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Low Income\2021\Gas Sch 129 FILING - Eff Oct 1, 2021\Filed 8-31-21\DRAFT\"/>
    </mc:Choice>
  </mc:AlternateContent>
  <bookViews>
    <workbookView xWindow="-60" yWindow="20" windowWidth="14970" windowHeight="14430" tabRatio="837"/>
  </bookViews>
  <sheets>
    <sheet name="Rates" sheetId="7" r:id="rId1"/>
    <sheet name="Rate Impacts--&gt;" sheetId="16" r:id="rId2"/>
    <sheet name="Rate Impacts Sch129" sheetId="53" r:id="rId3"/>
    <sheet name="Typical Res Bill Sch129" sheetId="54" r:id="rId4"/>
    <sheet name="Avg Per Therm Sch129 " sheetId="55" r:id="rId5"/>
    <sheet name="Schedule 129" sheetId="56" r:id="rId6"/>
    <sheet name="Work Papers--&gt;" sheetId="25" r:id="rId7"/>
    <sheet name="Sch 85 87 Rate Calc" sheetId="9" r:id="rId8"/>
    <sheet name="Margin Revenue" sheetId="8" r:id="rId9"/>
    <sheet name="Revenue Req 2021-2022" sheetId="44" r:id="rId10"/>
    <sheet name="Data from 2019 GRC--&gt;" sheetId="42" r:id="rId11"/>
    <sheet name="Rate Design Res" sheetId="38" r:id="rId12"/>
    <sheet name="Rate Design C&amp;I" sheetId="39" r:id="rId13"/>
    <sheet name="Rate Design Int &amp; Trans" sheetId="40" r:id="rId14"/>
  </sheets>
  <definedNames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4">'Avg Per Therm Sch129 '!$B$1:$L$36</definedName>
    <definedName name="_xlnm.Print_Area" localSheetId="8">'Margin Revenue'!$B$1:$N$38</definedName>
    <definedName name="_xlnm.Print_Area" localSheetId="12">'Rate Design C&amp;I'!$B$2:$Q$126</definedName>
    <definedName name="_xlnm.Print_Area" localSheetId="13">'Rate Design Int &amp; Trans'!$B$2:$Q$221</definedName>
    <definedName name="_xlnm.Print_Area" localSheetId="11">'Rate Design Res'!$B$2:$Q$50</definedName>
    <definedName name="_xlnm.Print_Area" localSheetId="2">'Rate Impacts Sch129'!$B$1:$U$37</definedName>
    <definedName name="_xlnm.Print_Area" localSheetId="0">Rates!$B$1:$K$52</definedName>
    <definedName name="_xlnm.Print_Area" localSheetId="7">'Sch 85 87 Rate Calc'!$B$1:$N$53</definedName>
    <definedName name="_xlnm.Print_Area" localSheetId="5">'Schedule 129'!$A$1:$I$50</definedName>
    <definedName name="_xlnm.Print_Area" localSheetId="3">'Typical Res Bill Sch129'!$B$1:$H$40</definedName>
    <definedName name="_xlnm.Print_Titles" localSheetId="12">'Rate Design C&amp;I'!$1:$8</definedName>
    <definedName name="_xlnm.Print_Titles" localSheetId="13">'Rate Design Int &amp; Trans'!$1:$8</definedName>
    <definedName name="_xlnm.Print_Titles" localSheetId="11">'Rate Design Res'!$2:$8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Q15" i="9" l="1"/>
  <c r="Q14" i="9"/>
  <c r="Q13" i="9"/>
  <c r="Q12" i="9"/>
  <c r="Q11" i="9"/>
  <c r="Q10" i="9"/>
  <c r="D24" i="56"/>
  <c r="D23" i="56"/>
  <c r="D15" i="56"/>
  <c r="D14" i="56"/>
  <c r="G14" i="56" s="1"/>
  <c r="L14" i="53" s="1"/>
  <c r="D12" i="56"/>
  <c r="D11" i="56"/>
  <c r="D9" i="56"/>
  <c r="H9" i="56" s="1"/>
  <c r="F23" i="56"/>
  <c r="F14" i="56"/>
  <c r="F15" i="56" s="1"/>
  <c r="F11" i="56"/>
  <c r="F9" i="56"/>
  <c r="G45" i="56"/>
  <c r="G44" i="56"/>
  <c r="G43" i="56"/>
  <c r="D48" i="56"/>
  <c r="G38" i="56"/>
  <c r="G30" i="56"/>
  <c r="G29" i="56"/>
  <c r="G28" i="56"/>
  <c r="D33" i="56"/>
  <c r="G24" i="56"/>
  <c r="F24" i="56"/>
  <c r="H23" i="56"/>
  <c r="I23" i="56" s="1"/>
  <c r="G23" i="56"/>
  <c r="L16" i="53" s="1"/>
  <c r="D21" i="56"/>
  <c r="G19" i="56"/>
  <c r="F12" i="56"/>
  <c r="H11" i="56"/>
  <c r="D8" i="56"/>
  <c r="H23" i="55"/>
  <c r="H33" i="55" s="1"/>
  <c r="H22" i="55"/>
  <c r="H21" i="55"/>
  <c r="H19" i="55"/>
  <c r="H18" i="55"/>
  <c r="H17" i="55"/>
  <c r="H32" i="55" s="1"/>
  <c r="H15" i="55"/>
  <c r="H14" i="55"/>
  <c r="H29" i="55" s="1"/>
  <c r="H13" i="55"/>
  <c r="H28" i="55" s="1"/>
  <c r="H12" i="55"/>
  <c r="H11" i="55"/>
  <c r="I9" i="55"/>
  <c r="H9" i="55"/>
  <c r="E9" i="55"/>
  <c r="B4" i="55"/>
  <c r="B2" i="55"/>
  <c r="G30" i="54"/>
  <c r="G29" i="54"/>
  <c r="G31" i="54" s="1"/>
  <c r="H31" i="54" s="1"/>
  <c r="D31" i="54"/>
  <c r="E31" i="54" s="1"/>
  <c r="G27" i="54"/>
  <c r="H27" i="54" s="1"/>
  <c r="E25" i="54"/>
  <c r="G24" i="54"/>
  <c r="G23" i="54"/>
  <c r="G22" i="54"/>
  <c r="G21" i="54"/>
  <c r="G20" i="54"/>
  <c r="G19" i="54"/>
  <c r="G18" i="54"/>
  <c r="G17" i="54"/>
  <c r="D17" i="54"/>
  <c r="G16" i="54"/>
  <c r="D25" i="54"/>
  <c r="H12" i="54"/>
  <c r="E12" i="54"/>
  <c r="G12" i="54"/>
  <c r="D13" i="54"/>
  <c r="B4" i="54"/>
  <c r="B2" i="54"/>
  <c r="T33" i="53"/>
  <c r="R33" i="53"/>
  <c r="Q33" i="53"/>
  <c r="L33" i="53"/>
  <c r="K33" i="53"/>
  <c r="J33" i="53"/>
  <c r="I33" i="53"/>
  <c r="Q32" i="53"/>
  <c r="K32" i="53"/>
  <c r="D32" i="53"/>
  <c r="N31" i="53"/>
  <c r="M31" i="53"/>
  <c r="E31" i="53"/>
  <c r="F31" i="53" s="1"/>
  <c r="Q30" i="53"/>
  <c r="O30" i="53"/>
  <c r="G30" i="53"/>
  <c r="Q29" i="53"/>
  <c r="I29" i="53"/>
  <c r="K28" i="53"/>
  <c r="O24" i="53"/>
  <c r="P33" i="53"/>
  <c r="O33" i="53"/>
  <c r="N33" i="53"/>
  <c r="M33" i="53"/>
  <c r="D23" i="55"/>
  <c r="D33" i="55" s="1"/>
  <c r="E33" i="53"/>
  <c r="F33" i="53" s="1"/>
  <c r="D33" i="53"/>
  <c r="D22" i="55"/>
  <c r="F22" i="53"/>
  <c r="H22" i="53" s="1"/>
  <c r="L21" i="53"/>
  <c r="H21" i="53"/>
  <c r="D21" i="55"/>
  <c r="F21" i="53"/>
  <c r="H20" i="55"/>
  <c r="F20" i="53"/>
  <c r="H20" i="53" s="1"/>
  <c r="D19" i="55"/>
  <c r="F19" i="53"/>
  <c r="H19" i="53" s="1"/>
  <c r="D18" i="55"/>
  <c r="R32" i="53"/>
  <c r="P32" i="53"/>
  <c r="O32" i="53"/>
  <c r="N32" i="53"/>
  <c r="M32" i="53"/>
  <c r="J32" i="53"/>
  <c r="I32" i="53"/>
  <c r="D17" i="55"/>
  <c r="D32" i="55" s="1"/>
  <c r="R31" i="53"/>
  <c r="Q31" i="53"/>
  <c r="P31" i="53"/>
  <c r="O31" i="53"/>
  <c r="K31" i="53"/>
  <c r="J31" i="53"/>
  <c r="I31" i="53"/>
  <c r="F16" i="53"/>
  <c r="D31" i="53"/>
  <c r="R30" i="53"/>
  <c r="N30" i="53"/>
  <c r="M30" i="53"/>
  <c r="K30" i="53"/>
  <c r="J30" i="53"/>
  <c r="I30" i="53"/>
  <c r="H15" i="53"/>
  <c r="D15" i="55"/>
  <c r="F15" i="53"/>
  <c r="E30" i="53"/>
  <c r="D30" i="53"/>
  <c r="R29" i="53"/>
  <c r="P29" i="53"/>
  <c r="O29" i="53"/>
  <c r="N29" i="53"/>
  <c r="M29" i="53"/>
  <c r="K29" i="53"/>
  <c r="J29" i="53"/>
  <c r="D14" i="55"/>
  <c r="E29" i="53"/>
  <c r="D29" i="53"/>
  <c r="R28" i="53"/>
  <c r="Q28" i="53"/>
  <c r="P28" i="53"/>
  <c r="O28" i="53"/>
  <c r="N28" i="53"/>
  <c r="M28" i="53"/>
  <c r="J28" i="53"/>
  <c r="I28" i="53"/>
  <c r="D13" i="55"/>
  <c r="D28" i="55" s="1"/>
  <c r="E28" i="53"/>
  <c r="F28" i="53" s="1"/>
  <c r="D28" i="53"/>
  <c r="D12" i="55"/>
  <c r="F12" i="53"/>
  <c r="H12" i="53" s="1"/>
  <c r="R27" i="53"/>
  <c r="Q27" i="53"/>
  <c r="P27" i="53"/>
  <c r="O27" i="53"/>
  <c r="O34" i="53" s="1"/>
  <c r="N24" i="53"/>
  <c r="M27" i="53"/>
  <c r="M34" i="53" s="1"/>
  <c r="J27" i="53"/>
  <c r="I27" i="53"/>
  <c r="D11" i="55"/>
  <c r="D27" i="53"/>
  <c r="S21" i="53" l="1"/>
  <c r="E21" i="55" s="1"/>
  <c r="F21" i="55" s="1"/>
  <c r="L31" i="53"/>
  <c r="G9" i="56"/>
  <c r="L11" i="53" s="1"/>
  <c r="L27" i="53" s="1"/>
  <c r="H24" i="56"/>
  <c r="I24" i="56" s="1"/>
  <c r="T21" i="53" s="1"/>
  <c r="U21" i="53" s="1"/>
  <c r="H14" i="56"/>
  <c r="I14" i="56" s="1"/>
  <c r="J14" i="56" s="1"/>
  <c r="H15" i="56"/>
  <c r="I15" i="56" s="1"/>
  <c r="H12" i="56"/>
  <c r="E24" i="53"/>
  <c r="F11" i="53"/>
  <c r="H11" i="53" s="1"/>
  <c r="I34" i="53"/>
  <c r="R34" i="53"/>
  <c r="F30" i="53"/>
  <c r="D38" i="54"/>
  <c r="D32" i="54"/>
  <c r="E27" i="53"/>
  <c r="D27" i="55"/>
  <c r="J34" i="53"/>
  <c r="F17" i="53"/>
  <c r="H17" i="53" s="1"/>
  <c r="E32" i="53"/>
  <c r="F32" i="53" s="1"/>
  <c r="K27" i="53"/>
  <c r="K34" i="53" s="1"/>
  <c r="P30" i="53"/>
  <c r="P34" i="53" s="1"/>
  <c r="P24" i="53"/>
  <c r="D16" i="55"/>
  <c r="D31" i="55" s="1"/>
  <c r="H16" i="55"/>
  <c r="H31" i="55" s="1"/>
  <c r="G31" i="53"/>
  <c r="S12" i="53"/>
  <c r="G25" i="54"/>
  <c r="H24" i="55"/>
  <c r="H30" i="55"/>
  <c r="T16" i="53"/>
  <c r="J23" i="56"/>
  <c r="Q34" i="53"/>
  <c r="M24" i="53"/>
  <c r="H30" i="53"/>
  <c r="S15" i="53"/>
  <c r="F29" i="53"/>
  <c r="F18" i="53"/>
  <c r="H18" i="53" s="1"/>
  <c r="D34" i="53"/>
  <c r="D29" i="55"/>
  <c r="H16" i="53"/>
  <c r="S19" i="53"/>
  <c r="G24" i="53"/>
  <c r="F13" i="53"/>
  <c r="H13" i="53" s="1"/>
  <c r="I24" i="53"/>
  <c r="Q24" i="53"/>
  <c r="G27" i="53"/>
  <c r="E11" i="54"/>
  <c r="E13" i="54" s="1"/>
  <c r="G27" i="56"/>
  <c r="G37" i="56"/>
  <c r="G47" i="56"/>
  <c r="F23" i="53"/>
  <c r="H23" i="53" s="1"/>
  <c r="J24" i="53"/>
  <c r="R24" i="53"/>
  <c r="G11" i="54"/>
  <c r="G12" i="56"/>
  <c r="L18" i="53" s="1"/>
  <c r="G18" i="56"/>
  <c r="G21" i="56" s="1"/>
  <c r="L15" i="53" s="1"/>
  <c r="G32" i="56"/>
  <c r="D39" i="56"/>
  <c r="D50" i="56" s="1"/>
  <c r="F14" i="53"/>
  <c r="H14" i="53" s="1"/>
  <c r="K24" i="53"/>
  <c r="G28" i="53"/>
  <c r="G32" i="53"/>
  <c r="E27" i="54"/>
  <c r="E32" i="54" s="1"/>
  <c r="H27" i="55"/>
  <c r="D24" i="53"/>
  <c r="G11" i="56"/>
  <c r="L13" i="53" s="1"/>
  <c r="L28" i="53" s="1"/>
  <c r="G20" i="56"/>
  <c r="G36" i="56"/>
  <c r="G46" i="56"/>
  <c r="N27" i="53"/>
  <c r="N34" i="53" s="1"/>
  <c r="G42" i="56"/>
  <c r="G29" i="53"/>
  <c r="G33" i="53"/>
  <c r="D20" i="55"/>
  <c r="D30" i="55" s="1"/>
  <c r="G15" i="56"/>
  <c r="L19" i="53" s="1"/>
  <c r="L29" i="53" s="1"/>
  <c r="G31" i="56"/>
  <c r="J24" i="56" l="1"/>
  <c r="I9" i="56"/>
  <c r="T14" i="53"/>
  <c r="E34" i="54"/>
  <c r="E19" i="55"/>
  <c r="F19" i="55" s="1"/>
  <c r="E34" i="53"/>
  <c r="F34" i="53" s="1"/>
  <c r="F27" i="53"/>
  <c r="G48" i="56"/>
  <c r="L22" i="53" s="1"/>
  <c r="S22" i="53" s="1"/>
  <c r="G32" i="54"/>
  <c r="H25" i="54"/>
  <c r="H32" i="54" s="1"/>
  <c r="G38" i="54"/>
  <c r="D24" i="55"/>
  <c r="S11" i="53"/>
  <c r="H24" i="53"/>
  <c r="H27" i="53"/>
  <c r="H29" i="53"/>
  <c r="S14" i="53"/>
  <c r="G34" i="53"/>
  <c r="T19" i="53"/>
  <c r="U19" i="53" s="1"/>
  <c r="J15" i="56"/>
  <c r="S13" i="53"/>
  <c r="H28" i="53"/>
  <c r="E12" i="55"/>
  <c r="F12" i="55" s="1"/>
  <c r="U12" i="53"/>
  <c r="I12" i="55"/>
  <c r="D34" i="55"/>
  <c r="F24" i="53"/>
  <c r="H33" i="53"/>
  <c r="S23" i="53"/>
  <c r="H32" i="53"/>
  <c r="S17" i="53"/>
  <c r="I21" i="55"/>
  <c r="G39" i="56"/>
  <c r="L20" i="53" s="1"/>
  <c r="S20" i="53" s="1"/>
  <c r="H11" i="54"/>
  <c r="H13" i="54" s="1"/>
  <c r="G13" i="54"/>
  <c r="G33" i="56"/>
  <c r="L17" i="53" s="1"/>
  <c r="U14" i="53"/>
  <c r="E15" i="55"/>
  <c r="H34" i="55"/>
  <c r="S16" i="53"/>
  <c r="H31" i="53"/>
  <c r="I11" i="56"/>
  <c r="T11" i="53"/>
  <c r="J9" i="56"/>
  <c r="I12" i="56"/>
  <c r="S18" i="53"/>
  <c r="T31" i="53"/>
  <c r="U16" i="53"/>
  <c r="E20" i="55" l="1"/>
  <c r="F20" i="55" s="1"/>
  <c r="L21" i="55"/>
  <c r="N21" i="55" s="1"/>
  <c r="J21" i="55"/>
  <c r="T27" i="53"/>
  <c r="U11" i="53"/>
  <c r="G50" i="56"/>
  <c r="E17" i="55"/>
  <c r="S32" i="53"/>
  <c r="E22" i="55"/>
  <c r="F22" i="55" s="1"/>
  <c r="L30" i="53"/>
  <c r="L34" i="53" s="1"/>
  <c r="S30" i="53"/>
  <c r="E30" i="55"/>
  <c r="F30" i="55" s="1"/>
  <c r="F15" i="55"/>
  <c r="L12" i="55"/>
  <c r="N12" i="55" s="1"/>
  <c r="J12" i="55"/>
  <c r="T29" i="53"/>
  <c r="U29" i="53" s="1"/>
  <c r="E16" i="55"/>
  <c r="S31" i="53"/>
  <c r="U31" i="53" s="1"/>
  <c r="I16" i="55"/>
  <c r="H34" i="53"/>
  <c r="I19" i="55"/>
  <c r="E18" i="55"/>
  <c r="F18" i="55" s="1"/>
  <c r="E23" i="55"/>
  <c r="U23" i="53"/>
  <c r="I23" i="55"/>
  <c r="S33" i="53"/>
  <c r="U33" i="53" s="1"/>
  <c r="L24" i="53"/>
  <c r="J11" i="56"/>
  <c r="T13" i="53"/>
  <c r="E14" i="55"/>
  <c r="I14" i="55"/>
  <c r="S29" i="53"/>
  <c r="L32" i="53"/>
  <c r="J12" i="56"/>
  <c r="T18" i="53"/>
  <c r="U18" i="53" s="1"/>
  <c r="H34" i="54"/>
  <c r="H35" i="54" s="1"/>
  <c r="H36" i="54" s="1"/>
  <c r="E13" i="55"/>
  <c r="S28" i="53"/>
  <c r="E11" i="55"/>
  <c r="S27" i="53"/>
  <c r="S24" i="53"/>
  <c r="I11" i="55"/>
  <c r="E29" i="55" l="1"/>
  <c r="F29" i="55" s="1"/>
  <c r="F14" i="55"/>
  <c r="L11" i="55"/>
  <c r="N11" i="55" s="1"/>
  <c r="J11" i="55"/>
  <c r="I27" i="55"/>
  <c r="S34" i="53"/>
  <c r="U27" i="53"/>
  <c r="L16" i="55"/>
  <c r="N16" i="55" s="1"/>
  <c r="J16" i="55"/>
  <c r="I31" i="55"/>
  <c r="T28" i="53"/>
  <c r="U28" i="53" s="1"/>
  <c r="U13" i="53"/>
  <c r="L19" i="55"/>
  <c r="N19" i="55" s="1"/>
  <c r="J19" i="55"/>
  <c r="I18" i="55"/>
  <c r="E31" i="55"/>
  <c r="F31" i="55" s="1"/>
  <c r="F16" i="55"/>
  <c r="E27" i="55"/>
  <c r="E24" i="55"/>
  <c r="F24" i="55" s="1"/>
  <c r="F11" i="55"/>
  <c r="I13" i="55"/>
  <c r="E33" i="55"/>
  <c r="F33" i="55" s="1"/>
  <c r="F23" i="55"/>
  <c r="E28" i="55"/>
  <c r="F28" i="55" s="1"/>
  <c r="F13" i="55"/>
  <c r="L14" i="55"/>
  <c r="N14" i="55" s="1"/>
  <c r="J14" i="55"/>
  <c r="I29" i="55"/>
  <c r="L23" i="55"/>
  <c r="N23" i="55" s="1"/>
  <c r="J23" i="55"/>
  <c r="I33" i="55"/>
  <c r="E32" i="55"/>
  <c r="F32" i="55" s="1"/>
  <c r="F17" i="55"/>
  <c r="L29" i="55" l="1"/>
  <c r="N29" i="55" s="1"/>
  <c r="J29" i="55"/>
  <c r="L31" i="55"/>
  <c r="N31" i="55" s="1"/>
  <c r="J31" i="55"/>
  <c r="L18" i="55"/>
  <c r="N18" i="55" s="1"/>
  <c r="J18" i="55"/>
  <c r="L13" i="55"/>
  <c r="N13" i="55" s="1"/>
  <c r="J13" i="55"/>
  <c r="I28" i="55"/>
  <c r="L33" i="55"/>
  <c r="N33" i="55" s="1"/>
  <c r="J33" i="55"/>
  <c r="L27" i="55"/>
  <c r="N27" i="55" s="1"/>
  <c r="J27" i="55"/>
  <c r="E34" i="55"/>
  <c r="F34" i="55" s="1"/>
  <c r="F27" i="55"/>
  <c r="L28" i="55" l="1"/>
  <c r="N28" i="55" s="1"/>
  <c r="J28" i="55"/>
  <c r="B2" i="7" l="1"/>
  <c r="F26" i="8" l="1"/>
  <c r="F25" i="8"/>
  <c r="F21" i="8"/>
  <c r="F20" i="8"/>
  <c r="F17" i="8"/>
  <c r="F15" i="8"/>
  <c r="F13" i="8"/>
  <c r="F10" i="8"/>
  <c r="E26" i="8" l="1"/>
  <c r="E25" i="8"/>
  <c r="E21" i="8"/>
  <c r="E20" i="8"/>
  <c r="E17" i="8"/>
  <c r="E13" i="8"/>
  <c r="E15" i="8"/>
  <c r="E10" i="8" l="1"/>
  <c r="F9" i="7"/>
  <c r="I49" i="7" l="1"/>
  <c r="H48" i="44"/>
  <c r="G48" i="44"/>
  <c r="F48" i="44"/>
  <c r="H46" i="44"/>
  <c r="H45" i="44"/>
  <c r="H44" i="44"/>
  <c r="H43" i="44"/>
  <c r="H42" i="44"/>
  <c r="H41" i="44"/>
  <c r="H40" i="44"/>
  <c r="H30" i="44"/>
  <c r="G26" i="44"/>
  <c r="F26" i="44"/>
  <c r="H18" i="44"/>
  <c r="G17" i="44"/>
  <c r="F17" i="44"/>
  <c r="H16" i="44"/>
  <c r="H15" i="44"/>
  <c r="G12" i="44"/>
  <c r="G13" i="44" s="1"/>
  <c r="G19" i="44" s="1"/>
  <c r="G28" i="44" s="1"/>
  <c r="G32" i="44" s="1"/>
  <c r="F12" i="44"/>
  <c r="H12" i="44" s="1"/>
  <c r="H11" i="44"/>
  <c r="A11" i="44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G10" i="44"/>
  <c r="F10" i="44"/>
  <c r="F13" i="44" s="1"/>
  <c r="F19" i="44" s="1"/>
  <c r="F28" i="44" s="1"/>
  <c r="A10" i="44"/>
  <c r="H9" i="44"/>
  <c r="A9" i="44"/>
  <c r="F32" i="44" l="1"/>
  <c r="H28" i="44"/>
  <c r="H32" i="44" s="1"/>
  <c r="H10" i="44"/>
  <c r="H13" i="44" s="1"/>
  <c r="H19" i="44" s="1"/>
  <c r="V10" i="9" l="1"/>
  <c r="T11" i="9"/>
  <c r="T12" i="9"/>
  <c r="T13" i="9"/>
  <c r="T14" i="9"/>
  <c r="T15" i="9"/>
  <c r="T10" i="9"/>
  <c r="S11" i="9"/>
  <c r="S12" i="9"/>
  <c r="S13" i="9"/>
  <c r="S14" i="9"/>
  <c r="S15" i="9"/>
  <c r="S10" i="9"/>
  <c r="I25" i="8"/>
  <c r="I26" i="8"/>
  <c r="J26" i="8"/>
  <c r="J25" i="8"/>
  <c r="C52" i="7" l="1"/>
  <c r="C51" i="7"/>
  <c r="C52" i="9"/>
  <c r="B4" i="9" l="1"/>
  <c r="F10" i="9"/>
  <c r="K218" i="40" l="1"/>
  <c r="L218" i="40" s="1"/>
  <c r="K217" i="40"/>
  <c r="L217" i="40" s="1"/>
  <c r="F162" i="40"/>
  <c r="F161" i="40"/>
  <c r="D180" i="40"/>
  <c r="F154" i="40"/>
  <c r="Q153" i="40"/>
  <c r="H145" i="40"/>
  <c r="H144" i="40"/>
  <c r="H140" i="40"/>
  <c r="H163" i="40" s="1"/>
  <c r="Q163" i="40" s="1"/>
  <c r="H139" i="40"/>
  <c r="H162" i="40" s="1"/>
  <c r="Q162" i="40" s="1"/>
  <c r="D182" i="40"/>
  <c r="H138" i="40"/>
  <c r="F138" i="40"/>
  <c r="H137" i="40"/>
  <c r="F136" i="40"/>
  <c r="H136" i="40"/>
  <c r="H135" i="40"/>
  <c r="I132" i="40"/>
  <c r="K132" i="40" s="1"/>
  <c r="Q131" i="40"/>
  <c r="F130" i="40"/>
  <c r="Q129" i="40"/>
  <c r="I94" i="40"/>
  <c r="K94" i="40" s="1"/>
  <c r="Q92" i="40"/>
  <c r="H84" i="40"/>
  <c r="H83" i="40"/>
  <c r="H79" i="40"/>
  <c r="H98" i="40" s="1"/>
  <c r="Q98" i="40" s="1"/>
  <c r="H78" i="40"/>
  <c r="D80" i="40"/>
  <c r="D74" i="40" s="1"/>
  <c r="D109" i="40" s="1"/>
  <c r="Q74" i="40"/>
  <c r="D108" i="40"/>
  <c r="D119" i="40" s="1"/>
  <c r="F72" i="40"/>
  <c r="I35" i="40"/>
  <c r="K35" i="40" s="1"/>
  <c r="H25" i="40"/>
  <c r="H24" i="40"/>
  <c r="H20" i="40"/>
  <c r="H19" i="40"/>
  <c r="H40" i="40" s="1"/>
  <c r="Q40" i="40" s="1"/>
  <c r="D57" i="40"/>
  <c r="H18" i="40"/>
  <c r="Q14" i="40"/>
  <c r="F76" i="39"/>
  <c r="D77" i="39"/>
  <c r="D81" i="39" s="1"/>
  <c r="F69" i="39"/>
  <c r="H61" i="39"/>
  <c r="H60" i="39"/>
  <c r="H54" i="39"/>
  <c r="H76" i="39" s="1"/>
  <c r="F54" i="39"/>
  <c r="H53" i="39"/>
  <c r="F53" i="39"/>
  <c r="H71" i="39"/>
  <c r="Q71" i="39" s="1"/>
  <c r="D61" i="39"/>
  <c r="F61" i="39" s="1"/>
  <c r="F101" i="39" s="1"/>
  <c r="F47" i="39"/>
  <c r="D35" i="39"/>
  <c r="F25" i="39"/>
  <c r="D29" i="39"/>
  <c r="I29" i="39" s="1"/>
  <c r="Q24" i="39"/>
  <c r="F24" i="39"/>
  <c r="H17" i="39"/>
  <c r="Q14" i="39"/>
  <c r="H13" i="39"/>
  <c r="H25" i="39" s="1"/>
  <c r="D14" i="39"/>
  <c r="F12" i="39"/>
  <c r="H39" i="38"/>
  <c r="H35" i="38"/>
  <c r="D39" i="38"/>
  <c r="H27" i="38"/>
  <c r="D27" i="38"/>
  <c r="F23" i="38"/>
  <c r="H16" i="38"/>
  <c r="F13" i="38"/>
  <c r="H13" i="38"/>
  <c r="D16" i="38"/>
  <c r="H23" i="38"/>
  <c r="F12" i="38"/>
  <c r="F14" i="38" s="1"/>
  <c r="I12" i="38"/>
  <c r="F14" i="39" l="1"/>
  <c r="I14" i="39"/>
  <c r="F25" i="38"/>
  <c r="F29" i="38" s="1"/>
  <c r="Q12" i="39"/>
  <c r="D36" i="39"/>
  <c r="Q47" i="39"/>
  <c r="D50" i="40"/>
  <c r="Q72" i="40"/>
  <c r="D173" i="40"/>
  <c r="F24" i="38"/>
  <c r="F173" i="40"/>
  <c r="F181" i="40"/>
  <c r="D48" i="38"/>
  <c r="D17" i="39"/>
  <c r="I17" i="39" s="1"/>
  <c r="D87" i="39"/>
  <c r="D88" i="39" s="1"/>
  <c r="D92" i="39"/>
  <c r="F13" i="40"/>
  <c r="Q33" i="40"/>
  <c r="I129" i="40"/>
  <c r="I138" i="40"/>
  <c r="K138" i="40" s="1"/>
  <c r="F13" i="39"/>
  <c r="F36" i="39" s="1"/>
  <c r="F17" i="39"/>
  <c r="D26" i="39"/>
  <c r="D37" i="39" s="1"/>
  <c r="Q13" i="40"/>
  <c r="F73" i="40"/>
  <c r="F93" i="40"/>
  <c r="F108" i="40" s="1"/>
  <c r="H161" i="40"/>
  <c r="Q161" i="40" s="1"/>
  <c r="F129" i="40"/>
  <c r="Q138" i="40"/>
  <c r="D55" i="39"/>
  <c r="I69" i="39"/>
  <c r="I12" i="40"/>
  <c r="D99" i="40"/>
  <c r="D101" i="40" s="1"/>
  <c r="F101" i="40" s="1"/>
  <c r="F120" i="40" s="1"/>
  <c r="I139" i="40"/>
  <c r="D172" i="40"/>
  <c r="D179" i="40"/>
  <c r="F27" i="38"/>
  <c r="I27" i="38" s="1"/>
  <c r="K27" i="38" s="1"/>
  <c r="L27" i="38" s="1"/>
  <c r="F29" i="39"/>
  <c r="K29" i="39" s="1"/>
  <c r="Q56" i="39"/>
  <c r="D70" i="39"/>
  <c r="F70" i="39" s="1"/>
  <c r="D94" i="39"/>
  <c r="F12" i="40"/>
  <c r="K12" i="40" s="1"/>
  <c r="D107" i="40"/>
  <c r="I137" i="40"/>
  <c r="F159" i="40"/>
  <c r="F179" i="40" s="1"/>
  <c r="Q69" i="39"/>
  <c r="I71" i="39"/>
  <c r="I47" i="39"/>
  <c r="I87" i="39" s="1"/>
  <c r="I13" i="40"/>
  <c r="K13" i="40" s="1"/>
  <c r="I130" i="40"/>
  <c r="K130" i="40" s="1"/>
  <c r="D60" i="39"/>
  <c r="F60" i="39" s="1"/>
  <c r="D56" i="39"/>
  <c r="I23" i="38"/>
  <c r="Q23" i="38"/>
  <c r="H158" i="40"/>
  <c r="Q158" i="40" s="1"/>
  <c r="Q135" i="40"/>
  <c r="I135" i="40"/>
  <c r="I39" i="38"/>
  <c r="F39" i="38"/>
  <c r="I13" i="38"/>
  <c r="K13" i="38" s="1"/>
  <c r="L13" i="38" s="1"/>
  <c r="H24" i="38"/>
  <c r="Q24" i="38" s="1"/>
  <c r="Q13" i="38"/>
  <c r="I35" i="38"/>
  <c r="Q35" i="38"/>
  <c r="I61" i="39"/>
  <c r="F15" i="39"/>
  <c r="F35" i="39"/>
  <c r="H75" i="39"/>
  <c r="H48" i="39"/>
  <c r="Q53" i="39"/>
  <c r="H52" i="39"/>
  <c r="I53" i="39"/>
  <c r="K53" i="39" s="1"/>
  <c r="K17" i="39"/>
  <c r="L17" i="39" s="1"/>
  <c r="I112" i="39"/>
  <c r="I40" i="39"/>
  <c r="F94" i="39"/>
  <c r="I14" i="38"/>
  <c r="K12" i="38"/>
  <c r="I16" i="38"/>
  <c r="F112" i="39"/>
  <c r="F40" i="39"/>
  <c r="I81" i="39"/>
  <c r="F81" i="39"/>
  <c r="F102" i="39" s="1"/>
  <c r="K137" i="40"/>
  <c r="I25" i="39"/>
  <c r="K25" i="39" s="1"/>
  <c r="Q25" i="39"/>
  <c r="I76" i="39"/>
  <c r="Q76" i="39"/>
  <c r="D42" i="40"/>
  <c r="D44" i="40" s="1"/>
  <c r="D56" i="40"/>
  <c r="D59" i="40" s="1"/>
  <c r="D210" i="40" s="1"/>
  <c r="F39" i="40"/>
  <c r="I24" i="39"/>
  <c r="Q49" i="39"/>
  <c r="I54" i="39"/>
  <c r="K54" i="39" s="1"/>
  <c r="K69" i="39"/>
  <c r="Q73" i="40"/>
  <c r="Q78" i="40"/>
  <c r="H97" i="40"/>
  <c r="Q97" i="40" s="1"/>
  <c r="I98" i="40"/>
  <c r="F98" i="40"/>
  <c r="I19" i="40"/>
  <c r="F19" i="40"/>
  <c r="Q12" i="38"/>
  <c r="F16" i="38"/>
  <c r="F46" i="38" s="1"/>
  <c r="F35" i="38"/>
  <c r="F41" i="38" s="1"/>
  <c r="I12" i="39"/>
  <c r="I13" i="39"/>
  <c r="K14" i="39"/>
  <c r="D48" i="39"/>
  <c r="Q54" i="39"/>
  <c r="D51" i="40"/>
  <c r="I40" i="40"/>
  <c r="I79" i="40"/>
  <c r="F79" i="40"/>
  <c r="F114" i="40" s="1"/>
  <c r="H159" i="40"/>
  <c r="Q136" i="40"/>
  <c r="I140" i="40"/>
  <c r="F140" i="40"/>
  <c r="F49" i="39"/>
  <c r="F71" i="39"/>
  <c r="F89" i="39" s="1"/>
  <c r="D78" i="39"/>
  <c r="Q19" i="40"/>
  <c r="F74" i="40"/>
  <c r="F109" i="40" s="1"/>
  <c r="D114" i="40"/>
  <c r="I162" i="40"/>
  <c r="Q13" i="39"/>
  <c r="D93" i="39"/>
  <c r="D89" i="39"/>
  <c r="Q12" i="40"/>
  <c r="F53" i="40"/>
  <c r="I15" i="40"/>
  <c r="I20" i="40"/>
  <c r="F34" i="40"/>
  <c r="F51" i="40" s="1"/>
  <c r="D58" i="40"/>
  <c r="Q79" i="40"/>
  <c r="H154" i="40"/>
  <c r="Q130" i="40"/>
  <c r="I136" i="40"/>
  <c r="K136" i="40" s="1"/>
  <c r="Q140" i="40"/>
  <c r="I155" i="40"/>
  <c r="I175" i="40" s="1"/>
  <c r="F175" i="40"/>
  <c r="F160" i="40"/>
  <c r="I163" i="40"/>
  <c r="F110" i="40"/>
  <c r="I75" i="40"/>
  <c r="I92" i="40"/>
  <c r="F92" i="40"/>
  <c r="I101" i="40"/>
  <c r="D164" i="40"/>
  <c r="D166" i="40" s="1"/>
  <c r="F158" i="40"/>
  <c r="I49" i="39"/>
  <c r="K49" i="39" s="1"/>
  <c r="F87" i="39"/>
  <c r="Q20" i="40"/>
  <c r="H41" i="40"/>
  <c r="Q41" i="40" s="1"/>
  <c r="F75" i="39"/>
  <c r="F93" i="39" s="1"/>
  <c r="I18" i="40"/>
  <c r="D21" i="40"/>
  <c r="F41" i="40"/>
  <c r="D141" i="40"/>
  <c r="I153" i="40"/>
  <c r="F153" i="40"/>
  <c r="D178" i="40"/>
  <c r="Q18" i="40"/>
  <c r="H39" i="40"/>
  <c r="Q39" i="40" s="1"/>
  <c r="D83" i="40"/>
  <c r="I74" i="40"/>
  <c r="H160" i="40"/>
  <c r="Q160" i="40" s="1"/>
  <c r="Q137" i="40"/>
  <c r="F20" i="40"/>
  <c r="F58" i="40" s="1"/>
  <c r="D25" i="40"/>
  <c r="F33" i="40"/>
  <c r="H34" i="40"/>
  <c r="Q34" i="40" s="1"/>
  <c r="F40" i="40"/>
  <c r="D84" i="40"/>
  <c r="H93" i="40"/>
  <c r="Q93" i="40" s="1"/>
  <c r="D113" i="40"/>
  <c r="D115" i="40" s="1"/>
  <c r="D145" i="40"/>
  <c r="D181" i="40"/>
  <c r="D183" i="40"/>
  <c r="F18" i="40"/>
  <c r="I33" i="40"/>
  <c r="I50" i="40" s="1"/>
  <c r="I72" i="40"/>
  <c r="I73" i="40"/>
  <c r="F78" i="40"/>
  <c r="F97" i="40"/>
  <c r="F139" i="40"/>
  <c r="K139" i="40" s="1"/>
  <c r="I78" i="40"/>
  <c r="F137" i="40"/>
  <c r="F163" i="40"/>
  <c r="F183" i="40" s="1"/>
  <c r="F135" i="40"/>
  <c r="Q139" i="40"/>
  <c r="D122" i="39" l="1"/>
  <c r="D40" i="39"/>
  <c r="K129" i="40"/>
  <c r="K175" i="40"/>
  <c r="I39" i="40"/>
  <c r="K39" i="40" s="1"/>
  <c r="K40" i="40"/>
  <c r="K47" i="39"/>
  <c r="I97" i="40"/>
  <c r="I161" i="40"/>
  <c r="I34" i="40"/>
  <c r="K34" i="40" s="1"/>
  <c r="K39" i="38"/>
  <c r="L39" i="38" s="1"/>
  <c r="F26" i="39"/>
  <c r="I26" i="39"/>
  <c r="I27" i="39" s="1"/>
  <c r="I30" i="39" s="1"/>
  <c r="F56" i="40"/>
  <c r="D95" i="39"/>
  <c r="D123" i="39" s="1"/>
  <c r="D124" i="39" s="1"/>
  <c r="I158" i="40"/>
  <c r="K158" i="40" s="1"/>
  <c r="F42" i="40"/>
  <c r="K140" i="40"/>
  <c r="F57" i="40"/>
  <c r="I178" i="40"/>
  <c r="D96" i="39"/>
  <c r="I78" i="39"/>
  <c r="F78" i="39"/>
  <c r="F79" i="39" s="1"/>
  <c r="F82" i="39" s="1"/>
  <c r="F164" i="40"/>
  <c r="F172" i="40"/>
  <c r="K14" i="38"/>
  <c r="L12" i="38"/>
  <c r="I166" i="40"/>
  <c r="D189" i="40"/>
  <c r="I58" i="40"/>
  <c r="K58" i="40" s="1"/>
  <c r="K20" i="40"/>
  <c r="F50" i="40"/>
  <c r="H70" i="39"/>
  <c r="Q48" i="39"/>
  <c r="K135" i="40"/>
  <c r="K23" i="38"/>
  <c r="D184" i="40"/>
  <c r="D212" i="40" s="1"/>
  <c r="I53" i="40"/>
  <c r="K53" i="40" s="1"/>
  <c r="K15" i="40"/>
  <c r="K40" i="39"/>
  <c r="L40" i="39" s="1"/>
  <c r="F62" i="39"/>
  <c r="F100" i="39"/>
  <c r="F103" i="39" s="1"/>
  <c r="F113" i="40"/>
  <c r="D118" i="40"/>
  <c r="D120" i="40" s="1"/>
  <c r="D211" i="40"/>
  <c r="F83" i="40"/>
  <c r="I83" i="40"/>
  <c r="K153" i="40"/>
  <c r="I172" i="40"/>
  <c r="F99" i="40"/>
  <c r="F102" i="40" s="1"/>
  <c r="Q154" i="40"/>
  <c r="I154" i="40"/>
  <c r="Q159" i="40"/>
  <c r="I159" i="40"/>
  <c r="I48" i="39"/>
  <c r="F48" i="39"/>
  <c r="K87" i="39"/>
  <c r="I102" i="39"/>
  <c r="K81" i="39"/>
  <c r="K102" i="39" s="1"/>
  <c r="I18" i="38"/>
  <c r="I24" i="38"/>
  <c r="K24" i="38" s="1"/>
  <c r="K35" i="38"/>
  <c r="I41" i="38"/>
  <c r="I109" i="40"/>
  <c r="K109" i="40" s="1"/>
  <c r="K74" i="40"/>
  <c r="K101" i="40"/>
  <c r="I120" i="40"/>
  <c r="K120" i="40" s="1"/>
  <c r="I44" i="40"/>
  <c r="D64" i="40"/>
  <c r="K97" i="40"/>
  <c r="K73" i="40"/>
  <c r="D144" i="40"/>
  <c r="D131" i="40"/>
  <c r="K92" i="40"/>
  <c r="I183" i="40"/>
  <c r="K183" i="40" s="1"/>
  <c r="K163" i="40"/>
  <c r="K162" i="40"/>
  <c r="I182" i="40"/>
  <c r="K19" i="40"/>
  <c r="I57" i="40"/>
  <c r="K98" i="40"/>
  <c r="I60" i="39"/>
  <c r="F80" i="40"/>
  <c r="D63" i="40"/>
  <c r="I25" i="40"/>
  <c r="F25" i="40"/>
  <c r="F63" i="40" s="1"/>
  <c r="F56" i="39"/>
  <c r="F96" i="39" s="1"/>
  <c r="I56" i="39"/>
  <c r="F145" i="40"/>
  <c r="F188" i="40" s="1"/>
  <c r="I145" i="40"/>
  <c r="I113" i="40"/>
  <c r="K113" i="40" s="1"/>
  <c r="K78" i="40"/>
  <c r="I107" i="40"/>
  <c r="K72" i="40"/>
  <c r="I80" i="40"/>
  <c r="F84" i="40"/>
  <c r="F119" i="40" s="1"/>
  <c r="I84" i="40"/>
  <c r="K75" i="40"/>
  <c r="I110" i="40"/>
  <c r="K110" i="40" s="1"/>
  <c r="F180" i="40"/>
  <c r="I41" i="40"/>
  <c r="K41" i="40" s="1"/>
  <c r="F166" i="40"/>
  <c r="K79" i="40"/>
  <c r="I114" i="40"/>
  <c r="K114" i="40" s="1"/>
  <c r="I36" i="39"/>
  <c r="K36" i="39" s="1"/>
  <c r="K13" i="39"/>
  <c r="K16" i="38"/>
  <c r="L16" i="38" s="1"/>
  <c r="I46" i="38"/>
  <c r="K33" i="40"/>
  <c r="I181" i="40"/>
  <c r="K181" i="40" s="1"/>
  <c r="K161" i="40"/>
  <c r="D24" i="40"/>
  <c r="D14" i="40"/>
  <c r="F88" i="39"/>
  <c r="I93" i="40"/>
  <c r="K93" i="40" s="1"/>
  <c r="F182" i="40"/>
  <c r="F107" i="40"/>
  <c r="F115" i="40" s="1"/>
  <c r="I15" i="39"/>
  <c r="I35" i="39"/>
  <c r="K12" i="39"/>
  <c r="K24" i="39"/>
  <c r="I94" i="39"/>
  <c r="K76" i="39"/>
  <c r="K94" i="39" s="1"/>
  <c r="F19" i="39"/>
  <c r="K71" i="39"/>
  <c r="K89" i="39" s="1"/>
  <c r="Q52" i="39"/>
  <c r="H74" i="39"/>
  <c r="Q74" i="39" s="1"/>
  <c r="I101" i="39"/>
  <c r="K61" i="39"/>
  <c r="K101" i="39" s="1"/>
  <c r="F18" i="38"/>
  <c r="K50" i="40"/>
  <c r="Q75" i="39"/>
  <c r="I75" i="39"/>
  <c r="K112" i="39"/>
  <c r="K18" i="40"/>
  <c r="F178" i="40"/>
  <c r="I51" i="40"/>
  <c r="K51" i="40" s="1"/>
  <c r="F44" i="40"/>
  <c r="I160" i="40"/>
  <c r="I89" i="39"/>
  <c r="F47" i="38"/>
  <c r="F48" i="38" s="1"/>
  <c r="I164" i="40" l="1"/>
  <c r="K26" i="39"/>
  <c r="F27" i="39"/>
  <c r="I37" i="39"/>
  <c r="D213" i="40"/>
  <c r="K42" i="40"/>
  <c r="L42" i="40" s="1"/>
  <c r="K57" i="40"/>
  <c r="K27" i="39"/>
  <c r="K30" i="39" s="1"/>
  <c r="K182" i="40"/>
  <c r="D216" i="40"/>
  <c r="D219" i="40" s="1"/>
  <c r="F97" i="39"/>
  <c r="F105" i="39" s="1"/>
  <c r="I56" i="40"/>
  <c r="K56" i="40" s="1"/>
  <c r="F205" i="40"/>
  <c r="K15" i="39"/>
  <c r="F37" i="39"/>
  <c r="F38" i="39" s="1"/>
  <c r="F41" i="39" s="1"/>
  <c r="I108" i="40"/>
  <c r="K108" i="40" s="1"/>
  <c r="I100" i="39"/>
  <c r="I103" i="39" s="1"/>
  <c r="I62" i="39"/>
  <c r="K60" i="39"/>
  <c r="I42" i="40"/>
  <c r="I45" i="40" s="1"/>
  <c r="I167" i="40"/>
  <c r="I189" i="40"/>
  <c r="K166" i="40"/>
  <c r="I96" i="39"/>
  <c r="K78" i="39"/>
  <c r="K96" i="39" s="1"/>
  <c r="I93" i="39"/>
  <c r="K75" i="39"/>
  <c r="K93" i="39" s="1"/>
  <c r="K46" i="38"/>
  <c r="I117" i="39"/>
  <c r="I19" i="39"/>
  <c r="K102" i="40"/>
  <c r="K80" i="40"/>
  <c r="K154" i="40"/>
  <c r="I173" i="40"/>
  <c r="K173" i="40" s="1"/>
  <c r="I63" i="40"/>
  <c r="K63" i="40" s="1"/>
  <c r="K25" i="40"/>
  <c r="I99" i="40"/>
  <c r="I102" i="40" s="1"/>
  <c r="I64" i="40"/>
  <c r="K44" i="40"/>
  <c r="K45" i="40" s="1"/>
  <c r="L45" i="40" s="1"/>
  <c r="L35" i="38"/>
  <c r="K41" i="38"/>
  <c r="L41" i="38" s="1"/>
  <c r="O37" i="38"/>
  <c r="K25" i="38"/>
  <c r="K178" i="40"/>
  <c r="I118" i="40"/>
  <c r="I85" i="40"/>
  <c r="K83" i="40"/>
  <c r="Q70" i="39"/>
  <c r="I70" i="39"/>
  <c r="F167" i="40"/>
  <c r="F189" i="40"/>
  <c r="F118" i="40"/>
  <c r="F121" i="40" s="1"/>
  <c r="F123" i="40" s="1"/>
  <c r="F85" i="40"/>
  <c r="K107" i="40"/>
  <c r="K115" i="40" s="1"/>
  <c r="K160" i="40"/>
  <c r="I180" i="40"/>
  <c r="K180" i="40" s="1"/>
  <c r="D52" i="40"/>
  <c r="I14" i="40"/>
  <c r="F14" i="40"/>
  <c r="I188" i="40"/>
  <c r="K188" i="40" s="1"/>
  <c r="K145" i="40"/>
  <c r="K99" i="40"/>
  <c r="F57" i="39"/>
  <c r="F118" i="39" s="1"/>
  <c r="K172" i="40"/>
  <c r="I25" i="38"/>
  <c r="I24" i="40"/>
  <c r="F24" i="40"/>
  <c r="D62" i="40"/>
  <c r="F131" i="40"/>
  <c r="I131" i="40"/>
  <c r="F45" i="40"/>
  <c r="F64" i="40"/>
  <c r="K19" i="39"/>
  <c r="L19" i="39" s="1"/>
  <c r="L15" i="39"/>
  <c r="K84" i="40"/>
  <c r="I119" i="40"/>
  <c r="K119" i="40" s="1"/>
  <c r="K48" i="39"/>
  <c r="I57" i="39"/>
  <c r="F113" i="39"/>
  <c r="F64" i="39"/>
  <c r="L14" i="38"/>
  <c r="K18" i="38"/>
  <c r="L18" i="38" s="1"/>
  <c r="I38" i="39"/>
  <c r="I41" i="39" s="1"/>
  <c r="K35" i="39"/>
  <c r="K56" i="39"/>
  <c r="F144" i="40"/>
  <c r="I144" i="40"/>
  <c r="I179" i="40"/>
  <c r="K179" i="40" s="1"/>
  <c r="K159" i="40"/>
  <c r="I115" i="40" l="1"/>
  <c r="K189" i="40"/>
  <c r="K37" i="39"/>
  <c r="O14" i="39"/>
  <c r="F30" i="39"/>
  <c r="F117" i="39"/>
  <c r="F122" i="39" s="1"/>
  <c r="F119" i="39"/>
  <c r="K38" i="39"/>
  <c r="K41" i="39" s="1"/>
  <c r="L41" i="39" s="1"/>
  <c r="K164" i="40"/>
  <c r="L164" i="40" s="1"/>
  <c r="F26" i="40"/>
  <c r="F198" i="40" s="1"/>
  <c r="F62" i="40"/>
  <c r="F65" i="40" s="1"/>
  <c r="L115" i="40"/>
  <c r="I122" i="39"/>
  <c r="F52" i="40"/>
  <c r="F59" i="40" s="1"/>
  <c r="F21" i="40"/>
  <c r="I52" i="40"/>
  <c r="K14" i="40"/>
  <c r="K21" i="40" s="1"/>
  <c r="I21" i="40"/>
  <c r="F87" i="40"/>
  <c r="F199" i="40"/>
  <c r="F211" i="40" s="1"/>
  <c r="I87" i="40"/>
  <c r="I199" i="40"/>
  <c r="K70" i="39"/>
  <c r="I88" i="39"/>
  <c r="I97" i="39" s="1"/>
  <c r="I105" i="39" s="1"/>
  <c r="I79" i="39"/>
  <c r="I82" i="39" s="1"/>
  <c r="K167" i="40"/>
  <c r="L167" i="40" s="1"/>
  <c r="F187" i="40"/>
  <c r="F190" i="40" s="1"/>
  <c r="F146" i="40"/>
  <c r="F200" i="40" s="1"/>
  <c r="I29" i="38"/>
  <c r="I47" i="38"/>
  <c r="K64" i="40"/>
  <c r="O74" i="40"/>
  <c r="L80" i="40"/>
  <c r="K131" i="40"/>
  <c r="I174" i="40"/>
  <c r="I141" i="40"/>
  <c r="K29" i="38"/>
  <c r="L29" i="38" s="1"/>
  <c r="L25" i="38"/>
  <c r="K62" i="39"/>
  <c r="K100" i="39"/>
  <c r="K103" i="39" s="1"/>
  <c r="L103" i="39" s="1"/>
  <c r="I187" i="40"/>
  <c r="I146" i="40"/>
  <c r="K144" i="40"/>
  <c r="I62" i="40"/>
  <c r="I26" i="40"/>
  <c r="I198" i="40" s="1"/>
  <c r="K24" i="40"/>
  <c r="K26" i="40" s="1"/>
  <c r="L26" i="40" s="1"/>
  <c r="K85" i="40"/>
  <c r="F123" i="39"/>
  <c r="F114" i="39"/>
  <c r="I121" i="40"/>
  <c r="I123" i="40" s="1"/>
  <c r="K118" i="40"/>
  <c r="K121" i="40" s="1"/>
  <c r="L121" i="40" s="1"/>
  <c r="K57" i="39"/>
  <c r="O14" i="38"/>
  <c r="F174" i="40"/>
  <c r="F184" i="40" s="1"/>
  <c r="F192" i="40" s="1"/>
  <c r="F141" i="40"/>
  <c r="I205" i="40"/>
  <c r="K205" i="40" s="1"/>
  <c r="I113" i="39"/>
  <c r="I64" i="39"/>
  <c r="L38" i="39" l="1"/>
  <c r="K117" i="39"/>
  <c r="F124" i="39"/>
  <c r="F206" i="40"/>
  <c r="F212" i="40" s="1"/>
  <c r="F148" i="40"/>
  <c r="K187" i="40"/>
  <c r="K190" i="40" s="1"/>
  <c r="L190" i="40" s="1"/>
  <c r="I190" i="40"/>
  <c r="I211" i="40"/>
  <c r="K211" i="40" s="1"/>
  <c r="K199" i="40"/>
  <c r="F67" i="40"/>
  <c r="F216" i="40" s="1"/>
  <c r="F219" i="40" s="1"/>
  <c r="K122" i="39"/>
  <c r="L85" i="40"/>
  <c r="K87" i="40"/>
  <c r="L87" i="40" s="1"/>
  <c r="L57" i="39"/>
  <c r="L117" i="39"/>
  <c r="I28" i="40"/>
  <c r="I204" i="40"/>
  <c r="I210" i="40" s="1"/>
  <c r="L62" i="39"/>
  <c r="K64" i="39"/>
  <c r="L64" i="39" s="1"/>
  <c r="I201" i="40"/>
  <c r="K198" i="40"/>
  <c r="I65" i="40"/>
  <c r="K62" i="40"/>
  <c r="K65" i="40" s="1"/>
  <c r="L65" i="40" s="1"/>
  <c r="I148" i="40"/>
  <c r="K141" i="40"/>
  <c r="I206" i="40"/>
  <c r="K206" i="40" s="1"/>
  <c r="I118" i="39"/>
  <c r="I123" i="39" s="1"/>
  <c r="K28" i="40"/>
  <c r="O14" i="40"/>
  <c r="L21" i="40"/>
  <c r="K123" i="40"/>
  <c r="L123" i="40" s="1"/>
  <c r="K113" i="39"/>
  <c r="K114" i="39" s="1"/>
  <c r="I114" i="39"/>
  <c r="K174" i="40"/>
  <c r="K184" i="40" s="1"/>
  <c r="I184" i="40"/>
  <c r="K88" i="39"/>
  <c r="K97" i="39" s="1"/>
  <c r="K79" i="39"/>
  <c r="O49" i="39" s="1"/>
  <c r="K52" i="40"/>
  <c r="K59" i="40" s="1"/>
  <c r="I59" i="40"/>
  <c r="I67" i="40" s="1"/>
  <c r="I200" i="40"/>
  <c r="K146" i="40"/>
  <c r="L146" i="40" s="1"/>
  <c r="K47" i="38"/>
  <c r="I48" i="38"/>
  <c r="F28" i="40"/>
  <c r="F204" i="40"/>
  <c r="F207" i="40" s="1"/>
  <c r="F201" i="40"/>
  <c r="F210" i="40"/>
  <c r="F213" i="40" l="1"/>
  <c r="I192" i="40"/>
  <c r="I216" i="40"/>
  <c r="K123" i="39"/>
  <c r="L123" i="39" s="1"/>
  <c r="I124" i="39"/>
  <c r="I219" i="40"/>
  <c r="K216" i="40"/>
  <c r="L47" i="38"/>
  <c r="K48" i="38"/>
  <c r="L48" i="38" s="1"/>
  <c r="I212" i="40"/>
  <c r="K212" i="40" s="1"/>
  <c r="K200" i="40"/>
  <c r="K201" i="40" s="1"/>
  <c r="L141" i="40"/>
  <c r="K148" i="40"/>
  <c r="L148" i="40" s="1"/>
  <c r="O131" i="40"/>
  <c r="K105" i="39"/>
  <c r="L105" i="39" s="1"/>
  <c r="L97" i="39"/>
  <c r="K192" i="40"/>
  <c r="L192" i="40" s="1"/>
  <c r="L184" i="40"/>
  <c r="K210" i="40"/>
  <c r="K118" i="39"/>
  <c r="I119" i="39"/>
  <c r="K67" i="40"/>
  <c r="L67" i="40" s="1"/>
  <c r="L59" i="40"/>
  <c r="I207" i="40"/>
  <c r="K204" i="40"/>
  <c r="K207" i="40" s="1"/>
  <c r="L28" i="40"/>
  <c r="K82" i="39"/>
  <c r="L82" i="39" s="1"/>
  <c r="L79" i="39"/>
  <c r="K124" i="39"/>
  <c r="L124" i="39" s="1"/>
  <c r="L122" i="39"/>
  <c r="L216" i="40" l="1"/>
  <c r="K219" i="40"/>
  <c r="L219" i="40" s="1"/>
  <c r="L118" i="39"/>
  <c r="K119" i="39"/>
  <c r="L119" i="39" s="1"/>
  <c r="K213" i="40"/>
  <c r="I213" i="40"/>
  <c r="J5" i="7" l="1"/>
  <c r="B2" i="8" l="1"/>
  <c r="B2" i="9" l="1"/>
  <c r="U15" i="9" l="1"/>
  <c r="U14" i="9"/>
  <c r="U13" i="9"/>
  <c r="U12" i="9"/>
  <c r="U11" i="9"/>
  <c r="R15" i="9"/>
  <c r="R14" i="9"/>
  <c r="R13" i="9"/>
  <c r="R12" i="9"/>
  <c r="R11" i="9"/>
  <c r="E36" i="9"/>
  <c r="E17" i="9"/>
  <c r="U10" i="9" l="1"/>
  <c r="R10" i="9"/>
  <c r="G45" i="9"/>
  <c r="G36" i="9"/>
  <c r="G26" i="9"/>
  <c r="G17" i="9"/>
  <c r="V11" i="9" l="1"/>
  <c r="H40" i="9" s="1"/>
  <c r="V12" i="9"/>
  <c r="H41" i="9" s="1"/>
  <c r="V13" i="9"/>
  <c r="H42" i="9" s="1"/>
  <c r="V14" i="9"/>
  <c r="H43" i="9" s="1"/>
  <c r="V15" i="9"/>
  <c r="H44" i="9" s="1"/>
  <c r="H39" i="9"/>
  <c r="B12" i="8" l="1"/>
  <c r="B13" i="8" s="1"/>
  <c r="B15" i="8" l="1"/>
  <c r="B17" i="8" s="1"/>
  <c r="B19" i="8" s="1"/>
  <c r="B20" i="8" s="1"/>
  <c r="B21" i="8" s="1"/>
  <c r="B22" i="8" s="1"/>
  <c r="G7" i="8"/>
  <c r="G26" i="8"/>
  <c r="L26" i="8" s="1"/>
  <c r="G25" i="8"/>
  <c r="L25" i="8" s="1"/>
  <c r="G21" i="8"/>
  <c r="L21" i="8" s="1"/>
  <c r="G20" i="8"/>
  <c r="L20" i="8" s="1"/>
  <c r="G17" i="8"/>
  <c r="L17" i="8" s="1"/>
  <c r="G15" i="8"/>
  <c r="L15" i="8" s="1"/>
  <c r="G13" i="8"/>
  <c r="L13" i="8" s="1"/>
  <c r="G10" i="8"/>
  <c r="L10" i="8" s="1"/>
  <c r="B24" i="8" l="1"/>
  <c r="B25" i="8" s="1"/>
  <c r="B26" i="8" s="1"/>
  <c r="B27" i="8" s="1"/>
  <c r="B28" i="8" s="1"/>
  <c r="F21" i="7"/>
  <c r="F13" i="7"/>
  <c r="F11" i="7"/>
  <c r="H10" i="9" l="1"/>
  <c r="H12" i="9"/>
  <c r="H14" i="9"/>
  <c r="E16" i="9"/>
  <c r="F11" i="9" s="1"/>
  <c r="G11" i="9" s="1"/>
  <c r="H20" i="9"/>
  <c r="H22" i="9"/>
  <c r="H24" i="9"/>
  <c r="E26" i="9"/>
  <c r="F22" i="9" s="1"/>
  <c r="G22" i="9" s="1"/>
  <c r="B28" i="9"/>
  <c r="B29" i="9" s="1"/>
  <c r="B30" i="9" s="1"/>
  <c r="B31" i="9" s="1"/>
  <c r="B32" i="9" s="1"/>
  <c r="B33" i="9" s="1"/>
  <c r="B34" i="9" s="1"/>
  <c r="B35" i="9" s="1"/>
  <c r="B36" i="9" s="1"/>
  <c r="B38" i="9" s="1"/>
  <c r="B39" i="9" s="1"/>
  <c r="B40" i="9" s="1"/>
  <c r="B41" i="9" s="1"/>
  <c r="B42" i="9" s="1"/>
  <c r="B43" i="9" s="1"/>
  <c r="B44" i="9" s="1"/>
  <c r="B45" i="9" s="1"/>
  <c r="H29" i="9"/>
  <c r="H30" i="9"/>
  <c r="H31" i="9"/>
  <c r="H32" i="9"/>
  <c r="H33" i="9"/>
  <c r="H34" i="9"/>
  <c r="E35" i="9"/>
  <c r="F29" i="9" s="1"/>
  <c r="H21" i="9"/>
  <c r="H13" i="9"/>
  <c r="H15" i="9"/>
  <c r="E45" i="9"/>
  <c r="F39" i="9" s="1"/>
  <c r="G47" i="9"/>
  <c r="F7" i="8"/>
  <c r="N7" i="8"/>
  <c r="E22" i="8"/>
  <c r="F22" i="8"/>
  <c r="E27" i="8"/>
  <c r="F27" i="8"/>
  <c r="G6" i="7"/>
  <c r="B32" i="7"/>
  <c r="B33" i="7" s="1"/>
  <c r="B34" i="7" s="1"/>
  <c r="B35" i="7" s="1"/>
  <c r="B36" i="7" s="1"/>
  <c r="B38" i="7" s="1"/>
  <c r="B39" i="7" s="1"/>
  <c r="B40" i="7" s="1"/>
  <c r="B41" i="7" s="1"/>
  <c r="B42" i="7" s="1"/>
  <c r="B43" i="7" s="1"/>
  <c r="B44" i="7" s="1"/>
  <c r="B45" i="7" s="1"/>
  <c r="B47" i="7" s="1"/>
  <c r="B49" i="7" s="1"/>
  <c r="G39" i="9" l="1"/>
  <c r="F39" i="7" s="1"/>
  <c r="G29" i="9"/>
  <c r="I29" i="9" s="1"/>
  <c r="F28" i="8"/>
  <c r="F30" i="9"/>
  <c r="G30" i="9" s="1"/>
  <c r="F34" i="7" s="1"/>
  <c r="E28" i="8"/>
  <c r="F23" i="9"/>
  <c r="G23" i="9" s="1"/>
  <c r="F21" i="9"/>
  <c r="G21" i="9" s="1"/>
  <c r="F25" i="9"/>
  <c r="G25" i="9" s="1"/>
  <c r="F20" i="9"/>
  <c r="F24" i="9"/>
  <c r="G24" i="9" s="1"/>
  <c r="F17" i="7"/>
  <c r="F32" i="9"/>
  <c r="G32" i="9" s="1"/>
  <c r="I32" i="9" s="1"/>
  <c r="F34" i="9"/>
  <c r="G34" i="9" s="1"/>
  <c r="I34" i="9" s="1"/>
  <c r="F33" i="9"/>
  <c r="G33" i="9" s="1"/>
  <c r="I33" i="9" s="1"/>
  <c r="F31" i="9"/>
  <c r="G31" i="9" s="1"/>
  <c r="I22" i="9"/>
  <c r="F26" i="7"/>
  <c r="F12" i="9"/>
  <c r="G12" i="9" s="1"/>
  <c r="E47" i="9"/>
  <c r="H23" i="9"/>
  <c r="F15" i="9"/>
  <c r="G15" i="9" s="1"/>
  <c r="I15" i="9" s="1"/>
  <c r="H11" i="9"/>
  <c r="I11" i="9" s="1"/>
  <c r="F14" i="9"/>
  <c r="G14" i="9" s="1"/>
  <c r="I14" i="9" s="1"/>
  <c r="F44" i="9"/>
  <c r="G44" i="9" s="1"/>
  <c r="F43" i="9"/>
  <c r="G43" i="9" s="1"/>
  <c r="F42" i="9"/>
  <c r="G42" i="9" s="1"/>
  <c r="F41" i="9"/>
  <c r="G41" i="9" s="1"/>
  <c r="F40" i="9"/>
  <c r="G40" i="9" s="1"/>
  <c r="H25" i="9"/>
  <c r="F13" i="9"/>
  <c r="G13" i="9" s="1"/>
  <c r="I13" i="9" s="1"/>
  <c r="F36" i="9" l="1"/>
  <c r="I39" i="9"/>
  <c r="F33" i="7"/>
  <c r="F45" i="9"/>
  <c r="G20" i="9"/>
  <c r="I20" i="9" s="1"/>
  <c r="F26" i="9"/>
  <c r="G10" i="9"/>
  <c r="I10" i="9" s="1"/>
  <c r="F17" i="9"/>
  <c r="I30" i="9"/>
  <c r="I41" i="9"/>
  <c r="F41" i="7"/>
  <c r="G16" i="9"/>
  <c r="I12" i="9"/>
  <c r="G59" i="9"/>
  <c r="I23" i="9"/>
  <c r="F27" i="7"/>
  <c r="F42" i="7"/>
  <c r="I42" i="9"/>
  <c r="I43" i="9"/>
  <c r="F43" i="7"/>
  <c r="I25" i="9"/>
  <c r="F29" i="7"/>
  <c r="F40" i="7"/>
  <c r="I40" i="9"/>
  <c r="F44" i="7"/>
  <c r="I44" i="9"/>
  <c r="I21" i="9"/>
  <c r="F25" i="7"/>
  <c r="I24" i="9"/>
  <c r="F28" i="7"/>
  <c r="I31" i="9"/>
  <c r="G35" i="9"/>
  <c r="G58" i="9"/>
  <c r="G56" i="9" l="1"/>
  <c r="G57" i="9"/>
  <c r="F24" i="7"/>
  <c r="F30" i="7" s="1"/>
  <c r="F16" i="7"/>
  <c r="F45" i="7"/>
  <c r="I35" i="9"/>
  <c r="I45" i="9"/>
  <c r="I17" i="9"/>
  <c r="I16" i="9"/>
  <c r="I26" i="9"/>
  <c r="F18" i="7"/>
  <c r="F35" i="7"/>
  <c r="F36" i="7" s="1"/>
  <c r="M27" i="8" s="1"/>
  <c r="I36" i="9"/>
  <c r="F19" i="7" l="1"/>
  <c r="F47" i="7" s="1"/>
  <c r="I47" i="9"/>
  <c r="M22" i="8" l="1"/>
  <c r="M28" i="8" s="1"/>
  <c r="N26" i="8"/>
  <c r="G45" i="7" s="1"/>
  <c r="N21" i="8"/>
  <c r="G30" i="7" s="1"/>
  <c r="N15" i="8"/>
  <c r="G13" i="7" s="1"/>
  <c r="N17" i="8"/>
  <c r="G21" i="7" s="1"/>
  <c r="N13" i="8"/>
  <c r="G11" i="7" s="1"/>
  <c r="N25" i="8"/>
  <c r="N20" i="8" l="1"/>
  <c r="G19" i="7" s="1"/>
  <c r="N10" i="8"/>
  <c r="N27" i="8"/>
  <c r="G36" i="7"/>
  <c r="N22" i="8" l="1"/>
  <c r="N28" i="8" s="1"/>
  <c r="G9" i="7"/>
  <c r="G47" i="7" l="1"/>
  <c r="H9" i="7" s="1"/>
  <c r="H21" i="7" l="1"/>
  <c r="I21" i="7" s="1"/>
  <c r="J21" i="7" s="1"/>
  <c r="H11" i="7"/>
  <c r="I11" i="7" s="1"/>
  <c r="J11" i="7" s="1"/>
  <c r="H30" i="7"/>
  <c r="I30" i="7" s="1"/>
  <c r="J26" i="9" s="1"/>
  <c r="H13" i="7"/>
  <c r="I13" i="7" s="1"/>
  <c r="J13" i="7" s="1"/>
  <c r="H19" i="7"/>
  <c r="I19" i="7" s="1"/>
  <c r="J17" i="9" s="1"/>
  <c r="H45" i="7"/>
  <c r="I45" i="7" s="1"/>
  <c r="J45" i="9" s="1"/>
  <c r="H36" i="7"/>
  <c r="I36" i="7" s="1"/>
  <c r="J36" i="9" s="1"/>
  <c r="I9" i="7"/>
  <c r="J9" i="7" s="1"/>
  <c r="K13" i="7" l="1"/>
  <c r="K11" i="7"/>
  <c r="K21" i="7"/>
  <c r="H47" i="7"/>
  <c r="J47" i="9"/>
  <c r="J48" i="9" s="1"/>
  <c r="K11" i="9" s="1"/>
  <c r="I47" i="7"/>
  <c r="K9" i="7" l="1"/>
  <c r="K44" i="9"/>
  <c r="L44" i="9" s="1"/>
  <c r="L25" i="9" s="1"/>
  <c r="K14" i="9"/>
  <c r="K12" i="9"/>
  <c r="K24" i="9"/>
  <c r="K42" i="9"/>
  <c r="L42" i="9" s="1"/>
  <c r="L23" i="9" s="1"/>
  <c r="K32" i="9"/>
  <c r="K41" i="9"/>
  <c r="L41" i="9" s="1"/>
  <c r="M41" i="9" s="1"/>
  <c r="K34" i="9"/>
  <c r="K31" i="9"/>
  <c r="K23" i="9"/>
  <c r="K39" i="9"/>
  <c r="L39" i="9" s="1"/>
  <c r="K30" i="9"/>
  <c r="K43" i="9"/>
  <c r="L43" i="9" s="1"/>
  <c r="M43" i="9" s="1"/>
  <c r="K15" i="9"/>
  <c r="K10" i="9"/>
  <c r="K29" i="9"/>
  <c r="K20" i="9"/>
  <c r="K13" i="9"/>
  <c r="K21" i="9"/>
  <c r="K25" i="9"/>
  <c r="K22" i="9"/>
  <c r="K33" i="9"/>
  <c r="K40" i="9"/>
  <c r="L40" i="9" s="1"/>
  <c r="L30" i="9" s="1"/>
  <c r="J41" i="7" l="1"/>
  <c r="F44" i="56" s="1"/>
  <c r="H44" i="56" s="1"/>
  <c r="I44" i="56" s="1"/>
  <c r="J44" i="56" s="1"/>
  <c r="J44" i="7"/>
  <c r="F47" i="56" s="1"/>
  <c r="H47" i="56" s="1"/>
  <c r="I47" i="56" s="1"/>
  <c r="J47" i="56" s="1"/>
  <c r="K45" i="9"/>
  <c r="M44" i="9"/>
  <c r="J42" i="7"/>
  <c r="F45" i="56" s="1"/>
  <c r="H45" i="56" s="1"/>
  <c r="I45" i="56" s="1"/>
  <c r="J45" i="56" s="1"/>
  <c r="L24" i="9"/>
  <c r="J28" i="7" s="1"/>
  <c r="F31" i="56" s="1"/>
  <c r="H31" i="56" s="1"/>
  <c r="I31" i="56" s="1"/>
  <c r="J31" i="56" s="1"/>
  <c r="M42" i="9"/>
  <c r="K35" i="9"/>
  <c r="M40" i="9"/>
  <c r="J40" i="7"/>
  <c r="F43" i="56" s="1"/>
  <c r="H43" i="56" s="1"/>
  <c r="I43" i="56" s="1"/>
  <c r="J43" i="56" s="1"/>
  <c r="K16" i="9"/>
  <c r="L21" i="9"/>
  <c r="J25" i="7" s="1"/>
  <c r="F28" i="56" s="1"/>
  <c r="H28" i="56" s="1"/>
  <c r="I28" i="56" s="1"/>
  <c r="J28" i="56" s="1"/>
  <c r="L22" i="9"/>
  <c r="M22" i="9" s="1"/>
  <c r="K26" i="9"/>
  <c r="K36" i="9"/>
  <c r="K17" i="9"/>
  <c r="J43" i="7"/>
  <c r="F46" i="56" s="1"/>
  <c r="H46" i="56" s="1"/>
  <c r="I46" i="56" s="1"/>
  <c r="J46" i="56" s="1"/>
  <c r="M23" i="9"/>
  <c r="J27" i="7"/>
  <c r="F30" i="56" s="1"/>
  <c r="H30" i="56" s="1"/>
  <c r="I30" i="56" s="1"/>
  <c r="J30" i="56" s="1"/>
  <c r="M30" i="9"/>
  <c r="L11" i="9"/>
  <c r="J34" i="7"/>
  <c r="F37" i="56" s="1"/>
  <c r="H37" i="56" s="1"/>
  <c r="I37" i="56" s="1"/>
  <c r="J37" i="56" s="1"/>
  <c r="L29" i="9"/>
  <c r="J39" i="7"/>
  <c r="F42" i="56" s="1"/>
  <c r="H42" i="56" s="1"/>
  <c r="M39" i="9"/>
  <c r="L20" i="9"/>
  <c r="M25" i="9"/>
  <c r="J29" i="7"/>
  <c r="F32" i="56" s="1"/>
  <c r="H32" i="56" s="1"/>
  <c r="I32" i="56" s="1"/>
  <c r="J32" i="56" s="1"/>
  <c r="I42" i="56" l="1"/>
  <c r="H48" i="56"/>
  <c r="L35" i="9"/>
  <c r="L16" i="9" s="1"/>
  <c r="M24" i="9"/>
  <c r="M45" i="9"/>
  <c r="N45" i="9" s="1"/>
  <c r="J26" i="7"/>
  <c r="F29" i="56" s="1"/>
  <c r="H29" i="56" s="1"/>
  <c r="I29" i="56" s="1"/>
  <c r="J29" i="56" s="1"/>
  <c r="M21" i="9"/>
  <c r="K47" i="9"/>
  <c r="J33" i="7"/>
  <c r="F36" i="56" s="1"/>
  <c r="H36" i="56" s="1"/>
  <c r="M29" i="9"/>
  <c r="L10" i="9"/>
  <c r="J24" i="7"/>
  <c r="F27" i="56" s="1"/>
  <c r="H27" i="56" s="1"/>
  <c r="M20" i="9"/>
  <c r="M11" i="9"/>
  <c r="J17" i="7"/>
  <c r="F19" i="56" s="1"/>
  <c r="H19" i="56" s="1"/>
  <c r="I19" i="56" s="1"/>
  <c r="J19" i="56" s="1"/>
  <c r="H33" i="56" l="1"/>
  <c r="I27" i="56"/>
  <c r="I36" i="56"/>
  <c r="J42" i="56"/>
  <c r="I48" i="56"/>
  <c r="K45" i="7"/>
  <c r="M26" i="9"/>
  <c r="N26" i="9" s="1"/>
  <c r="M35" i="9"/>
  <c r="M36" i="9" s="1"/>
  <c r="K36" i="7" s="1"/>
  <c r="J35" i="7"/>
  <c r="F38" i="56" s="1"/>
  <c r="H38" i="56" s="1"/>
  <c r="I38" i="56" s="1"/>
  <c r="J38" i="56" s="1"/>
  <c r="M10" i="9"/>
  <c r="J16" i="7"/>
  <c r="F18" i="56" s="1"/>
  <c r="H18" i="56" s="1"/>
  <c r="I18" i="56" s="1"/>
  <c r="J18" i="7"/>
  <c r="F20" i="56" s="1"/>
  <c r="H20" i="56" s="1"/>
  <c r="M16" i="9"/>
  <c r="H39" i="56" l="1"/>
  <c r="T22" i="53"/>
  <c r="J48" i="56"/>
  <c r="H21" i="56"/>
  <c r="H50" i="56" s="1"/>
  <c r="I20" i="56"/>
  <c r="J20" i="56" s="1"/>
  <c r="J27" i="56"/>
  <c r="I33" i="56"/>
  <c r="J18" i="56"/>
  <c r="I39" i="56"/>
  <c r="J36" i="56"/>
  <c r="K30" i="7"/>
  <c r="N36" i="9"/>
  <c r="M17" i="9"/>
  <c r="I21" i="56" l="1"/>
  <c r="T17" i="53"/>
  <c r="J33" i="56"/>
  <c r="T15" i="53"/>
  <c r="I50" i="56"/>
  <c r="J50" i="56" s="1"/>
  <c r="J21" i="56"/>
  <c r="T20" i="53"/>
  <c r="J39" i="56"/>
  <c r="I22" i="55"/>
  <c r="U22" i="53"/>
  <c r="N17" i="9"/>
  <c r="M47" i="9"/>
  <c r="K19" i="7"/>
  <c r="K47" i="7" s="1"/>
  <c r="U20" i="53" l="1"/>
  <c r="I20" i="55"/>
  <c r="L22" i="55"/>
  <c r="N22" i="55" s="1"/>
  <c r="J22" i="55"/>
  <c r="T30" i="53"/>
  <c r="U15" i="53"/>
  <c r="T24" i="53"/>
  <c r="U24" i="53" s="1"/>
  <c r="I15" i="55"/>
  <c r="U17" i="53"/>
  <c r="T32" i="53"/>
  <c r="U32" i="53" s="1"/>
  <c r="I17" i="55"/>
  <c r="N47" i="9"/>
  <c r="N48" i="9" s="1"/>
  <c r="J47" i="7"/>
  <c r="L47" i="7"/>
  <c r="L48" i="7" s="1"/>
  <c r="U30" i="53" l="1"/>
  <c r="T34" i="53"/>
  <c r="U34" i="53" s="1"/>
  <c r="L15" i="55"/>
  <c r="N15" i="55" s="1"/>
  <c r="I30" i="55"/>
  <c r="I24" i="55"/>
  <c r="J15" i="55"/>
  <c r="L17" i="55"/>
  <c r="N17" i="55" s="1"/>
  <c r="I32" i="55"/>
  <c r="J17" i="55"/>
  <c r="J20" i="55"/>
  <c r="L20" i="55"/>
  <c r="N20" i="55" s="1"/>
  <c r="J24" i="55" l="1"/>
  <c r="L24" i="55"/>
  <c r="N24" i="55" s="1"/>
  <c r="L32" i="55"/>
  <c r="N32" i="55" s="1"/>
  <c r="J32" i="55"/>
  <c r="I34" i="55"/>
  <c r="L30" i="55"/>
  <c r="N30" i="55" s="1"/>
  <c r="J30" i="55"/>
  <c r="L34" i="55" l="1"/>
  <c r="N34" i="55" s="1"/>
  <c r="J34" i="55"/>
</calcChain>
</file>

<file path=xl/comments1.xml><?xml version="1.0" encoding="utf-8"?>
<comments xmlns="http://schemas.openxmlformats.org/spreadsheetml/2006/main">
  <authors>
    <author>jphelp</author>
  </authors>
  <commentList>
    <comment ref="F5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9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</commentList>
</comments>
</file>

<file path=xl/sharedStrings.xml><?xml version="1.0" encoding="utf-8"?>
<sst xmlns="http://schemas.openxmlformats.org/spreadsheetml/2006/main" count="1001" uniqueCount="369">
  <si>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</si>
  <si>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</si>
  <si>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</si>
  <si>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</si>
  <si>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</si>
  <si>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</si>
  <si>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</si>
  <si>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</si>
  <si>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</si>
  <si>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Sched 149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</si>
  <si>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</si>
  <si>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</si>
  <si>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</si>
  <si>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</si>
  <si>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</si>
  <si>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</si>
  <si>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</si>
  <si>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</si>
  <si>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</si>
  <si>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</si>
  <si>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Total revenue requirement for low income program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</si>
  <si>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</si>
  <si>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</si>
  <si>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</si>
  <si>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</si>
  <si>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</si>
  <si>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</si>
  <si>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</si>
  <si>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</si>
  <si>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</si>
  <si>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(3)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</si>
  <si>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</si>
  <si>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</si>
  <si>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</si>
  <si>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</si>
  <si>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</si>
  <si>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</si>
  <si>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</si>
  <si>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</si>
  <si>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</si>
  <si>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</si>
  <si>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</si>
  <si>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</si>
  <si>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</si>
  <si>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</si>
  <si>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Margin/Therm</t>
  </si>
  <si>
    <t>Revenue at</t>
  </si>
  <si>
    <t>Average</t>
  </si>
  <si>
    <t>CRM</t>
  </si>
  <si>
    <t>Percent of revenue at Schedule 87T base rates</t>
  </si>
  <si>
    <t>Transportation Schedule 87T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</si>
  <si>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</si>
  <si>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</si>
  <si>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</si>
  <si>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</si>
  <si>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</si>
  <si>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</si>
  <si>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</si>
  <si>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</si>
  <si>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</si>
  <si>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</si>
  <si>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</si>
  <si>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Normalized</t>
  </si>
  <si>
    <t>Calculation of Low Income Gas Rates by Block for Schedules 85, 85T, 87 and 87T</t>
  </si>
  <si>
    <t xml:space="preserve">Total Whole Dollar Increase/(Decrease) </t>
  </si>
  <si>
    <t>TOTAL</t>
  </si>
  <si>
    <t>GAS</t>
  </si>
  <si>
    <t>ELECTRIC</t>
  </si>
  <si>
    <t>Components of Whole Dollar Increase/(Decrease) in Low Income Requirement</t>
  </si>
  <si>
    <t xml:space="preserve">Current State Utility Tax </t>
  </si>
  <si>
    <t>Current Annual Filing Fee</t>
  </si>
  <si>
    <t>Revenue Sensitive Items:</t>
  </si>
  <si>
    <t>(i)</t>
  </si>
  <si>
    <t>(h)</t>
  </si>
  <si>
    <t>(g)</t>
  </si>
  <si>
    <t>(f)</t>
  </si>
  <si>
    <t>(e)</t>
  </si>
  <si>
    <t>(d)</t>
  </si>
  <si>
    <t xml:space="preserve">(c) </t>
  </si>
  <si>
    <t>(b)</t>
  </si>
  <si>
    <t>(a)</t>
  </si>
  <si>
    <t>Notes</t>
  </si>
  <si>
    <t>Gas</t>
  </si>
  <si>
    <t>Electric</t>
  </si>
  <si>
    <t>LINE 
NO.</t>
  </si>
  <si>
    <t xml:space="preserve">REVENUE REQUIREMENTS </t>
  </si>
  <si>
    <t>LOW INCOME PROGRAM</t>
  </si>
  <si>
    <t>PUGET SOUND ENERGY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</si>
  <si>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</si>
  <si>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>Volume</t>
    </r>
    <r>
      <rPr>
        <vertAlign val="superscript"/>
        <sz val="10"/>
        <rFont val="Arial"/>
        <family val="2"/>
      </rPr>
      <t xml:space="preserve"> (2)</t>
    </r>
  </si>
  <si>
    <r>
      <t>(Therms)</t>
    </r>
    <r>
      <rPr>
        <vertAlign val="superscript"/>
        <sz val="10"/>
        <rFont val="Arial"/>
        <family val="2"/>
      </rPr>
      <t xml:space="preserve"> (1)</t>
    </r>
  </si>
  <si>
    <r>
      <t>Current Rates</t>
    </r>
    <r>
      <rPr>
        <vertAlign val="superscript"/>
        <sz val="10"/>
        <rFont val="Arial"/>
        <family val="2"/>
      </rPr>
      <t xml:space="preserve"> (2)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</si>
  <si>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</si>
  <si>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t>Current Year Low Income Cap</t>
  </si>
  <si>
    <t>Public Utility Tax Credits Received from Department of Revenue under RCW 82.16.0497</t>
  </si>
  <si>
    <t xml:space="preserve">Increase due to LIHEAP Credits </t>
  </si>
  <si>
    <t>Calculation of Schedule 129 Rates</t>
  </si>
  <si>
    <r>
      <t xml:space="preserve">Base Rates </t>
    </r>
    <r>
      <rPr>
        <vertAlign val="superscript"/>
        <sz val="10"/>
        <rFont val="Arial"/>
        <family val="2"/>
      </rPr>
      <t>(3)</t>
    </r>
  </si>
  <si>
    <t>Base</t>
  </si>
  <si>
    <t>Sched 140</t>
  </si>
  <si>
    <t>Property Tax</t>
  </si>
  <si>
    <r>
      <t>Revenue</t>
    </r>
    <r>
      <rPr>
        <vertAlign val="superscript"/>
        <sz val="10"/>
        <rFont val="Arial"/>
        <family val="2"/>
      </rPr>
      <t xml:space="preserve"> (2)</t>
    </r>
  </si>
  <si>
    <t>Percent</t>
  </si>
  <si>
    <t>Change</t>
  </si>
  <si>
    <t>A</t>
  </si>
  <si>
    <t>B</t>
  </si>
  <si>
    <t>C</t>
  </si>
  <si>
    <t>D</t>
  </si>
  <si>
    <t>H</t>
  </si>
  <si>
    <t>I</t>
  </si>
  <si>
    <t>J</t>
  </si>
  <si>
    <t>Charges</t>
  </si>
  <si>
    <t>Rates</t>
  </si>
  <si>
    <t>Change in Revenue Requirement</t>
  </si>
  <si>
    <t>EDIT</t>
  </si>
  <si>
    <t>Sch. 87T</t>
  </si>
  <si>
    <t>Sch. 140</t>
  </si>
  <si>
    <t>Sch. 141X</t>
  </si>
  <si>
    <t>Sch. 149</t>
  </si>
  <si>
    <t xml:space="preserve">Billing </t>
  </si>
  <si>
    <t>Current</t>
  </si>
  <si>
    <t>Target</t>
  </si>
  <si>
    <t>Description</t>
  </si>
  <si>
    <t>Units</t>
  </si>
  <si>
    <t>Determinants</t>
  </si>
  <si>
    <t>Revenues</t>
  </si>
  <si>
    <t>Basic Charge</t>
  </si>
  <si>
    <t>Bills</t>
  </si>
  <si>
    <t>Delivery Charge</t>
  </si>
  <si>
    <t>Therms</t>
  </si>
  <si>
    <t>Mantles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</si>
  <si>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</si>
  <si>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</si>
  <si>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</si>
  <si>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</si>
  <si>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</si>
  <si>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</si>
  <si>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</si>
  <si>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</si>
  <si>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</si>
  <si>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</si>
  <si>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</si>
  <si>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</si>
  <si>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</si>
  <si>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</si>
  <si>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</si>
  <si>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</si>
  <si>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</si>
  <si>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</si>
  <si>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All over 500,000 therms</t>
  </si>
  <si>
    <t>Sch. 129</t>
  </si>
  <si>
    <t>Sched 141X</t>
  </si>
  <si>
    <t>Proposed Rates</t>
  </si>
  <si>
    <t>F</t>
  </si>
  <si>
    <t>G</t>
  </si>
  <si>
    <t>Decoupling Residential Bill Impact UE-200298 and UG-200299</t>
  </si>
  <si>
    <t>(See Note A)</t>
  </si>
  <si>
    <t>(A)</t>
  </si>
  <si>
    <t>True-up Estimate in Prior Year Filing</t>
  </si>
  <si>
    <t>Bad Debts Conversion Factor used in 2019 GRC UE-190529, et al</t>
  </si>
  <si>
    <t>Increase in CACAP True-Up</t>
  </si>
  <si>
    <t>Schedule 87T Margin Rates:</t>
  </si>
  <si>
    <t>Estimated 2020 Margin at Current Rates</t>
  </si>
  <si>
    <t>Current and Proposed Rates by Rate Schedule (Schedules 16, 23 &amp; 53)</t>
  </si>
  <si>
    <t xml:space="preserve">Difference </t>
  </si>
  <si>
    <t>Resulting</t>
  </si>
  <si>
    <t>$</t>
  </si>
  <si>
    <t>%</t>
  </si>
  <si>
    <t>Increase</t>
  </si>
  <si>
    <t>Schedule 23</t>
  </si>
  <si>
    <t>TARGET 23/53</t>
  </si>
  <si>
    <t>over (under)</t>
  </si>
  <si>
    <t>Gas Revenue (Schedule 101) (1)</t>
  </si>
  <si>
    <t>Total Revenues</t>
  </si>
  <si>
    <t>Schedule 53</t>
  </si>
  <si>
    <t>Total Delivery Charges</t>
  </si>
  <si>
    <t>Gas Revenue (Schedule 101)</t>
  </si>
  <si>
    <t>Schedule 16</t>
  </si>
  <si>
    <t>TARGET 16</t>
  </si>
  <si>
    <t>Total Delivery Charge</t>
  </si>
  <si>
    <t>Calculated Total Therms</t>
  </si>
  <si>
    <t>Residential Summary</t>
  </si>
  <si>
    <t>Total Residential Gas (Schedule 101) Revenues</t>
  </si>
  <si>
    <t>Total Residential Margin Revenues</t>
  </si>
  <si>
    <t>Total Residential Revenues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</si>
  <si>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</si>
  <si>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</si>
  <si>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</si>
  <si>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</si>
  <si>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Schedule 31 - Transportation</t>
  </si>
  <si>
    <t>Gas Balancing Service Charge</t>
  </si>
  <si>
    <t>Schedule 31 - Total</t>
  </si>
  <si>
    <t>Schedule 41 - Sales</t>
  </si>
  <si>
    <t>TARGET 41/41T</t>
  </si>
  <si>
    <t>Volumetric Charge</t>
  </si>
  <si>
    <t>Total Gas Revenue</t>
  </si>
  <si>
    <t>Schedule 41 - Transportation</t>
  </si>
  <si>
    <t>Schedule 41 - Total</t>
  </si>
  <si>
    <t>Commercial &amp; Industrial Summary</t>
  </si>
  <si>
    <t>Total Gas (Schedule 101) Revenues</t>
  </si>
  <si>
    <t>Schedules 31, 31T, 61</t>
  </si>
  <si>
    <t>Schedule 41, 41T</t>
  </si>
  <si>
    <t>Total Margin Revenues</t>
  </si>
  <si>
    <t>Schedules 31, 31T</t>
  </si>
  <si>
    <t>Total Revenue</t>
  </si>
  <si>
    <t>Current and Proposed Rates by Rate Schedule (Schedules 85, 85T, 86, 86T, 87 &amp; 87T)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</si>
  <si>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</si>
  <si>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</si>
  <si>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</si>
  <si>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</si>
  <si>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</si>
  <si>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</si>
  <si>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</si>
  <si>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</si>
  <si>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</si>
  <si>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</si>
  <si>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</si>
  <si>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</si>
  <si>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</si>
  <si>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</si>
  <si>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</si>
  <si>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</si>
  <si>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</si>
  <si>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</si>
  <si>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Plus Rentals</t>
  </si>
  <si>
    <t>Grand Total</t>
  </si>
  <si>
    <t>Calendar volume for year ending December 31, 2020 from Customer Information System (CIS).</t>
  </si>
  <si>
    <t>Proposed Effective October 1, 2021</t>
  </si>
  <si>
    <t>UG-190530</t>
  </si>
  <si>
    <t>(Eff. May 1, 2021)</t>
  </si>
  <si>
    <t>(Eff. Nov 1, 2020)</t>
  </si>
  <si>
    <t>(5)</t>
  </si>
  <si>
    <t>Schedule 149 Cost Recovery Mechanism (CRM) rates effective November 1, 2020.</t>
  </si>
  <si>
    <t>Schedule 140 Property Tax rates effective May 1, 2021.</t>
  </si>
  <si>
    <t>(4)</t>
  </si>
  <si>
    <t>(6)</t>
  </si>
  <si>
    <t>Weather normalized margin revenue for 12 months ending December 31, 2020, given 2020 volume, priced at current rates effective May 1, 2021.</t>
  </si>
  <si>
    <t>(7)</t>
  </si>
  <si>
    <t>Sched 141Z</t>
  </si>
  <si>
    <r>
      <t>(Therms)</t>
    </r>
    <r>
      <rPr>
        <vertAlign val="superscript"/>
        <sz val="10"/>
        <rFont val="Arial"/>
        <family val="2"/>
      </rPr>
      <t xml:space="preserve"> (7)</t>
    </r>
  </si>
  <si>
    <r>
      <t>Current Rates</t>
    </r>
    <r>
      <rPr>
        <vertAlign val="superscript"/>
        <sz val="10"/>
        <rFont val="Arial"/>
        <family val="2"/>
      </rPr>
      <t xml:space="preserve"> (8)</t>
    </r>
  </si>
  <si>
    <t>(8)</t>
  </si>
  <si>
    <t>UP EDIT</t>
  </si>
  <si>
    <t>(Eff. Oct 1, 2020)</t>
  </si>
  <si>
    <t>Schedule 87T rates from tariff effective May 1, 2021 including Delivery, Property Tax (Sch. 140), EDIT (Sch. 141X), UP EDIT (Sch. 141Z), and CRM (Sch. 149).</t>
  </si>
  <si>
    <t>Sch. 141Z</t>
  </si>
  <si>
    <t>Schedule 141X Protected-Plus Excess Deferred Income Tax (EDIT) Reversal rates effective October 1, 2020.</t>
  </si>
  <si>
    <t>Schedule 141Z Unprotected Excess Deferred Income Tax (UP EDIT) Reversal rates effective October 1, 2020.</t>
  </si>
  <si>
    <t>Weather normalized volume for year ending December 31, 2020 from 2020 Commission Basis Report (CBR)</t>
  </si>
  <si>
    <t>Weather normalized volume for the 12 months ended December 2018 from 2019 General Rate Case (2019 GRC) Filing (UG-190530) compliance filing.</t>
  </si>
  <si>
    <t>Margin for the 12 months ended December 2018 from 2019 General Rate Case (2019 GRC) Filing (UG-190530) compliance filing.</t>
  </si>
  <si>
    <t>OCTOBER 2021 THROUGH SEPTEMBER 2022</t>
  </si>
  <si>
    <t>Prior Low Income Cap UE-200770 &amp; UG-200771</t>
  </si>
  <si>
    <t>Increase pursuant to PCORC 2020 Final Order 05 UE-200980, Paragraph 11</t>
  </si>
  <si>
    <t>Reallocation of CAPS from 80/20 to 90/10</t>
  </si>
  <si>
    <t>Under / (Over) Collection through September 2021 (Excludes Revenue Sensitive Items)</t>
  </si>
  <si>
    <t>Amount to be recovered October 2021 through September 2022</t>
  </si>
  <si>
    <t>Conversion Factor</t>
  </si>
  <si>
    <t>Low income revenue requirement to be recovered in rates</t>
  </si>
  <si>
    <t>Low Income revenue requirement set in rates in October 2020</t>
  </si>
  <si>
    <t xml:space="preserve">(A) Twice the residential base rates increase under UE-200980 - Order No. 05 is used as it is higher than twice the residential base rates increase </t>
  </si>
  <si>
    <t>Effects of 2020 PCORC and Decoupling for including full residential class increase and allocation change</t>
  </si>
  <si>
    <t>PY Schedule 95 Microsoft Transition Volumetric True-up</t>
  </si>
  <si>
    <t>Decrease due to moving from a combined under-collection of $0.7M in the prior rate period to a combined under-collection of $0.2M in the current rate period</t>
  </si>
  <si>
    <t>2019 Gas General Rate Case Filing</t>
  </si>
  <si>
    <t>Test Year Ended December 31, 2018</t>
  </si>
  <si>
    <t>2021 Gas Schedule 129 Low Income Program Filing</t>
  </si>
  <si>
    <t>Rate Change Impacts by Rate Schedule</t>
  </si>
  <si>
    <t>Proposed Rates Effective October 1, 2021</t>
  </si>
  <si>
    <t>Forecasted</t>
  </si>
  <si>
    <t>12ME Sept. 2022</t>
  </si>
  <si>
    <t>Margin Rate</t>
  </si>
  <si>
    <t>Oct. 2021 -</t>
  </si>
  <si>
    <t>Sched 101</t>
  </si>
  <si>
    <t>Sched 106</t>
  </si>
  <si>
    <t>Sched 120</t>
  </si>
  <si>
    <t>Sched 129</t>
  </si>
  <si>
    <t>Sched 141Y</t>
  </si>
  <si>
    <t>Sched 142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</si>
  <si>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</si>
  <si>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</si>
  <si>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</si>
  <si>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</si>
  <si>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Sept. 2022</t>
  </si>
  <si>
    <t>Margin Revenue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</si>
  <si>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</si>
  <si>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E=D/C</t>
  </si>
  <si>
    <t xml:space="preserve">F </t>
  </si>
  <si>
    <t xml:space="preserve">G=E*F </t>
  </si>
  <si>
    <t>K</t>
  </si>
  <si>
    <t>L</t>
  </si>
  <si>
    <t>M</t>
  </si>
  <si>
    <t>N</t>
  </si>
  <si>
    <t>O</t>
  </si>
  <si>
    <t>P</t>
  </si>
  <si>
    <t>Q</t>
  </si>
  <si>
    <t>R = sum(G:Q)</t>
  </si>
  <si>
    <t xml:space="preserve">S </t>
  </si>
  <si>
    <t>T= S/R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</si>
  <si>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</si>
  <si>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</si>
  <si>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</si>
  <si>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</si>
  <si>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</si>
  <si>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</si>
  <si>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</si>
  <si>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</si>
  <si>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</si>
  <si>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</si>
  <si>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</si>
  <si>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</si>
  <si>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</si>
  <si>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</si>
  <si>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Contracts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</si>
  <si>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</si>
  <si>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</si>
  <si>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</si>
  <si>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</si>
  <si>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</si>
  <si>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</si>
  <si>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</si>
  <si>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December 2018, at approved rates from UG-190530 GRC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</si>
  <si>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2021.</t>
    </r>
  </si>
  <si>
    <t>Typical Residential Bill Impacts</t>
  </si>
  <si>
    <t>Current Rates</t>
  </si>
  <si>
    <t>Schedule 129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</si>
  <si>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</si>
  <si>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Volume (therms)</t>
  </si>
  <si>
    <t>Customer charge ($/month)</t>
  </si>
  <si>
    <t>Basic charge</t>
  </si>
  <si>
    <t>ERF adjusting charge (Schedule 141)</t>
  </si>
  <si>
    <t>Volumetric charges ($/therm)</t>
  </si>
  <si>
    <t>Delivery charge (Schedule 23)</t>
  </si>
  <si>
    <t>Low income charge (Schedule 129)</t>
  </si>
  <si>
    <t>Property tax charge (Schedule 140)</t>
  </si>
  <si>
    <t>EDIT adjusting charge (Schedule 141X)</t>
  </si>
  <si>
    <t>Tax Reform Credit (Schedule 141Y)</t>
  </si>
  <si>
    <t>EDIT adjusting charge (Schedule 141Z)</t>
  </si>
  <si>
    <t>Decoupling charge (Schedule 142)</t>
  </si>
  <si>
    <t>CRM Charge (Schedule 149)</t>
  </si>
  <si>
    <t>Conservation charge (Schedule 120)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</si>
  <si>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</si>
  <si>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</si>
  <si>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</si>
  <si>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</si>
  <si>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</si>
  <si>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</si>
  <si>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</si>
  <si>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2021</t>
    </r>
  </si>
  <si>
    <t>Average Rate Per Therm Impacts by Rate Schedule</t>
  </si>
  <si>
    <t>Volume (Therms)</t>
  </si>
  <si>
    <t>Average Rate</t>
  </si>
  <si>
    <t>Oct. 2021 - Sept. 2022</t>
  </si>
  <si>
    <t>Per Therm</t>
  </si>
  <si>
    <t>% Change</t>
  </si>
  <si>
    <t>check</t>
  </si>
  <si>
    <t>E = D/C</t>
  </si>
  <si>
    <t>H = G/F</t>
  </si>
  <si>
    <t>I = (G-D)/D</t>
  </si>
  <si>
    <t>Gas Schedule 129</t>
  </si>
  <si>
    <t>Low Income Program</t>
  </si>
  <si>
    <t xml:space="preserve">Rate </t>
  </si>
  <si>
    <r>
      <t xml:space="preserve">Rates </t>
    </r>
    <r>
      <rPr>
        <vertAlign val="superscript"/>
        <sz val="10"/>
        <rFont val="Arial"/>
        <family val="2"/>
      </rPr>
      <t>(3)</t>
    </r>
  </si>
  <si>
    <r>
      <t xml:space="preserve">Rates </t>
    </r>
    <r>
      <rPr>
        <vertAlign val="superscript"/>
        <sz val="10"/>
        <rFont val="Arial"/>
        <family val="2"/>
      </rPr>
      <t>(4)</t>
    </r>
  </si>
  <si>
    <r>
      <t xml:space="preserve">Rates </t>
    </r>
    <r>
      <rPr>
        <vertAlign val="superscript"/>
        <sz val="10"/>
        <rFont val="Arial"/>
        <family val="2"/>
      </rPr>
      <t>(5)</t>
    </r>
  </si>
  <si>
    <r>
      <t>Rates</t>
    </r>
    <r>
      <rPr>
        <vertAlign val="superscript"/>
        <sz val="10"/>
        <rFont val="Arial"/>
        <family val="2"/>
      </rPr>
      <t xml:space="preserve"> (6)</t>
    </r>
  </si>
  <si>
    <t>UG-190530
(Eff. Oct 1, 2020)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</si>
  <si>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</si>
  <si>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</rPr>
      <t>Rates effective May 1,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</si>
</sst>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0.0000000"/>
    <numFmt numFmtId="171" formatCode="_(&quot;$&quot;* #,##0.0000_);_(&quot;$&quot;* \(#,##0.0000\);_(&quot;$&quot;* &quot;-&quot;??_);_(@_)"/>
    <numFmt numFmtId="172" formatCode="0.0000%"/>
    <numFmt numFmtId="173" formatCode="#,##0.000000_);\(#,##0.000000\)"/>
    <numFmt numFmtId="174" formatCode="_(* #,##0.0000000_);_(* \(#,##0.0000000\);_(* &quot;-&quot;??_);_(@_)"/>
    <numFmt numFmtId="175" formatCode="&quot;$&quot;#,##0\ ;\(&quot;$&quot;#,##0\)"/>
    <numFmt numFmtId="176" formatCode="0.000%"/>
    <numFmt numFmtId="177" formatCode="&quot;$&quot;#,##0.00000"/>
    <numFmt numFmtId="178" formatCode="&quot;$&quot;#,##0.00\ ;\(&quot;$&quot;#,##0.00\)"/>
    <numFmt numFmtId="179" formatCode="&quot;$&quot;#,##0.00000\ ;\(&quot;$&quot;#,##0.00000\)"/>
    <numFmt numFmtId="180" formatCode="&quot;$&quot;#,##0.0000\ ;\(&quot;$&quot;#,##0.0000\)"/>
    <numFmt numFmtId="181" formatCode="#,##0.00000"/>
    <numFmt numFmtId="182" formatCode="#,##0.0"/>
    <numFmt numFmtId="183" formatCode="&quot;$&quot;#,##0"/>
    <numFmt numFmtId="184" formatCode="&quot;$&quot;#,##0.000\ ;\(&quot;$&quot;#,##0.000\)"/>
    <numFmt numFmtId="185" formatCode="_(&quot;$&quot;* #,##0.00_);_(&quot;$&quot;* \(#,##0.00\);_(&quot;$&quot;* &quot;-&quot;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4"/>
      <name val="Arial"/>
      <family val="2"/>
    </font>
    <font>
      <sz val="10"/>
      <color rgb="FF00808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theme="1"/>
      <name val="Calibri"/>
      <family val="2"/>
    </font>
    <font>
      <sz val="11"/>
      <color indexed="2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52">
    <xf numFmtId="0" fontId="0" fillId="0" borderId="0" xfId="0"/>
    <xf numFmtId="42" fontId="1" fillId="0" borderId="0" xfId="0" applyNumberFormat="1" applyFont="1" applyBorder="1"/>
    <xf numFmtId="10" fontId="5" fillId="0" borderId="10" xfId="0" applyNumberFormat="1" applyFont="1" applyBorder="1"/>
    <xf numFmtId="164" fontId="5" fillId="0" borderId="11" xfId="0" applyNumberFormat="1" applyFont="1" applyBorder="1"/>
    <xf numFmtId="0" fontId="1" fillId="0" borderId="2" xfId="0" applyFont="1" applyBorder="1"/>
    <xf numFmtId="168" fontId="8" fillId="0" borderId="0" xfId="0" applyNumberFormat="1" applyFont="1"/>
    <xf numFmtId="3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/>
    <xf numFmtId="3" fontId="3" fillId="0" borderId="0" xfId="0" applyNumberFormat="1" applyFont="1" applyFill="1"/>
    <xf numFmtId="164" fontId="3" fillId="0" borderId="0" xfId="0" applyNumberFormat="1" applyFont="1"/>
    <xf numFmtId="166" fontId="1" fillId="0" borderId="0" xfId="0" applyNumberFormat="1" applyFont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71" fontId="1" fillId="0" borderId="0" xfId="0" applyNumberFormat="1" applyFont="1" applyBorder="1"/>
    <xf numFmtId="164" fontId="1" fillId="0" borderId="0" xfId="0" applyNumberFormat="1" applyFont="1" applyFill="1" applyBorder="1"/>
    <xf numFmtId="42" fontId="1" fillId="0" borderId="0" xfId="0" applyNumberFormat="1" applyFont="1" applyFill="1" applyBorder="1"/>
    <xf numFmtId="42" fontId="3" fillId="0" borderId="0" xfId="0" applyNumberFormat="1" applyFont="1" applyFill="1" applyBorder="1"/>
    <xf numFmtId="166" fontId="1" fillId="0" borderId="0" xfId="0" applyNumberFormat="1" applyFont="1" applyBorder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41" fontId="1" fillId="0" borderId="0" xfId="0" applyNumberFormat="1" applyFont="1" applyBorder="1"/>
    <xf numFmtId="3" fontId="1" fillId="0" borderId="0" xfId="0" applyNumberFormat="1" applyFont="1" applyBorder="1"/>
    <xf numFmtId="168" fontId="1" fillId="0" borderId="0" xfId="0" applyNumberFormat="1" applyFont="1"/>
    <xf numFmtId="42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164" fontId="4" fillId="0" borderId="0" xfId="0" applyNumberFormat="1" applyFont="1"/>
    <xf numFmtId="164" fontId="4" fillId="0" borderId="5" xfId="0" applyNumberFormat="1" applyFont="1" applyFill="1" applyBorder="1"/>
    <xf numFmtId="3" fontId="4" fillId="0" borderId="5" xfId="0" applyNumberFormat="1" applyFont="1" applyFill="1" applyBorder="1"/>
    <xf numFmtId="42" fontId="1" fillId="0" borderId="2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42" fontId="1" fillId="0" borderId="0" xfId="0" applyNumberFormat="1" applyFont="1"/>
    <xf numFmtId="0" fontId="1" fillId="0" borderId="0" xfId="0" applyFont="1" applyAlignment="1">
      <alignment horizontal="left" indent="1"/>
    </xf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0" fontId="1" fillId="0" borderId="14" xfId="0" applyFont="1" applyFill="1" applyBorder="1" applyAlignment="1">
      <alignment horizontal="center"/>
    </xf>
    <xf numFmtId="42" fontId="5" fillId="0" borderId="6" xfId="0" applyNumberFormat="1" applyFont="1" applyFill="1" applyBorder="1"/>
    <xf numFmtId="164" fontId="1" fillId="0" borderId="1" xfId="0" applyNumberFormat="1" applyFont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164" fontId="1" fillId="0" borderId="5" xfId="0" applyNumberFormat="1" applyFont="1" applyFill="1" applyBorder="1"/>
    <xf numFmtId="164" fontId="1" fillId="0" borderId="5" xfId="0" applyNumberFormat="1" applyFont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/>
    <xf numFmtId="169" fontId="1" fillId="0" borderId="0" xfId="0" applyNumberFormat="1" applyFont="1"/>
    <xf numFmtId="10" fontId="1" fillId="0" borderId="0" xfId="0" applyNumberFormat="1" applyFont="1"/>
    <xf numFmtId="3" fontId="13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>
      <alignment horizontal="center" vertical="top"/>
    </xf>
    <xf numFmtId="10" fontId="1" fillId="0" borderId="1" xfId="0" applyNumberFormat="1" applyFont="1" applyFill="1" applyBorder="1" applyAlignment="1">
      <alignment horizontal="right"/>
    </xf>
    <xf numFmtId="0" fontId="1" fillId="0" borderId="5" xfId="0" applyFont="1" applyBorder="1"/>
    <xf numFmtId="10" fontId="9" fillId="0" borderId="0" xfId="0" applyNumberFormat="1" applyFont="1" applyFill="1"/>
    <xf numFmtId="10" fontId="9" fillId="0" borderId="2" xfId="0" applyNumberFormat="1" applyFont="1" applyFill="1" applyBorder="1"/>
    <xf numFmtId="168" fontId="1" fillId="0" borderId="0" xfId="0" applyNumberFormat="1" applyFont="1" applyBorder="1"/>
    <xf numFmtId="164" fontId="4" fillId="0" borderId="0" xfId="0" applyNumberFormat="1" applyFont="1" applyBorder="1"/>
    <xf numFmtId="0" fontId="9" fillId="0" borderId="0" xfId="0" applyFont="1" applyAlignment="1"/>
    <xf numFmtId="167" fontId="1" fillId="0" borderId="0" xfId="0" applyNumberFormat="1" applyFont="1"/>
    <xf numFmtId="0" fontId="1" fillId="0" borderId="0" xfId="0" applyFont="1" applyAlignment="1">
      <alignment horizontal="centerContinuous"/>
    </xf>
    <xf numFmtId="3" fontId="1" fillId="0" borderId="0" xfId="0" applyNumberFormat="1" applyFont="1"/>
    <xf numFmtId="3" fontId="1" fillId="0" borderId="0" xfId="0" applyNumberFormat="1" applyFont="1" applyFill="1"/>
    <xf numFmtId="164" fontId="9" fillId="0" borderId="0" xfId="0" applyNumberFormat="1" applyFont="1"/>
    <xf numFmtId="164" fontId="8" fillId="0" borderId="0" xfId="0" applyNumberFormat="1" applyFont="1"/>
    <xf numFmtId="8" fontId="1" fillId="0" borderId="0" xfId="0" applyNumberFormat="1" applyFont="1"/>
    <xf numFmtId="3" fontId="1" fillId="0" borderId="2" xfId="0" applyNumberFormat="1" applyFont="1" applyBorder="1"/>
    <xf numFmtId="0" fontId="1" fillId="0" borderId="0" xfId="0" applyFont="1" applyBorder="1"/>
    <xf numFmtId="3" fontId="1" fillId="0" borderId="1" xfId="0" applyNumberFormat="1" applyFont="1" applyBorder="1"/>
    <xf numFmtId="42" fontId="1" fillId="0" borderId="1" xfId="0" applyNumberFormat="1" applyFont="1" applyBorder="1"/>
    <xf numFmtId="164" fontId="1" fillId="0" borderId="0" xfId="0" applyNumberFormat="1" applyFont="1" applyBorder="1"/>
    <xf numFmtId="0" fontId="1" fillId="0" borderId="0" xfId="0" quotePrefix="1" applyFont="1" applyAlignment="1">
      <alignment vertical="top"/>
    </xf>
    <xf numFmtId="0" fontId="5" fillId="0" borderId="0" xfId="0" applyFont="1"/>
    <xf numFmtId="41" fontId="1" fillId="0" borderId="0" xfId="0" quotePrefix="1" applyNumberFormat="1" applyFont="1" applyAlignment="1">
      <alignment horizontal="right"/>
    </xf>
    <xf numFmtId="3" fontId="1" fillId="0" borderId="0" xfId="0" applyNumberFormat="1" applyFont="1" applyFill="1" applyBorder="1"/>
    <xf numFmtId="165" fontId="9" fillId="0" borderId="0" xfId="0" applyNumberFormat="1" applyFont="1"/>
    <xf numFmtId="168" fontId="9" fillId="0" borderId="0" xfId="0" applyNumberFormat="1" applyFont="1"/>
    <xf numFmtId="166" fontId="9" fillId="0" borderId="0" xfId="0" applyNumberFormat="1" applyFont="1"/>
    <xf numFmtId="164" fontId="9" fillId="0" borderId="0" xfId="0" applyNumberFormat="1" applyFont="1" applyBorder="1"/>
    <xf numFmtId="169" fontId="9" fillId="0" borderId="0" xfId="0" applyNumberFormat="1" applyFont="1"/>
    <xf numFmtId="165" fontId="9" fillId="0" borderId="2" xfId="0" applyNumberFormat="1" applyFont="1" applyBorder="1"/>
    <xf numFmtId="164" fontId="9" fillId="0" borderId="2" xfId="0" applyNumberFormat="1" applyFont="1" applyBorder="1"/>
    <xf numFmtId="168" fontId="9" fillId="0" borderId="2" xfId="0" applyNumberFormat="1" applyFont="1" applyFill="1" applyBorder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44" fontId="1" fillId="0" borderId="0" xfId="0" applyNumberFormat="1" applyFont="1" applyFill="1"/>
    <xf numFmtId="164" fontId="1" fillId="0" borderId="0" xfId="0" applyNumberFormat="1" applyFont="1"/>
    <xf numFmtId="44" fontId="1" fillId="0" borderId="0" xfId="0" applyNumberFormat="1" applyFont="1"/>
    <xf numFmtId="3" fontId="15" fillId="0" borderId="0" xfId="0" applyNumberFormat="1" applyFont="1"/>
    <xf numFmtId="42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/>
    <xf numFmtId="165" fontId="9" fillId="0" borderId="0" xfId="0" applyNumberFormat="1" applyFont="1" applyFill="1"/>
    <xf numFmtId="164" fontId="8" fillId="0" borderId="0" xfId="0" applyNumberFormat="1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/>
    </xf>
    <xf numFmtId="164" fontId="15" fillId="0" borderId="0" xfId="0" applyNumberFormat="1" applyFont="1" applyFill="1"/>
    <xf numFmtId="3" fontId="8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9" fillId="0" borderId="1" xfId="0" applyNumberFormat="1" applyFont="1" applyFill="1" applyBorder="1"/>
    <xf numFmtId="3" fontId="15" fillId="0" borderId="1" xfId="0" applyNumberFormat="1" applyFont="1" applyFill="1" applyBorder="1"/>
    <xf numFmtId="3" fontId="9" fillId="0" borderId="0" xfId="0" applyNumberFormat="1" applyFont="1" applyFill="1"/>
    <xf numFmtId="3" fontId="9" fillId="0" borderId="5" xfId="0" applyNumberFormat="1" applyFont="1" applyFill="1" applyBorder="1"/>
    <xf numFmtId="3" fontId="9" fillId="0" borderId="0" xfId="0" applyNumberFormat="1" applyFont="1"/>
    <xf numFmtId="168" fontId="7" fillId="0" borderId="0" xfId="0" applyNumberFormat="1" applyFont="1" applyFill="1"/>
    <xf numFmtId="168" fontId="15" fillId="0" borderId="0" xfId="0" applyNumberFormat="1" applyFont="1" applyFill="1"/>
    <xf numFmtId="0" fontId="9" fillId="0" borderId="0" xfId="0" applyFont="1" applyFill="1" applyAlignment="1"/>
    <xf numFmtId="0" fontId="1" fillId="0" borderId="0" xfId="0" applyFont="1" applyFill="1" applyAlignment="1">
      <alignment horizontal="centerContinuous"/>
    </xf>
    <xf numFmtId="168" fontId="7" fillId="0" borderId="0" xfId="0" applyNumberFormat="1" applyFont="1" applyFill="1" applyBorder="1"/>
    <xf numFmtId="10" fontId="9" fillId="0" borderId="5" xfId="0" applyNumberFormat="1" applyFont="1" applyFill="1" applyBorder="1"/>
    <xf numFmtId="9" fontId="9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166" fontId="2" fillId="0" borderId="0" xfId="0" applyNumberFormat="1" applyFont="1" applyFill="1" applyBorder="1"/>
    <xf numFmtId="168" fontId="2" fillId="0" borderId="0" xfId="0" applyNumberFormat="1" applyFont="1" applyFill="1" applyBorder="1"/>
    <xf numFmtId="41" fontId="2" fillId="0" borderId="0" xfId="0" applyNumberFormat="1" applyFont="1" applyFill="1" applyBorder="1"/>
    <xf numFmtId="0" fontId="2" fillId="0" borderId="0" xfId="0" applyFont="1" applyFill="1" applyAlignment="1"/>
    <xf numFmtId="42" fontId="17" fillId="0" borderId="0" xfId="0" applyNumberFormat="1" applyFont="1" applyFill="1" applyBorder="1"/>
    <xf numFmtId="42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3" fontId="1" fillId="0" borderId="0" xfId="0" applyNumberFormat="1" applyFont="1" applyBorder="1" applyAlignment="1">
      <alignment horizontal="centerContinuous"/>
    </xf>
    <xf numFmtId="178" fontId="1" fillId="0" borderId="0" xfId="0" applyNumberFormat="1" applyFont="1" applyAlignment="1">
      <alignment horizontal="centerContinuous"/>
    </xf>
    <xf numFmtId="178" fontId="1" fillId="0" borderId="0" xfId="0" applyNumberFormat="1" applyFont="1" applyBorder="1" applyAlignment="1">
      <alignment horizontal="centerContinuous"/>
    </xf>
    <xf numFmtId="175" fontId="1" fillId="0" borderId="0" xfId="0" applyNumberFormat="1" applyFont="1" applyAlignment="1">
      <alignment horizontal="centerContinuous"/>
    </xf>
    <xf numFmtId="177" fontId="1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175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178" fontId="1" fillId="0" borderId="0" xfId="0" applyNumberFormat="1" applyFont="1"/>
    <xf numFmtId="178" fontId="1" fillId="0" borderId="0" xfId="0" applyNumberFormat="1" applyFont="1" applyBorder="1"/>
    <xf numFmtId="175" fontId="1" fillId="0" borderId="0" xfId="0" applyNumberFormat="1" applyFont="1" applyAlignment="1">
      <alignment horizontal="right"/>
    </xf>
    <xf numFmtId="175" fontId="1" fillId="0" borderId="0" xfId="0" applyNumberFormat="1" applyFont="1" applyBorder="1" applyAlignment="1">
      <alignment horizontal="right"/>
    </xf>
    <xf numFmtId="177" fontId="1" fillId="0" borderId="0" xfId="0" applyNumberFormat="1" applyFont="1"/>
    <xf numFmtId="0" fontId="1" fillId="0" borderId="3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Continuous"/>
    </xf>
    <xf numFmtId="178" fontId="1" fillId="0" borderId="5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Continuous"/>
    </xf>
    <xf numFmtId="178" fontId="1" fillId="0" borderId="1" xfId="0" applyNumberFormat="1" applyFont="1" applyBorder="1" applyAlignment="1">
      <alignment horizontal="left"/>
    </xf>
    <xf numFmtId="178" fontId="1" fillId="0" borderId="34" xfId="0" applyNumberFormat="1" applyFont="1" applyBorder="1" applyAlignment="1">
      <alignment horizontal="centerContinuous"/>
    </xf>
    <xf numFmtId="178" fontId="1" fillId="0" borderId="0" xfId="0" applyNumberFormat="1" applyFont="1" applyBorder="1" applyAlignment="1">
      <alignment horizontal="left"/>
    </xf>
    <xf numFmtId="177" fontId="1" fillId="0" borderId="0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6" fontId="1" fillId="0" borderId="36" xfId="0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0" fontId="2" fillId="0" borderId="37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Fill="1" applyBorder="1"/>
    <xf numFmtId="0" fontId="1" fillId="0" borderId="1" xfId="0" applyFont="1" applyBorder="1"/>
    <xf numFmtId="175" fontId="1" fillId="0" borderId="1" xfId="0" applyNumberFormat="1" applyFont="1" applyBorder="1"/>
    <xf numFmtId="165" fontId="1" fillId="0" borderId="38" xfId="0" applyNumberFormat="1" applyFont="1" applyBorder="1" applyAlignment="1">
      <alignment horizontal="right"/>
    </xf>
    <xf numFmtId="0" fontId="1" fillId="0" borderId="39" xfId="0" applyFont="1" applyBorder="1"/>
    <xf numFmtId="3" fontId="1" fillId="0" borderId="0" xfId="0" applyNumberFormat="1" applyFont="1" applyBorder="1" applyProtection="1">
      <protection locked="0"/>
    </xf>
    <xf numFmtId="175" fontId="1" fillId="0" borderId="0" xfId="0" applyNumberFormat="1" applyFont="1" applyBorder="1"/>
    <xf numFmtId="165" fontId="1" fillId="0" borderId="40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39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3" fontId="15" fillId="0" borderId="0" xfId="0" applyNumberFormat="1" applyFont="1" applyFill="1" applyBorder="1"/>
    <xf numFmtId="178" fontId="15" fillId="0" borderId="0" xfId="0" applyNumberFormat="1" applyFont="1" applyFill="1" applyBorder="1"/>
    <xf numFmtId="165" fontId="1" fillId="0" borderId="40" xfId="0" applyNumberFormat="1" applyFont="1" applyBorder="1"/>
    <xf numFmtId="175" fontId="8" fillId="0" borderId="29" xfId="0" applyNumberFormat="1" applyFont="1" applyFill="1" applyBorder="1" applyAlignment="1">
      <alignment horizontal="center"/>
    </xf>
    <xf numFmtId="176" fontId="1" fillId="0" borderId="0" xfId="0" applyNumberFormat="1" applyFont="1" applyBorder="1"/>
    <xf numFmtId="3" fontId="15" fillId="0" borderId="0" xfId="0" applyNumberFormat="1" applyFont="1" applyBorder="1"/>
    <xf numFmtId="179" fontId="15" fillId="0" borderId="0" xfId="0" applyNumberFormat="1" applyFont="1" applyFill="1" applyBorder="1"/>
    <xf numFmtId="179" fontId="1" fillId="0" borderId="0" xfId="0" applyNumberFormat="1" applyFont="1" applyFill="1" applyBorder="1"/>
    <xf numFmtId="175" fontId="1" fillId="0" borderId="29" xfId="0" applyNumberFormat="1" applyFont="1" applyBorder="1" applyAlignment="1">
      <alignment horizontal="center"/>
    </xf>
    <xf numFmtId="0" fontId="2" fillId="0" borderId="39" xfId="0" applyFont="1" applyBorder="1"/>
    <xf numFmtId="0" fontId="1" fillId="0" borderId="0" xfId="0" applyFont="1" applyBorder="1" applyProtection="1">
      <protection locked="0"/>
    </xf>
    <xf numFmtId="0" fontId="15" fillId="0" borderId="0" xfId="0" applyFont="1" applyFill="1" applyBorder="1"/>
    <xf numFmtId="165" fontId="1" fillId="0" borderId="38" xfId="0" applyNumberFormat="1" applyFont="1" applyBorder="1"/>
    <xf numFmtId="175" fontId="1" fillId="0" borderId="10" xfId="0" applyNumberFormat="1" applyFont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175" fontId="2" fillId="0" borderId="0" xfId="0" applyNumberFormat="1" applyFont="1" applyBorder="1"/>
    <xf numFmtId="9" fontId="1" fillId="0" borderId="0" xfId="0" applyNumberFormat="1" applyFont="1" applyBorder="1" applyAlignment="1">
      <alignment horizontal="center"/>
    </xf>
    <xf numFmtId="177" fontId="1" fillId="0" borderId="0" xfId="0" applyNumberFormat="1" applyFont="1" applyBorder="1"/>
    <xf numFmtId="179" fontId="9" fillId="0" borderId="0" xfId="0" applyNumberFormat="1" applyFont="1" applyFill="1" applyBorder="1"/>
    <xf numFmtId="172" fontId="3" fillId="0" borderId="6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181" fontId="1" fillId="0" borderId="0" xfId="0" applyNumberFormat="1" applyFont="1" applyFill="1" applyBorder="1"/>
    <xf numFmtId="0" fontId="1" fillId="0" borderId="39" xfId="0" applyFont="1" applyBorder="1" applyProtection="1">
      <protection locked="0"/>
    </xf>
    <xf numFmtId="3" fontId="3" fillId="0" borderId="0" xfId="0" applyNumberFormat="1" applyFont="1" applyBorder="1"/>
    <xf numFmtId="179" fontId="1" fillId="0" borderId="0" xfId="0" applyNumberFormat="1" applyFont="1"/>
    <xf numFmtId="0" fontId="1" fillId="0" borderId="35" xfId="0" applyFont="1" applyFill="1" applyBorder="1"/>
    <xf numFmtId="0" fontId="1" fillId="0" borderId="2" xfId="0" applyFont="1" applyFill="1" applyBorder="1"/>
    <xf numFmtId="175" fontId="1" fillId="0" borderId="2" xfId="0" applyNumberFormat="1" applyFont="1" applyFill="1" applyBorder="1"/>
    <xf numFmtId="3" fontId="1" fillId="0" borderId="2" xfId="0" applyNumberFormat="1" applyFont="1" applyFill="1" applyBorder="1"/>
    <xf numFmtId="165" fontId="1" fillId="0" borderId="36" xfId="0" applyNumberFormat="1" applyFont="1" applyFill="1" applyBorder="1"/>
    <xf numFmtId="175" fontId="1" fillId="0" borderId="0" xfId="0" applyNumberFormat="1" applyFont="1" applyFill="1"/>
    <xf numFmtId="175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37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9" fillId="0" borderId="1" xfId="0" applyFont="1" applyFill="1" applyBorder="1"/>
    <xf numFmtId="175" fontId="19" fillId="0" borderId="1" xfId="0" applyNumberFormat="1" applyFont="1" applyBorder="1"/>
    <xf numFmtId="0" fontId="1" fillId="0" borderId="39" xfId="0" applyFont="1" applyFill="1" applyBorder="1"/>
    <xf numFmtId="3" fontId="1" fillId="0" borderId="0" xfId="0" applyNumberFormat="1" applyFont="1" applyFill="1" applyBorder="1" applyProtection="1">
      <protection locked="0"/>
    </xf>
    <xf numFmtId="165" fontId="1" fillId="0" borderId="40" xfId="0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178" fontId="1" fillId="0" borderId="0" xfId="0" applyNumberFormat="1" applyFont="1" applyFill="1" applyBorder="1"/>
    <xf numFmtId="175" fontId="8" fillId="0" borderId="0" xfId="0" applyNumberFormat="1" applyFont="1" applyFill="1" applyBorder="1" applyAlignment="1">
      <alignment horizontal="center"/>
    </xf>
    <xf numFmtId="165" fontId="1" fillId="0" borderId="40" xfId="0" applyNumberFormat="1" applyFont="1" applyFill="1" applyBorder="1"/>
    <xf numFmtId="175" fontId="1" fillId="0" borderId="0" xfId="0" applyNumberFormat="1" applyFont="1" applyBorder="1" applyAlignment="1">
      <alignment horizontal="center"/>
    </xf>
    <xf numFmtId="0" fontId="2" fillId="0" borderId="39" xfId="0" applyFont="1" applyFill="1" applyBorder="1"/>
    <xf numFmtId="175" fontId="2" fillId="0" borderId="0" xfId="0" applyNumberFormat="1" applyFont="1" applyFill="1" applyBorder="1"/>
    <xf numFmtId="179" fontId="1" fillId="0" borderId="0" xfId="0" applyNumberFormat="1" applyFont="1" applyBorder="1" applyAlignment="1">
      <alignment horizontal="center"/>
    </xf>
    <xf numFmtId="179" fontId="3" fillId="0" borderId="0" xfId="0" applyNumberFormat="1" applyFont="1" applyFill="1" applyBorder="1"/>
    <xf numFmtId="176" fontId="1" fillId="0" borderId="0" xfId="0" applyNumberFormat="1" applyFont="1" applyFill="1" applyBorder="1"/>
    <xf numFmtId="179" fontId="1" fillId="0" borderId="0" xfId="0" applyNumberFormat="1" applyFont="1" applyFill="1" applyAlignment="1">
      <alignment horizontal="center"/>
    </xf>
    <xf numFmtId="0" fontId="19" fillId="0" borderId="0" xfId="0" applyFont="1" applyFill="1" applyBorder="1"/>
    <xf numFmtId="175" fontId="19" fillId="0" borderId="0" xfId="0" applyNumberFormat="1" applyFont="1" applyFill="1" applyBorder="1"/>
    <xf numFmtId="3" fontId="1" fillId="0" borderId="0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80" fontId="1" fillId="0" borderId="0" xfId="0" applyNumberFormat="1" applyFont="1" applyBorder="1" applyAlignment="1">
      <alignment horizontal="right"/>
    </xf>
    <xf numFmtId="182" fontId="1" fillId="0" borderId="0" xfId="0" applyNumberFormat="1" applyFont="1" applyBorder="1"/>
    <xf numFmtId="178" fontId="9" fillId="0" borderId="0" xfId="0" applyNumberFormat="1" applyFont="1" applyFill="1" applyBorder="1"/>
    <xf numFmtId="165" fontId="1" fillId="0" borderId="40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2" xfId="0" applyFont="1" applyBorder="1"/>
    <xf numFmtId="175" fontId="2" fillId="0" borderId="2" xfId="0" applyNumberFormat="1" applyFont="1" applyBorder="1"/>
    <xf numFmtId="178" fontId="1" fillId="0" borderId="2" xfId="0" applyNumberFormat="1" applyFont="1" applyBorder="1"/>
    <xf numFmtId="165" fontId="1" fillId="0" borderId="36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>
      <alignment horizontal="center"/>
    </xf>
    <xf numFmtId="175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Border="1"/>
    <xf numFmtId="0" fontId="1" fillId="0" borderId="30" xfId="0" applyFont="1" applyBorder="1"/>
    <xf numFmtId="0" fontId="2" fillId="0" borderId="31" xfId="0" applyFont="1" applyBorder="1"/>
    <xf numFmtId="43" fontId="20" fillId="0" borderId="31" xfId="0" applyNumberFormat="1" applyFont="1" applyFill="1" applyBorder="1"/>
    <xf numFmtId="0" fontId="1" fillId="0" borderId="31" xfId="0" applyFont="1" applyFill="1" applyBorder="1"/>
    <xf numFmtId="43" fontId="20" fillId="0" borderId="32" xfId="0" applyNumberFormat="1" applyFont="1" applyFill="1" applyBorder="1"/>
    <xf numFmtId="175" fontId="3" fillId="0" borderId="0" xfId="0" applyNumberFormat="1" applyFont="1"/>
    <xf numFmtId="3" fontId="1" fillId="0" borderId="0" xfId="0" applyNumberFormat="1" applyFont="1" applyFill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76" fontId="1" fillId="0" borderId="0" xfId="0" applyNumberFormat="1" applyFont="1" applyAlignment="1">
      <alignment horizontal="centerContinuous"/>
    </xf>
    <xf numFmtId="176" fontId="1" fillId="0" borderId="0" xfId="0" applyNumberFormat="1" applyFont="1" applyBorder="1" applyAlignment="1">
      <alignment horizontal="centerContinuous"/>
    </xf>
    <xf numFmtId="178" fontId="1" fillId="0" borderId="0" xfId="0" applyNumberFormat="1" applyFont="1" applyAlignment="1"/>
    <xf numFmtId="3" fontId="1" fillId="0" borderId="2" xfId="0" applyNumberFormat="1" applyFont="1" applyFill="1" applyBorder="1" applyAlignment="1"/>
    <xf numFmtId="165" fontId="1" fillId="0" borderId="0" xfId="0" applyNumberFormat="1" applyFont="1" applyAlignment="1"/>
    <xf numFmtId="176" fontId="1" fillId="0" borderId="0" xfId="0" applyNumberFormat="1" applyFont="1" applyAlignment="1">
      <alignment horizontal="left"/>
    </xf>
    <xf numFmtId="165" fontId="1" fillId="0" borderId="36" xfId="0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left"/>
    </xf>
    <xf numFmtId="178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165" fontId="1" fillId="0" borderId="0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178" fontId="1" fillId="0" borderId="0" xfId="0" applyNumberFormat="1" applyFont="1" applyBorder="1" applyAlignment="1">
      <alignment horizontal="right"/>
    </xf>
    <xf numFmtId="175" fontId="1" fillId="0" borderId="10" xfId="0" applyNumberFormat="1" applyFont="1" applyFill="1" applyBorder="1" applyAlignment="1">
      <alignment horizontal="center"/>
    </xf>
    <xf numFmtId="175" fontId="1" fillId="0" borderId="1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77" fontId="1" fillId="0" borderId="0" xfId="0" applyNumberFormat="1" applyFont="1" applyBorder="1" applyAlignment="1">
      <alignment horizontal="center" wrapText="1"/>
    </xf>
    <xf numFmtId="179" fontId="1" fillId="0" borderId="0" xfId="0" applyNumberFormat="1" applyFont="1" applyBorder="1"/>
    <xf numFmtId="182" fontId="1" fillId="0" borderId="0" xfId="0" applyNumberFormat="1" applyFont="1" applyFill="1" applyBorder="1"/>
    <xf numFmtId="42" fontId="1" fillId="0" borderId="0" xfId="0" applyNumberFormat="1" applyFont="1" applyBorder="1" applyAlignment="1">
      <alignment horizontal="right"/>
    </xf>
    <xf numFmtId="9" fontId="1" fillId="0" borderId="0" xfId="0" applyNumberFormat="1" applyFont="1" applyFill="1" applyBorder="1"/>
    <xf numFmtId="0" fontId="1" fillId="0" borderId="35" xfId="0" applyFont="1" applyBorder="1"/>
    <xf numFmtId="0" fontId="1" fillId="0" borderId="2" xfId="0" applyFont="1" applyBorder="1" applyProtection="1">
      <protection locked="0"/>
    </xf>
    <xf numFmtId="178" fontId="1" fillId="0" borderId="2" xfId="0" applyNumberFormat="1" applyFont="1" applyFill="1" applyBorder="1" applyAlignment="1">
      <alignment horizontal="center"/>
    </xf>
    <xf numFmtId="175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/>
    <xf numFmtId="175" fontId="1" fillId="0" borderId="2" xfId="0" applyNumberFormat="1" applyFont="1" applyBorder="1"/>
    <xf numFmtId="165" fontId="1" fillId="0" borderId="36" xfId="0" applyNumberFormat="1" applyFont="1" applyBorder="1"/>
    <xf numFmtId="179" fontId="7" fillId="0" borderId="0" xfId="0" applyNumberFormat="1" applyFont="1" applyFill="1" applyBorder="1"/>
    <xf numFmtId="178" fontId="3" fillId="0" borderId="0" xfId="0" applyNumberFormat="1" applyFont="1" applyFill="1" applyBorder="1"/>
    <xf numFmtId="0" fontId="9" fillId="0" borderId="11" xfId="0" applyFont="1" applyFill="1" applyBorder="1" applyAlignment="1">
      <alignment horizontal="center"/>
    </xf>
    <xf numFmtId="175" fontId="1" fillId="0" borderId="29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/>
    <xf numFmtId="183" fontId="1" fillId="0" borderId="0" xfId="0" applyNumberFormat="1" applyFont="1"/>
    <xf numFmtId="179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68" fontId="15" fillId="0" borderId="0" xfId="0" applyNumberFormat="1" applyFont="1" applyBorder="1"/>
    <xf numFmtId="175" fontId="1" fillId="0" borderId="1" xfId="0" applyNumberFormat="1" applyFont="1" applyBorder="1" applyAlignment="1">
      <alignment horizontal="right"/>
    </xf>
    <xf numFmtId="177" fontId="1" fillId="0" borderId="0" xfId="0" applyNumberFormat="1" applyFont="1" applyFill="1" applyAlignment="1">
      <alignment horizontal="center"/>
    </xf>
    <xf numFmtId="0" fontId="15" fillId="0" borderId="0" xfId="0" applyFont="1" applyBorder="1"/>
    <xf numFmtId="178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175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Border="1"/>
    <xf numFmtId="168" fontId="3" fillId="0" borderId="0" xfId="0" applyNumberFormat="1" applyFont="1" applyBorder="1"/>
    <xf numFmtId="179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83" fontId="1" fillId="0" borderId="0" xfId="0" applyNumberFormat="1" applyFont="1" applyFill="1"/>
    <xf numFmtId="165" fontId="1" fillId="0" borderId="0" xfId="0" applyNumberFormat="1" applyFont="1" applyAlignment="1">
      <alignment horizontal="left"/>
    </xf>
    <xf numFmtId="176" fontId="1" fillId="0" borderId="0" xfId="0" applyNumberFormat="1" applyFont="1"/>
    <xf numFmtId="183" fontId="1" fillId="0" borderId="0" xfId="0" applyNumberFormat="1" applyFont="1" applyBorder="1"/>
    <xf numFmtId="183" fontId="1" fillId="0" borderId="0" xfId="0" applyNumberFormat="1" applyFont="1" applyAlignment="1">
      <alignment horizontal="left"/>
    </xf>
    <xf numFmtId="183" fontId="1" fillId="0" borderId="1" xfId="0" applyNumberFormat="1" applyFont="1" applyBorder="1"/>
    <xf numFmtId="183" fontId="1" fillId="0" borderId="31" xfId="0" applyNumberFormat="1" applyFont="1" applyBorder="1"/>
    <xf numFmtId="43" fontId="20" fillId="0" borderId="31" xfId="0" applyNumberFormat="1" applyFont="1" applyBorder="1"/>
    <xf numFmtId="43" fontId="20" fillId="0" borderId="32" xfId="0" applyNumberFormat="1" applyFont="1" applyBorder="1"/>
    <xf numFmtId="179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78" fontId="1" fillId="0" borderId="0" xfId="0" applyNumberFormat="1" applyFont="1" applyFill="1" applyAlignment="1">
      <alignment horizontal="centerContinuous"/>
    </xf>
    <xf numFmtId="0" fontId="5" fillId="0" borderId="0" xfId="0" applyFont="1" applyBorder="1" applyAlignment="1">
      <alignment horizontal="left"/>
    </xf>
    <xf numFmtId="176" fontId="1" fillId="0" borderId="0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center"/>
    </xf>
    <xf numFmtId="178" fontId="1" fillId="0" borderId="5" xfId="0" applyNumberFormat="1" applyFont="1" applyFill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179" fontId="1" fillId="0" borderId="2" xfId="0" applyNumberFormat="1" applyFont="1" applyBorder="1" applyAlignment="1">
      <alignment horizontal="center"/>
    </xf>
    <xf numFmtId="176" fontId="1" fillId="0" borderId="40" xfId="0" applyNumberFormat="1" applyFont="1" applyBorder="1" applyAlignment="1">
      <alignment horizontal="right"/>
    </xf>
    <xf numFmtId="179" fontId="1" fillId="0" borderId="1" xfId="0" applyNumberFormat="1" applyFont="1" applyBorder="1"/>
    <xf numFmtId="3" fontId="1" fillId="0" borderId="1" xfId="0" applyNumberFormat="1" applyFont="1" applyFill="1" applyBorder="1" applyProtection="1">
      <protection locked="0"/>
    </xf>
    <xf numFmtId="178" fontId="1" fillId="0" borderId="1" xfId="0" applyNumberFormat="1" applyFont="1" applyFill="1" applyBorder="1"/>
    <xf numFmtId="178" fontId="1" fillId="0" borderId="1" xfId="0" applyNumberFormat="1" applyFont="1" applyBorder="1" applyAlignment="1">
      <alignment horizontal="right"/>
    </xf>
    <xf numFmtId="175" fontId="15" fillId="0" borderId="0" xfId="0" applyNumberFormat="1" applyFont="1" applyFill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9" fontId="3" fillId="0" borderId="0" xfId="0" applyNumberFormat="1" applyFont="1" applyFill="1" applyBorder="1"/>
    <xf numFmtId="165" fontId="1" fillId="0" borderId="38" xfId="0" applyNumberFormat="1" applyFont="1" applyFill="1" applyBorder="1" applyAlignment="1">
      <alignment horizontal="right"/>
    </xf>
    <xf numFmtId="178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179" fontId="1" fillId="0" borderId="2" xfId="0" applyNumberFormat="1" applyFont="1" applyBorder="1"/>
    <xf numFmtId="178" fontId="1" fillId="0" borderId="2" xfId="0" applyNumberFormat="1" applyFont="1" applyFill="1" applyBorder="1"/>
    <xf numFmtId="178" fontId="1" fillId="0" borderId="2" xfId="0" applyNumberFormat="1" applyFont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5" fontId="15" fillId="0" borderId="0" xfId="0" applyNumberFormat="1" applyFont="1" applyBorder="1" applyAlignment="1">
      <alignment horizontal="right"/>
    </xf>
    <xf numFmtId="178" fontId="15" fillId="0" borderId="0" xfId="0" applyNumberFormat="1" applyFont="1" applyBorder="1"/>
    <xf numFmtId="175" fontId="1" fillId="0" borderId="0" xfId="0" applyNumberFormat="1" applyFont="1" applyFill="1" applyBorder="1" applyProtection="1">
      <protection locked="0"/>
    </xf>
    <xf numFmtId="175" fontId="1" fillId="0" borderId="2" xfId="0" applyNumberFormat="1" applyFont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175" fontId="1" fillId="0" borderId="1" xfId="0" applyNumberFormat="1" applyFont="1" applyFill="1" applyBorder="1" applyAlignment="1">
      <alignment horizontal="right"/>
    </xf>
    <xf numFmtId="179" fontId="1" fillId="0" borderId="2" xfId="0" applyNumberFormat="1" applyFont="1" applyFill="1" applyBorder="1"/>
    <xf numFmtId="175" fontId="1" fillId="0" borderId="2" xfId="0" applyNumberFormat="1" applyFont="1" applyFill="1" applyBorder="1" applyAlignment="1">
      <alignment horizontal="right"/>
    </xf>
    <xf numFmtId="178" fontId="1" fillId="0" borderId="2" xfId="0" applyNumberFormat="1" applyFont="1" applyFill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179" fontId="15" fillId="0" borderId="0" xfId="0" applyNumberFormat="1" applyFont="1" applyBorder="1"/>
    <xf numFmtId="179" fontId="1" fillId="0" borderId="2" xfId="0" applyNumberFormat="1" applyFont="1" applyFill="1" applyBorder="1" applyAlignment="1">
      <alignment horizontal="right"/>
    </xf>
    <xf numFmtId="179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75" fontId="8" fillId="0" borderId="29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84" fontId="1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175" fontId="1" fillId="0" borderId="40" xfId="0" applyNumberFormat="1" applyFont="1" applyBorder="1" applyAlignment="1">
      <alignment horizontal="right"/>
    </xf>
    <xf numFmtId="0" fontId="1" fillId="0" borderId="1" xfId="0" applyFont="1" applyFill="1" applyBorder="1" applyProtection="1">
      <protection locked="0"/>
    </xf>
    <xf numFmtId="179" fontId="1" fillId="0" borderId="1" xfId="0" applyNumberFormat="1" applyFont="1" applyFill="1" applyBorder="1"/>
    <xf numFmtId="178" fontId="1" fillId="0" borderId="1" xfId="0" applyNumberFormat="1" applyFont="1" applyFill="1" applyBorder="1" applyAlignment="1">
      <alignment horizontal="right"/>
    </xf>
    <xf numFmtId="165" fontId="1" fillId="0" borderId="40" xfId="0" applyNumberFormat="1" applyFont="1" applyFill="1" applyBorder="1" applyAlignment="1">
      <alignment horizontal="center"/>
    </xf>
    <xf numFmtId="175" fontId="3" fillId="0" borderId="0" xfId="0" applyNumberFormat="1" applyFont="1" applyFill="1" applyBorder="1" applyAlignment="1">
      <alignment horizontal="right"/>
    </xf>
    <xf numFmtId="165" fontId="1" fillId="0" borderId="38" xfId="0" applyNumberFormat="1" applyFont="1" applyFill="1" applyBorder="1"/>
    <xf numFmtId="5" fontId="1" fillId="0" borderId="0" xfId="0" applyNumberFormat="1" applyFont="1" applyBorder="1"/>
    <xf numFmtId="5" fontId="1" fillId="0" borderId="0" xfId="0" applyNumberFormat="1" applyFont="1" applyFill="1" applyBorder="1"/>
    <xf numFmtId="5" fontId="1" fillId="0" borderId="1" xfId="0" applyNumberFormat="1" applyFont="1" applyBorder="1"/>
    <xf numFmtId="5" fontId="1" fillId="0" borderId="0" xfId="0" applyNumberFormat="1" applyFont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76" fontId="1" fillId="0" borderId="0" xfId="0" applyNumberFormat="1" applyFont="1" applyAlignment="1">
      <alignment horizontal="right"/>
    </xf>
    <xf numFmtId="5" fontId="8" fillId="0" borderId="0" xfId="0" applyNumberFormat="1" applyFont="1"/>
    <xf numFmtId="165" fontId="1" fillId="0" borderId="0" xfId="0" applyNumberFormat="1" applyFont="1" applyAlignment="1">
      <alignment horizontal="right"/>
    </xf>
    <xf numFmtId="41" fontId="8" fillId="0" borderId="0" xfId="0" applyNumberFormat="1" applyFont="1"/>
    <xf numFmtId="178" fontId="1" fillId="0" borderId="0" xfId="0" applyNumberFormat="1" applyFont="1" applyFill="1"/>
    <xf numFmtId="42" fontId="8" fillId="0" borderId="0" xfId="0" applyNumberFormat="1" applyFont="1"/>
    <xf numFmtId="0" fontId="9" fillId="0" borderId="41" xfId="0" applyFont="1" applyBorder="1"/>
    <xf numFmtId="0" fontId="1" fillId="0" borderId="42" xfId="0" applyFont="1" applyBorder="1"/>
    <xf numFmtId="43" fontId="20" fillId="0" borderId="42" xfId="0" applyNumberFormat="1" applyFont="1" applyBorder="1"/>
    <xf numFmtId="179" fontId="1" fillId="0" borderId="42" xfId="0" applyNumberFormat="1" applyFont="1" applyBorder="1"/>
    <xf numFmtId="43" fontId="20" fillId="0" borderId="43" xfId="0" applyNumberFormat="1" applyFont="1" applyBorder="1"/>
    <xf numFmtId="0" fontId="9" fillId="0" borderId="44" xfId="0" applyFont="1" applyBorder="1"/>
    <xf numFmtId="0" fontId="1" fillId="0" borderId="45" xfId="0" applyFont="1" applyBorder="1"/>
    <xf numFmtId="43" fontId="20" fillId="0" borderId="45" xfId="0" applyNumberFormat="1" applyFont="1" applyFill="1" applyBorder="1"/>
    <xf numFmtId="179" fontId="20" fillId="0" borderId="45" xfId="0" applyNumberFormat="1" applyFont="1" applyBorder="1"/>
    <xf numFmtId="5" fontId="20" fillId="0" borderId="46" xfId="0" applyNumberFormat="1" applyFont="1" applyBorder="1"/>
    <xf numFmtId="0" fontId="9" fillId="0" borderId="0" xfId="0" applyFont="1" applyFill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4" fillId="0" borderId="0" xfId="0" applyFont="1" applyFill="1"/>
    <xf numFmtId="0" fontId="24" fillId="0" borderId="0" xfId="0" applyFont="1"/>
    <xf numFmtId="0" fontId="1" fillId="0" borderId="0" xfId="0" applyFont="1" applyFill="1" applyBorder="1" applyAlignment="1">
      <alignment horizontal="centerContinuous"/>
    </xf>
    <xf numFmtId="0" fontId="14" fillId="0" borderId="0" xfId="0" applyFont="1" applyBorder="1"/>
    <xf numFmtId="0" fontId="14" fillId="0" borderId="0" xfId="0" applyFo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centerContinuous"/>
    </xf>
    <xf numFmtId="0" fontId="14" fillId="0" borderId="3" xfId="0" applyFont="1" applyFill="1" applyBorder="1"/>
    <xf numFmtId="0" fontId="14" fillId="0" borderId="0" xfId="0" applyFont="1" applyFill="1"/>
    <xf numFmtId="0" fontId="2" fillId="0" borderId="27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0" fontId="24" fillId="0" borderId="25" xfId="0" applyFont="1" applyFill="1" applyBorder="1"/>
    <xf numFmtId="0" fontId="24" fillId="0" borderId="25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9" fontId="2" fillId="0" borderId="23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42" fontId="24" fillId="0" borderId="19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10" fontId="0" fillId="0" borderId="8" xfId="0" applyNumberFormat="1" applyFont="1" applyFill="1" applyBorder="1" applyAlignment="1">
      <alignment horizontal="center"/>
    </xf>
    <xf numFmtId="41" fontId="24" fillId="0" borderId="1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7" fillId="0" borderId="0" xfId="0" applyNumberFormat="1" applyFont="1" applyFill="1" applyBorder="1" applyAlignment="1">
      <alignment horizontal="centerContinuous"/>
    </xf>
    <xf numFmtId="9" fontId="7" fillId="0" borderId="8" xfId="0" applyNumberFormat="1" applyFont="1" applyFill="1" applyBorder="1" applyAlignment="1">
      <alignment horizontal="centerContinuous"/>
    </xf>
    <xf numFmtId="0" fontId="7" fillId="0" borderId="19" xfId="0" applyFont="1" applyFill="1" applyBorder="1" applyAlignment="1">
      <alignment horizontal="center"/>
    </xf>
    <xf numFmtId="41" fontId="24" fillId="0" borderId="20" xfId="0" applyNumberFormat="1" applyFont="1" applyFill="1" applyBorder="1" applyAlignment="1">
      <alignment horizontal="center"/>
    </xf>
    <xf numFmtId="41" fontId="24" fillId="0" borderId="2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4" fillId="0" borderId="0" xfId="0" applyFont="1" applyFill="1" applyBorder="1"/>
    <xf numFmtId="172" fontId="24" fillId="0" borderId="0" xfId="0" applyNumberFormat="1" applyFont="1" applyFill="1" applyBorder="1"/>
    <xf numFmtId="172" fontId="24" fillId="0" borderId="8" xfId="0" applyNumberFormat="1" applyFont="1" applyFill="1" applyBorder="1"/>
    <xf numFmtId="42" fontId="1" fillId="0" borderId="19" xfId="0" applyNumberFormat="1" applyFont="1" applyFill="1" applyBorder="1" applyAlignment="1"/>
    <xf numFmtId="0" fontId="24" fillId="0" borderId="19" xfId="0" applyFont="1" applyFill="1" applyBorder="1"/>
    <xf numFmtId="164" fontId="1" fillId="0" borderId="19" xfId="0" applyNumberFormat="1" applyFont="1" applyFill="1" applyBorder="1" applyAlignment="1"/>
    <xf numFmtId="164" fontId="24" fillId="0" borderId="19" xfId="0" applyNumberFormat="1" applyFont="1" applyFill="1" applyBorder="1" applyAlignment="1">
      <alignment horizontal="center"/>
    </xf>
    <xf numFmtId="41" fontId="1" fillId="0" borderId="19" xfId="0" applyNumberFormat="1" applyFont="1" applyFill="1" applyBorder="1" applyAlignment="1"/>
    <xf numFmtId="0" fontId="1" fillId="0" borderId="21" xfId="0" applyFont="1" applyFill="1" applyBorder="1"/>
    <xf numFmtId="0" fontId="24" fillId="0" borderId="8" xfId="0" applyFont="1" applyFill="1" applyBorder="1" applyAlignment="1">
      <alignment horizontal="left"/>
    </xf>
    <xf numFmtId="0" fontId="24" fillId="0" borderId="21" xfId="0" applyFont="1" applyFill="1" applyBorder="1"/>
    <xf numFmtId="9" fontId="24" fillId="0" borderId="0" xfId="0" applyNumberFormat="1" applyFont="1" applyFill="1" applyBorder="1"/>
    <xf numFmtId="37" fontId="1" fillId="0" borderId="20" xfId="0" applyNumberFormat="1" applyFont="1" applyFill="1" applyBorder="1"/>
    <xf numFmtId="42" fontId="1" fillId="0" borderId="20" xfId="0" applyNumberFormat="1" applyFont="1" applyFill="1" applyBorder="1"/>
    <xf numFmtId="9" fontId="24" fillId="0" borderId="8" xfId="0" applyNumberFormat="1" applyFont="1" applyFill="1" applyBorder="1"/>
    <xf numFmtId="42" fontId="1" fillId="0" borderId="19" xfId="0" applyNumberFormat="1" applyFont="1" applyFill="1" applyBorder="1"/>
    <xf numFmtId="0" fontId="24" fillId="0" borderId="8" xfId="0" applyFont="1" applyFill="1" applyBorder="1"/>
    <xf numFmtId="164" fontId="1" fillId="0" borderId="19" xfId="0" applyNumberFormat="1" applyFont="1" applyFill="1" applyBorder="1"/>
    <xf numFmtId="0" fontId="11" fillId="0" borderId="21" xfId="0" applyFont="1" applyFill="1" applyBorder="1"/>
    <xf numFmtId="173" fontId="1" fillId="0" borderId="19" xfId="0" applyNumberFormat="1" applyFont="1" applyFill="1" applyBorder="1"/>
    <xf numFmtId="170" fontId="1" fillId="0" borderId="19" xfId="0" applyNumberFormat="1" applyFont="1" applyFill="1" applyBorder="1"/>
    <xf numFmtId="173" fontId="1" fillId="0" borderId="20" xfId="0" applyNumberFormat="1" applyFont="1" applyFill="1" applyBorder="1"/>
    <xf numFmtId="174" fontId="1" fillId="0" borderId="20" xfId="0" applyNumberFormat="1" applyFont="1" applyFill="1" applyBorder="1"/>
    <xf numFmtId="9" fontId="1" fillId="0" borderId="1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4" fillId="0" borderId="18" xfId="0" applyFont="1" applyFill="1" applyBorder="1"/>
    <xf numFmtId="0" fontId="1" fillId="0" borderId="28" xfId="0" applyFont="1" applyFill="1" applyBorder="1"/>
    <xf numFmtId="0" fontId="2" fillId="0" borderId="3" xfId="0" applyFont="1" applyFill="1" applyBorder="1"/>
    <xf numFmtId="0" fontId="2" fillId="0" borderId="17" xfId="0" applyFont="1" applyFill="1" applyBorder="1"/>
    <xf numFmtId="42" fontId="2" fillId="0" borderId="16" xfId="0" applyNumberFormat="1" applyFont="1" applyFill="1" applyBorder="1"/>
    <xf numFmtId="0" fontId="24" fillId="0" borderId="15" xfId="0" applyFont="1" applyFill="1" applyBorder="1"/>
    <xf numFmtId="43" fontId="1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7" fillId="0" borderId="0" xfId="0" quotePrefix="1" applyFont="1" applyFill="1"/>
    <xf numFmtId="0" fontId="2" fillId="0" borderId="0" xfId="0" applyFont="1" applyFill="1" applyBorder="1" applyAlignment="1"/>
    <xf numFmtId="0" fontId="2" fillId="0" borderId="4" xfId="0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3" fontId="1" fillId="0" borderId="0" xfId="0" applyNumberFormat="1" applyFont="1" applyFill="1" applyBorder="1"/>
    <xf numFmtId="41" fontId="1" fillId="0" borderId="0" xfId="0" applyNumberFormat="1" applyFont="1" applyFill="1" applyBorder="1"/>
    <xf numFmtId="41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/>
    <xf numFmtId="0" fontId="2" fillId="0" borderId="0" xfId="0" applyFont="1" applyFill="1" applyAlignment="1"/>
    <xf numFmtId="42" fontId="2" fillId="0" borderId="9" xfId="0" applyNumberFormat="1" applyFont="1" applyFill="1" applyBorder="1"/>
    <xf numFmtId="44" fontId="24" fillId="0" borderId="0" xfId="0" applyNumberFormat="1" applyFont="1" applyFill="1"/>
    <xf numFmtId="164" fontId="24" fillId="0" borderId="0" xfId="0" applyNumberFormat="1" applyFont="1" applyFill="1"/>
    <xf numFmtId="164" fontId="24" fillId="0" borderId="0" xfId="0" applyNumberFormat="1" applyFont="1"/>
    <xf numFmtId="44" fontId="24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3" fontId="29" fillId="0" borderId="0" xfId="0" applyNumberFormat="1" applyFont="1"/>
    <xf numFmtId="42" fontId="29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25" fillId="0" borderId="0" xfId="0" applyNumberFormat="1" applyFont="1"/>
    <xf numFmtId="10" fontId="0" fillId="0" borderId="0" xfId="0" applyNumberFormat="1" applyFont="1"/>
    <xf numFmtId="42" fontId="26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25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30" fillId="0" borderId="0" xfId="0" applyFont="1" applyBorder="1" applyAlignment="1">
      <alignment horizontal="left"/>
    </xf>
    <xf numFmtId="0" fontId="31" fillId="0" borderId="0" xfId="0" applyFont="1" applyAlignment="1">
      <alignment horizontal="left"/>
    </xf>
    <xf numFmtId="3" fontId="32" fillId="0" borderId="0" xfId="0" applyNumberFormat="1" applyFont="1" applyBorder="1"/>
    <xf numFmtId="42" fontId="32" fillId="0" borderId="0" xfId="0" applyNumberFormat="1" applyFont="1" applyBorder="1"/>
    <xf numFmtId="0" fontId="32" fillId="0" borderId="0" xfId="0" applyFont="1"/>
    <xf numFmtId="42" fontId="32" fillId="0" borderId="0" xfId="0" applyNumberFormat="1" applyFont="1"/>
    <xf numFmtId="10" fontId="32" fillId="0" borderId="0" xfId="0" applyNumberFormat="1" applyFont="1"/>
    <xf numFmtId="0" fontId="32" fillId="0" borderId="0" xfId="0" applyFont="1" applyAlignment="1">
      <alignment horizontal="left"/>
    </xf>
    <xf numFmtId="164" fontId="32" fillId="0" borderId="0" xfId="0" applyNumberFormat="1" applyFont="1" applyFill="1"/>
    <xf numFmtId="166" fontId="32" fillId="0" borderId="0" xfId="0" applyNumberFormat="1" applyFont="1" applyFill="1"/>
    <xf numFmtId="0" fontId="32" fillId="0" borderId="0" xfId="0" applyFont="1" applyFill="1" applyBorder="1" applyAlignment="1">
      <alignment horizontal="left" vertical="center" textRotation="180"/>
    </xf>
    <xf numFmtId="0" fontId="32" fillId="0" borderId="0" xfId="0" applyFont="1" applyFill="1" applyBorder="1" applyAlignment="1">
      <alignment horizontal="left"/>
    </xf>
    <xf numFmtId="0" fontId="32" fillId="0" borderId="0" xfId="0" applyFont="1" applyBorder="1" applyAlignment="1">
      <alignment horizontal="left"/>
    </xf>
    <xf numFmtId="164" fontId="32" fillId="0" borderId="1" xfId="0" applyNumberFormat="1" applyFont="1" applyFill="1" applyBorder="1"/>
    <xf numFmtId="168" fontId="0" fillId="0" borderId="1" xfId="0" applyNumberFormat="1" applyBorder="1"/>
    <xf numFmtId="166" fontId="32" fillId="0" borderId="1" xfId="0" applyNumberFormat="1" applyFont="1" applyFill="1" applyBorder="1"/>
    <xf numFmtId="0" fontId="32" fillId="0" borderId="0" xfId="0" applyFont="1" applyFill="1"/>
    <xf numFmtId="0" fontId="32" fillId="0" borderId="0" xfId="0" applyFont="1" applyBorder="1"/>
    <xf numFmtId="44" fontId="32" fillId="0" borderId="0" xfId="0" applyNumberFormat="1" applyFont="1"/>
    <xf numFmtId="164" fontId="0" fillId="0" borderId="0" xfId="0" applyNumberFormat="1"/>
    <xf numFmtId="0" fontId="25" fillId="0" borderId="0" xfId="0" applyFont="1"/>
    <xf numFmtId="0" fontId="25" fillId="0" borderId="2" xfId="0" applyFont="1" applyBorder="1" applyAlignment="1">
      <alignment horizontal="centerContinuous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34" fillId="0" borderId="0" xfId="0" applyFont="1"/>
    <xf numFmtId="185" fontId="25" fillId="0" borderId="0" xfId="0" applyNumberFormat="1" applyFont="1"/>
    <xf numFmtId="0" fontId="34" fillId="0" borderId="0" xfId="0" applyFont="1" applyBorder="1"/>
    <xf numFmtId="44" fontId="34" fillId="0" borderId="0" xfId="0" applyNumberFormat="1" applyFont="1" applyBorder="1"/>
    <xf numFmtId="44" fontId="25" fillId="0" borderId="0" xfId="0" applyNumberFormat="1" applyFont="1"/>
    <xf numFmtId="185" fontId="25" fillId="0" borderId="0" xfId="0" applyNumberFormat="1" applyFont="1" applyBorder="1"/>
    <xf numFmtId="44" fontId="25" fillId="0" borderId="0" xfId="0" applyNumberFormat="1" applyFont="1" applyBorder="1"/>
    <xf numFmtId="44" fontId="25" fillId="0" borderId="1" xfId="0" applyNumberFormat="1" applyFont="1" applyBorder="1"/>
    <xf numFmtId="44" fontId="34" fillId="0" borderId="0" xfId="0" applyNumberFormat="1" applyFont="1"/>
    <xf numFmtId="0" fontId="25" fillId="0" borderId="0" xfId="0" applyFont="1" applyBorder="1"/>
    <xf numFmtId="167" fontId="29" fillId="0" borderId="0" xfId="0" applyNumberFormat="1" applyFont="1"/>
    <xf numFmtId="167" fontId="34" fillId="0" borderId="0" xfId="0" applyNumberFormat="1" applyFont="1" applyBorder="1"/>
    <xf numFmtId="167" fontId="25" fillId="0" borderId="0" xfId="0" applyNumberFormat="1" applyFont="1"/>
    <xf numFmtId="167" fontId="0" fillId="0" borderId="0" xfId="0" applyNumberFormat="1" applyFont="1"/>
    <xf numFmtId="167" fontId="25" fillId="0" borderId="1" xfId="0" applyNumberFormat="1" applyFont="1" applyBorder="1"/>
    <xf numFmtId="167" fontId="0" fillId="0" borderId="0" xfId="0" applyNumberFormat="1" applyFont="1" applyFill="1"/>
    <xf numFmtId="185" fontId="25" fillId="0" borderId="1" xfId="0" applyNumberFormat="1" applyFont="1" applyBorder="1"/>
    <xf numFmtId="167" fontId="25" fillId="0" borderId="0" xfId="0" applyNumberFormat="1" applyFont="1" applyBorder="1"/>
    <xf numFmtId="165" fontId="25" fillId="0" borderId="0" xfId="0" applyNumberFormat="1" applyFont="1"/>
    <xf numFmtId="165" fontId="25" fillId="0" borderId="0" xfId="0" applyNumberFormat="1" applyFont="1" applyBorder="1"/>
    <xf numFmtId="10" fontId="25" fillId="0" borderId="0" xfId="0" applyNumberFormat="1" applyFont="1"/>
    <xf numFmtId="0" fontId="25" fillId="0" borderId="0" xfId="0" applyFont="1" applyFill="1" applyAlignment="1"/>
    <xf numFmtId="0" fontId="25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9" fillId="0" borderId="0" xfId="0" applyNumberFormat="1" applyFont="1" applyAlignment="1">
      <alignment horizontal="left"/>
    </xf>
    <xf numFmtId="42" fontId="29" fillId="0" borderId="0" xfId="0" applyNumberFormat="1" applyFont="1" applyAlignment="1">
      <alignment horizontal="left"/>
    </xf>
    <xf numFmtId="168" fontId="16" fillId="0" borderId="0" xfId="0" applyNumberFormat="1" applyFont="1"/>
    <xf numFmtId="164" fontId="29" fillId="0" borderId="0" xfId="0" applyNumberFormat="1" applyFont="1" applyBorder="1"/>
    <xf numFmtId="10" fontId="23" fillId="0" borderId="0" xfId="0" applyNumberFormat="1" applyFont="1"/>
    <xf numFmtId="168" fontId="0" fillId="0" borderId="0" xfId="0" applyNumberFormat="1" applyBorder="1"/>
    <xf numFmtId="0" fontId="0" fillId="0" borderId="0" xfId="0" applyBorder="1"/>
    <xf numFmtId="166" fontId="0" fillId="0" borderId="1" xfId="0" applyNumberFormat="1" applyBorder="1"/>
    <xf numFmtId="168" fontId="0" fillId="0" borderId="1" xfId="0" applyNumberFormat="1" applyFont="1" applyBorder="1"/>
    <xf numFmtId="164" fontId="0" fillId="0" borderId="0" xfId="0" applyNumberFormat="1" applyFont="1" applyBorder="1"/>
    <xf numFmtId="42" fontId="0" fillId="0" borderId="0" xfId="0" applyNumberFormat="1" applyBorder="1"/>
    <xf numFmtId="164" fontId="0" fillId="0" borderId="0" xfId="0" applyNumberFormat="1" applyFont="1"/>
    <xf numFmtId="42" fontId="0" fillId="0" borderId="0" xfId="0" applyNumberFormat="1" applyFont="1"/>
    <xf numFmtId="43" fontId="23" fillId="0" borderId="0" xfId="0" applyNumberFormat="1" applyFont="1"/>
    <xf numFmtId="164" fontId="32" fillId="0" borderId="0" xfId="0" applyNumberFormat="1" applyFont="1" applyBorder="1"/>
    <xf numFmtId="42" fontId="35" fillId="0" borderId="0" xfId="0" applyNumberFormat="1" applyFont="1" applyBorder="1"/>
    <xf numFmtId="168" fontId="32" fillId="0" borderId="0" xfId="0" applyNumberFormat="1" applyFont="1" applyFill="1"/>
    <xf numFmtId="0" fontId="32" fillId="0" borderId="0" xfId="0" applyFont="1" applyFill="1" applyBorder="1"/>
    <xf numFmtId="164" fontId="32" fillId="0" borderId="0" xfId="0" applyNumberFormat="1" applyFont="1" applyFill="1" applyBorder="1"/>
    <xf numFmtId="166" fontId="32" fillId="0" borderId="1" xfId="0" applyNumberFormat="1" applyFont="1" applyBorder="1" applyAlignment="1">
      <alignment horizontal="left"/>
    </xf>
    <xf numFmtId="164" fontId="32" fillId="0" borderId="1" xfId="0" applyNumberFormat="1" applyFont="1" applyBorder="1" applyAlignment="1">
      <alignment horizontal="left"/>
    </xf>
    <xf numFmtId="168" fontId="32" fillId="0" borderId="1" xfId="0" applyNumberFormat="1" applyFont="1" applyFill="1" applyBorder="1"/>
    <xf numFmtId="0" fontId="0" fillId="0" borderId="0" xfId="0" quotePrefix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68" fontId="26" fillId="0" borderId="0" xfId="0" applyNumberFormat="1" applyFont="1"/>
    <xf numFmtId="164" fontId="25" fillId="0" borderId="0" xfId="0" applyNumberFormat="1" applyFont="1"/>
    <xf numFmtId="3" fontId="29" fillId="0" borderId="0" xfId="0" applyNumberFormat="1" applyFont="1" applyFill="1"/>
    <xf numFmtId="3" fontId="29" fillId="0" borderId="0" xfId="0" quotePrefix="1" applyNumberFormat="1" applyFont="1" applyFill="1"/>
    <xf numFmtId="3" fontId="25" fillId="0" borderId="0" xfId="0" applyNumberFormat="1" applyFont="1"/>
    <xf numFmtId="3" fontId="36" fillId="0" borderId="0" xfId="0" applyNumberFormat="1" applyFont="1"/>
    <xf numFmtId="168" fontId="26" fillId="0" borderId="0" xfId="0" applyNumberFormat="1" applyFont="1" applyBorder="1"/>
    <xf numFmtId="3" fontId="25" fillId="0" borderId="1" xfId="0" applyNumberFormat="1" applyFont="1" applyFill="1" applyBorder="1"/>
    <xf numFmtId="164" fontId="0" fillId="0" borderId="1" xfId="0" applyNumberFormat="1" applyFont="1" applyBorder="1"/>
    <xf numFmtId="165" fontId="25" fillId="0" borderId="1" xfId="0" applyNumberFormat="1" applyFont="1" applyBorder="1"/>
    <xf numFmtId="3" fontId="25" fillId="0" borderId="0" xfId="0" applyNumberFormat="1" applyFont="1" applyFill="1"/>
    <xf numFmtId="8" fontId="25" fillId="0" borderId="0" xfId="0" applyNumberFormat="1" applyFont="1"/>
    <xf numFmtId="168" fontId="26" fillId="0" borderId="0" xfId="0" applyNumberFormat="1" applyFont="1" applyFill="1"/>
    <xf numFmtId="3" fontId="25" fillId="0" borderId="2" xfId="0" applyNumberFormat="1" applyFont="1" applyBorder="1"/>
    <xf numFmtId="168" fontId="26" fillId="0" borderId="2" xfId="0" applyNumberFormat="1" applyFont="1" applyFill="1" applyBorder="1"/>
    <xf numFmtId="164" fontId="0" fillId="0" borderId="2" xfId="0" applyNumberFormat="1" applyFont="1" applyBorder="1"/>
    <xf numFmtId="3" fontId="25" fillId="0" borderId="1" xfId="0" applyNumberFormat="1" applyFont="1" applyBorder="1"/>
    <xf numFmtId="0" fontId="25" fillId="0" borderId="0" xfId="0" applyFont="1" applyFill="1" applyBorder="1"/>
    <xf numFmtId="164" fontId="25" fillId="0" borderId="0" xfId="0" applyNumberFormat="1" applyFont="1" applyBorder="1"/>
    <xf numFmtId="0" fontId="25" fillId="0" borderId="0" xfId="0" applyFont="1" applyFill="1"/>
    <xf numFmtId="0" fontId="25" fillId="0" borderId="0" xfId="0" quotePrefix="1" applyFont="1" applyAlignment="1">
      <alignment vertical="top"/>
    </xf>
    <xf numFmtId="0" fontId="37" fillId="0" borderId="0" xfId="0" applyFont="1"/>
    <xf numFmtId="0" fontId="37" fillId="0" borderId="0" xfId="0" applyFont="1" applyFill="1"/>
    <xf numFmtId="41" fontId="25" fillId="0" borderId="0" xfId="0" quotePrefix="1" applyNumberFormat="1" applyFont="1" applyAlignment="1">
      <alignment horizontal="right"/>
    </xf>
    <xf numFmtId="0" fontId="25" fillId="0" borderId="0" xfId="0" applyFont="1" applyFill="1" applyBorder="1" applyAlignment="1">
      <alignment horizontal="left"/>
    </xf>
    <xf numFmtId="3" fontId="25" fillId="0" borderId="0" xfId="0" applyNumberFormat="1" applyFont="1" applyFill="1" applyBorder="1"/>
    <xf numFmtId="3" fontId="26" fillId="0" borderId="0" xfId="0" applyNumberFormat="1" applyFont="1"/>
    <xf numFmtId="44" fontId="26" fillId="0" borderId="0" xfId="0" applyNumberFormat="1" applyFont="1"/>
    <xf numFmtId="44" fontId="26" fillId="0" borderId="0" xfId="0" applyNumberFormat="1" applyFont="1" applyBorder="1"/>
    <xf numFmtId="167" fontId="26" fillId="0" borderId="0" xfId="0" applyNumberFormat="1" applyFont="1"/>
    <xf numFmtId="167" fontId="26" fillId="0" borderId="0" xfId="0" applyNumberFormat="1" applyFont="1" applyFill="1"/>
    <xf numFmtId="3" fontId="26" fillId="0" borderId="0" xfId="0" applyNumberFormat="1" applyFont="1" applyFill="1"/>
    <xf numFmtId="0" fontId="0" fillId="0" borderId="2" xfId="0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5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178" fontId="1" fillId="0" borderId="5" xfId="0" applyNumberFormat="1" applyFont="1" applyBorder="1" applyAlignment="1">
      <alignment horizontal="center"/>
    </xf>
    <xf numFmtId="178" fontId="1" fillId="0" borderId="3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4" fillId="0" borderId="0" xfId="0" applyNumberFormat="1" applyFont="1" applyFill="1" applyBorder="1"/>
    <xf numFmtId="42" fontId="1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1" fillId="0" borderId="0" xfId="0" quotePrefix="1" applyFont="1" applyFill="1" applyAlignment="1">
      <alignment horizontal="left"/>
    </xf>
    <xf numFmtId="168" fontId="29" fillId="0" borderId="0" xfId="0" applyNumberFormat="1" applyFont="1"/>
    <xf numFmtId="168" fontId="29" fillId="0" borderId="0" xfId="0" applyNumberFormat="1" applyFont="1" applyBorder="1"/>
    <xf numFmtId="0" fontId="7" fillId="0" borderId="0" xfId="0" applyFont="1" applyFill="1" applyAlignment="1">
      <alignment horizontal="center"/>
    </xf>
    <xf numFmtId="166" fontId="32" fillId="0" borderId="0" xfId="1" applyNumberFormat="1" applyFont="1" applyFill="1"/>
    <xf numFmtId="166" fontId="32" fillId="0" borderId="1" xfId="1" applyNumberFormat="1" applyFont="1" applyFill="1" applyBorder="1"/>
    <xf numFmtId="168" fontId="29" fillId="0" borderId="0" xfId="0" applyNumberFormat="1" applyFont="1" applyFill="1"/>
    <xf numFmtId="0" fontId="1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8080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tabSelected="1" zoomScale="90" zoomScaleNormal="90" workbookViewId="0">
      <pane ySplit="8" topLeftCell="A33" activePane="bottomLeft" state="frozen"/>
      <selection pane="bottomLeft" activeCell="I49" sqref="I49"/>
    </sheetView>
  </sheetViews>
  <sheetFormatPr defaultColWidth="8.81640625" defaultRowHeight="12.5" x14ac:dyDescent="0.25"/>
  <cols>
    <col min="1" max="1" width="2.54296875" style="95" customWidth="1"/>
    <col min="2" max="2" width="4.54296875" style="95" customWidth="1"/>
    <col min="3" max="3" width="2.81640625" style="95" customWidth="1"/>
    <col min="4" max="4" width="26.7265625" style="95" customWidth="1"/>
    <col min="5" max="5" width="8.81640625" style="95" customWidth="1"/>
    <col min="6" max="6" width="13.54296875" style="95" bestFit="1" customWidth="1"/>
    <col min="7" max="7" width="15.453125" style="95" bestFit="1" customWidth="1"/>
    <col min="8" max="8" width="8" style="95" bestFit="1" customWidth="1"/>
    <col min="9" max="9" width="13.26953125" style="95" customWidth="1"/>
    <col min="10" max="10" width="12.54296875" style="95" customWidth="1"/>
    <col min="11" max="11" width="13.453125" style="95" customWidth="1"/>
    <col min="12" max="12" width="15.26953125" style="95" bestFit="1" customWidth="1"/>
    <col min="13" max="13" width="10" style="95" customWidth="1"/>
    <col min="14" max="14" width="14.54296875" style="95" customWidth="1"/>
    <col min="15" max="15" width="10.54296875" style="95" customWidth="1"/>
    <col min="16" max="16384" width="8.81640625" style="95"/>
  </cols>
  <sheetData>
    <row r="1" spans="2:15" ht="15" customHeight="1" x14ac:dyDescent="0.25">
      <c r="B1" s="403" t="s">
        <v>13</v>
      </c>
      <c r="C1" s="403"/>
      <c r="D1" s="403"/>
      <c r="E1" s="403"/>
      <c r="F1" s="403"/>
      <c r="G1" s="403"/>
      <c r="H1" s="403"/>
      <c r="I1" s="403"/>
      <c r="J1" s="403"/>
      <c r="K1" s="403"/>
      <c r="L1" s="70"/>
    </row>
    <row r="2" spans="2:15" ht="15" customHeight="1" x14ac:dyDescent="0.3">
      <c r="B2" s="403" t="str">
        <f>J5&amp;" Gas Schedule 129 Low Income Program Filing"</f>
        <v>2021 Gas Schedule 129 Low Income Program Filing</v>
      </c>
      <c r="C2" s="403"/>
      <c r="D2" s="403"/>
      <c r="E2" s="403"/>
      <c r="F2" s="403"/>
      <c r="G2" s="403"/>
      <c r="H2" s="403"/>
      <c r="I2" s="143"/>
      <c r="J2" s="143"/>
      <c r="K2" s="143"/>
      <c r="L2" s="70"/>
    </row>
    <row r="3" spans="2:15" ht="15" customHeight="1" x14ac:dyDescent="0.25">
      <c r="B3" s="127" t="s">
        <v>96</v>
      </c>
      <c r="C3" s="127"/>
      <c r="D3" s="127"/>
      <c r="E3" s="127"/>
      <c r="F3" s="127"/>
      <c r="G3" s="127"/>
      <c r="H3" s="127"/>
      <c r="I3" s="127"/>
      <c r="J3" s="127"/>
      <c r="K3" s="127"/>
      <c r="L3" s="70"/>
    </row>
    <row r="4" spans="2:15" ht="15" customHeight="1" x14ac:dyDescent="0.3">
      <c r="B4" s="127" t="s">
        <v>227</v>
      </c>
      <c r="C4" s="127"/>
      <c r="D4" s="127"/>
      <c r="E4" s="127"/>
      <c r="F4" s="127"/>
      <c r="G4" s="127"/>
      <c r="H4" s="127"/>
      <c r="I4" s="144"/>
      <c r="J4" s="144"/>
      <c r="K4" s="144"/>
      <c r="L4" s="70"/>
    </row>
    <row r="5" spans="2:15" x14ac:dyDescent="0.25">
      <c r="B5" s="94"/>
      <c r="C5" s="94"/>
      <c r="D5" s="94"/>
      <c r="E5" s="94"/>
      <c r="F5" s="94"/>
      <c r="G5" s="94"/>
      <c r="H5" s="94"/>
      <c r="I5" s="94"/>
      <c r="J5" s="114">
        <f>F6+1</f>
        <v>2021</v>
      </c>
      <c r="K5" s="94"/>
    </row>
    <row r="6" spans="2:15" x14ac:dyDescent="0.25">
      <c r="B6" s="94"/>
      <c r="C6" s="94"/>
      <c r="D6" s="94"/>
      <c r="E6" s="94"/>
      <c r="F6" s="647">
        <v>2020</v>
      </c>
      <c r="G6" s="96">
        <f>+F6</f>
        <v>2020</v>
      </c>
      <c r="H6" s="114"/>
      <c r="I6" s="114" t="s">
        <v>40</v>
      </c>
      <c r="J6" s="114" t="s">
        <v>28</v>
      </c>
      <c r="K6" s="114"/>
    </row>
    <row r="7" spans="2:15" x14ac:dyDescent="0.25">
      <c r="E7" s="109" t="s">
        <v>12</v>
      </c>
      <c r="F7" s="109" t="s">
        <v>11</v>
      </c>
      <c r="G7" s="96" t="s">
        <v>39</v>
      </c>
      <c r="H7" s="109" t="s">
        <v>10</v>
      </c>
      <c r="I7" s="109" t="s">
        <v>6</v>
      </c>
      <c r="J7" s="109" t="s">
        <v>150</v>
      </c>
      <c r="K7" s="109" t="s">
        <v>29</v>
      </c>
    </row>
    <row r="8" spans="2:15" ht="14.5" x14ac:dyDescent="0.25">
      <c r="B8" s="4" t="s">
        <v>38</v>
      </c>
      <c r="C8" s="625" t="s">
        <v>27</v>
      </c>
      <c r="D8" s="625"/>
      <c r="E8" s="110" t="s">
        <v>7</v>
      </c>
      <c r="F8" s="110" t="s">
        <v>90</v>
      </c>
      <c r="G8" s="41" t="s">
        <v>91</v>
      </c>
      <c r="H8" s="110" t="s">
        <v>37</v>
      </c>
      <c r="I8" s="110" t="s">
        <v>36</v>
      </c>
      <c r="J8" s="110" t="s">
        <v>112</v>
      </c>
      <c r="K8" s="110" t="s">
        <v>6</v>
      </c>
    </row>
    <row r="9" spans="2:15" x14ac:dyDescent="0.25">
      <c r="B9" s="109">
        <v>1</v>
      </c>
      <c r="C9" s="95" t="s">
        <v>5</v>
      </c>
      <c r="E9" s="109" t="s">
        <v>26</v>
      </c>
      <c r="F9" s="10">
        <f>'Margin Revenue'!M10</f>
        <v>626901489.92004681</v>
      </c>
      <c r="G9" s="74">
        <f>+'Margin Revenue'!N10</f>
        <v>395910689.96699548</v>
      </c>
      <c r="H9" s="107">
        <f>G9/$G$47</f>
        <v>0.7179056667745457</v>
      </c>
      <c r="I9" s="73">
        <f>$I$49*H9</f>
        <v>2288077.5168724838</v>
      </c>
      <c r="J9" s="86">
        <f>ROUND(I9/F9,5)</f>
        <v>3.65E-3</v>
      </c>
      <c r="K9" s="73">
        <f>F9*(J9)</f>
        <v>2288190.4382081707</v>
      </c>
      <c r="L9" s="87"/>
      <c r="M9" s="57"/>
      <c r="N9" s="27"/>
      <c r="O9" s="58"/>
    </row>
    <row r="10" spans="2:15" x14ac:dyDescent="0.25">
      <c r="B10" s="109"/>
      <c r="E10" s="109"/>
      <c r="F10" s="56"/>
      <c r="G10" s="12"/>
      <c r="H10" s="85"/>
      <c r="I10" s="73"/>
      <c r="J10" s="86"/>
      <c r="K10" s="73"/>
      <c r="M10" s="57"/>
      <c r="N10" s="27"/>
      <c r="O10" s="58"/>
    </row>
    <row r="11" spans="2:15" x14ac:dyDescent="0.25">
      <c r="B11" s="109">
        <v>2</v>
      </c>
      <c r="C11" s="95" t="s">
        <v>25</v>
      </c>
      <c r="E11" s="109" t="s">
        <v>35</v>
      </c>
      <c r="F11" s="10">
        <f>'Margin Revenue'!M13</f>
        <v>221175078.62786937</v>
      </c>
      <c r="G11" s="74">
        <f>+'Margin Revenue'!N13</f>
        <v>117764834.1150125</v>
      </c>
      <c r="H11" s="85">
        <f>G11/$G$47</f>
        <v>0.21354321542815555</v>
      </c>
      <c r="I11" s="73">
        <f>$I$49*H11</f>
        <v>680595.58896790713</v>
      </c>
      <c r="J11" s="86">
        <f>ROUND(I11/F11,5)</f>
        <v>3.0799999999999998E-3</v>
      </c>
      <c r="K11" s="73">
        <f>F11*(J11)</f>
        <v>681219.24217383761</v>
      </c>
      <c r="L11" s="87"/>
      <c r="M11" s="57"/>
      <c r="N11" s="27"/>
      <c r="O11" s="58"/>
    </row>
    <row r="12" spans="2:15" x14ac:dyDescent="0.25">
      <c r="B12" s="109"/>
      <c r="E12" s="109"/>
      <c r="F12" s="56"/>
      <c r="G12" s="101"/>
      <c r="H12" s="85"/>
      <c r="I12" s="73"/>
      <c r="J12" s="86"/>
      <c r="K12" s="73"/>
      <c r="M12" s="57"/>
      <c r="N12" s="27"/>
      <c r="O12" s="58"/>
    </row>
    <row r="13" spans="2:15" x14ac:dyDescent="0.25">
      <c r="B13" s="109">
        <v>3</v>
      </c>
      <c r="C13" s="95" t="s">
        <v>24</v>
      </c>
      <c r="E13" s="109" t="s">
        <v>34</v>
      </c>
      <c r="F13" s="10">
        <f>'Margin Revenue'!M15</f>
        <v>81612956.841022506</v>
      </c>
      <c r="G13" s="74">
        <f>+'Margin Revenue'!N15</f>
        <v>20994856.972917929</v>
      </c>
      <c r="H13" s="85">
        <f>G13/G$47</f>
        <v>3.8070017243624688E-2</v>
      </c>
      <c r="I13" s="88">
        <f>$I$49*H13</f>
        <v>121335.09255254413</v>
      </c>
      <c r="J13" s="86">
        <f>ROUND(I13/F13,5)</f>
        <v>1.49E-3</v>
      </c>
      <c r="K13" s="73">
        <f>F13*(J13)</f>
        <v>121603.30569312353</v>
      </c>
      <c r="L13" s="69"/>
      <c r="M13" s="57"/>
      <c r="N13" s="27"/>
      <c r="O13" s="58"/>
    </row>
    <row r="14" spans="2:15" x14ac:dyDescent="0.25">
      <c r="B14" s="109"/>
      <c r="E14" s="109"/>
      <c r="F14" s="71"/>
      <c r="G14" s="74"/>
      <c r="H14" s="85"/>
      <c r="I14" s="88"/>
      <c r="J14" s="86"/>
      <c r="K14" s="73"/>
      <c r="M14" s="57"/>
      <c r="N14" s="27"/>
      <c r="O14" s="58"/>
    </row>
    <row r="15" spans="2:15" x14ac:dyDescent="0.25">
      <c r="B15" s="109">
        <v>4</v>
      </c>
      <c r="C15" s="95" t="s">
        <v>4</v>
      </c>
      <c r="E15" s="109">
        <v>85</v>
      </c>
      <c r="F15" s="10"/>
      <c r="G15" s="74"/>
      <c r="H15" s="85"/>
      <c r="I15" s="88"/>
      <c r="J15" s="86"/>
      <c r="K15" s="73"/>
      <c r="M15" s="57"/>
      <c r="N15" s="27"/>
      <c r="O15" s="58"/>
    </row>
    <row r="16" spans="2:15" x14ac:dyDescent="0.25">
      <c r="B16" s="109">
        <v>5</v>
      </c>
      <c r="D16" s="95" t="s">
        <v>19</v>
      </c>
      <c r="E16" s="109"/>
      <c r="F16" s="10">
        <f>'Sch 85 87 Rate Calc'!G10</f>
        <v>7827275.7071266854</v>
      </c>
      <c r="G16" s="74"/>
      <c r="H16" s="85"/>
      <c r="I16" s="101"/>
      <c r="J16" s="8">
        <f>'Sch 85 87 Rate Calc'!L10</f>
        <v>1.0300000000000001E-3</v>
      </c>
      <c r="K16" s="73"/>
      <c r="L16" s="71"/>
      <c r="M16" s="57"/>
      <c r="N16" s="27"/>
      <c r="O16" s="58"/>
    </row>
    <row r="17" spans="2:15" x14ac:dyDescent="0.25">
      <c r="B17" s="109">
        <v>6</v>
      </c>
      <c r="D17" s="95" t="s">
        <v>18</v>
      </c>
      <c r="E17" s="109"/>
      <c r="F17" s="10">
        <f>'Sch 85 87 Rate Calc'!G11</f>
        <v>4237311.1448546117</v>
      </c>
      <c r="G17" s="74"/>
      <c r="H17" s="85"/>
      <c r="I17" s="101"/>
      <c r="J17" s="8">
        <f>'Sch 85 87 Rate Calc'!L11</f>
        <v>6.3000000000000003E-4</v>
      </c>
      <c r="K17" s="73"/>
      <c r="M17" s="57"/>
      <c r="N17" s="27"/>
      <c r="O17" s="58"/>
    </row>
    <row r="18" spans="2:15" x14ac:dyDescent="0.25">
      <c r="B18" s="109">
        <v>7</v>
      </c>
      <c r="D18" s="95" t="s">
        <v>23</v>
      </c>
      <c r="E18" s="109"/>
      <c r="F18" s="9">
        <f>'Sch 85 87 Rate Calc'!G16</f>
        <v>6140489.1856116317</v>
      </c>
      <c r="G18" s="74"/>
      <c r="H18" s="85"/>
      <c r="I18" s="101"/>
      <c r="J18" s="8">
        <f>'Sch 85 87 Rate Calc'!L16</f>
        <v>3.6000000000000002E-4</v>
      </c>
      <c r="K18" s="73"/>
      <c r="M18" s="57"/>
      <c r="N18" s="27"/>
      <c r="O18" s="58"/>
    </row>
    <row r="19" spans="2:15" x14ac:dyDescent="0.25">
      <c r="B19" s="109">
        <v>8</v>
      </c>
      <c r="D19" s="95" t="s">
        <v>0</v>
      </c>
      <c r="E19" s="109"/>
      <c r="F19" s="72">
        <f>SUM(F16:F18)</f>
        <v>18205076.037592929</v>
      </c>
      <c r="G19" s="74">
        <f>+'Margin Revenue'!N20</f>
        <v>2050103.9545684203</v>
      </c>
      <c r="H19" s="85">
        <f>G19/G$47</f>
        <v>3.7174577089198265E-3</v>
      </c>
      <c r="I19" s="88">
        <f>$I$49*H19</f>
        <v>11848.118488769302</v>
      </c>
      <c r="J19" s="86"/>
      <c r="K19" s="108">
        <f>'Sch 85 87 Rate Calc'!M17</f>
        <v>12942.17610641908</v>
      </c>
      <c r="M19" s="57"/>
      <c r="N19" s="27"/>
      <c r="O19" s="58"/>
    </row>
    <row r="20" spans="2:15" x14ac:dyDescent="0.25">
      <c r="B20" s="109"/>
      <c r="E20" s="109"/>
      <c r="F20" s="71"/>
      <c r="G20" s="12"/>
      <c r="H20" s="85"/>
      <c r="I20" s="88"/>
      <c r="J20" s="86"/>
      <c r="K20" s="73"/>
      <c r="M20" s="57"/>
      <c r="N20" s="27"/>
      <c r="O20" s="58"/>
    </row>
    <row r="21" spans="2:15" x14ac:dyDescent="0.25">
      <c r="B21" s="109">
        <v>9</v>
      </c>
      <c r="C21" s="95" t="s">
        <v>4</v>
      </c>
      <c r="E21" s="109" t="s">
        <v>33</v>
      </c>
      <c r="F21" s="59">
        <f>'Margin Revenue'!M17</f>
        <v>7076278.8580077542</v>
      </c>
      <c r="G21" s="74">
        <f>'Margin Revenue'!N17</f>
        <v>1609870.6574668826</v>
      </c>
      <c r="H21" s="85">
        <f>G21/G$47</f>
        <v>2.919181767650388E-3</v>
      </c>
      <c r="I21" s="88">
        <f>$I$49*H21</f>
        <v>9303.8883510060514</v>
      </c>
      <c r="J21" s="86">
        <f>ROUND(I21/F21,5)</f>
        <v>1.31E-3</v>
      </c>
      <c r="K21" s="73">
        <f>F21*(J21)</f>
        <v>9269.9253039901578</v>
      </c>
      <c r="M21" s="57"/>
      <c r="N21" s="27"/>
      <c r="O21" s="58"/>
    </row>
    <row r="22" spans="2:15" x14ac:dyDescent="0.25">
      <c r="B22" s="109"/>
      <c r="E22" s="109"/>
      <c r="F22" s="71"/>
      <c r="G22" s="74"/>
      <c r="H22" s="85"/>
      <c r="I22" s="88"/>
      <c r="J22" s="86"/>
      <c r="K22" s="73"/>
      <c r="M22" s="57"/>
      <c r="N22" s="27"/>
      <c r="O22" s="58"/>
    </row>
    <row r="23" spans="2:15" x14ac:dyDescent="0.25">
      <c r="B23" s="109">
        <v>10</v>
      </c>
      <c r="C23" s="95" t="s">
        <v>4</v>
      </c>
      <c r="E23" s="109">
        <v>87</v>
      </c>
      <c r="F23" s="71"/>
      <c r="G23" s="74"/>
      <c r="H23" s="85"/>
      <c r="I23" s="88"/>
      <c r="J23" s="86"/>
      <c r="K23" s="73"/>
      <c r="M23" s="57"/>
      <c r="N23" s="27"/>
      <c r="O23" s="58"/>
    </row>
    <row r="24" spans="2:15" x14ac:dyDescent="0.25">
      <c r="B24" s="109">
        <v>11</v>
      </c>
      <c r="D24" s="95" t="s">
        <v>19</v>
      </c>
      <c r="E24" s="109"/>
      <c r="F24" s="10">
        <f>'Sch 85 87 Rate Calc'!G20</f>
        <v>1544118.4906812124</v>
      </c>
      <c r="G24" s="74"/>
      <c r="H24" s="85"/>
      <c r="I24" s="88"/>
      <c r="J24" s="8">
        <f>'Sch 85 87 Rate Calc'!L20</f>
        <v>1.0300000000000001E-3</v>
      </c>
      <c r="K24" s="73"/>
      <c r="M24" s="57"/>
      <c r="N24" s="27"/>
      <c r="O24" s="58"/>
    </row>
    <row r="25" spans="2:15" x14ac:dyDescent="0.25">
      <c r="B25" s="109">
        <v>12</v>
      </c>
      <c r="D25" s="95" t="s">
        <v>18</v>
      </c>
      <c r="E25" s="109"/>
      <c r="F25" s="10">
        <f>'Sch 85 87 Rate Calc'!G21</f>
        <v>1493624.7866236097</v>
      </c>
      <c r="G25" s="74"/>
      <c r="H25" s="85"/>
      <c r="I25" s="88"/>
      <c r="J25" s="8">
        <f>'Sch 85 87 Rate Calc'!L21</f>
        <v>6.3000000000000003E-4</v>
      </c>
      <c r="K25" s="73"/>
      <c r="M25" s="57"/>
      <c r="N25" s="27"/>
      <c r="O25" s="58"/>
    </row>
    <row r="26" spans="2:15" x14ac:dyDescent="0.25">
      <c r="B26" s="109">
        <v>13</v>
      </c>
      <c r="D26" s="95" t="s">
        <v>17</v>
      </c>
      <c r="E26" s="109"/>
      <c r="F26" s="10">
        <f>'Sch 85 87 Rate Calc'!G22</f>
        <v>2640029.8247216977</v>
      </c>
      <c r="G26" s="74"/>
      <c r="H26" s="85"/>
      <c r="I26" s="88"/>
      <c r="J26" s="8">
        <f>'Sch 85 87 Rate Calc'!L22</f>
        <v>4.0999999999999999E-4</v>
      </c>
      <c r="K26" s="73"/>
      <c r="M26" s="57"/>
      <c r="N26" s="27"/>
      <c r="O26" s="58"/>
    </row>
    <row r="27" spans="2:15" x14ac:dyDescent="0.25">
      <c r="B27" s="109">
        <v>14</v>
      </c>
      <c r="D27" s="95" t="s">
        <v>16</v>
      </c>
      <c r="E27" s="109"/>
      <c r="F27" s="10">
        <f>'Sch 85 87 Rate Calc'!G23</f>
        <v>3090984.4828635105</v>
      </c>
      <c r="G27" s="74"/>
      <c r="H27" s="85"/>
      <c r="I27" s="88"/>
      <c r="J27" s="8">
        <f>'Sch 85 87 Rate Calc'!L23</f>
        <v>2.7E-4</v>
      </c>
      <c r="K27" s="73"/>
      <c r="M27" s="57"/>
      <c r="N27" s="27"/>
      <c r="O27" s="58"/>
    </row>
    <row r="28" spans="2:15" x14ac:dyDescent="0.25">
      <c r="B28" s="109">
        <v>15</v>
      </c>
      <c r="D28" s="95" t="s">
        <v>15</v>
      </c>
      <c r="E28" s="109"/>
      <c r="F28" s="10">
        <f>'Sch 85 87 Rate Calc'!G24</f>
        <v>3839561.8036101637</v>
      </c>
      <c r="G28" s="74"/>
      <c r="H28" s="85"/>
      <c r="I28" s="88"/>
      <c r="J28" s="8">
        <f>'Sch 85 87 Rate Calc'!L24</f>
        <v>2.0000000000000001E-4</v>
      </c>
      <c r="K28" s="73"/>
      <c r="M28" s="57"/>
      <c r="N28" s="27"/>
      <c r="O28" s="58"/>
    </row>
    <row r="29" spans="2:15" x14ac:dyDescent="0.25">
      <c r="B29" s="109">
        <v>16</v>
      </c>
      <c r="D29" s="95" t="s">
        <v>21</v>
      </c>
      <c r="E29" s="109"/>
      <c r="F29" s="9">
        <f>'Sch 85 87 Rate Calc'!G25</f>
        <v>9823078.6020901799</v>
      </c>
      <c r="G29" s="74"/>
      <c r="H29" s="85"/>
      <c r="I29" s="88"/>
      <c r="J29" s="8">
        <f>'Sch 85 87 Rate Calc'!L25</f>
        <v>1.6000000000000001E-4</v>
      </c>
      <c r="K29" s="73"/>
      <c r="M29" s="57"/>
      <c r="N29" s="27"/>
      <c r="O29" s="58"/>
    </row>
    <row r="30" spans="2:15" x14ac:dyDescent="0.25">
      <c r="B30" s="109">
        <v>17</v>
      </c>
      <c r="D30" s="95" t="s">
        <v>0</v>
      </c>
      <c r="E30" s="109"/>
      <c r="F30" s="72">
        <f>SUM(F24:F29)</f>
        <v>22431397.990590375</v>
      </c>
      <c r="G30" s="74">
        <f>+'Margin Revenue'!N21</f>
        <v>1440081.5576607841</v>
      </c>
      <c r="H30" s="85">
        <f>G30/G$47</f>
        <v>2.6113028444581187E-3</v>
      </c>
      <c r="I30" s="88">
        <f>$I$49*H30</f>
        <v>8322.6301235286919</v>
      </c>
      <c r="J30" s="86"/>
      <c r="K30" s="74">
        <f>'Sch 85 87 Rate Calc'!M26</f>
        <v>6788.0086365400284</v>
      </c>
      <c r="M30" s="57"/>
      <c r="N30" s="27"/>
      <c r="O30" s="58"/>
    </row>
    <row r="31" spans="2:15" x14ac:dyDescent="0.25">
      <c r="B31" s="109"/>
      <c r="E31" s="109"/>
      <c r="F31" s="72"/>
      <c r="G31" s="12"/>
      <c r="H31" s="85"/>
      <c r="I31" s="88"/>
      <c r="J31" s="86"/>
      <c r="K31" s="74"/>
      <c r="M31" s="89"/>
      <c r="N31" s="27"/>
      <c r="O31" s="58"/>
    </row>
    <row r="32" spans="2:15" x14ac:dyDescent="0.25">
      <c r="B32" s="109">
        <f>B30+1</f>
        <v>18</v>
      </c>
      <c r="C32" s="95" t="s">
        <v>22</v>
      </c>
      <c r="E32" s="109" t="s">
        <v>3</v>
      </c>
      <c r="F32" s="72"/>
      <c r="G32" s="12"/>
      <c r="H32" s="85"/>
      <c r="I32" s="88"/>
      <c r="J32" s="86"/>
      <c r="K32" s="74"/>
      <c r="M32" s="89"/>
      <c r="N32" s="27"/>
      <c r="O32" s="58"/>
    </row>
    <row r="33" spans="2:15" x14ac:dyDescent="0.25">
      <c r="B33" s="109">
        <f>B32+1</f>
        <v>19</v>
      </c>
      <c r="D33" s="95" t="s">
        <v>19</v>
      </c>
      <c r="E33" s="109"/>
      <c r="F33" s="7">
        <f>'Sch 85 87 Rate Calc'!G29</f>
        <v>25236810.661203414</v>
      </c>
      <c r="G33" s="12"/>
      <c r="H33" s="85"/>
      <c r="I33" s="88"/>
      <c r="J33" s="5">
        <f>'Sch 85 87 Rate Calc'!L29</f>
        <v>1.0300000000000001E-3</v>
      </c>
      <c r="K33" s="74"/>
      <c r="M33" s="89"/>
      <c r="N33" s="27"/>
      <c r="O33" s="58"/>
    </row>
    <row r="34" spans="2:15" x14ac:dyDescent="0.25">
      <c r="B34" s="109">
        <f>B33+1</f>
        <v>20</v>
      </c>
      <c r="D34" s="95" t="s">
        <v>18</v>
      </c>
      <c r="E34" s="109"/>
      <c r="F34" s="7">
        <f>'Sch 85 87 Rate Calc'!G30</f>
        <v>17225332.687383741</v>
      </c>
      <c r="G34" s="12"/>
      <c r="H34" s="85"/>
      <c r="I34" s="88"/>
      <c r="J34" s="5">
        <f>'Sch 85 87 Rate Calc'!L30</f>
        <v>6.3000000000000003E-4</v>
      </c>
      <c r="K34" s="74"/>
      <c r="M34" s="89"/>
      <c r="N34" s="27"/>
      <c r="O34" s="58"/>
    </row>
    <row r="35" spans="2:15" x14ac:dyDescent="0.25">
      <c r="B35" s="109">
        <f>B34+1</f>
        <v>21</v>
      </c>
      <c r="D35" s="95" t="s">
        <v>23</v>
      </c>
      <c r="E35" s="109"/>
      <c r="F35" s="6">
        <f>'Sch 85 87 Rate Calc'!G35</f>
        <v>24751775.445557356</v>
      </c>
      <c r="G35" s="12"/>
      <c r="H35" s="85"/>
      <c r="I35" s="88"/>
      <c r="J35" s="5">
        <f>'Sch 85 87 Rate Calc'!L35</f>
        <v>3.6000000000000002E-4</v>
      </c>
      <c r="K35" s="74"/>
      <c r="M35" s="89"/>
      <c r="N35" s="27"/>
      <c r="O35" s="58"/>
    </row>
    <row r="36" spans="2:15" x14ac:dyDescent="0.25">
      <c r="B36" s="109">
        <f>B35+1</f>
        <v>22</v>
      </c>
      <c r="D36" s="95" t="s">
        <v>0</v>
      </c>
      <c r="E36" s="109"/>
      <c r="F36" s="72">
        <f>SUM(F33:F35)</f>
        <v>67213918.794144511</v>
      </c>
      <c r="G36" s="74">
        <f>+'Margin Revenue'!N25</f>
        <v>7243182.8762958609</v>
      </c>
      <c r="H36" s="85">
        <f>G36/G$47</f>
        <v>1.3134078377147725E-2</v>
      </c>
      <c r="I36" s="88">
        <f>$I$49*H36</f>
        <v>41860.359696854634</v>
      </c>
      <c r="J36" s="86"/>
      <c r="K36" s="74">
        <f>'Sch 85 87 Rate Calc'!M36</f>
        <v>45756.51373449192</v>
      </c>
      <c r="M36" s="57"/>
      <c r="N36" s="27"/>
      <c r="O36" s="58"/>
    </row>
    <row r="37" spans="2:15" x14ac:dyDescent="0.25">
      <c r="B37" s="109"/>
      <c r="E37" s="109"/>
      <c r="F37" s="72"/>
      <c r="G37" s="12"/>
      <c r="H37" s="85"/>
      <c r="I37" s="88"/>
      <c r="J37" s="86"/>
      <c r="K37" s="74"/>
      <c r="M37" s="89"/>
      <c r="N37" s="27"/>
      <c r="O37" s="58"/>
    </row>
    <row r="38" spans="2:15" x14ac:dyDescent="0.25">
      <c r="B38" s="109">
        <f>B36+1</f>
        <v>23</v>
      </c>
      <c r="C38" s="95" t="s">
        <v>22</v>
      </c>
      <c r="E38" s="109" t="s">
        <v>2</v>
      </c>
      <c r="F38" s="72"/>
      <c r="G38" s="12"/>
      <c r="H38" s="85"/>
      <c r="I38" s="88"/>
      <c r="J38" s="86"/>
      <c r="K38" s="74"/>
      <c r="M38" s="89"/>
      <c r="N38" s="27"/>
      <c r="O38" s="58"/>
    </row>
    <row r="39" spans="2:15" x14ac:dyDescent="0.25">
      <c r="B39" s="109">
        <f t="shared" ref="B39:B45" si="0">B38+1</f>
        <v>24</v>
      </c>
      <c r="D39" s="95" t="s">
        <v>19</v>
      </c>
      <c r="E39" s="109"/>
      <c r="F39" s="7">
        <f>'Sch 85 87 Rate Calc'!G39</f>
        <v>2995517.9831827828</v>
      </c>
      <c r="G39" s="12"/>
      <c r="H39" s="85"/>
      <c r="I39" s="88"/>
      <c r="J39" s="5">
        <f>'Sch 85 87 Rate Calc'!L39</f>
        <v>1.0300000000000001E-3</v>
      </c>
      <c r="K39" s="74"/>
      <c r="M39" s="89"/>
      <c r="N39" s="27"/>
      <c r="O39" s="58"/>
    </row>
    <row r="40" spans="2:15" x14ac:dyDescent="0.25">
      <c r="B40" s="109">
        <f t="shared" si="0"/>
        <v>25</v>
      </c>
      <c r="D40" s="95" t="s">
        <v>18</v>
      </c>
      <c r="E40" s="109"/>
      <c r="F40" s="7">
        <f>'Sch 85 87 Rate Calc'!G40</f>
        <v>2976737.083934221</v>
      </c>
      <c r="G40" s="12"/>
      <c r="H40" s="85"/>
      <c r="I40" s="88"/>
      <c r="J40" s="5">
        <f>'Sch 85 87 Rate Calc'!L40</f>
        <v>6.3000000000000003E-4</v>
      </c>
      <c r="K40" s="74"/>
      <c r="M40" s="89"/>
      <c r="N40" s="27"/>
      <c r="O40" s="58"/>
    </row>
    <row r="41" spans="2:15" x14ac:dyDescent="0.25">
      <c r="B41" s="109">
        <f t="shared" si="0"/>
        <v>26</v>
      </c>
      <c r="D41" s="95" t="s">
        <v>17</v>
      </c>
      <c r="E41" s="109"/>
      <c r="F41" s="7">
        <f>'Sch 85 87 Rate Calc'!G41</f>
        <v>5941110.6666458528</v>
      </c>
      <c r="G41" s="12"/>
      <c r="H41" s="85"/>
      <c r="I41" s="88"/>
      <c r="J41" s="5">
        <f>'Sch 85 87 Rate Calc'!L41</f>
        <v>4.0999999999999999E-4</v>
      </c>
      <c r="K41" s="74"/>
      <c r="M41" s="89"/>
      <c r="N41" s="27"/>
      <c r="O41" s="58"/>
    </row>
    <row r="42" spans="2:15" x14ac:dyDescent="0.25">
      <c r="B42" s="109">
        <f t="shared" si="0"/>
        <v>27</v>
      </c>
      <c r="D42" s="95" t="s">
        <v>16</v>
      </c>
      <c r="E42" s="109"/>
      <c r="F42" s="7">
        <f>'Sch 85 87 Rate Calc'!G42</f>
        <v>11395590.450369712</v>
      </c>
      <c r="G42" s="12"/>
      <c r="H42" s="85"/>
      <c r="I42" s="88"/>
      <c r="J42" s="5">
        <f>'Sch 85 87 Rate Calc'!L42</f>
        <v>2.7E-4</v>
      </c>
      <c r="K42" s="74"/>
      <c r="M42" s="89"/>
      <c r="N42" s="27"/>
      <c r="O42" s="58"/>
    </row>
    <row r="43" spans="2:15" x14ac:dyDescent="0.25">
      <c r="B43" s="109">
        <f t="shared" si="0"/>
        <v>28</v>
      </c>
      <c r="D43" s="95" t="s">
        <v>15</v>
      </c>
      <c r="E43" s="109"/>
      <c r="F43" s="7">
        <f>'Sch 85 87 Rate Calc'!G43</f>
        <v>25412523.740112875</v>
      </c>
      <c r="G43" s="12"/>
      <c r="H43" s="85"/>
      <c r="I43" s="88"/>
      <c r="J43" s="5">
        <f>'Sch 85 87 Rate Calc'!L43</f>
        <v>2.0000000000000001E-4</v>
      </c>
      <c r="K43" s="74"/>
      <c r="M43" s="89"/>
      <c r="N43" s="27"/>
      <c r="O43" s="58"/>
    </row>
    <row r="44" spans="2:15" x14ac:dyDescent="0.25">
      <c r="B44" s="109">
        <f t="shared" si="0"/>
        <v>29</v>
      </c>
      <c r="D44" s="95" t="s">
        <v>21</v>
      </c>
      <c r="E44" s="109"/>
      <c r="F44" s="6">
        <f>'Sch 85 87 Rate Calc'!G44</f>
        <v>44164979.546918206</v>
      </c>
      <c r="G44" s="12"/>
      <c r="H44" s="85"/>
      <c r="I44" s="88"/>
      <c r="J44" s="5">
        <f>'Sch 85 87 Rate Calc'!L44</f>
        <v>1.6000000000000001E-4</v>
      </c>
      <c r="K44" s="74"/>
      <c r="M44" s="89"/>
      <c r="N44" s="27"/>
      <c r="O44" s="58"/>
    </row>
    <row r="45" spans="2:15" x14ac:dyDescent="0.25">
      <c r="B45" s="109">
        <f t="shared" si="0"/>
        <v>30</v>
      </c>
      <c r="D45" s="95" t="s">
        <v>0</v>
      </c>
      <c r="E45" s="109"/>
      <c r="F45" s="72">
        <f>SUM(F39:F44)</f>
        <v>92886459.47116366</v>
      </c>
      <c r="G45" s="74">
        <f>+'Margin Revenue'!N26</f>
        <v>4466481.3806171101</v>
      </c>
      <c r="H45" s="85">
        <f>G45/G$47</f>
        <v>8.0990798554980321E-3</v>
      </c>
      <c r="I45" s="88">
        <f>$I$49*H45</f>
        <v>25813.032801340945</v>
      </c>
      <c r="J45" s="86"/>
      <c r="K45" s="74">
        <f>'Sch 85 87 Rate Calc'!M45</f>
        <v>22622.294156010936</v>
      </c>
      <c r="M45" s="57"/>
      <c r="N45" s="27"/>
      <c r="O45" s="58"/>
    </row>
    <row r="46" spans="2:15" x14ac:dyDescent="0.25">
      <c r="B46" s="109"/>
      <c r="F46" s="76"/>
      <c r="G46" s="4"/>
      <c r="H46" s="90"/>
      <c r="I46" s="91"/>
      <c r="J46" s="92"/>
      <c r="K46" s="91"/>
      <c r="L46" s="4"/>
      <c r="M46" s="57"/>
      <c r="N46" s="66"/>
      <c r="O46" s="58"/>
    </row>
    <row r="47" spans="2:15" x14ac:dyDescent="0.25">
      <c r="B47" s="109">
        <f>B45+1</f>
        <v>31</v>
      </c>
      <c r="D47" s="95" t="s">
        <v>0</v>
      </c>
      <c r="F47" s="78">
        <f>F9+F11+F13+F19+F21+F30+F36+F45</f>
        <v>1137502656.5404379</v>
      </c>
      <c r="G47" s="79">
        <f>G9+G11+G13+G19+G21+G30+G36+G45</f>
        <v>551480101.48153496</v>
      </c>
      <c r="H47" s="85">
        <f>SUM(H9:H46)</f>
        <v>1</v>
      </c>
      <c r="I47" s="79">
        <f>I9+I11+I13+I19+I21+I30+I36+I45</f>
        <v>3187156.2278544349</v>
      </c>
      <c r="J47" s="86">
        <f>ROUND(K47/F47,5)</f>
        <v>2.8E-3</v>
      </c>
      <c r="K47" s="79">
        <f>K9+K11+K13+K19+K21+K30+K36+K45</f>
        <v>3188391.9040125832</v>
      </c>
      <c r="L47" s="3">
        <f>K47-I47</f>
        <v>1235.6761581483297</v>
      </c>
      <c r="M47" s="57"/>
      <c r="N47" s="27"/>
      <c r="O47" s="58"/>
    </row>
    <row r="48" spans="2:15" x14ac:dyDescent="0.25">
      <c r="B48" s="109"/>
      <c r="F48" s="77"/>
      <c r="G48" s="1"/>
      <c r="H48" s="77"/>
      <c r="I48" s="77"/>
      <c r="J48" s="77"/>
      <c r="K48" s="77"/>
      <c r="L48" s="2">
        <f>L47/I47</f>
        <v>3.8770492244748726E-4</v>
      </c>
      <c r="N48" s="75"/>
    </row>
    <row r="49" spans="2:14" ht="15" customHeight="1" x14ac:dyDescent="0.25">
      <c r="B49" s="109">
        <f>B47+1</f>
        <v>32</v>
      </c>
      <c r="D49" s="95" t="s">
        <v>20</v>
      </c>
      <c r="F49" s="77"/>
      <c r="G49" s="1"/>
      <c r="H49" s="77"/>
      <c r="I49" s="108">
        <f>'Revenue Req 2021-2022'!G28</f>
        <v>3187156.2278544344</v>
      </c>
      <c r="J49" s="77"/>
      <c r="K49" s="80"/>
      <c r="L49" s="77"/>
    </row>
    <row r="50" spans="2:14" x14ac:dyDescent="0.25">
      <c r="I50" s="101"/>
      <c r="N50" s="75"/>
    </row>
    <row r="51" spans="2:14" s="94" customFormat="1" ht="15" customHeight="1" x14ac:dyDescent="0.25">
      <c r="B51" s="61" t="s">
        <v>32</v>
      </c>
      <c r="C51" s="644" t="str">
        <f>'Margin Revenue'!$C$37</f>
        <v>Weather normalized volume for year ending December 31, 2020 from 2020 Commission Basis Report (CBR)</v>
      </c>
      <c r="D51" s="113"/>
      <c r="E51" s="113"/>
      <c r="F51" s="113"/>
      <c r="G51" s="113"/>
      <c r="H51" s="113"/>
      <c r="I51" s="113"/>
      <c r="J51" s="113"/>
      <c r="K51" s="113"/>
    </row>
    <row r="52" spans="2:14" s="94" customFormat="1" ht="15" customHeight="1" x14ac:dyDescent="0.25">
      <c r="B52" s="61" t="s">
        <v>31</v>
      </c>
      <c r="C52" s="635" t="str">
        <f>'Margin Revenue'!$C$38</f>
        <v>Weather normalized margin revenue for 12 months ending December 31, 2020, given 2020 volume, priced at current rates effective May 1, 2021.</v>
      </c>
      <c r="D52" s="635"/>
      <c r="E52" s="635"/>
      <c r="F52" s="635"/>
      <c r="G52" s="635"/>
      <c r="H52" s="635"/>
      <c r="I52" s="635"/>
      <c r="J52" s="635"/>
      <c r="K52" s="635"/>
      <c r="L52" s="24"/>
    </row>
    <row r="53" spans="2:14" x14ac:dyDescent="0.25">
      <c r="B53" s="81"/>
      <c r="D53" s="82"/>
      <c r="E53" s="82"/>
      <c r="F53" s="82"/>
      <c r="G53" s="82"/>
      <c r="H53" s="82"/>
    </row>
    <row r="54" spans="2:14" x14ac:dyDescent="0.25">
      <c r="C54" s="97"/>
      <c r="D54" s="97"/>
      <c r="H54" s="82"/>
    </row>
    <row r="55" spans="2:14" x14ac:dyDescent="0.25">
      <c r="C55" s="97"/>
      <c r="D55" s="83"/>
      <c r="E55" s="77"/>
      <c r="F55" s="77"/>
      <c r="H55" s="82"/>
    </row>
    <row r="56" spans="2:14" x14ac:dyDescent="0.25">
      <c r="C56" s="97"/>
      <c r="D56" s="77"/>
      <c r="E56" s="97"/>
      <c r="F56" s="97"/>
      <c r="G56" s="82"/>
      <c r="H56" s="82"/>
    </row>
    <row r="57" spans="2:14" x14ac:dyDescent="0.25">
      <c r="C57" s="97"/>
      <c r="D57" s="77"/>
      <c r="E57" s="98"/>
      <c r="F57" s="84"/>
      <c r="H57" s="82"/>
    </row>
    <row r="58" spans="2:14" x14ac:dyDescent="0.25">
      <c r="C58" s="82"/>
      <c r="D58" s="82"/>
      <c r="E58" s="98"/>
      <c r="F58" s="84"/>
      <c r="H58" s="82"/>
    </row>
    <row r="59" spans="2:14" x14ac:dyDescent="0.25">
      <c r="E59" s="98"/>
      <c r="F59" s="84"/>
    </row>
    <row r="60" spans="2:14" x14ac:dyDescent="0.25">
      <c r="E60" s="77"/>
      <c r="F60" s="77"/>
    </row>
    <row r="61" spans="2:14" x14ac:dyDescent="0.25">
      <c r="E61" s="77"/>
      <c r="F61" s="77"/>
    </row>
    <row r="62" spans="2:14" x14ac:dyDescent="0.25">
      <c r="E62" s="77"/>
      <c r="F62" s="77"/>
    </row>
  </sheetData>
  <mergeCells count="2">
    <mergeCell ref="C8:D8"/>
    <mergeCell ref="C52:K52"/>
  </mergeCells>
  <printOptions horizontalCentered="1"/>
  <pageMargins left="0.75" right="0.75" top="1" bottom="1" header="0.5" footer="0.5"/>
  <pageSetup scale="76" orientation="portrait" blackAndWhite="1" horizontalDpi="300" verticalDpi="300" r:id="rId1"/>
  <headerFooter alignWithMargins="0">
    <oddFooter>&amp;L&amp;F 
&amp;A&amp;C&amp;P&amp;R&amp;D</oddFooter>
  </headerFooter>
  <ignoredErrors>
    <ignoredError sqref="H47 J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zoomScale="90" zoomScaleNormal="90" workbookViewId="0">
      <pane xSplit="1" ySplit="6" topLeftCell="B22" activePane="bottomRight" state="frozen"/>
      <selection activeCell="U10" sqref="U10"/>
      <selection pane="topRight" activeCell="U10" sqref="U10"/>
      <selection pane="bottomLeft" activeCell="U10" sqref="U10"/>
      <selection pane="bottomRight" activeCell="G28" sqref="G28"/>
    </sheetView>
  </sheetViews>
  <sheetFormatPr defaultColWidth="8.7265625" defaultRowHeight="12.5" x14ac:dyDescent="0.25"/>
  <cols>
    <col min="1" max="1" width="8.54296875" style="407" customWidth="1"/>
    <col min="2" max="2" width="35.26953125" style="407" customWidth="1"/>
    <col min="3" max="3" width="38.81640625" style="407" customWidth="1"/>
    <col min="4" max="5" width="10.453125" style="407" customWidth="1"/>
    <col min="6" max="6" width="12.26953125" style="406" bestFit="1" customWidth="1"/>
    <col min="7" max="7" width="11.81640625" style="406" bestFit="1" customWidth="1"/>
    <col min="8" max="8" width="12.26953125" style="406" bestFit="1" customWidth="1"/>
    <col min="9" max="9" width="11.81640625" style="407" bestFit="1" customWidth="1"/>
    <col min="10" max="21" width="8.7265625" style="406"/>
    <col min="22" max="16384" width="8.7265625" style="407"/>
  </cols>
  <sheetData>
    <row r="1" spans="1:21" ht="18" x14ac:dyDescent="0.4">
      <c r="A1" s="404" t="s">
        <v>87</v>
      </c>
      <c r="B1" s="405"/>
      <c r="C1" s="405"/>
      <c r="D1" s="405"/>
      <c r="E1" s="405"/>
      <c r="F1" s="405"/>
      <c r="G1" s="405"/>
      <c r="H1" s="405"/>
      <c r="I1" s="405"/>
    </row>
    <row r="2" spans="1:21" ht="18" x14ac:dyDescent="0.4">
      <c r="A2" s="404" t="s">
        <v>86</v>
      </c>
      <c r="B2" s="405"/>
      <c r="C2" s="405"/>
      <c r="D2" s="405"/>
      <c r="E2" s="405"/>
      <c r="F2" s="405"/>
      <c r="G2" s="405"/>
      <c r="H2" s="405"/>
      <c r="I2" s="405"/>
    </row>
    <row r="3" spans="1:21" ht="18" x14ac:dyDescent="0.4">
      <c r="A3" s="404" t="s">
        <v>85</v>
      </c>
      <c r="B3" s="408"/>
      <c r="C3" s="408"/>
      <c r="D3" s="408"/>
      <c r="E3" s="408"/>
      <c r="F3" s="408"/>
      <c r="G3" s="408"/>
      <c r="H3" s="408"/>
      <c r="I3" s="408"/>
    </row>
    <row r="4" spans="1:21" ht="18" x14ac:dyDescent="0.4">
      <c r="A4" s="404" t="s">
        <v>251</v>
      </c>
      <c r="B4" s="408"/>
      <c r="C4" s="408"/>
      <c r="D4" s="408"/>
      <c r="E4" s="408"/>
      <c r="F4" s="408"/>
      <c r="G4" s="408"/>
      <c r="H4" s="408"/>
      <c r="I4" s="408"/>
    </row>
    <row r="5" spans="1:21" s="410" customFormat="1" ht="17.25" customHeight="1" x14ac:dyDescent="0.35">
      <c r="A5" s="409"/>
      <c r="C5" s="411"/>
      <c r="D5" s="412"/>
      <c r="E5" s="413"/>
      <c r="F5" s="414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</row>
    <row r="6" spans="1:21" ht="39.75" customHeight="1" thickBot="1" x14ac:dyDescent="0.35">
      <c r="A6" s="416" t="s">
        <v>84</v>
      </c>
      <c r="B6" s="417"/>
      <c r="C6" s="418"/>
      <c r="D6" s="419" t="s">
        <v>83</v>
      </c>
      <c r="E6" s="420" t="s">
        <v>82</v>
      </c>
      <c r="F6" s="421" t="s">
        <v>67</v>
      </c>
      <c r="G6" s="421" t="s">
        <v>66</v>
      </c>
      <c r="H6" s="421" t="s">
        <v>65</v>
      </c>
      <c r="I6" s="422" t="s">
        <v>81</v>
      </c>
    </row>
    <row r="7" spans="1:21" x14ac:dyDescent="0.25">
      <c r="A7" s="423" t="s">
        <v>80</v>
      </c>
      <c r="B7" s="424" t="s">
        <v>79</v>
      </c>
      <c r="C7" s="425" t="s">
        <v>78</v>
      </c>
      <c r="D7" s="425" t="s">
        <v>77</v>
      </c>
      <c r="E7" s="426" t="s">
        <v>76</v>
      </c>
      <c r="F7" s="427" t="s">
        <v>75</v>
      </c>
      <c r="G7" s="427" t="s">
        <v>74</v>
      </c>
      <c r="H7" s="427" t="s">
        <v>73</v>
      </c>
      <c r="I7" s="427" t="s">
        <v>72</v>
      </c>
    </row>
    <row r="8" spans="1:21" x14ac:dyDescent="0.25">
      <c r="A8" s="423"/>
      <c r="B8" s="424"/>
      <c r="C8" s="425"/>
      <c r="D8" s="425"/>
      <c r="E8" s="426"/>
      <c r="F8" s="428"/>
      <c r="G8" s="428"/>
      <c r="H8" s="428"/>
      <c r="I8" s="428"/>
    </row>
    <row r="9" spans="1:21" x14ac:dyDescent="0.25">
      <c r="A9" s="423">
        <f>A8+1</f>
        <v>1</v>
      </c>
      <c r="B9" s="429" t="s">
        <v>252</v>
      </c>
      <c r="C9" s="425"/>
      <c r="D9" s="425"/>
      <c r="E9" s="426"/>
      <c r="F9" s="430">
        <v>21557696.521461602</v>
      </c>
      <c r="G9" s="430">
        <v>5934024.5710490262</v>
      </c>
      <c r="H9" s="430">
        <f>F9+G9</f>
        <v>27491721.092510629</v>
      </c>
      <c r="I9" s="428"/>
    </row>
    <row r="10" spans="1:21" ht="14.5" x14ac:dyDescent="0.35">
      <c r="A10" s="423">
        <f>A9+1</f>
        <v>2</v>
      </c>
      <c r="B10" s="429" t="s">
        <v>155</v>
      </c>
      <c r="C10" s="425"/>
      <c r="D10" s="431">
        <v>-3.8282465123056228E-3</v>
      </c>
      <c r="E10" s="432">
        <v>9.2854252627424232E-3</v>
      </c>
      <c r="F10" s="433">
        <f>IF(D10&lt;0,0,D10)*F9</f>
        <v>0</v>
      </c>
      <c r="G10" s="433">
        <f>IF(E10&lt;0,0,E10)*G9</f>
        <v>55099.941661752899</v>
      </c>
      <c r="H10" s="433">
        <f>F10+G10</f>
        <v>55099.941661752899</v>
      </c>
      <c r="I10" s="428"/>
    </row>
    <row r="11" spans="1:21" x14ac:dyDescent="0.25">
      <c r="A11" s="423">
        <f t="shared" ref="A11:A32" si="0">A10+1</f>
        <v>3</v>
      </c>
      <c r="B11" s="434" t="s">
        <v>253</v>
      </c>
      <c r="C11" s="425"/>
      <c r="D11" s="435" t="s">
        <v>156</v>
      </c>
      <c r="E11" s="436"/>
      <c r="F11" s="433">
        <v>1293461.791287696</v>
      </c>
      <c r="G11" s="433">
        <v>0</v>
      </c>
      <c r="H11" s="433">
        <f>F11+G11</f>
        <v>1293461.791287696</v>
      </c>
      <c r="I11" s="437" t="s">
        <v>157</v>
      </c>
    </row>
    <row r="12" spans="1:21" x14ac:dyDescent="0.25">
      <c r="A12" s="423">
        <f t="shared" si="0"/>
        <v>4</v>
      </c>
      <c r="B12" s="434" t="s">
        <v>254</v>
      </c>
      <c r="C12" s="425"/>
      <c r="D12" s="435"/>
      <c r="E12" s="436"/>
      <c r="F12" s="438">
        <f>H9*D17-F9</f>
        <v>3184852.4617979638</v>
      </c>
      <c r="G12" s="438">
        <f>H9*E17-G9</f>
        <v>-3184852.4617979629</v>
      </c>
      <c r="H12" s="439">
        <f>F12+G12</f>
        <v>0</v>
      </c>
      <c r="I12" s="440"/>
    </row>
    <row r="13" spans="1:21" x14ac:dyDescent="0.25">
      <c r="A13" s="423">
        <f t="shared" si="0"/>
        <v>5</v>
      </c>
      <c r="B13" s="429" t="s">
        <v>93</v>
      </c>
      <c r="C13" s="441"/>
      <c r="D13" s="442"/>
      <c r="E13" s="443"/>
      <c r="F13" s="444">
        <f>SUM(F9:F12)</f>
        <v>26036010.77454726</v>
      </c>
      <c r="G13" s="444">
        <f>SUM(G9:G12)</f>
        <v>2804272.0509128161</v>
      </c>
      <c r="H13" s="444">
        <f>SUM(H9:H12)</f>
        <v>28840282.825460076</v>
      </c>
      <c r="I13" s="445"/>
    </row>
    <row r="14" spans="1:21" s="406" customFormat="1" x14ac:dyDescent="0.25">
      <c r="A14" s="423">
        <f t="shared" si="0"/>
        <v>6</v>
      </c>
      <c r="B14" s="429"/>
      <c r="C14" s="441"/>
      <c r="D14" s="442"/>
      <c r="E14" s="443"/>
      <c r="F14" s="446"/>
      <c r="G14" s="446"/>
      <c r="H14" s="447"/>
      <c r="I14" s="445"/>
    </row>
    <row r="15" spans="1:21" x14ac:dyDescent="0.25">
      <c r="A15" s="423">
        <f t="shared" si="0"/>
        <v>7</v>
      </c>
      <c r="B15" s="429" t="s">
        <v>158</v>
      </c>
      <c r="C15" s="441"/>
      <c r="D15" s="442"/>
      <c r="E15" s="443"/>
      <c r="F15" s="446">
        <v>-266880.24567004479</v>
      </c>
      <c r="G15" s="446">
        <v>115499.97307219659</v>
      </c>
      <c r="H15" s="448">
        <f>SUM(F15:G15)</f>
        <v>-151380.2725978482</v>
      </c>
      <c r="I15" s="445"/>
    </row>
    <row r="16" spans="1:21" x14ac:dyDescent="0.25">
      <c r="A16" s="423">
        <f t="shared" si="0"/>
        <v>8</v>
      </c>
      <c r="B16" s="449" t="s">
        <v>255</v>
      </c>
      <c r="C16" s="441"/>
      <c r="D16" s="441"/>
      <c r="E16" s="450"/>
      <c r="F16" s="448">
        <v>1278.9064475521445</v>
      </c>
      <c r="G16" s="448">
        <v>220970.20678212121</v>
      </c>
      <c r="H16" s="448">
        <f>SUM(F16:G16)</f>
        <v>222249.11322967336</v>
      </c>
      <c r="I16" s="445"/>
    </row>
    <row r="17" spans="1:9" x14ac:dyDescent="0.25">
      <c r="A17" s="423">
        <f t="shared" si="0"/>
        <v>9</v>
      </c>
      <c r="B17" s="451" t="s">
        <v>94</v>
      </c>
      <c r="C17" s="441"/>
      <c r="D17" s="452">
        <v>0.9</v>
      </c>
      <c r="E17" s="452">
        <v>0.1</v>
      </c>
      <c r="F17" s="453">
        <f>H17*D17</f>
        <v>-885894.228</v>
      </c>
      <c r="G17" s="453">
        <f>H17*E17</f>
        <v>-98432.69200000001</v>
      </c>
      <c r="H17" s="454">
        <v>-984326.92</v>
      </c>
      <c r="I17" s="445"/>
    </row>
    <row r="18" spans="1:9" s="406" customFormat="1" x14ac:dyDescent="0.25">
      <c r="A18" s="423">
        <f t="shared" si="0"/>
        <v>10</v>
      </c>
      <c r="B18" s="429"/>
      <c r="C18" s="441"/>
      <c r="D18" s="452"/>
      <c r="E18" s="455"/>
      <c r="F18" s="448"/>
      <c r="G18" s="448"/>
      <c r="H18" s="448">
        <f>SUM(F18:G18)</f>
        <v>0</v>
      </c>
      <c r="I18" s="445"/>
    </row>
    <row r="19" spans="1:9" s="406" customFormat="1" ht="14.15" customHeight="1" x14ac:dyDescent="0.25">
      <c r="A19" s="423">
        <f t="shared" si="0"/>
        <v>11</v>
      </c>
      <c r="B19" s="449" t="s">
        <v>256</v>
      </c>
      <c r="C19" s="441"/>
      <c r="F19" s="456">
        <f>SUM(F13:F18)</f>
        <v>24884515.207324766</v>
      </c>
      <c r="G19" s="456">
        <f>SUM(G13:G18)</f>
        <v>3042309.5387671338</v>
      </c>
      <c r="H19" s="456">
        <f>SUM(H13:H18)</f>
        <v>27926824.746091899</v>
      </c>
      <c r="I19" s="445"/>
    </row>
    <row r="20" spans="1:9" s="406" customFormat="1" ht="14.15" customHeight="1" x14ac:dyDescent="0.25">
      <c r="A20" s="423">
        <f t="shared" si="0"/>
        <v>12</v>
      </c>
      <c r="B20" s="451"/>
      <c r="C20" s="441"/>
      <c r="D20" s="441"/>
      <c r="E20" s="457"/>
      <c r="F20" s="458"/>
      <c r="G20" s="458"/>
      <c r="H20" s="458"/>
      <c r="I20" s="445"/>
    </row>
    <row r="21" spans="1:9" s="406" customFormat="1" ht="14.15" customHeight="1" x14ac:dyDescent="0.25">
      <c r="A21" s="423">
        <f t="shared" si="0"/>
        <v>13</v>
      </c>
      <c r="B21" s="459" t="s">
        <v>71</v>
      </c>
      <c r="C21" s="441"/>
      <c r="D21" s="441"/>
      <c r="E21" s="457"/>
      <c r="F21" s="458"/>
      <c r="G21" s="458"/>
      <c r="H21" s="458"/>
      <c r="I21" s="445"/>
    </row>
    <row r="22" spans="1:9" s="406" customFormat="1" ht="14.15" customHeight="1" x14ac:dyDescent="0.25">
      <c r="A22" s="423">
        <f t="shared" si="0"/>
        <v>14</v>
      </c>
      <c r="B22" s="451" t="s">
        <v>159</v>
      </c>
      <c r="C22" s="441"/>
      <c r="D22" s="441"/>
      <c r="E22" s="457"/>
      <c r="F22" s="460">
        <v>8.4790000000000004E-3</v>
      </c>
      <c r="G22" s="460">
        <v>5.1240000000000001E-3</v>
      </c>
      <c r="H22" s="458"/>
      <c r="I22" s="457"/>
    </row>
    <row r="23" spans="1:9" s="406" customFormat="1" ht="14.15" customHeight="1" x14ac:dyDescent="0.25">
      <c r="A23" s="423">
        <f t="shared" si="0"/>
        <v>15</v>
      </c>
      <c r="B23" s="451" t="s">
        <v>70</v>
      </c>
      <c r="C23" s="441"/>
      <c r="D23" s="441"/>
      <c r="E23" s="457"/>
      <c r="F23" s="460">
        <v>2E-3</v>
      </c>
      <c r="G23" s="460">
        <v>2E-3</v>
      </c>
      <c r="H23" s="458"/>
      <c r="I23" s="457"/>
    </row>
    <row r="24" spans="1:9" s="406" customFormat="1" ht="14.15" customHeight="1" x14ac:dyDescent="0.25">
      <c r="A24" s="423">
        <f t="shared" si="0"/>
        <v>16</v>
      </c>
      <c r="B24" s="451" t="s">
        <v>69</v>
      </c>
      <c r="C24" s="441"/>
      <c r="D24" s="441"/>
      <c r="E24" s="457"/>
      <c r="F24" s="460">
        <v>3.8406000000000003E-2</v>
      </c>
      <c r="G24" s="460">
        <v>3.8323000000000003E-2</v>
      </c>
      <c r="H24" s="458"/>
      <c r="I24" s="457"/>
    </row>
    <row r="25" spans="1:9" s="406" customFormat="1" ht="14.15" customHeight="1" x14ac:dyDescent="0.25">
      <c r="A25" s="423">
        <f t="shared" si="0"/>
        <v>17</v>
      </c>
      <c r="B25" s="451"/>
      <c r="C25" s="441"/>
      <c r="D25" s="441"/>
      <c r="E25" s="457"/>
      <c r="F25" s="461"/>
      <c r="G25" s="461"/>
      <c r="H25" s="458"/>
      <c r="I25" s="457"/>
    </row>
    <row r="26" spans="1:9" s="406" customFormat="1" ht="14.15" customHeight="1" x14ac:dyDescent="0.25">
      <c r="A26" s="423">
        <f t="shared" si="0"/>
        <v>18</v>
      </c>
      <c r="B26" s="449" t="s">
        <v>257</v>
      </c>
      <c r="C26" s="441"/>
      <c r="D26" s="441"/>
      <c r="E26" s="457"/>
      <c r="F26" s="462">
        <f>1-SUM(F22:F24)</f>
        <v>0.95111500000000004</v>
      </c>
      <c r="G26" s="462">
        <f>1-SUM(G22:G24)</f>
        <v>0.95455299999999998</v>
      </c>
      <c r="H26" s="463"/>
      <c r="I26" s="457"/>
    </row>
    <row r="27" spans="1:9" s="406" customFormat="1" ht="14.15" customHeight="1" x14ac:dyDescent="0.25">
      <c r="A27" s="423">
        <f t="shared" si="0"/>
        <v>19</v>
      </c>
      <c r="B27" s="451"/>
      <c r="C27" s="441"/>
      <c r="D27" s="441"/>
      <c r="E27" s="457"/>
      <c r="F27" s="458"/>
      <c r="G27" s="458"/>
      <c r="H27" s="458"/>
      <c r="I27" s="457"/>
    </row>
    <row r="28" spans="1:9" s="406" customFormat="1" ht="14.15" customHeight="1" x14ac:dyDescent="0.25">
      <c r="A28" s="423">
        <f t="shared" si="0"/>
        <v>20</v>
      </c>
      <c r="B28" s="449" t="s">
        <v>258</v>
      </c>
      <c r="C28" s="441"/>
      <c r="D28" s="441"/>
      <c r="E28" s="457"/>
      <c r="F28" s="456">
        <f>F19/F26</f>
        <v>26163518.825089253</v>
      </c>
      <c r="G28" s="456">
        <f>G19/G26</f>
        <v>3187156.2278544344</v>
      </c>
      <c r="H28" s="456">
        <f>SUM(F28:G28)</f>
        <v>29350675.052943688</v>
      </c>
      <c r="I28" s="457"/>
    </row>
    <row r="29" spans="1:9" s="406" customFormat="1" ht="14.15" customHeight="1" x14ac:dyDescent="0.25">
      <c r="A29" s="423">
        <f t="shared" si="0"/>
        <v>21</v>
      </c>
      <c r="B29" s="451"/>
      <c r="C29" s="441"/>
      <c r="D29" s="441"/>
      <c r="E29" s="457"/>
      <c r="F29" s="464"/>
      <c r="G29" s="464"/>
      <c r="H29" s="464"/>
      <c r="I29" s="457"/>
    </row>
    <row r="30" spans="1:9" s="406" customFormat="1" ht="14.15" customHeight="1" x14ac:dyDescent="0.25">
      <c r="A30" s="423">
        <f t="shared" si="0"/>
        <v>22</v>
      </c>
      <c r="B30" s="449" t="s">
        <v>259</v>
      </c>
      <c r="C30" s="441"/>
      <c r="D30" s="441"/>
      <c r="E30" s="441"/>
      <c r="F30" s="453">
        <v>20601965.56436947</v>
      </c>
      <c r="G30" s="453">
        <v>6185386.1663329443</v>
      </c>
      <c r="H30" s="454">
        <f>SUM(F30:G30)</f>
        <v>26787351.730702415</v>
      </c>
      <c r="I30" s="457"/>
    </row>
    <row r="31" spans="1:9" s="406" customFormat="1" ht="13" x14ac:dyDescent="0.3">
      <c r="A31" s="423">
        <f t="shared" si="0"/>
        <v>23</v>
      </c>
      <c r="B31" s="465"/>
      <c r="C31" s="466"/>
      <c r="D31" s="466"/>
      <c r="E31" s="466"/>
      <c r="F31" s="467"/>
      <c r="G31" s="467"/>
      <c r="H31" s="467"/>
      <c r="I31" s="457"/>
    </row>
    <row r="32" spans="1:9" s="406" customFormat="1" ht="13.5" thickBot="1" x14ac:dyDescent="0.35">
      <c r="A32" s="423">
        <f t="shared" si="0"/>
        <v>24</v>
      </c>
      <c r="B32" s="468" t="s">
        <v>113</v>
      </c>
      <c r="C32" s="469"/>
      <c r="D32" s="469"/>
      <c r="E32" s="470"/>
      <c r="F32" s="471">
        <f>F28-F30</f>
        <v>5561553.2607197836</v>
      </c>
      <c r="G32" s="471">
        <f>G28-G30</f>
        <v>-2998229.9384785099</v>
      </c>
      <c r="H32" s="471">
        <f>H28-H30</f>
        <v>2563323.3222412728</v>
      </c>
      <c r="I32" s="472"/>
    </row>
    <row r="33" spans="1:8" s="406" customFormat="1" ht="13" thickTop="1" x14ac:dyDescent="0.25">
      <c r="A33" s="425"/>
      <c r="B33" s="425"/>
      <c r="C33" s="441"/>
      <c r="D33" s="441"/>
      <c r="E33" s="441"/>
      <c r="F33" s="441"/>
      <c r="G33" s="441"/>
      <c r="H33" s="441"/>
    </row>
    <row r="34" spans="1:8" s="406" customFormat="1" ht="14.15" customHeight="1" x14ac:dyDescent="0.3">
      <c r="A34" s="407"/>
      <c r="B34" s="425"/>
      <c r="C34" s="441"/>
      <c r="D34" s="441"/>
      <c r="E34" s="441"/>
      <c r="F34" s="473"/>
      <c r="G34" s="473"/>
      <c r="H34" s="474"/>
    </row>
    <row r="35" spans="1:8" s="406" customFormat="1" ht="14.15" customHeight="1" x14ac:dyDescent="0.3">
      <c r="A35" s="475" t="s">
        <v>260</v>
      </c>
      <c r="B35" s="425"/>
      <c r="C35" s="441"/>
      <c r="D35" s="441"/>
      <c r="E35" s="441"/>
      <c r="F35" s="473"/>
      <c r="G35" s="473"/>
      <c r="H35" s="474"/>
    </row>
    <row r="36" spans="1:8" s="406" customFormat="1" ht="14.15" customHeight="1" x14ac:dyDescent="0.3">
      <c r="B36" s="425"/>
      <c r="C36" s="441"/>
      <c r="D36" s="441"/>
      <c r="E36" s="441"/>
      <c r="F36" s="473"/>
      <c r="G36" s="473"/>
      <c r="H36" s="474"/>
    </row>
    <row r="37" spans="1:8" s="406" customFormat="1" ht="14.15" customHeight="1" thickBot="1" x14ac:dyDescent="0.35">
      <c r="A37" s="476" t="s">
        <v>68</v>
      </c>
      <c r="C37" s="441"/>
      <c r="D37" s="441"/>
      <c r="E37" s="441"/>
      <c r="F37" s="477" t="s">
        <v>67</v>
      </c>
      <c r="G37" s="477" t="s">
        <v>66</v>
      </c>
      <c r="H37" s="478" t="s">
        <v>65</v>
      </c>
    </row>
    <row r="38" spans="1:8" s="406" customFormat="1" ht="14.15" customHeight="1" x14ac:dyDescent="0.25">
      <c r="A38" s="479"/>
      <c r="C38" s="441"/>
      <c r="D38" s="441"/>
      <c r="E38" s="441"/>
      <c r="F38" s="480"/>
      <c r="G38" s="480"/>
      <c r="H38" s="473"/>
    </row>
    <row r="39" spans="1:8" s="406" customFormat="1" ht="14.15" customHeight="1" x14ac:dyDescent="0.25">
      <c r="A39" s="434"/>
      <c r="C39" s="441"/>
      <c r="D39" s="441"/>
      <c r="E39" s="441"/>
      <c r="F39" s="481"/>
      <c r="G39" s="481"/>
      <c r="H39" s="481"/>
    </row>
    <row r="40" spans="1:8" s="406" customFormat="1" ht="14.15" customHeight="1" x14ac:dyDescent="0.25">
      <c r="A40" s="434" t="s">
        <v>261</v>
      </c>
      <c r="C40" s="441"/>
      <c r="D40" s="441"/>
      <c r="E40" s="441"/>
      <c r="F40" s="481">
        <v>1359942.5845325699</v>
      </c>
      <c r="G40" s="481">
        <v>57723.292118670106</v>
      </c>
      <c r="H40" s="481">
        <f t="shared" ref="H40:H45" si="1">SUM(F40:G40)</f>
        <v>1417665.87665124</v>
      </c>
    </row>
    <row r="41" spans="1:8" s="406" customFormat="1" ht="14.15" customHeight="1" x14ac:dyDescent="0.25">
      <c r="A41" s="429" t="s">
        <v>158</v>
      </c>
      <c r="C41" s="441"/>
      <c r="D41" s="441"/>
      <c r="E41" s="441"/>
      <c r="F41" s="481">
        <v>-24413.400956117268</v>
      </c>
      <c r="G41" s="481">
        <v>28992.178652482668</v>
      </c>
      <c r="H41" s="481">
        <f t="shared" si="1"/>
        <v>4578.7776963653996</v>
      </c>
    </row>
    <row r="42" spans="1:8" s="406" customFormat="1" ht="25.5" customHeight="1" x14ac:dyDescent="0.25">
      <c r="A42" s="636" t="s">
        <v>263</v>
      </c>
      <c r="B42" s="636"/>
      <c r="C42" s="636"/>
      <c r="D42" s="636"/>
      <c r="E42" s="636"/>
      <c r="F42" s="482">
        <v>-709371.68235784513</v>
      </c>
      <c r="G42" s="482">
        <v>179117.9144190735</v>
      </c>
      <c r="H42" s="482">
        <f t="shared" si="1"/>
        <v>-530253.76793877163</v>
      </c>
    </row>
    <row r="43" spans="1:8" s="406" customFormat="1" x14ac:dyDescent="0.25">
      <c r="A43" s="479" t="s">
        <v>95</v>
      </c>
      <c r="F43" s="481">
        <v>-226722.70335343236</v>
      </c>
      <c r="G43" s="481">
        <v>72422.405041941107</v>
      </c>
      <c r="H43" s="483">
        <f t="shared" si="1"/>
        <v>-154300.29831149126</v>
      </c>
    </row>
    <row r="44" spans="1:8" s="406" customFormat="1" x14ac:dyDescent="0.25">
      <c r="A44" s="429" t="s">
        <v>160</v>
      </c>
      <c r="F44" s="481">
        <v>0</v>
      </c>
      <c r="G44" s="481">
        <v>0</v>
      </c>
      <c r="H44" s="483">
        <f t="shared" si="1"/>
        <v>0</v>
      </c>
    </row>
    <row r="45" spans="1:8" s="406" customFormat="1" x14ac:dyDescent="0.25">
      <c r="A45" s="434" t="s">
        <v>254</v>
      </c>
      <c r="F45" s="481">
        <v>3348546.1398442476</v>
      </c>
      <c r="G45" s="481">
        <v>-3336485.728710677</v>
      </c>
      <c r="H45" s="483">
        <f t="shared" si="1"/>
        <v>12060.411133570597</v>
      </c>
    </row>
    <row r="46" spans="1:8" s="406" customFormat="1" x14ac:dyDescent="0.25">
      <c r="A46" s="434" t="s">
        <v>262</v>
      </c>
      <c r="F46" s="481">
        <v>1813572.3230103601</v>
      </c>
      <c r="G46" s="481">
        <v>0</v>
      </c>
      <c r="H46" s="483">
        <f t="shared" ref="H46" si="2">SUM(F46:G46)</f>
        <v>1813572.3230103601</v>
      </c>
    </row>
    <row r="47" spans="1:8" s="406" customFormat="1" x14ac:dyDescent="0.25">
      <c r="F47" s="481"/>
      <c r="G47" s="481"/>
      <c r="H47" s="483"/>
    </row>
    <row r="48" spans="1:8" s="406" customFormat="1" ht="13.5" thickBot="1" x14ac:dyDescent="0.35">
      <c r="A48" s="484" t="s">
        <v>64</v>
      </c>
      <c r="F48" s="485">
        <f>SUM(F39:F47)</f>
        <v>5561553.2607197827</v>
      </c>
      <c r="G48" s="485">
        <f>SUM(G39:G47)</f>
        <v>-2998229.9384785099</v>
      </c>
      <c r="H48" s="485">
        <f>SUM(H39:H47)</f>
        <v>2563323.3222412732</v>
      </c>
    </row>
    <row r="49" spans="1:9" s="406" customFormat="1" ht="13" thickTop="1" x14ac:dyDescent="0.25">
      <c r="A49" s="407"/>
    </row>
    <row r="50" spans="1:9" s="406" customFormat="1" x14ac:dyDescent="0.25">
      <c r="A50" s="407"/>
    </row>
    <row r="51" spans="1:9" s="406" customFormat="1" x14ac:dyDescent="0.25">
      <c r="F51" s="486"/>
      <c r="G51" s="486"/>
      <c r="I51" s="407"/>
    </row>
    <row r="52" spans="1:9" s="406" customFormat="1" x14ac:dyDescent="0.25">
      <c r="F52" s="486"/>
      <c r="G52" s="486"/>
      <c r="I52" s="407"/>
    </row>
    <row r="53" spans="1:9" s="406" customFormat="1" x14ac:dyDescent="0.25">
      <c r="C53" s="487"/>
      <c r="D53" s="487"/>
      <c r="I53" s="407"/>
    </row>
    <row r="54" spans="1:9" s="406" customFormat="1" x14ac:dyDescent="0.25">
      <c r="I54" s="407"/>
    </row>
    <row r="55" spans="1:9" s="406" customFormat="1" x14ac:dyDescent="0.25">
      <c r="A55" s="407"/>
      <c r="B55" s="407"/>
      <c r="C55" s="488"/>
      <c r="D55" s="488"/>
      <c r="E55" s="407"/>
      <c r="I55" s="407"/>
    </row>
    <row r="56" spans="1:9" s="406" customFormat="1" x14ac:dyDescent="0.25">
      <c r="A56" s="407"/>
      <c r="B56" s="407"/>
      <c r="C56" s="489"/>
      <c r="D56" s="489"/>
      <c r="E56" s="407"/>
      <c r="I56" s="407"/>
    </row>
  </sheetData>
  <mergeCells count="1">
    <mergeCell ref="A42:E42"/>
  </mergeCells>
  <printOptions horizontalCentered="1"/>
  <pageMargins left="0.5" right="0.5" top="0.28000000000000003" bottom="0.52" header="0.36" footer="0.42"/>
  <pageSetup scale="65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90" zoomScaleNormal="90" workbookViewId="0">
      <selection activeCell="I41" sqref="I41"/>
    </sheetView>
  </sheetViews>
  <sheetFormatPr defaultColWidth="9.1796875" defaultRowHeight="13" x14ac:dyDescent="0.3"/>
  <cols>
    <col min="1" max="1" width="2.453125" style="95" customWidth="1"/>
    <col min="2" max="2" width="31.7265625" style="155" customWidth="1"/>
    <col min="3" max="3" width="9.7265625" style="155" customWidth="1"/>
    <col min="4" max="4" width="12.7265625" style="94" customWidth="1"/>
    <col min="5" max="5" width="10.453125" style="94" customWidth="1"/>
    <col min="6" max="6" width="13.26953125" style="155" customWidth="1"/>
    <col min="7" max="7" width="2.81640625" style="26" customWidth="1"/>
    <col min="8" max="8" width="10.453125" style="95" bestFit="1" customWidth="1"/>
    <col min="9" max="9" width="13.26953125" style="156" customWidth="1"/>
    <col min="10" max="10" width="2.81640625" style="157" customWidth="1"/>
    <col min="11" max="11" width="13.26953125" style="95" customWidth="1"/>
    <col min="12" max="12" width="10.453125" style="158" customWidth="1"/>
    <col min="13" max="13" width="2.81640625" style="158" customWidth="1"/>
    <col min="14" max="14" width="1.54296875" style="158" customWidth="1"/>
    <col min="15" max="15" width="14.54296875" style="95" customWidth="1"/>
    <col min="16" max="16" width="2.81640625" style="95" customWidth="1"/>
    <col min="17" max="17" width="8.81640625" style="160" customWidth="1"/>
    <col min="18" max="16384" width="9.1796875" style="95"/>
  </cols>
  <sheetData>
    <row r="1" spans="2:26" x14ac:dyDescent="0.3">
      <c r="B1" s="146"/>
      <c r="C1" s="146"/>
      <c r="D1" s="127"/>
      <c r="E1" s="127"/>
      <c r="F1" s="146"/>
      <c r="G1" s="147"/>
      <c r="H1" s="70"/>
      <c r="I1" s="148"/>
      <c r="J1" s="149"/>
      <c r="K1" s="70"/>
      <c r="L1" s="150"/>
      <c r="M1" s="150"/>
      <c r="N1" s="150"/>
      <c r="O1" s="70"/>
      <c r="P1" s="70"/>
      <c r="Q1" s="151"/>
    </row>
    <row r="2" spans="2:26" x14ac:dyDescent="0.3">
      <c r="B2" s="146" t="s">
        <v>13</v>
      </c>
      <c r="C2" s="146"/>
      <c r="D2" s="144"/>
      <c r="E2" s="144"/>
      <c r="F2" s="146"/>
      <c r="G2" s="146"/>
      <c r="H2" s="146"/>
      <c r="I2" s="146"/>
      <c r="J2" s="146"/>
      <c r="K2" s="146"/>
      <c r="L2" s="146"/>
      <c r="M2" s="150"/>
      <c r="N2" s="150"/>
      <c r="O2" s="70"/>
      <c r="P2" s="70"/>
      <c r="Q2" s="151"/>
    </row>
    <row r="3" spans="2:26" x14ac:dyDescent="0.3">
      <c r="B3" s="152" t="s">
        <v>264</v>
      </c>
      <c r="C3" s="146"/>
      <c r="D3" s="144"/>
      <c r="E3" s="144"/>
      <c r="F3" s="146"/>
      <c r="G3" s="146"/>
      <c r="H3" s="146"/>
      <c r="I3" s="146"/>
      <c r="J3" s="146"/>
      <c r="K3" s="146"/>
      <c r="L3" s="146"/>
      <c r="M3" s="150"/>
      <c r="N3" s="150"/>
      <c r="O3" s="70"/>
      <c r="P3" s="70"/>
      <c r="Q3" s="151"/>
    </row>
    <row r="4" spans="2:26" x14ac:dyDescent="0.3">
      <c r="B4" s="146" t="s">
        <v>163</v>
      </c>
      <c r="C4" s="146"/>
      <c r="D4" s="144"/>
      <c r="E4" s="144"/>
      <c r="F4" s="146"/>
      <c r="G4" s="146"/>
      <c r="H4" s="146"/>
      <c r="I4" s="146"/>
      <c r="J4" s="146"/>
      <c r="K4" s="146"/>
      <c r="L4" s="146"/>
      <c r="M4" s="150"/>
      <c r="N4" s="150"/>
      <c r="O4" s="70"/>
      <c r="P4" s="70"/>
      <c r="Q4" s="151"/>
    </row>
    <row r="5" spans="2:26" x14ac:dyDescent="0.3">
      <c r="B5" s="146" t="s">
        <v>265</v>
      </c>
      <c r="C5" s="146"/>
      <c r="D5" s="144"/>
      <c r="E5" s="144"/>
      <c r="F5" s="146"/>
      <c r="G5" s="146"/>
      <c r="H5" s="146"/>
      <c r="I5" s="146"/>
      <c r="J5" s="146"/>
      <c r="K5" s="146"/>
      <c r="L5" s="146"/>
      <c r="M5" s="150"/>
      <c r="N5" s="153"/>
      <c r="O5" s="154"/>
      <c r="P5" s="70"/>
      <c r="Q5" s="151"/>
    </row>
    <row r="6" spans="2:26" x14ac:dyDescent="0.3">
      <c r="N6" s="159"/>
      <c r="O6" s="77"/>
    </row>
    <row r="7" spans="2:26" ht="15" customHeight="1" x14ac:dyDescent="0.25">
      <c r="B7" s="161"/>
      <c r="C7" s="162"/>
      <c r="D7" s="163" t="s">
        <v>119</v>
      </c>
      <c r="E7" s="164" t="s">
        <v>120</v>
      </c>
      <c r="F7" s="165"/>
      <c r="G7" s="166"/>
      <c r="H7" s="167" t="s">
        <v>28</v>
      </c>
      <c r="I7" s="165"/>
      <c r="J7" s="168"/>
      <c r="K7" s="165" t="s">
        <v>164</v>
      </c>
      <c r="L7" s="169"/>
      <c r="M7" s="170"/>
      <c r="N7" s="170"/>
      <c r="O7" s="34" t="s">
        <v>121</v>
      </c>
      <c r="Q7" s="171" t="s">
        <v>165</v>
      </c>
    </row>
    <row r="8" spans="2:26" ht="12.5" x14ac:dyDescent="0.25">
      <c r="B8" s="172" t="s">
        <v>122</v>
      </c>
      <c r="C8" s="131" t="s">
        <v>123</v>
      </c>
      <c r="D8" s="41" t="s">
        <v>124</v>
      </c>
      <c r="E8" s="41" t="s">
        <v>112</v>
      </c>
      <c r="F8" s="173" t="s">
        <v>125</v>
      </c>
      <c r="G8" s="131"/>
      <c r="H8" s="131" t="s">
        <v>112</v>
      </c>
      <c r="I8" s="173" t="s">
        <v>125</v>
      </c>
      <c r="J8" s="173"/>
      <c r="K8" s="173" t="s">
        <v>166</v>
      </c>
      <c r="L8" s="174" t="s">
        <v>167</v>
      </c>
      <c r="M8" s="175"/>
      <c r="N8" s="175"/>
      <c r="O8" s="131" t="s">
        <v>168</v>
      </c>
      <c r="Q8" s="176" t="s">
        <v>102</v>
      </c>
    </row>
    <row r="9" spans="2:26" ht="12.5" x14ac:dyDescent="0.25">
      <c r="B9" s="77"/>
      <c r="C9" s="77"/>
      <c r="D9" s="97"/>
      <c r="E9" s="97"/>
      <c r="F9" s="77"/>
      <c r="H9" s="77"/>
      <c r="I9" s="157"/>
      <c r="K9" s="77"/>
      <c r="L9" s="159"/>
      <c r="M9" s="159"/>
      <c r="N9" s="159"/>
      <c r="O9" s="77"/>
    </row>
    <row r="10" spans="2:26" x14ac:dyDescent="0.3">
      <c r="B10" s="177" t="s">
        <v>169</v>
      </c>
      <c r="C10" s="178"/>
      <c r="D10" s="179"/>
      <c r="E10" s="179"/>
      <c r="F10" s="180"/>
      <c r="G10" s="78"/>
      <c r="H10" s="179"/>
      <c r="I10" s="181"/>
      <c r="J10" s="181"/>
      <c r="K10" s="181"/>
      <c r="L10" s="182"/>
      <c r="M10" s="159"/>
      <c r="N10" s="159"/>
      <c r="O10" s="77"/>
    </row>
    <row r="11" spans="2:26" ht="12.5" x14ac:dyDescent="0.25">
      <c r="B11" s="183"/>
      <c r="C11" s="77"/>
      <c r="D11" s="97"/>
      <c r="E11" s="97"/>
      <c r="F11" s="77"/>
      <c r="G11" s="184"/>
      <c r="H11" s="97"/>
      <c r="I11" s="185"/>
      <c r="J11" s="185"/>
      <c r="K11" s="185"/>
      <c r="L11" s="186"/>
      <c r="M11" s="159"/>
      <c r="N11" s="159"/>
      <c r="O11" s="187" t="s">
        <v>170</v>
      </c>
      <c r="P11" s="77"/>
    </row>
    <row r="12" spans="2:26" ht="12.5" x14ac:dyDescent="0.25">
      <c r="B12" s="188" t="s">
        <v>126</v>
      </c>
      <c r="C12" s="189" t="s">
        <v>127</v>
      </c>
      <c r="D12" s="190">
        <v>9401341.5170350727</v>
      </c>
      <c r="E12" s="191">
        <v>11</v>
      </c>
      <c r="F12" s="185">
        <f>SUM(+D12*E12)</f>
        <v>103414756.6873858</v>
      </c>
      <c r="H12" s="191">
        <v>11.52</v>
      </c>
      <c r="I12" s="185">
        <f>SUM(+D12*H12)</f>
        <v>108303454.27624403</v>
      </c>
      <c r="J12" s="185"/>
      <c r="K12" s="185">
        <f>I12-F12</f>
        <v>4888697.5888582319</v>
      </c>
      <c r="L12" s="192">
        <f>ROUND(K12/F12,5)</f>
        <v>4.727E-2</v>
      </c>
      <c r="M12" s="159"/>
      <c r="N12" s="159"/>
      <c r="O12" s="193">
        <v>55177348.277781643</v>
      </c>
      <c r="P12" s="77"/>
      <c r="Q12" s="194">
        <f>H12/E12-1</f>
        <v>4.7272727272727133E-2</v>
      </c>
    </row>
    <row r="13" spans="2:26" ht="12.5" x14ac:dyDescent="0.25">
      <c r="B13" s="183" t="s">
        <v>128</v>
      </c>
      <c r="C13" s="77" t="s">
        <v>129</v>
      </c>
      <c r="D13" s="195">
        <v>609248231.82931805</v>
      </c>
      <c r="E13" s="196">
        <v>0.34603</v>
      </c>
      <c r="F13" s="185">
        <f>ROUND(D13*E13,2)</f>
        <v>210818165.66</v>
      </c>
      <c r="H13" s="197">
        <f>ROUND(E13*(1+$O$16),5)</f>
        <v>0.42857000000000001</v>
      </c>
      <c r="I13" s="185">
        <f>ROUND(D13*H13,2)</f>
        <v>261105514.72</v>
      </c>
      <c r="J13" s="185"/>
      <c r="K13" s="185">
        <f>I13-F13</f>
        <v>50287349.060000002</v>
      </c>
      <c r="L13" s="192">
        <f>ROUND(K13/F13,5)</f>
        <v>0.23852999999999999</v>
      </c>
      <c r="M13" s="77"/>
      <c r="N13" s="77"/>
      <c r="O13" s="198" t="s">
        <v>171</v>
      </c>
      <c r="P13" s="77"/>
      <c r="Q13" s="194">
        <f>H13/E13-1</f>
        <v>0.23853423113602856</v>
      </c>
    </row>
    <row r="14" spans="2:26" x14ac:dyDescent="0.3">
      <c r="B14" s="199"/>
      <c r="C14" s="200"/>
      <c r="D14" s="84"/>
      <c r="E14" s="201"/>
      <c r="F14" s="181">
        <f>SUM(F12:F13)</f>
        <v>314232922.34738576</v>
      </c>
      <c r="H14" s="97"/>
      <c r="I14" s="181">
        <f>SUM(I12:I13)</f>
        <v>369408968.99624401</v>
      </c>
      <c r="J14" s="185"/>
      <c r="K14" s="181">
        <f>SUM(K12:K13)</f>
        <v>55176046.648858234</v>
      </c>
      <c r="L14" s="202">
        <f>ROUND(K14/F14,5)</f>
        <v>0.17559</v>
      </c>
      <c r="M14" s="77"/>
      <c r="N14" s="77"/>
      <c r="O14" s="203">
        <f>(K14+K25)-O12</f>
        <v>-1293.9764870479703</v>
      </c>
      <c r="P14" s="77"/>
      <c r="Q14" s="204"/>
    </row>
    <row r="15" spans="2:26" x14ac:dyDescent="0.3">
      <c r="B15" s="199"/>
      <c r="C15" s="205"/>
      <c r="D15" s="97"/>
      <c r="E15" s="196"/>
      <c r="F15" s="206"/>
      <c r="H15" s="97"/>
      <c r="I15" s="185"/>
      <c r="J15" s="185"/>
      <c r="K15" s="185"/>
      <c r="L15" s="186"/>
      <c r="M15" s="194"/>
      <c r="N15" s="194"/>
      <c r="O15" s="207"/>
      <c r="Q15" s="208"/>
    </row>
    <row r="16" spans="2:26" ht="12.5" x14ac:dyDescent="0.25">
      <c r="B16" s="183" t="s">
        <v>172</v>
      </c>
      <c r="C16" s="77" t="s">
        <v>129</v>
      </c>
      <c r="D16" s="84">
        <f>D13</f>
        <v>609248231.82931805</v>
      </c>
      <c r="E16" s="196">
        <v>0.32665</v>
      </c>
      <c r="F16" s="181">
        <f>E16*D16</f>
        <v>199010934.92704675</v>
      </c>
      <c r="G16" s="77"/>
      <c r="H16" s="209">
        <f>E16</f>
        <v>0.32665</v>
      </c>
      <c r="I16" s="181">
        <f>H16*D16</f>
        <v>199010934.92704675</v>
      </c>
      <c r="J16" s="185"/>
      <c r="K16" s="181">
        <f>I16-F16</f>
        <v>0</v>
      </c>
      <c r="L16" s="202">
        <f>ROUND(K16/F16,5)</f>
        <v>0</v>
      </c>
      <c r="M16" s="194"/>
      <c r="N16" s="194"/>
      <c r="O16" s="210">
        <v>0.23854400000000001</v>
      </c>
      <c r="P16" s="34"/>
      <c r="Q16" s="211"/>
      <c r="R16" s="77"/>
      <c r="Z16" s="77"/>
    </row>
    <row r="17" spans="1:26" ht="14.25" customHeight="1" x14ac:dyDescent="0.25">
      <c r="B17" s="183"/>
      <c r="C17" s="77"/>
      <c r="D17" s="97"/>
      <c r="E17" s="97"/>
      <c r="F17" s="185"/>
      <c r="H17" s="212"/>
      <c r="I17" s="185"/>
      <c r="J17" s="185"/>
      <c r="K17" s="185"/>
      <c r="L17" s="186"/>
      <c r="M17" s="77"/>
      <c r="N17" s="77"/>
      <c r="O17" s="34"/>
      <c r="P17" s="34"/>
      <c r="Q17" s="34"/>
      <c r="R17" s="77"/>
      <c r="Z17" s="77"/>
    </row>
    <row r="18" spans="1:26" ht="12.5" x14ac:dyDescent="0.25">
      <c r="B18" s="213" t="s">
        <v>173</v>
      </c>
      <c r="C18" s="200"/>
      <c r="D18" s="214"/>
      <c r="E18" s="97"/>
      <c r="F18" s="181">
        <f>F14+F16</f>
        <v>513243857.27443254</v>
      </c>
      <c r="H18" s="97"/>
      <c r="I18" s="181">
        <f>I14+I16</f>
        <v>568419903.92329073</v>
      </c>
      <c r="J18" s="185"/>
      <c r="K18" s="181">
        <f>K14+K16</f>
        <v>55176046.648858234</v>
      </c>
      <c r="L18" s="202">
        <f>ROUND(K18/F18,5)</f>
        <v>0.1075</v>
      </c>
      <c r="M18" s="194"/>
      <c r="N18" s="194"/>
      <c r="O18" s="194"/>
      <c r="P18" s="215"/>
      <c r="Q18" s="171"/>
      <c r="R18" s="77"/>
      <c r="Z18" s="77"/>
    </row>
    <row r="19" spans="1:26" s="94" customFormat="1" ht="12.5" x14ac:dyDescent="0.25">
      <c r="B19" s="216"/>
      <c r="C19" s="217"/>
      <c r="D19" s="217"/>
      <c r="E19" s="217"/>
      <c r="F19" s="218"/>
      <c r="G19" s="219"/>
      <c r="H19" s="217"/>
      <c r="I19" s="218"/>
      <c r="J19" s="218"/>
      <c r="K19" s="218"/>
      <c r="L19" s="220"/>
      <c r="M19" s="97"/>
      <c r="N19" s="97"/>
      <c r="Q19" s="97"/>
      <c r="R19" s="97"/>
      <c r="Z19" s="97"/>
    </row>
    <row r="20" spans="1:26" s="94" customFormat="1" ht="12.5" x14ac:dyDescent="0.25">
      <c r="B20" s="97"/>
      <c r="C20" s="97"/>
      <c r="D20" s="97"/>
      <c r="F20" s="221"/>
      <c r="G20" s="84"/>
      <c r="H20" s="97"/>
      <c r="I20" s="222"/>
      <c r="J20" s="222"/>
      <c r="K20" s="222"/>
      <c r="L20" s="223"/>
      <c r="M20" s="97"/>
      <c r="N20" s="97"/>
      <c r="O20" s="97"/>
      <c r="Q20" s="97"/>
      <c r="R20" s="97"/>
      <c r="Z20" s="97"/>
    </row>
    <row r="21" spans="1:26" x14ac:dyDescent="0.3">
      <c r="A21" s="94"/>
      <c r="B21" s="224" t="s">
        <v>174</v>
      </c>
      <c r="C21" s="225"/>
      <c r="D21" s="179"/>
      <c r="E21" s="226"/>
      <c r="F21" s="227"/>
      <c r="G21" s="78"/>
      <c r="H21" s="179"/>
      <c r="I21" s="181"/>
      <c r="J21" s="181"/>
      <c r="K21" s="181"/>
      <c r="L21" s="202"/>
      <c r="M21" s="77"/>
      <c r="N21" s="77"/>
      <c r="O21" s="77"/>
      <c r="Q21" s="208"/>
      <c r="R21" s="77"/>
      <c r="Z21" s="77"/>
    </row>
    <row r="22" spans="1:26" s="94" customFormat="1" ht="12.5" x14ac:dyDescent="0.25">
      <c r="B22" s="228"/>
      <c r="C22" s="97"/>
      <c r="D22" s="97"/>
      <c r="E22" s="97"/>
      <c r="F22" s="222"/>
      <c r="G22" s="229"/>
      <c r="H22" s="97"/>
      <c r="I22" s="222"/>
      <c r="J22" s="222"/>
      <c r="K22" s="222"/>
      <c r="L22" s="230"/>
      <c r="M22" s="231"/>
      <c r="N22" s="231"/>
      <c r="O22" s="34"/>
      <c r="P22" s="97"/>
      <c r="Q22" s="232"/>
      <c r="R22" s="97"/>
      <c r="Z22" s="97"/>
    </row>
    <row r="23" spans="1:26" s="94" customFormat="1" ht="13.5" customHeight="1" x14ac:dyDescent="0.25">
      <c r="B23" s="188" t="s">
        <v>126</v>
      </c>
      <c r="C23" s="189" t="s">
        <v>127</v>
      </c>
      <c r="D23" s="190">
        <v>1.4854545454545454</v>
      </c>
      <c r="E23" s="191">
        <v>11</v>
      </c>
      <c r="F23" s="222">
        <f>SUM(+D23*E23)</f>
        <v>16.34</v>
      </c>
      <c r="G23" s="84"/>
      <c r="H23" s="233">
        <f>H12</f>
        <v>11.52</v>
      </c>
      <c r="I23" s="222">
        <f>SUM(+D23*H23)</f>
        <v>17.112436363636363</v>
      </c>
      <c r="J23" s="222"/>
      <c r="K23" s="222">
        <f>I23-F23</f>
        <v>0.7724363636363627</v>
      </c>
      <c r="L23" s="230"/>
      <c r="M23" s="231"/>
      <c r="N23" s="231"/>
      <c r="O23" s="234"/>
      <c r="P23" s="97"/>
      <c r="Q23" s="194">
        <f>H23/E23-1</f>
        <v>4.7272727272727133E-2</v>
      </c>
      <c r="R23" s="97"/>
      <c r="Z23" s="97"/>
    </row>
    <row r="24" spans="1:26" s="94" customFormat="1" ht="13.5" customHeight="1" x14ac:dyDescent="0.25">
      <c r="B24" s="183" t="s">
        <v>128</v>
      </c>
      <c r="C24" s="77" t="s">
        <v>129</v>
      </c>
      <c r="D24" s="190">
        <v>83.329999999999984</v>
      </c>
      <c r="E24" s="196">
        <v>0.34603</v>
      </c>
      <c r="F24" s="222">
        <f>ROUND(D24*E24,2)</f>
        <v>28.83</v>
      </c>
      <c r="G24" s="84"/>
      <c r="H24" s="197">
        <f>H13</f>
        <v>0.42857000000000001</v>
      </c>
      <c r="I24" s="222">
        <f>ROUND(D24*H24,2)</f>
        <v>35.71</v>
      </c>
      <c r="J24" s="222"/>
      <c r="K24" s="222">
        <f>I24-F24</f>
        <v>6.8800000000000026</v>
      </c>
      <c r="L24" s="235"/>
      <c r="M24" s="231"/>
      <c r="N24" s="231"/>
      <c r="O24" s="236"/>
      <c r="P24" s="97"/>
      <c r="Q24" s="194">
        <f>H24/E24-1</f>
        <v>0.23853423113602856</v>
      </c>
      <c r="R24" s="97"/>
      <c r="Z24" s="97"/>
    </row>
    <row r="25" spans="1:26" s="94" customFormat="1" ht="13.5" customHeight="1" x14ac:dyDescent="0.25">
      <c r="B25" s="213" t="s">
        <v>175</v>
      </c>
      <c r="C25" s="189"/>
      <c r="D25" s="84"/>
      <c r="E25" s="97"/>
      <c r="F25" s="181">
        <f>SUM(F23:F24)</f>
        <v>45.17</v>
      </c>
      <c r="G25" s="84"/>
      <c r="H25" s="97"/>
      <c r="I25" s="181">
        <f>SUM(I23:I24)</f>
        <v>52.822436363636363</v>
      </c>
      <c r="J25" s="222"/>
      <c r="K25" s="181">
        <f>SUM(K23:K24)</f>
        <v>7.6524363636363653</v>
      </c>
      <c r="L25" s="202">
        <f>ROUND(K25/F25,5)</f>
        <v>0.16941000000000001</v>
      </c>
      <c r="M25" s="97"/>
      <c r="N25" s="97"/>
      <c r="O25" s="236"/>
      <c r="P25" s="97"/>
      <c r="Q25" s="204"/>
      <c r="R25" s="97"/>
      <c r="Z25" s="97"/>
    </row>
    <row r="26" spans="1:26" s="94" customFormat="1" ht="13.5" customHeight="1" x14ac:dyDescent="0.3">
      <c r="B26" s="237"/>
      <c r="C26" s="112"/>
      <c r="D26" s="97"/>
      <c r="E26" s="97"/>
      <c r="F26" s="238"/>
      <c r="G26" s="84"/>
      <c r="H26" s="97"/>
      <c r="I26" s="222"/>
      <c r="J26" s="222"/>
      <c r="K26" s="222"/>
      <c r="L26" s="230"/>
      <c r="M26" s="97"/>
      <c r="N26" s="97"/>
      <c r="O26" s="96"/>
      <c r="Q26" s="232"/>
      <c r="R26" s="97"/>
      <c r="Z26" s="97"/>
    </row>
    <row r="27" spans="1:26" s="94" customFormat="1" ht="13.5" customHeight="1" x14ac:dyDescent="0.25">
      <c r="B27" s="183" t="s">
        <v>176</v>
      </c>
      <c r="C27" s="77" t="s">
        <v>129</v>
      </c>
      <c r="D27" s="84">
        <f>D24</f>
        <v>83.329999999999984</v>
      </c>
      <c r="E27" s="196">
        <v>4.80769</v>
      </c>
      <c r="F27" s="181">
        <f>E27*D27</f>
        <v>400.62480769999991</v>
      </c>
      <c r="G27" s="97"/>
      <c r="H27" s="197">
        <f>E27</f>
        <v>4.80769</v>
      </c>
      <c r="I27" s="181">
        <f>F27</f>
        <v>400.62480769999991</v>
      </c>
      <c r="J27" s="222"/>
      <c r="K27" s="181">
        <f>I27-F27</f>
        <v>0</v>
      </c>
      <c r="L27" s="202">
        <f>ROUND(K27/F27,5)</f>
        <v>0</v>
      </c>
      <c r="M27" s="231"/>
      <c r="N27" s="231"/>
      <c r="O27" s="239"/>
      <c r="P27" s="34"/>
      <c r="Q27" s="34"/>
      <c r="R27" s="97"/>
      <c r="Z27" s="97"/>
    </row>
    <row r="28" spans="1:26" s="94" customFormat="1" ht="13.5" customHeight="1" x14ac:dyDescent="0.25">
      <c r="B28" s="228"/>
      <c r="C28" s="97"/>
      <c r="D28" s="97"/>
      <c r="E28" s="240"/>
      <c r="F28" s="222"/>
      <c r="G28" s="84"/>
      <c r="H28" s="212"/>
      <c r="I28" s="222"/>
      <c r="J28" s="222"/>
      <c r="K28" s="222"/>
      <c r="L28" s="235"/>
      <c r="M28" s="241"/>
      <c r="N28" s="241"/>
      <c r="O28" s="96"/>
      <c r="P28" s="34"/>
      <c r="Q28" s="34"/>
      <c r="R28" s="97"/>
      <c r="Z28" s="97"/>
    </row>
    <row r="29" spans="1:26" s="94" customFormat="1" ht="13.5" customHeight="1" x14ac:dyDescent="0.25">
      <c r="B29" s="188" t="s">
        <v>173</v>
      </c>
      <c r="C29" s="189"/>
      <c r="D29" s="97"/>
      <c r="E29" s="97"/>
      <c r="F29" s="181">
        <f>F25+F27</f>
        <v>445.79480769999992</v>
      </c>
      <c r="G29" s="84"/>
      <c r="H29" s="97"/>
      <c r="I29" s="181">
        <f>I25+I27</f>
        <v>453.44724406363628</v>
      </c>
      <c r="J29" s="222"/>
      <c r="K29" s="181">
        <f>K25+K27</f>
        <v>7.6524363636363653</v>
      </c>
      <c r="L29" s="202">
        <f>ROUND(K29/F29,5)</f>
        <v>1.7170000000000001E-2</v>
      </c>
      <c r="M29" s="97"/>
      <c r="N29" s="97"/>
      <c r="O29" s="242"/>
      <c r="P29" s="34"/>
      <c r="Q29" s="204"/>
      <c r="R29" s="97"/>
      <c r="Z29" s="97"/>
    </row>
    <row r="30" spans="1:26" s="94" customFormat="1" ht="13.5" customHeight="1" x14ac:dyDescent="0.25">
      <c r="B30" s="216"/>
      <c r="C30" s="217"/>
      <c r="D30" s="217"/>
      <c r="E30" s="217"/>
      <c r="F30" s="218"/>
      <c r="G30" s="217"/>
      <c r="H30" s="217"/>
      <c r="I30" s="218"/>
      <c r="J30" s="218"/>
      <c r="K30" s="218"/>
      <c r="L30" s="220"/>
      <c r="M30" s="97"/>
      <c r="N30" s="97"/>
      <c r="P30" s="34"/>
      <c r="Q30" s="232"/>
      <c r="R30" s="97"/>
      <c r="Z30" s="97"/>
    </row>
    <row r="31" spans="1:26" s="94" customFormat="1" ht="13.5" customHeight="1" x14ac:dyDescent="0.25">
      <c r="B31" s="97"/>
      <c r="C31" s="97"/>
      <c r="D31" s="97"/>
      <c r="E31" s="243"/>
      <c r="F31" s="244"/>
      <c r="G31" s="84"/>
      <c r="H31" s="97"/>
      <c r="I31" s="222"/>
      <c r="J31" s="222"/>
      <c r="K31" s="222"/>
      <c r="L31" s="223"/>
      <c r="M31" s="97"/>
      <c r="N31" s="97"/>
      <c r="P31" s="34"/>
      <c r="Q31" s="232"/>
      <c r="R31" s="97"/>
      <c r="Z31" s="97"/>
    </row>
    <row r="32" spans="1:26" s="94" customFormat="1" ht="13.5" customHeight="1" x14ac:dyDescent="0.25">
      <c r="B32" s="97"/>
      <c r="C32" s="97"/>
      <c r="D32" s="97"/>
      <c r="E32" s="243"/>
      <c r="F32" s="244"/>
      <c r="G32" s="84"/>
      <c r="H32" s="97"/>
      <c r="I32" s="222"/>
      <c r="J32" s="222"/>
      <c r="K32" s="222"/>
      <c r="L32" s="223"/>
      <c r="M32" s="97"/>
      <c r="N32" s="97"/>
      <c r="P32" s="34"/>
      <c r="Q32" s="232"/>
      <c r="R32" s="97"/>
      <c r="Z32" s="97"/>
    </row>
    <row r="33" spans="2:26" ht="13.5" customHeight="1" x14ac:dyDescent="0.3">
      <c r="B33" s="224" t="s">
        <v>177</v>
      </c>
      <c r="C33" s="178"/>
      <c r="D33" s="179"/>
      <c r="E33" s="226"/>
      <c r="F33" s="227"/>
      <c r="G33" s="78"/>
      <c r="H33" s="180"/>
      <c r="I33" s="181"/>
      <c r="J33" s="181"/>
      <c r="K33" s="181"/>
      <c r="L33" s="202"/>
      <c r="M33" s="77"/>
      <c r="N33" s="77"/>
      <c r="P33" s="34"/>
      <c r="Q33" s="208"/>
      <c r="R33" s="77"/>
      <c r="Z33" s="77"/>
    </row>
    <row r="34" spans="2:26" ht="13.5" customHeight="1" x14ac:dyDescent="0.3">
      <c r="B34" s="199"/>
      <c r="C34" s="205"/>
      <c r="D34" s="97"/>
      <c r="E34" s="97"/>
      <c r="F34" s="185"/>
      <c r="G34" s="245"/>
      <c r="H34" s="77"/>
      <c r="I34" s="185"/>
      <c r="J34" s="185"/>
      <c r="K34" s="185"/>
      <c r="L34" s="186"/>
      <c r="M34" s="159"/>
      <c r="N34" s="159"/>
      <c r="O34" s="246" t="s">
        <v>178</v>
      </c>
      <c r="P34" s="34"/>
      <c r="Q34" s="208"/>
      <c r="R34" s="77"/>
      <c r="Z34" s="77"/>
    </row>
    <row r="35" spans="2:26" ht="13.5" customHeight="1" x14ac:dyDescent="0.25">
      <c r="B35" s="228" t="s">
        <v>179</v>
      </c>
      <c r="C35" s="247" t="s">
        <v>130</v>
      </c>
      <c r="D35" s="190">
        <v>494</v>
      </c>
      <c r="E35" s="191">
        <v>9.69</v>
      </c>
      <c r="F35" s="185">
        <f>ROUND(D35*E35,2)</f>
        <v>4786.8599999999997</v>
      </c>
      <c r="H35" s="233">
        <f>ROUND(E35*(1+$O$39),2)</f>
        <v>11.41</v>
      </c>
      <c r="I35" s="185">
        <f>ROUND(D35*H35,2)</f>
        <v>5636.54</v>
      </c>
      <c r="J35" s="185"/>
      <c r="K35" s="185">
        <f>I35-F35</f>
        <v>849.68000000000029</v>
      </c>
      <c r="L35" s="192">
        <f>ROUND(K35/F35,5)</f>
        <v>0.17749999999999999</v>
      </c>
      <c r="M35" s="248"/>
      <c r="N35" s="248"/>
      <c r="O35" s="193">
        <v>850.05502362549305</v>
      </c>
      <c r="P35" s="34"/>
      <c r="Q35" s="194">
        <f>H35/E35-1</f>
        <v>0.17750257997936014</v>
      </c>
      <c r="R35" s="77"/>
      <c r="Z35" s="77"/>
    </row>
    <row r="36" spans="2:26" ht="13.5" customHeight="1" x14ac:dyDescent="0.25">
      <c r="B36" s="183"/>
      <c r="C36" s="77"/>
      <c r="D36" s="201"/>
      <c r="E36" s="201"/>
      <c r="F36" s="185"/>
      <c r="G36" s="77"/>
      <c r="H36" s="77"/>
      <c r="I36" s="185"/>
      <c r="J36" s="185"/>
      <c r="K36" s="185"/>
      <c r="L36" s="192"/>
      <c r="M36" s="248"/>
      <c r="N36" s="248"/>
      <c r="O36" s="198" t="s">
        <v>171</v>
      </c>
      <c r="P36" s="34"/>
      <c r="Q36" s="194"/>
      <c r="R36" s="77"/>
      <c r="Z36" s="77"/>
    </row>
    <row r="37" spans="2:26" ht="13.5" customHeight="1" x14ac:dyDescent="0.3">
      <c r="B37" s="213" t="s">
        <v>180</v>
      </c>
      <c r="C37" s="200"/>
      <c r="D37" s="190">
        <v>9386</v>
      </c>
      <c r="E37" s="190"/>
      <c r="F37" s="206"/>
      <c r="H37" s="77"/>
      <c r="I37" s="185"/>
      <c r="J37" s="185"/>
      <c r="K37" s="185"/>
      <c r="L37" s="186"/>
      <c r="M37" s="248"/>
      <c r="N37" s="248"/>
      <c r="O37" s="203">
        <f>K35-O35</f>
        <v>-0.37502362549275858</v>
      </c>
      <c r="P37" s="34"/>
      <c r="Q37" s="194"/>
      <c r="R37" s="77"/>
      <c r="Z37" s="77"/>
    </row>
    <row r="38" spans="2:26" ht="13.5" customHeight="1" x14ac:dyDescent="0.25">
      <c r="B38" s="183"/>
      <c r="C38" s="77"/>
      <c r="D38" s="97"/>
      <c r="E38" s="97"/>
      <c r="F38" s="222"/>
      <c r="G38" s="84"/>
      <c r="H38" s="97"/>
      <c r="I38" s="222"/>
      <c r="J38" s="185"/>
      <c r="K38" s="185"/>
      <c r="L38" s="186"/>
      <c r="M38" s="194"/>
      <c r="N38" s="194"/>
      <c r="P38" s="34"/>
      <c r="Q38" s="194"/>
      <c r="R38" s="77"/>
      <c r="Z38" s="77"/>
    </row>
    <row r="39" spans="2:26" ht="13.5" customHeight="1" x14ac:dyDescent="0.25">
      <c r="B39" s="183" t="s">
        <v>172</v>
      </c>
      <c r="C39" s="200"/>
      <c r="D39" s="84">
        <f>D35</f>
        <v>494</v>
      </c>
      <c r="E39" s="191">
        <v>6.21</v>
      </c>
      <c r="F39" s="181">
        <f>D39*E39</f>
        <v>3067.74</v>
      </c>
      <c r="G39" s="249"/>
      <c r="H39" s="250">
        <f>E39</f>
        <v>6.21</v>
      </c>
      <c r="I39" s="181">
        <f>D39*H39</f>
        <v>3067.74</v>
      </c>
      <c r="J39" s="185"/>
      <c r="K39" s="181">
        <f>I39-F39</f>
        <v>0</v>
      </c>
      <c r="L39" s="202">
        <f>ROUND(K39/F39,5)</f>
        <v>0</v>
      </c>
      <c r="M39" s="77"/>
      <c r="N39" s="77"/>
      <c r="O39" s="210">
        <v>0.177926</v>
      </c>
      <c r="P39" s="34"/>
      <c r="Q39" s="34"/>
      <c r="R39" s="77"/>
      <c r="Z39" s="77"/>
    </row>
    <row r="40" spans="2:26" ht="13.5" customHeight="1" x14ac:dyDescent="0.25">
      <c r="B40" s="183"/>
      <c r="C40" s="77"/>
      <c r="D40" s="97"/>
      <c r="E40" s="97"/>
      <c r="F40" s="185"/>
      <c r="H40" s="77"/>
      <c r="I40" s="185"/>
      <c r="J40" s="185"/>
      <c r="K40" s="185"/>
      <c r="L40" s="251"/>
      <c r="O40" s="239"/>
      <c r="P40" s="34"/>
      <c r="Q40" s="34"/>
      <c r="R40" s="77"/>
      <c r="Z40" s="77"/>
    </row>
    <row r="41" spans="2:26" ht="13.5" customHeight="1" x14ac:dyDescent="0.25">
      <c r="B41" s="183" t="s">
        <v>173</v>
      </c>
      <c r="C41" s="77"/>
      <c r="D41" s="97"/>
      <c r="E41" s="97"/>
      <c r="F41" s="181">
        <f>F35+F39</f>
        <v>7854.5999999999995</v>
      </c>
      <c r="H41" s="77"/>
      <c r="I41" s="181">
        <f>I35+I39</f>
        <v>8704.2799999999988</v>
      </c>
      <c r="J41" s="185"/>
      <c r="K41" s="181">
        <f>K35+K39</f>
        <v>849.68000000000029</v>
      </c>
      <c r="L41" s="202">
        <f>ROUND(K41/F41,5)</f>
        <v>0.10818</v>
      </c>
      <c r="M41" s="159"/>
      <c r="N41" s="159"/>
      <c r="O41" s="34"/>
      <c r="P41" s="34"/>
      <c r="Q41" s="34"/>
      <c r="R41" s="77"/>
      <c r="Z41" s="77"/>
    </row>
    <row r="42" spans="2:26" ht="13.5" customHeight="1" x14ac:dyDescent="0.3">
      <c r="B42" s="252"/>
      <c r="C42" s="253"/>
      <c r="D42" s="217"/>
      <c r="E42" s="217"/>
      <c r="F42" s="254"/>
      <c r="G42" s="76"/>
      <c r="H42" s="4"/>
      <c r="I42" s="255"/>
      <c r="J42" s="255"/>
      <c r="K42" s="4"/>
      <c r="L42" s="256"/>
      <c r="M42" s="236"/>
      <c r="N42" s="236"/>
      <c r="Q42" s="208"/>
      <c r="R42" s="77"/>
      <c r="Z42" s="77"/>
    </row>
    <row r="43" spans="2:26" ht="13.5" customHeight="1" x14ac:dyDescent="0.3">
      <c r="B43" s="95"/>
      <c r="K43" s="77"/>
      <c r="M43" s="194"/>
      <c r="N43" s="194"/>
      <c r="Q43" s="208"/>
      <c r="R43" s="77"/>
      <c r="Z43" s="77"/>
    </row>
    <row r="44" spans="2:26" x14ac:dyDescent="0.3">
      <c r="B44" s="155" t="s">
        <v>181</v>
      </c>
      <c r="K44" s="77"/>
      <c r="M44" s="236"/>
      <c r="N44" s="236"/>
      <c r="Q44" s="208"/>
      <c r="R44" s="77"/>
      <c r="Z44" s="77"/>
    </row>
    <row r="45" spans="2:26" x14ac:dyDescent="0.3">
      <c r="B45" s="95"/>
      <c r="D45" s="257" t="s">
        <v>129</v>
      </c>
      <c r="F45" s="131" t="s">
        <v>120</v>
      </c>
      <c r="I45" s="173" t="s">
        <v>28</v>
      </c>
      <c r="K45" s="173" t="s">
        <v>103</v>
      </c>
      <c r="Q45" s="208"/>
      <c r="R45" s="77"/>
      <c r="Z45" s="77"/>
    </row>
    <row r="46" spans="2:26" x14ac:dyDescent="0.3">
      <c r="B46" s="95" t="s">
        <v>182</v>
      </c>
      <c r="F46" s="258">
        <f>F16+F27+F39</f>
        <v>199014403.29185444</v>
      </c>
      <c r="I46" s="258">
        <f>I16+I27+I39</f>
        <v>199014403.29185444</v>
      </c>
      <c r="J46" s="258"/>
      <c r="K46" s="185">
        <f>I46-F46</f>
        <v>0</v>
      </c>
      <c r="Q46" s="208"/>
      <c r="R46" s="77"/>
      <c r="Z46" s="77"/>
    </row>
    <row r="47" spans="2:26" x14ac:dyDescent="0.3">
      <c r="B47" s="95" t="s">
        <v>183</v>
      </c>
      <c r="F47" s="258">
        <f>F14+F25+F35</f>
        <v>314237754.3773858</v>
      </c>
      <c r="G47" s="258"/>
      <c r="H47" s="258"/>
      <c r="I47" s="258">
        <f>I14+I25+I35</f>
        <v>369414658.35868043</v>
      </c>
      <c r="J47" s="258"/>
      <c r="K47" s="185">
        <f>I47-F47</f>
        <v>55176903.981294632</v>
      </c>
      <c r="L47" s="259">
        <f>K47/F47</f>
        <v>0.17558967123673366</v>
      </c>
    </row>
    <row r="48" spans="2:26" x14ac:dyDescent="0.3">
      <c r="B48" s="95" t="s">
        <v>184</v>
      </c>
      <c r="D48" s="72">
        <f>D13+D24+D37</f>
        <v>609257701.15931809</v>
      </c>
      <c r="F48" s="181">
        <f>F46+F47</f>
        <v>513252157.66924024</v>
      </c>
      <c r="I48" s="181">
        <f>I46+I47</f>
        <v>568429061.65053487</v>
      </c>
      <c r="K48" s="181">
        <f>K46+K47</f>
        <v>55176903.981294632</v>
      </c>
      <c r="L48" s="260">
        <f>K48/F48</f>
        <v>0.10750447544509455</v>
      </c>
    </row>
    <row r="49" spans="2:17" x14ac:dyDescent="0.3">
      <c r="B49" s="95"/>
      <c r="D49" s="72"/>
      <c r="F49" s="185"/>
      <c r="I49" s="185"/>
      <c r="K49" s="185"/>
      <c r="L49" s="259"/>
    </row>
    <row r="50" spans="2:17" x14ac:dyDescent="0.3">
      <c r="B50" s="95" t="s">
        <v>185</v>
      </c>
      <c r="F50" s="102"/>
      <c r="I50" s="185"/>
      <c r="K50" s="185"/>
      <c r="L50" s="259"/>
    </row>
    <row r="51" spans="2:17" ht="13.5" thickBot="1" x14ac:dyDescent="0.35">
      <c r="B51" s="95"/>
      <c r="D51" s="95"/>
      <c r="E51" s="95"/>
      <c r="F51" s="95"/>
      <c r="I51" s="258"/>
      <c r="K51" s="185"/>
    </row>
    <row r="52" spans="2:17" ht="13.5" thickBot="1" x14ac:dyDescent="0.35">
      <c r="B52" s="261" t="s">
        <v>14</v>
      </c>
      <c r="C52" s="262"/>
      <c r="D52" s="263">
        <v>0</v>
      </c>
      <c r="E52" s="264"/>
      <c r="F52" s="265">
        <v>-4.5788884162902832E-3</v>
      </c>
      <c r="K52" s="77"/>
      <c r="O52" s="266"/>
      <c r="P52" s="258"/>
    </row>
    <row r="53" spans="2:17" x14ac:dyDescent="0.3">
      <c r="B53" s="95"/>
      <c r="F53" s="95"/>
    </row>
    <row r="55" spans="2:17" ht="12.5" x14ac:dyDescent="0.25">
      <c r="B55" s="95"/>
      <c r="C55" s="95"/>
      <c r="D55" s="95"/>
      <c r="F55" s="95"/>
      <c r="G55" s="95"/>
      <c r="I55" s="95"/>
      <c r="J55" s="95"/>
      <c r="L55" s="95"/>
      <c r="M55" s="95"/>
      <c r="N55" s="95"/>
      <c r="Q55" s="95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&amp;RExhibit JDT-14
                   Page &amp;P of &amp;N</oddFooter>
  </headerFooter>
  <rowBreaks count="1" manualBreakCount="1">
    <brk id="42" min="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149"/>
  <sheetViews>
    <sheetView zoomScale="90" zoomScaleNormal="90" workbookViewId="0">
      <selection activeCell="I105" sqref="I105"/>
    </sheetView>
  </sheetViews>
  <sheetFormatPr defaultColWidth="9.1796875" defaultRowHeight="12.5" x14ac:dyDescent="0.25"/>
  <cols>
    <col min="1" max="1" width="2.453125" style="95" customWidth="1"/>
    <col min="2" max="2" width="31.7265625" style="95" customWidth="1"/>
    <col min="3" max="3" width="9.7265625" style="95" customWidth="1"/>
    <col min="4" max="4" width="12.7265625" style="95" customWidth="1"/>
    <col min="5" max="5" width="10.453125" style="95" customWidth="1"/>
    <col min="6" max="6" width="13.26953125" style="156" customWidth="1"/>
    <col min="7" max="7" width="2.81640625" style="72" customWidth="1"/>
    <col min="8" max="8" width="10.453125" style="94" customWidth="1"/>
    <col min="9" max="9" width="13.26953125" style="156" customWidth="1"/>
    <col min="10" max="10" width="2.81640625" style="156" customWidth="1"/>
    <col min="11" max="11" width="13.26953125" style="156" customWidth="1"/>
    <col min="12" max="12" width="10.453125" style="259" customWidth="1"/>
    <col min="13" max="13" width="2.81640625" style="274" customWidth="1"/>
    <col min="14" max="14" width="2" style="322" customWidth="1"/>
    <col min="15" max="15" width="14.54296875" style="95" customWidth="1"/>
    <col min="16" max="16" width="2.81640625" style="95" customWidth="1"/>
    <col min="17" max="17" width="8.81640625" style="160" customWidth="1"/>
    <col min="18" max="16384" width="9.1796875" style="95"/>
  </cols>
  <sheetData>
    <row r="2" spans="1:17" ht="13" x14ac:dyDescent="0.3">
      <c r="B2" s="146" t="s">
        <v>13</v>
      </c>
      <c r="C2" s="70"/>
      <c r="D2" s="70"/>
      <c r="E2" s="70"/>
      <c r="F2" s="148"/>
      <c r="G2" s="267"/>
      <c r="H2" s="127"/>
      <c r="I2" s="148"/>
      <c r="J2" s="148"/>
      <c r="K2" s="148"/>
      <c r="L2" s="268"/>
      <c r="M2" s="269"/>
      <c r="N2" s="269"/>
      <c r="O2" s="70"/>
      <c r="P2" s="70"/>
      <c r="Q2" s="151"/>
    </row>
    <row r="3" spans="1:17" ht="13" x14ac:dyDescent="0.3">
      <c r="B3" s="152" t="s">
        <v>264</v>
      </c>
      <c r="C3" s="70"/>
      <c r="D3" s="70"/>
      <c r="E3" s="70"/>
      <c r="F3" s="70"/>
      <c r="G3" s="127"/>
      <c r="H3" s="127"/>
      <c r="I3" s="70"/>
      <c r="J3" s="70"/>
      <c r="K3" s="70"/>
      <c r="L3" s="268"/>
      <c r="M3" s="70"/>
      <c r="N3" s="269"/>
      <c r="O3" s="70"/>
      <c r="P3" s="70"/>
      <c r="Q3" s="151"/>
    </row>
    <row r="4" spans="1:17" ht="13" x14ac:dyDescent="0.3">
      <c r="B4" s="146" t="s">
        <v>186</v>
      </c>
      <c r="C4" s="70"/>
      <c r="D4" s="70"/>
      <c r="E4" s="70"/>
      <c r="F4" s="70"/>
      <c r="G4" s="127"/>
      <c r="H4" s="127"/>
      <c r="I4" s="70"/>
      <c r="J4" s="70"/>
      <c r="K4" s="70"/>
      <c r="L4" s="268"/>
      <c r="M4" s="70"/>
      <c r="N4" s="269"/>
      <c r="O4" s="70"/>
      <c r="P4" s="70"/>
      <c r="Q4" s="151"/>
    </row>
    <row r="5" spans="1:17" ht="13" x14ac:dyDescent="0.3">
      <c r="B5" s="146" t="s">
        <v>265</v>
      </c>
      <c r="C5" s="70"/>
      <c r="D5" s="70"/>
      <c r="E5" s="70"/>
      <c r="F5" s="70"/>
      <c r="G5" s="127"/>
      <c r="H5" s="127"/>
      <c r="I5" s="70"/>
      <c r="J5" s="70"/>
      <c r="K5" s="70"/>
      <c r="L5" s="268"/>
      <c r="M5" s="70"/>
      <c r="N5" s="270"/>
      <c r="O5" s="154"/>
      <c r="P5" s="70"/>
      <c r="Q5" s="151"/>
    </row>
    <row r="6" spans="1:17" ht="13.5" customHeight="1" x14ac:dyDescent="0.25">
      <c r="B6" s="42"/>
      <c r="C6" s="42"/>
      <c r="D6" s="42"/>
      <c r="E6" s="42"/>
      <c r="F6" s="271"/>
      <c r="G6" s="272"/>
      <c r="H6" s="24"/>
      <c r="I6" s="271"/>
      <c r="J6" s="271"/>
      <c r="K6" s="271"/>
      <c r="L6" s="273"/>
      <c r="N6" s="194"/>
      <c r="O6" s="77"/>
    </row>
    <row r="7" spans="1:17" ht="12" customHeight="1" x14ac:dyDescent="0.25">
      <c r="B7" s="161"/>
      <c r="C7" s="162"/>
      <c r="D7" s="163" t="s">
        <v>119</v>
      </c>
      <c r="E7" s="167" t="s">
        <v>120</v>
      </c>
      <c r="F7" s="165"/>
      <c r="G7" s="96"/>
      <c r="H7" s="164" t="s">
        <v>28</v>
      </c>
      <c r="I7" s="165"/>
      <c r="J7" s="168"/>
      <c r="K7" s="637" t="s">
        <v>164</v>
      </c>
      <c r="L7" s="638"/>
      <c r="M7" s="170"/>
      <c r="N7" s="270"/>
      <c r="O7" s="34" t="s">
        <v>121</v>
      </c>
      <c r="Q7" s="171" t="s">
        <v>165</v>
      </c>
    </row>
    <row r="8" spans="1:17" x14ac:dyDescent="0.25">
      <c r="B8" s="172" t="s">
        <v>122</v>
      </c>
      <c r="C8" s="131" t="s">
        <v>123</v>
      </c>
      <c r="D8" s="41" t="s">
        <v>124</v>
      </c>
      <c r="E8" s="131" t="s">
        <v>112</v>
      </c>
      <c r="F8" s="173" t="s">
        <v>125</v>
      </c>
      <c r="G8" s="41"/>
      <c r="H8" s="41" t="s">
        <v>112</v>
      </c>
      <c r="I8" s="173" t="s">
        <v>125</v>
      </c>
      <c r="J8" s="173"/>
      <c r="K8" s="173" t="s">
        <v>166</v>
      </c>
      <c r="L8" s="275" t="s">
        <v>167</v>
      </c>
      <c r="M8" s="276"/>
      <c r="N8" s="175"/>
      <c r="O8" s="131" t="s">
        <v>168</v>
      </c>
      <c r="Q8" s="176" t="s">
        <v>102</v>
      </c>
    </row>
    <row r="9" spans="1:17" x14ac:dyDescent="0.25">
      <c r="A9" s="77"/>
      <c r="B9" s="34"/>
      <c r="C9" s="34"/>
      <c r="D9" s="34"/>
      <c r="E9" s="34"/>
      <c r="F9" s="277"/>
      <c r="G9" s="96"/>
      <c r="H9" s="96"/>
      <c r="I9" s="277"/>
      <c r="J9" s="277"/>
      <c r="K9" s="277"/>
      <c r="L9" s="278"/>
      <c r="M9" s="276"/>
      <c r="N9" s="175"/>
      <c r="O9" s="77"/>
      <c r="P9" s="77"/>
      <c r="Q9" s="208"/>
    </row>
    <row r="10" spans="1:17" ht="13" x14ac:dyDescent="0.3">
      <c r="B10" s="177" t="s">
        <v>187</v>
      </c>
      <c r="C10" s="279"/>
      <c r="D10" s="180"/>
      <c r="E10" s="180"/>
      <c r="F10" s="181"/>
      <c r="G10" s="39"/>
      <c r="H10" s="179"/>
      <c r="I10" s="181"/>
      <c r="J10" s="181"/>
      <c r="K10" s="181"/>
      <c r="L10" s="202"/>
      <c r="M10" s="280"/>
      <c r="N10" s="194"/>
      <c r="O10" s="77"/>
      <c r="P10" s="77"/>
      <c r="Q10" s="208"/>
    </row>
    <row r="11" spans="1:17" x14ac:dyDescent="0.25">
      <c r="B11" s="183"/>
      <c r="C11" s="77"/>
      <c r="D11" s="26"/>
      <c r="E11" s="77"/>
      <c r="F11" s="185"/>
      <c r="G11" s="84"/>
      <c r="H11" s="97"/>
      <c r="I11" s="185"/>
      <c r="J11" s="185"/>
      <c r="K11" s="185"/>
      <c r="L11" s="192"/>
      <c r="M11" s="280"/>
      <c r="N11" s="194"/>
      <c r="O11" s="281" t="s">
        <v>188</v>
      </c>
      <c r="P11" s="77"/>
      <c r="Q11" s="208"/>
    </row>
    <row r="12" spans="1:17" x14ac:dyDescent="0.25">
      <c r="B12" s="188" t="s">
        <v>126</v>
      </c>
      <c r="C12" s="189" t="s">
        <v>127</v>
      </c>
      <c r="D12" s="190">
        <v>692597.12096613029</v>
      </c>
      <c r="E12" s="191">
        <v>32.159999999999997</v>
      </c>
      <c r="F12" s="185">
        <f>ROUND(D12*E12,2)</f>
        <v>22273923.41</v>
      </c>
      <c r="G12" s="84"/>
      <c r="H12" s="191">
        <v>33.840000000000003</v>
      </c>
      <c r="I12" s="222">
        <f>ROUND(D12*H12,2)</f>
        <v>23437486.57</v>
      </c>
      <c r="J12" s="185"/>
      <c r="K12" s="185">
        <f>I12-F12</f>
        <v>1163563.1600000001</v>
      </c>
      <c r="L12" s="192"/>
      <c r="M12" s="280"/>
      <c r="N12" s="194"/>
      <c r="O12" s="193">
        <v>24593719.425074808</v>
      </c>
      <c r="P12" s="77"/>
      <c r="Q12" s="194">
        <f>H12/E12-1</f>
        <v>5.2238805970149516E-2</v>
      </c>
    </row>
    <row r="13" spans="1:17" x14ac:dyDescent="0.25">
      <c r="B13" s="183" t="s">
        <v>128</v>
      </c>
      <c r="C13" s="77" t="s">
        <v>129</v>
      </c>
      <c r="D13" s="190">
        <v>234140158.08963937</v>
      </c>
      <c r="E13" s="196">
        <v>0.29475000000000001</v>
      </c>
      <c r="F13" s="185">
        <f>ROUND(D13*E13,2)</f>
        <v>69012811.599999994</v>
      </c>
      <c r="G13" s="84"/>
      <c r="H13" s="197">
        <f>ROUND(E13*(1+$O$16),5)</f>
        <v>0.38976</v>
      </c>
      <c r="I13" s="222">
        <f>ROUND(D13*H13,2)</f>
        <v>91258468.019999996</v>
      </c>
      <c r="J13" s="185"/>
      <c r="K13" s="185">
        <f>I13-F13</f>
        <v>22245656.420000002</v>
      </c>
      <c r="L13" s="192"/>
      <c r="M13" s="280"/>
      <c r="N13" s="194"/>
      <c r="O13" s="198" t="s">
        <v>171</v>
      </c>
      <c r="P13" s="77"/>
      <c r="Q13" s="194">
        <f>H13/E13-1</f>
        <v>0.32234096692111947</v>
      </c>
    </row>
    <row r="14" spans="1:17" x14ac:dyDescent="0.25">
      <c r="B14" s="183" t="s">
        <v>131</v>
      </c>
      <c r="C14" s="77"/>
      <c r="D14" s="84">
        <f>D13</f>
        <v>234140158.08963937</v>
      </c>
      <c r="E14" s="196">
        <v>8.8199999999999997E-3</v>
      </c>
      <c r="F14" s="185">
        <f>ROUND(D14*E14,2)</f>
        <v>2065116.19</v>
      </c>
      <c r="G14" s="84"/>
      <c r="H14" s="196">
        <v>1.3860000000000001E-2</v>
      </c>
      <c r="I14" s="185">
        <f>ROUND(D14*H14,2)</f>
        <v>3245182.59</v>
      </c>
      <c r="J14" s="282"/>
      <c r="K14" s="185">
        <f>I14-F14</f>
        <v>1180066.3999999999</v>
      </c>
      <c r="L14" s="251"/>
      <c r="M14" s="276"/>
      <c r="N14" s="276"/>
      <c r="O14" s="283">
        <f>K15+K27-O12</f>
        <v>-660.51507480815053</v>
      </c>
      <c r="P14" s="77"/>
      <c r="Q14" s="194">
        <f>H14/E14-1</f>
        <v>0.57142857142857162</v>
      </c>
    </row>
    <row r="15" spans="1:17" x14ac:dyDescent="0.25">
      <c r="B15" s="213" t="s">
        <v>175</v>
      </c>
      <c r="C15" s="200"/>
      <c r="D15" s="84"/>
      <c r="E15" s="201"/>
      <c r="F15" s="181">
        <f>SUM(F12:F14)</f>
        <v>93351851.199999988</v>
      </c>
      <c r="G15" s="84"/>
      <c r="H15" s="84"/>
      <c r="I15" s="284">
        <f>SUM(I12:I14)</f>
        <v>117941137.18000001</v>
      </c>
      <c r="J15" s="185"/>
      <c r="K15" s="181">
        <f>SUM(K12:K14)</f>
        <v>24589285.98</v>
      </c>
      <c r="L15" s="202">
        <f>ROUND(K15/F15,5)</f>
        <v>0.26340000000000002</v>
      </c>
      <c r="M15" s="280"/>
      <c r="N15" s="194"/>
      <c r="O15" s="285"/>
      <c r="P15" s="286"/>
      <c r="Q15" s="287"/>
    </row>
    <row r="16" spans="1:17" x14ac:dyDescent="0.25">
      <c r="B16" s="183"/>
      <c r="C16" s="77"/>
      <c r="D16" s="97"/>
      <c r="E16" s="201"/>
      <c r="F16" s="185"/>
      <c r="G16" s="84"/>
      <c r="H16" s="84"/>
      <c r="I16" s="222"/>
      <c r="J16" s="185"/>
      <c r="K16" s="185"/>
      <c r="L16" s="192"/>
      <c r="M16" s="280"/>
      <c r="N16" s="194"/>
      <c r="O16" s="210">
        <v>0.32234299999999999</v>
      </c>
      <c r="P16" s="77"/>
      <c r="Q16" s="208"/>
    </row>
    <row r="17" spans="1:17" x14ac:dyDescent="0.25">
      <c r="B17" s="183" t="s">
        <v>172</v>
      </c>
      <c r="C17" s="77" t="s">
        <v>129</v>
      </c>
      <c r="D17" s="84">
        <f>D13</f>
        <v>234140158.08963937</v>
      </c>
      <c r="E17" s="125">
        <v>0.31873000000000001</v>
      </c>
      <c r="F17" s="185">
        <f>E17*D17</f>
        <v>74627492.587910756</v>
      </c>
      <c r="G17" s="97"/>
      <c r="H17" s="209">
        <f>E17</f>
        <v>0.31873000000000001</v>
      </c>
      <c r="I17" s="222">
        <f>H17*D17</f>
        <v>74627492.587910756</v>
      </c>
      <c r="J17" s="185"/>
      <c r="K17" s="185">
        <f>I17-F17</f>
        <v>0</v>
      </c>
      <c r="L17" s="192">
        <f>ROUND(K17/F17,5)</f>
        <v>0</v>
      </c>
      <c r="M17" s="280"/>
      <c r="N17" s="194"/>
      <c r="O17" s="34"/>
      <c r="P17" s="34"/>
      <c r="Q17" s="34"/>
    </row>
    <row r="18" spans="1:17" x14ac:dyDescent="0.25">
      <c r="B18" s="183"/>
      <c r="C18" s="77"/>
      <c r="D18" s="97"/>
      <c r="E18" s="288"/>
      <c r="F18" s="185"/>
      <c r="G18" s="289"/>
      <c r="H18" s="212"/>
      <c r="I18" s="222"/>
      <c r="J18" s="185"/>
      <c r="K18" s="185"/>
      <c r="L18" s="192"/>
      <c r="M18" s="280"/>
      <c r="N18" s="194"/>
      <c r="O18" s="290"/>
      <c r="P18" s="34"/>
      <c r="Q18" s="34"/>
    </row>
    <row r="19" spans="1:17" x14ac:dyDescent="0.25">
      <c r="B19" s="213" t="s">
        <v>173</v>
      </c>
      <c r="C19" s="77"/>
      <c r="D19" s="97"/>
      <c r="E19" s="77"/>
      <c r="F19" s="181">
        <f>F17+F15</f>
        <v>167979343.78791076</v>
      </c>
      <c r="G19" s="289"/>
      <c r="H19" s="291"/>
      <c r="I19" s="284">
        <f>I17+I15</f>
        <v>192568629.76791078</v>
      </c>
      <c r="J19" s="185"/>
      <c r="K19" s="181">
        <f>K15+K17</f>
        <v>24589285.98</v>
      </c>
      <c r="L19" s="202">
        <f>ROUND(K19/F19,5)</f>
        <v>0.14638000000000001</v>
      </c>
      <c r="M19" s="280"/>
      <c r="N19" s="194"/>
      <c r="O19" s="34"/>
      <c r="P19" s="34"/>
      <c r="Q19" s="34"/>
    </row>
    <row r="20" spans="1:17" x14ac:dyDescent="0.25">
      <c r="B20" s="292"/>
      <c r="C20" s="293"/>
      <c r="D20" s="217"/>
      <c r="E20" s="294"/>
      <c r="F20" s="295"/>
      <c r="G20" s="217"/>
      <c r="H20" s="296"/>
      <c r="I20" s="218"/>
      <c r="J20" s="297"/>
      <c r="K20" s="297"/>
      <c r="L20" s="298"/>
      <c r="M20" s="280"/>
      <c r="N20" s="194"/>
      <c r="O20" s="77"/>
    </row>
    <row r="21" spans="1:17" x14ac:dyDescent="0.25">
      <c r="A21" s="77"/>
      <c r="B21" s="77"/>
      <c r="C21" s="77"/>
      <c r="D21" s="97"/>
      <c r="E21" s="77"/>
      <c r="F21" s="159"/>
      <c r="G21" s="289"/>
      <c r="H21" s="291"/>
      <c r="I21" s="159"/>
      <c r="J21" s="159"/>
      <c r="K21" s="185"/>
      <c r="L21" s="260"/>
      <c r="M21" s="280"/>
      <c r="N21" s="194"/>
      <c r="O21" s="77"/>
    </row>
    <row r="22" spans="1:17" ht="13" x14ac:dyDescent="0.3">
      <c r="A22" s="77"/>
      <c r="B22" s="224" t="s">
        <v>189</v>
      </c>
      <c r="C22" s="279"/>
      <c r="D22" s="180"/>
      <c r="E22" s="180"/>
      <c r="F22" s="181"/>
      <c r="G22" s="39"/>
      <c r="H22" s="179"/>
      <c r="I22" s="181"/>
      <c r="J22" s="181"/>
      <c r="K22" s="181"/>
      <c r="L22" s="202"/>
      <c r="M22" s="280"/>
      <c r="N22" s="194"/>
      <c r="O22" s="77"/>
    </row>
    <row r="23" spans="1:17" x14ac:dyDescent="0.25">
      <c r="A23" s="77"/>
      <c r="B23" s="183"/>
      <c r="C23" s="77"/>
      <c r="D23" s="26"/>
      <c r="E23" s="77"/>
      <c r="F23" s="185"/>
      <c r="G23" s="84"/>
      <c r="H23" s="97"/>
      <c r="I23" s="185"/>
      <c r="J23" s="185"/>
      <c r="K23" s="185"/>
      <c r="L23" s="192"/>
      <c r="M23" s="280"/>
      <c r="N23" s="194"/>
      <c r="O23" s="77"/>
    </row>
    <row r="24" spans="1:17" x14ac:dyDescent="0.25">
      <c r="A24" s="77"/>
      <c r="B24" s="188" t="s">
        <v>126</v>
      </c>
      <c r="C24" s="189" t="s">
        <v>127</v>
      </c>
      <c r="D24" s="190">
        <v>31</v>
      </c>
      <c r="E24" s="191">
        <v>353.77</v>
      </c>
      <c r="F24" s="185">
        <f>ROUND(D24*E24,2)</f>
        <v>10966.87</v>
      </c>
      <c r="G24" s="84"/>
      <c r="H24" s="191">
        <v>364.04</v>
      </c>
      <c r="I24" s="222">
        <f>ROUND(D24*H24,2)</f>
        <v>11285.24</v>
      </c>
      <c r="J24" s="185"/>
      <c r="K24" s="185">
        <f>I24-F24</f>
        <v>318.36999999999898</v>
      </c>
      <c r="L24" s="192"/>
      <c r="M24" s="280"/>
      <c r="N24" s="194"/>
      <c r="O24" s="77"/>
      <c r="Q24" s="194">
        <f>H24/E24-1</f>
        <v>2.903016083896337E-2</v>
      </c>
    </row>
    <row r="25" spans="1:17" x14ac:dyDescent="0.25">
      <c r="A25" s="77"/>
      <c r="B25" s="183" t="s">
        <v>128</v>
      </c>
      <c r="C25" s="77" t="s">
        <v>129</v>
      </c>
      <c r="D25" s="190">
        <v>36359.963605097219</v>
      </c>
      <c r="E25" s="196">
        <v>0.29475000000000001</v>
      </c>
      <c r="F25" s="185">
        <f>ROUND(D25*E25,2)</f>
        <v>10717.1</v>
      </c>
      <c r="G25" s="84"/>
      <c r="H25" s="197">
        <f>H13</f>
        <v>0.38976</v>
      </c>
      <c r="I25" s="222">
        <f>ROUND(D25*H25,2)</f>
        <v>14171.66</v>
      </c>
      <c r="J25" s="185"/>
      <c r="K25" s="185">
        <f>I25-F25</f>
        <v>3454.5599999999995</v>
      </c>
      <c r="L25" s="192"/>
      <c r="M25" s="280"/>
      <c r="N25" s="194"/>
      <c r="O25" s="77"/>
      <c r="Q25" s="194">
        <f t="shared" ref="Q25" si="0">H25/E25-1</f>
        <v>0.32234096692111947</v>
      </c>
    </row>
    <row r="26" spans="1:17" x14ac:dyDescent="0.25">
      <c r="A26" s="77"/>
      <c r="B26" s="188" t="s">
        <v>131</v>
      </c>
      <c r="C26" s="77"/>
      <c r="D26" s="84">
        <f>D25</f>
        <v>36359.963605097219</v>
      </c>
      <c r="E26" s="299">
        <v>0</v>
      </c>
      <c r="F26" s="185">
        <f>ROUND(D26*E26,2)</f>
        <v>0</v>
      </c>
      <c r="G26" s="84"/>
      <c r="H26" s="299">
        <v>0</v>
      </c>
      <c r="I26" s="222">
        <f>ROUND(D26*H26,2)</f>
        <v>0</v>
      </c>
      <c r="J26" s="185"/>
      <c r="K26" s="185">
        <f>I26-F26</f>
        <v>0</v>
      </c>
      <c r="L26" s="192"/>
      <c r="M26" s="280"/>
      <c r="N26" s="194"/>
      <c r="O26" s="77"/>
      <c r="Q26" s="194"/>
    </row>
    <row r="27" spans="1:17" x14ac:dyDescent="0.25">
      <c r="A27" s="77"/>
      <c r="B27" s="213" t="s">
        <v>175</v>
      </c>
      <c r="C27" s="200"/>
      <c r="D27" s="84"/>
      <c r="E27" s="201"/>
      <c r="F27" s="181">
        <f>SUM(F24:F26)</f>
        <v>21683.97</v>
      </c>
      <c r="G27" s="84"/>
      <c r="H27" s="84"/>
      <c r="I27" s="284">
        <f>SUM(I24:I26)</f>
        <v>25456.9</v>
      </c>
      <c r="J27" s="185"/>
      <c r="K27" s="284">
        <f>SUM(K24:K26)</f>
        <v>3772.9299999999985</v>
      </c>
      <c r="L27" s="202"/>
      <c r="M27" s="280"/>
      <c r="N27" s="194"/>
      <c r="O27" s="77"/>
    </row>
    <row r="28" spans="1:17" x14ac:dyDescent="0.25">
      <c r="A28" s="77"/>
      <c r="B28" s="183"/>
      <c r="C28" s="77"/>
      <c r="D28" s="97"/>
      <c r="E28" s="201"/>
      <c r="F28" s="185"/>
      <c r="G28" s="84"/>
      <c r="H28" s="84"/>
      <c r="I28" s="222"/>
      <c r="J28" s="185"/>
      <c r="K28" s="185"/>
      <c r="L28" s="192"/>
      <c r="M28" s="280"/>
      <c r="N28" s="194"/>
      <c r="O28" s="77"/>
    </row>
    <row r="29" spans="1:17" x14ac:dyDescent="0.25">
      <c r="A29" s="77"/>
      <c r="B29" s="228" t="s">
        <v>190</v>
      </c>
      <c r="C29" s="77" t="s">
        <v>129</v>
      </c>
      <c r="D29" s="84">
        <f>D25</f>
        <v>36359.963605097219</v>
      </c>
      <c r="E29" s="196">
        <v>6.9999999999999999E-4</v>
      </c>
      <c r="F29" s="185">
        <f>E29*D29</f>
        <v>25.451974523568051</v>
      </c>
      <c r="G29" s="97"/>
      <c r="H29" s="299">
        <v>1E-3</v>
      </c>
      <c r="I29" s="222">
        <f>H29*D29</f>
        <v>36.359963605097221</v>
      </c>
      <c r="J29" s="185"/>
      <c r="K29" s="185">
        <f>I29-F29</f>
        <v>10.90798908152917</v>
      </c>
      <c r="L29" s="192"/>
      <c r="M29" s="280"/>
      <c r="N29" s="194"/>
      <c r="O29" s="77"/>
    </row>
    <row r="30" spans="1:17" x14ac:dyDescent="0.25">
      <c r="A30" s="77"/>
      <c r="B30" s="213" t="s">
        <v>173</v>
      </c>
      <c r="C30" s="77"/>
      <c r="D30" s="97"/>
      <c r="E30" s="77"/>
      <c r="F30" s="181">
        <f>F29+F27</f>
        <v>21709.421974523568</v>
      </c>
      <c r="G30" s="289"/>
      <c r="H30" s="291"/>
      <c r="I30" s="284">
        <f>I29+I27</f>
        <v>25493.259963605098</v>
      </c>
      <c r="J30" s="185"/>
      <c r="K30" s="181">
        <f>K27+K29</f>
        <v>3783.8379890815277</v>
      </c>
      <c r="L30" s="202"/>
      <c r="M30" s="280"/>
      <c r="N30" s="194"/>
      <c r="O30" s="77"/>
    </row>
    <row r="31" spans="1:17" x14ac:dyDescent="0.25">
      <c r="A31" s="77"/>
      <c r="B31" s="292"/>
      <c r="C31" s="293"/>
      <c r="D31" s="217"/>
      <c r="E31" s="294"/>
      <c r="F31" s="295"/>
      <c r="G31" s="217"/>
      <c r="H31" s="296"/>
      <c r="I31" s="218"/>
      <c r="J31" s="297"/>
      <c r="K31" s="297"/>
      <c r="L31" s="298"/>
      <c r="M31" s="280"/>
      <c r="N31" s="194"/>
      <c r="O31" s="77"/>
    </row>
    <row r="32" spans="1:17" x14ac:dyDescent="0.25">
      <c r="A32" s="77"/>
      <c r="B32" s="77"/>
      <c r="C32" s="77"/>
      <c r="D32" s="97"/>
      <c r="E32" s="77"/>
      <c r="F32" s="159"/>
      <c r="G32" s="289"/>
      <c r="H32" s="291"/>
      <c r="I32" s="159"/>
      <c r="J32" s="159"/>
      <c r="K32" s="185"/>
      <c r="L32" s="260"/>
      <c r="M32" s="280"/>
      <c r="N32" s="194"/>
      <c r="O32" s="77"/>
    </row>
    <row r="33" spans="1:17" ht="13" x14ac:dyDescent="0.3">
      <c r="A33" s="77"/>
      <c r="B33" s="177" t="s">
        <v>191</v>
      </c>
      <c r="C33" s="279"/>
      <c r="D33" s="180"/>
      <c r="E33" s="180"/>
      <c r="F33" s="181"/>
      <c r="G33" s="39"/>
      <c r="H33" s="179"/>
      <c r="I33" s="181"/>
      <c r="J33" s="181"/>
      <c r="K33" s="181"/>
      <c r="L33" s="202"/>
      <c r="M33" s="280"/>
      <c r="N33" s="194"/>
      <c r="O33" s="77"/>
    </row>
    <row r="34" spans="1:17" x14ac:dyDescent="0.25">
      <c r="A34" s="77"/>
      <c r="B34" s="183"/>
      <c r="C34" s="77"/>
      <c r="D34" s="26"/>
      <c r="E34" s="77"/>
      <c r="F34" s="185"/>
      <c r="G34" s="84"/>
      <c r="H34" s="97"/>
      <c r="I34" s="185"/>
      <c r="J34" s="185"/>
      <c r="K34" s="185"/>
      <c r="L34" s="192"/>
      <c r="M34" s="280"/>
      <c r="N34" s="194"/>
      <c r="O34" s="77"/>
    </row>
    <row r="35" spans="1:17" x14ac:dyDescent="0.25">
      <c r="A35" s="77"/>
      <c r="B35" s="188" t="s">
        <v>126</v>
      </c>
      <c r="C35" s="189" t="s">
        <v>127</v>
      </c>
      <c r="D35" s="84">
        <f>D12+D24</f>
        <v>692628.12096613029</v>
      </c>
      <c r="E35" s="300"/>
      <c r="F35" s="185">
        <f>F12+F24</f>
        <v>22284890.280000001</v>
      </c>
      <c r="G35" s="84"/>
      <c r="H35" s="300"/>
      <c r="I35" s="185">
        <f>I12+I24</f>
        <v>23448771.809999999</v>
      </c>
      <c r="J35" s="185"/>
      <c r="K35" s="185">
        <f>I35-F35</f>
        <v>1163881.5299999975</v>
      </c>
      <c r="L35" s="192"/>
      <c r="M35" s="280"/>
      <c r="N35" s="194"/>
      <c r="O35" s="77"/>
    </row>
    <row r="36" spans="1:17" x14ac:dyDescent="0.25">
      <c r="A36" s="77"/>
      <c r="B36" s="183" t="s">
        <v>128</v>
      </c>
      <c r="C36" s="77" t="s">
        <v>129</v>
      </c>
      <c r="D36" s="84">
        <f>D13+D25</f>
        <v>234176518.05324447</v>
      </c>
      <c r="E36" s="240"/>
      <c r="F36" s="185">
        <f>F13+F25</f>
        <v>69023528.699999988</v>
      </c>
      <c r="G36" s="84"/>
      <c r="H36" s="240"/>
      <c r="I36" s="185">
        <f>I13+I25</f>
        <v>91272639.679999992</v>
      </c>
      <c r="J36" s="185"/>
      <c r="K36" s="185">
        <f>I36-F36</f>
        <v>22249110.980000004</v>
      </c>
      <c r="L36" s="192"/>
      <c r="M36" s="280"/>
      <c r="N36" s="194"/>
      <c r="O36" s="77"/>
    </row>
    <row r="37" spans="1:17" x14ac:dyDescent="0.25">
      <c r="A37" s="77"/>
      <c r="B37" s="183" t="s">
        <v>131</v>
      </c>
      <c r="C37" s="77" t="s">
        <v>129</v>
      </c>
      <c r="D37" s="84">
        <f>D14+D26</f>
        <v>234176518.05324447</v>
      </c>
      <c r="E37" s="240"/>
      <c r="F37" s="185">
        <f>F14+F26</f>
        <v>2065116.19</v>
      </c>
      <c r="G37" s="84"/>
      <c r="H37" s="240"/>
      <c r="I37" s="185">
        <f>I14+I26</f>
        <v>3245182.59</v>
      </c>
      <c r="J37" s="185"/>
      <c r="K37" s="185">
        <f>I37-F37</f>
        <v>1180066.3999999999</v>
      </c>
      <c r="L37" s="192"/>
      <c r="M37" s="280"/>
      <c r="N37" s="194"/>
      <c r="O37" s="77"/>
    </row>
    <row r="38" spans="1:17" x14ac:dyDescent="0.25">
      <c r="A38" s="77"/>
      <c r="B38" s="213" t="s">
        <v>175</v>
      </c>
      <c r="C38" s="200"/>
      <c r="D38" s="84"/>
      <c r="E38" s="97"/>
      <c r="F38" s="181">
        <f>SUM(F35:F37)</f>
        <v>93373535.169999987</v>
      </c>
      <c r="G38" s="84"/>
      <c r="H38" s="84"/>
      <c r="I38" s="181">
        <f>SUM(I35:I37)</f>
        <v>117966594.08</v>
      </c>
      <c r="J38" s="185"/>
      <c r="K38" s="181">
        <f>SUM(K35:K37)</f>
        <v>24593058.91</v>
      </c>
      <c r="L38" s="202">
        <f>ROUND(K38/F38,5)</f>
        <v>0.26338</v>
      </c>
      <c r="M38" s="280"/>
      <c r="N38" s="194"/>
      <c r="O38" s="77"/>
    </row>
    <row r="39" spans="1:17" x14ac:dyDescent="0.25">
      <c r="A39" s="77"/>
      <c r="B39" s="183"/>
      <c r="C39" s="77"/>
      <c r="D39" s="97"/>
      <c r="E39" s="97"/>
      <c r="F39" s="185"/>
      <c r="G39" s="84"/>
      <c r="H39" s="84"/>
      <c r="I39" s="185"/>
      <c r="J39" s="185"/>
      <c r="K39" s="185"/>
      <c r="L39" s="192"/>
      <c r="M39" s="280"/>
      <c r="N39" s="194"/>
      <c r="O39" s="77"/>
    </row>
    <row r="40" spans="1:17" x14ac:dyDescent="0.25">
      <c r="A40" s="77"/>
      <c r="B40" s="183" t="s">
        <v>172</v>
      </c>
      <c r="C40" s="77" t="s">
        <v>129</v>
      </c>
      <c r="D40" s="84">
        <f>D36</f>
        <v>234176518.05324447</v>
      </c>
      <c r="E40" s="240"/>
      <c r="F40" s="185">
        <f>F17+F29</f>
        <v>74627518.039885283</v>
      </c>
      <c r="G40" s="97"/>
      <c r="H40" s="197"/>
      <c r="I40" s="185">
        <f>I17+I29</f>
        <v>74627528.947874367</v>
      </c>
      <c r="J40" s="185"/>
      <c r="K40" s="297">
        <f>I40-F40</f>
        <v>10.907989084720612</v>
      </c>
      <c r="L40" s="298">
        <f>ROUND(K40/F40,5)</f>
        <v>0</v>
      </c>
      <c r="M40" s="280"/>
      <c r="N40" s="194"/>
      <c r="O40" s="77"/>
    </row>
    <row r="41" spans="1:17" x14ac:dyDescent="0.25">
      <c r="A41" s="77"/>
      <c r="B41" s="213" t="s">
        <v>173</v>
      </c>
      <c r="C41" s="77"/>
      <c r="D41" s="97"/>
      <c r="E41" s="77"/>
      <c r="F41" s="181">
        <f>F40+F38</f>
        <v>168001053.20988527</v>
      </c>
      <c r="G41" s="289"/>
      <c r="H41" s="291"/>
      <c r="I41" s="181">
        <f>I40+I38</f>
        <v>192594123.02787435</v>
      </c>
      <c r="J41" s="185"/>
      <c r="K41" s="181">
        <f>K38+K40</f>
        <v>24593069.817989085</v>
      </c>
      <c r="L41" s="202">
        <f>ROUND(K41/F41,5)</f>
        <v>0.14638999999999999</v>
      </c>
      <c r="M41" s="280"/>
      <c r="N41" s="194"/>
      <c r="O41" s="77"/>
    </row>
    <row r="42" spans="1:17" x14ac:dyDescent="0.25">
      <c r="A42" s="77"/>
      <c r="B42" s="292"/>
      <c r="C42" s="293"/>
      <c r="D42" s="217"/>
      <c r="E42" s="294"/>
      <c r="F42" s="295"/>
      <c r="G42" s="217"/>
      <c r="H42" s="296"/>
      <c r="I42" s="218"/>
      <c r="J42" s="297"/>
      <c r="K42" s="297"/>
      <c r="L42" s="298"/>
      <c r="M42" s="280"/>
      <c r="N42" s="194"/>
      <c r="O42" s="77"/>
    </row>
    <row r="43" spans="1:17" x14ac:dyDescent="0.25">
      <c r="A43" s="77"/>
      <c r="B43" s="77"/>
      <c r="C43" s="77"/>
      <c r="D43" s="97"/>
      <c r="E43" s="77"/>
      <c r="F43" s="159"/>
      <c r="G43" s="289"/>
      <c r="H43" s="291"/>
      <c r="I43" s="159"/>
      <c r="J43" s="159"/>
      <c r="K43" s="185"/>
      <c r="L43" s="260"/>
      <c r="M43" s="280"/>
      <c r="N43" s="194"/>
      <c r="O43" s="77"/>
    </row>
    <row r="44" spans="1:17" x14ac:dyDescent="0.25">
      <c r="A44" s="77"/>
      <c r="B44" s="77"/>
      <c r="C44" s="77"/>
      <c r="D44" s="97"/>
      <c r="E44" s="77"/>
      <c r="F44" s="159"/>
      <c r="G44" s="289"/>
      <c r="H44" s="291"/>
      <c r="I44" s="159"/>
      <c r="J44" s="159"/>
      <c r="K44" s="185"/>
      <c r="L44" s="260"/>
      <c r="M44" s="280"/>
      <c r="N44" s="194"/>
    </row>
    <row r="45" spans="1:17" ht="13" x14ac:dyDescent="0.3">
      <c r="B45" s="224" t="s">
        <v>192</v>
      </c>
      <c r="C45" s="279"/>
      <c r="D45" s="179"/>
      <c r="E45" s="180"/>
      <c r="F45" s="181"/>
      <c r="G45" s="179"/>
      <c r="H45" s="179"/>
      <c r="I45" s="181"/>
      <c r="J45" s="181"/>
      <c r="K45" s="181"/>
      <c r="L45" s="202"/>
      <c r="M45" s="280"/>
      <c r="N45" s="194"/>
    </row>
    <row r="46" spans="1:17" x14ac:dyDescent="0.25">
      <c r="B46" s="228"/>
      <c r="C46" s="77"/>
      <c r="D46" s="97"/>
      <c r="E46" s="97"/>
      <c r="F46" s="185"/>
      <c r="G46" s="229"/>
      <c r="H46" s="97"/>
      <c r="I46" s="185"/>
      <c r="J46" s="185"/>
      <c r="K46" s="185"/>
      <c r="L46" s="192"/>
      <c r="M46" s="280"/>
      <c r="N46" s="194"/>
      <c r="O46" s="301" t="s">
        <v>193</v>
      </c>
    </row>
    <row r="47" spans="1:17" x14ac:dyDescent="0.25">
      <c r="B47" s="188" t="s">
        <v>126</v>
      </c>
      <c r="C47" s="189" t="s">
        <v>127</v>
      </c>
      <c r="D47" s="190">
        <v>15978.11692331859</v>
      </c>
      <c r="E47" s="191">
        <v>106.43</v>
      </c>
      <c r="F47" s="185">
        <f>ROUND(D47*E47,2)</f>
        <v>1700550.98</v>
      </c>
      <c r="G47" s="84"/>
      <c r="H47" s="191">
        <v>113.4</v>
      </c>
      <c r="I47" s="185">
        <f>ROUND(D47*H47,2)</f>
        <v>1811918.46</v>
      </c>
      <c r="J47" s="185"/>
      <c r="K47" s="185">
        <f>I47-F47</f>
        <v>111367.47999999998</v>
      </c>
      <c r="L47" s="192"/>
      <c r="M47" s="280"/>
      <c r="N47" s="194"/>
      <c r="O47" s="193">
        <v>1710200.6923483331</v>
      </c>
      <c r="Q47" s="194">
        <f>H47/E47-1</f>
        <v>6.5489053838203581E-2</v>
      </c>
    </row>
    <row r="48" spans="1:17" x14ac:dyDescent="0.25">
      <c r="B48" s="228" t="s">
        <v>133</v>
      </c>
      <c r="C48" s="189" t="s">
        <v>127</v>
      </c>
      <c r="D48" s="84">
        <f>D47</f>
        <v>15978.11692331859</v>
      </c>
      <c r="E48" s="191">
        <v>115.88</v>
      </c>
      <c r="F48" s="159">
        <f>D48*E48</f>
        <v>1851544.1890741582</v>
      </c>
      <c r="G48" s="84"/>
      <c r="H48" s="233">
        <f>ROUND(+H53*900,2)</f>
        <v>125.64</v>
      </c>
      <c r="I48" s="159">
        <f>ROUND(D48*H48,2)</f>
        <v>2007490.61</v>
      </c>
      <c r="J48" s="159"/>
      <c r="K48" s="185">
        <f>I48-F48</f>
        <v>155946.4209258419</v>
      </c>
      <c r="L48" s="251"/>
      <c r="M48" s="280"/>
      <c r="N48" s="175"/>
      <c r="O48" s="302" t="s">
        <v>171</v>
      </c>
      <c r="Q48" s="194">
        <f t="shared" ref="Q48:Q49" si="1">H48/E48-1</f>
        <v>8.4225060407318031E-2</v>
      </c>
    </row>
    <row r="49" spans="1:17" x14ac:dyDescent="0.25">
      <c r="B49" s="228" t="s">
        <v>134</v>
      </c>
      <c r="C49" s="77" t="s">
        <v>132</v>
      </c>
      <c r="D49" s="190">
        <v>4466417.6739999996</v>
      </c>
      <c r="E49" s="191">
        <v>1.17</v>
      </c>
      <c r="F49" s="159">
        <f>ROUND(D49*E49,2)</f>
        <v>5225708.68</v>
      </c>
      <c r="G49" s="84"/>
      <c r="H49" s="191">
        <v>1.25</v>
      </c>
      <c r="I49" s="159">
        <f>ROUND(D49*H49,2)</f>
        <v>5583022.0899999999</v>
      </c>
      <c r="J49" s="159"/>
      <c r="K49" s="185">
        <f>I49-F49</f>
        <v>357313.41000000015</v>
      </c>
      <c r="L49" s="251"/>
      <c r="M49" s="280"/>
      <c r="N49" s="175"/>
      <c r="O49" s="283">
        <f>K57+K79-O47</f>
        <v>113.16835121624172</v>
      </c>
      <c r="Q49" s="194">
        <f t="shared" si="1"/>
        <v>6.8376068376068355E-2</v>
      </c>
    </row>
    <row r="50" spans="1:17" x14ac:dyDescent="0.25">
      <c r="B50" s="228"/>
      <c r="C50" s="77"/>
      <c r="D50" s="84"/>
      <c r="E50" s="191"/>
      <c r="F50" s="282"/>
      <c r="G50" s="84"/>
      <c r="H50" s="233"/>
      <c r="I50" s="159"/>
      <c r="J50" s="159"/>
      <c r="K50" s="236"/>
      <c r="L50" s="251"/>
      <c r="M50" s="280"/>
      <c r="N50" s="175"/>
      <c r="O50" s="303"/>
      <c r="P50" s="94"/>
      <c r="Q50" s="304"/>
    </row>
    <row r="51" spans="1:17" x14ac:dyDescent="0.25">
      <c r="B51" s="228" t="s">
        <v>135</v>
      </c>
      <c r="C51" s="77"/>
      <c r="D51" s="84"/>
      <c r="E51" s="191"/>
      <c r="F51" s="159"/>
      <c r="G51" s="84"/>
      <c r="H51" s="233"/>
      <c r="I51" s="159"/>
      <c r="J51" s="159"/>
      <c r="K51" s="236"/>
      <c r="L51" s="251"/>
      <c r="M51" s="280"/>
      <c r="N51" s="175"/>
      <c r="O51" s="210">
        <v>8.4196999999999994E-2</v>
      </c>
      <c r="P51" s="94"/>
      <c r="Q51" s="305"/>
    </row>
    <row r="52" spans="1:17" x14ac:dyDescent="0.25">
      <c r="B52" s="228" t="s">
        <v>136</v>
      </c>
      <c r="C52" s="77" t="s">
        <v>129</v>
      </c>
      <c r="D52" s="190">
        <v>13387853.839</v>
      </c>
      <c r="E52" s="196">
        <v>0.12876000000000001</v>
      </c>
      <c r="F52" s="185" t="s">
        <v>137</v>
      </c>
      <c r="G52" s="84"/>
      <c r="H52" s="197">
        <f>H53</f>
        <v>0.1396</v>
      </c>
      <c r="I52" s="185" t="s">
        <v>137</v>
      </c>
      <c r="J52" s="185"/>
      <c r="K52" s="185"/>
      <c r="L52" s="192"/>
      <c r="M52" s="280"/>
      <c r="N52" s="194"/>
      <c r="P52" s="96"/>
      <c r="Q52" s="194">
        <f>H52/E52-1</f>
        <v>8.4187635911773695E-2</v>
      </c>
    </row>
    <row r="53" spans="1:17" x14ac:dyDescent="0.25">
      <c r="B53" s="228" t="s">
        <v>138</v>
      </c>
      <c r="C53" s="77" t="s">
        <v>129</v>
      </c>
      <c r="D53" s="190">
        <v>29572063.337000005</v>
      </c>
      <c r="E53" s="196">
        <v>0.12876000000000001</v>
      </c>
      <c r="F53" s="185">
        <f>ROUND(D53*E53,2)</f>
        <v>3807698.88</v>
      </c>
      <c r="G53" s="84"/>
      <c r="H53" s="197">
        <f>ROUND(E53*(1+$O$51),5)</f>
        <v>0.1396</v>
      </c>
      <c r="I53" s="185">
        <f>ROUND(D53*H53,2)</f>
        <v>4128260.04</v>
      </c>
      <c r="J53" s="185"/>
      <c r="K53" s="185">
        <f>I53-F53</f>
        <v>320561.16000000015</v>
      </c>
      <c r="L53" s="192"/>
      <c r="M53" s="280"/>
      <c r="N53" s="194"/>
      <c r="O53" s="306"/>
      <c r="P53" s="96"/>
      <c r="Q53" s="194">
        <f>H53/E53-1</f>
        <v>8.4187635911773695E-2</v>
      </c>
    </row>
    <row r="54" spans="1:17" x14ac:dyDescent="0.25">
      <c r="B54" s="228" t="s">
        <v>139</v>
      </c>
      <c r="C54" s="77" t="s">
        <v>129</v>
      </c>
      <c r="D54" s="190">
        <v>22876740.28746549</v>
      </c>
      <c r="E54" s="196">
        <v>0.10364</v>
      </c>
      <c r="F54" s="185">
        <f>ROUND(D54*E54,2)</f>
        <v>2370945.36</v>
      </c>
      <c r="G54" s="84"/>
      <c r="H54" s="197">
        <f>ROUND(E54*(1+$O$51),5)</f>
        <v>0.11237</v>
      </c>
      <c r="I54" s="185">
        <f>ROUND(D54*H54,2)</f>
        <v>2570659.31</v>
      </c>
      <c r="J54" s="185"/>
      <c r="K54" s="185">
        <f>I54-F54</f>
        <v>199713.95000000019</v>
      </c>
      <c r="L54" s="192"/>
      <c r="M54" s="280"/>
      <c r="N54" s="194"/>
      <c r="O54" s="222"/>
      <c r="P54" s="96"/>
      <c r="Q54" s="194">
        <f>H54/E54-1</f>
        <v>8.4233886530297175E-2</v>
      </c>
    </row>
    <row r="55" spans="1:17" s="94" customFormat="1" x14ac:dyDescent="0.25">
      <c r="A55" s="97"/>
      <c r="B55" s="188" t="s">
        <v>140</v>
      </c>
      <c r="C55" s="200"/>
      <c r="D55" s="39">
        <f>SUM(D52:D54)</f>
        <v>65836657.463465497</v>
      </c>
      <c r="E55" s="195"/>
      <c r="F55" s="159"/>
      <c r="G55" s="84"/>
      <c r="H55" s="84"/>
      <c r="I55" s="97"/>
      <c r="J55" s="97"/>
      <c r="K55" s="97"/>
      <c r="L55" s="235"/>
      <c r="M55" s="307"/>
      <c r="N55" s="241"/>
      <c r="O55" s="97"/>
      <c r="Q55" s="194"/>
    </row>
    <row r="56" spans="1:17" s="94" customFormat="1" x14ac:dyDescent="0.25">
      <c r="A56" s="97"/>
      <c r="B56" s="188" t="s">
        <v>131</v>
      </c>
      <c r="C56" s="77" t="s">
        <v>129</v>
      </c>
      <c r="D56" s="84">
        <f>D55</f>
        <v>65836657.463465497</v>
      </c>
      <c r="E56" s="308">
        <v>6.0899999999999999E-3</v>
      </c>
      <c r="F56" s="159">
        <f>D56*E56</f>
        <v>400945.24395250488</v>
      </c>
      <c r="G56" s="84"/>
      <c r="H56" s="196">
        <v>1.0149999999999999E-2</v>
      </c>
      <c r="I56" s="159">
        <f>D56*H56</f>
        <v>668242.07325417479</v>
      </c>
      <c r="J56" s="159"/>
      <c r="K56" s="185">
        <f>I56-F56</f>
        <v>267296.8293016699</v>
      </c>
      <c r="L56" s="192"/>
      <c r="M56" s="307"/>
      <c r="N56" s="241"/>
      <c r="O56" s="97"/>
      <c r="Q56" s="194">
        <f>H56/E56-1</f>
        <v>0.66666666666666652</v>
      </c>
    </row>
    <row r="57" spans="1:17" x14ac:dyDescent="0.25">
      <c r="B57" s="213" t="s">
        <v>175</v>
      </c>
      <c r="C57" s="200"/>
      <c r="D57" s="39"/>
      <c r="E57" s="195"/>
      <c r="F57" s="309">
        <f>SUM(F47:F56)</f>
        <v>15357393.333026662</v>
      </c>
      <c r="G57" s="84"/>
      <c r="H57" s="84"/>
      <c r="I57" s="309">
        <f>SUM(I47:I49,I53:I56)</f>
        <v>16769592.583254175</v>
      </c>
      <c r="J57" s="159"/>
      <c r="K57" s="309">
        <f>SUM(K47:K56)</f>
        <v>1412199.2502275123</v>
      </c>
      <c r="L57" s="202">
        <f>ROUND(K57/F57,5)</f>
        <v>9.196E-2</v>
      </c>
      <c r="M57" s="280"/>
      <c r="N57" s="194"/>
      <c r="O57" s="242"/>
      <c r="P57" s="132"/>
      <c r="Q57" s="310"/>
    </row>
    <row r="58" spans="1:17" x14ac:dyDescent="0.25">
      <c r="B58" s="188"/>
      <c r="C58" s="200"/>
      <c r="D58" s="84"/>
      <c r="E58" s="311"/>
      <c r="F58" s="185"/>
      <c r="G58" s="84"/>
      <c r="H58" s="84"/>
      <c r="I58" s="159"/>
      <c r="J58" s="159"/>
      <c r="K58" s="185"/>
      <c r="L58" s="192"/>
      <c r="M58" s="280"/>
      <c r="N58" s="194"/>
      <c r="O58" s="312"/>
      <c r="P58" s="132"/>
      <c r="Q58" s="310"/>
    </row>
    <row r="59" spans="1:17" x14ac:dyDescent="0.25">
      <c r="B59" s="183" t="s">
        <v>172</v>
      </c>
      <c r="C59" s="200"/>
      <c r="D59" s="97"/>
      <c r="E59" s="311"/>
      <c r="F59" s="185"/>
      <c r="G59" s="84"/>
      <c r="H59" s="84"/>
      <c r="I59" s="159"/>
      <c r="J59" s="159"/>
      <c r="K59" s="185"/>
      <c r="L59" s="192"/>
      <c r="M59" s="280"/>
      <c r="N59" s="194"/>
      <c r="O59" s="94"/>
      <c r="P59" s="94"/>
      <c r="Q59" s="305"/>
    </row>
    <row r="60" spans="1:17" x14ac:dyDescent="0.25">
      <c r="B60" s="228" t="s">
        <v>194</v>
      </c>
      <c r="C60" s="77" t="s">
        <v>129</v>
      </c>
      <c r="D60" s="84">
        <f>D55</f>
        <v>65836657.463465497</v>
      </c>
      <c r="E60" s="196">
        <v>0.2271</v>
      </c>
      <c r="F60" s="185">
        <f>E60*D60</f>
        <v>14951504.909953015</v>
      </c>
      <c r="G60" s="97"/>
      <c r="H60" s="209">
        <f>E60</f>
        <v>0.2271</v>
      </c>
      <c r="I60" s="185">
        <f>H60*D60</f>
        <v>14951504.909953015</v>
      </c>
      <c r="J60" s="185"/>
      <c r="K60" s="185">
        <f>I60-F60</f>
        <v>0</v>
      </c>
      <c r="L60" s="192"/>
      <c r="M60" s="280"/>
      <c r="N60" s="77"/>
      <c r="O60" s="94"/>
      <c r="P60" s="313"/>
      <c r="Q60" s="305"/>
    </row>
    <row r="61" spans="1:17" x14ac:dyDescent="0.25">
      <c r="B61" s="228" t="s">
        <v>134</v>
      </c>
      <c r="C61" s="77" t="s">
        <v>132</v>
      </c>
      <c r="D61" s="84">
        <f>D49</f>
        <v>4466417.6739999996</v>
      </c>
      <c r="E61" s="191">
        <v>1.05</v>
      </c>
      <c r="F61" s="185">
        <f>E61*D61</f>
        <v>4689738.5576999998</v>
      </c>
      <c r="G61" s="97"/>
      <c r="H61" s="250">
        <f>E61</f>
        <v>1.05</v>
      </c>
      <c r="I61" s="185">
        <f>H61*D61</f>
        <v>4689738.5576999998</v>
      </c>
      <c r="J61" s="185"/>
      <c r="K61" s="185">
        <f>I61-F61</f>
        <v>0</v>
      </c>
      <c r="L61" s="192"/>
      <c r="M61" s="280"/>
      <c r="N61" s="194"/>
      <c r="O61" s="312"/>
      <c r="P61" s="132"/>
      <c r="Q61" s="305"/>
    </row>
    <row r="62" spans="1:17" x14ac:dyDescent="0.25">
      <c r="B62" s="213" t="s">
        <v>195</v>
      </c>
      <c r="C62" s="200"/>
      <c r="D62" s="97"/>
      <c r="E62" s="157"/>
      <c r="F62" s="309">
        <f>SUM(F60:F61)</f>
        <v>19641243.467653014</v>
      </c>
      <c r="G62" s="97"/>
      <c r="H62" s="233"/>
      <c r="I62" s="309">
        <f>SUM(I60:I61)</f>
        <v>19641243.467653014</v>
      </c>
      <c r="J62" s="185"/>
      <c r="K62" s="309">
        <f>SUM(K60:K61)</f>
        <v>0</v>
      </c>
      <c r="L62" s="202">
        <f>ROUND(K62/F62,5)</f>
        <v>0</v>
      </c>
      <c r="M62" s="280"/>
      <c r="N62" s="194"/>
      <c r="O62" s="97"/>
      <c r="P62" s="94"/>
      <c r="Q62" s="304"/>
    </row>
    <row r="63" spans="1:17" x14ac:dyDescent="0.25">
      <c r="B63" s="228"/>
      <c r="C63" s="77"/>
      <c r="D63" s="97"/>
      <c r="E63" s="77"/>
      <c r="F63" s="185"/>
      <c r="G63" s="97"/>
      <c r="H63" s="97"/>
      <c r="I63" s="159"/>
      <c r="J63" s="159"/>
      <c r="K63" s="185"/>
      <c r="L63" s="192"/>
      <c r="M63" s="280"/>
      <c r="N63" s="194"/>
      <c r="O63" s="222"/>
      <c r="P63" s="94"/>
      <c r="Q63" s="305"/>
    </row>
    <row r="64" spans="1:17" x14ac:dyDescent="0.25">
      <c r="B64" s="188" t="s">
        <v>173</v>
      </c>
      <c r="C64" s="200"/>
      <c r="D64" s="97"/>
      <c r="E64" s="84"/>
      <c r="F64" s="309">
        <f>+F62+F57</f>
        <v>34998636.800679676</v>
      </c>
      <c r="G64" s="84"/>
      <c r="H64" s="84"/>
      <c r="I64" s="309">
        <f>+I62+I57</f>
        <v>36410836.050907187</v>
      </c>
      <c r="J64" s="159"/>
      <c r="K64" s="309">
        <f>K62+K57</f>
        <v>1412199.2502275123</v>
      </c>
      <c r="L64" s="202">
        <f>ROUND(K64/F64,5)</f>
        <v>4.0349999999999997E-2</v>
      </c>
      <c r="M64" s="280"/>
      <c r="N64" s="194"/>
      <c r="O64" s="97"/>
      <c r="P64" s="94"/>
      <c r="Q64" s="304"/>
    </row>
    <row r="65" spans="1:17" s="94" customFormat="1" x14ac:dyDescent="0.25">
      <c r="B65" s="216"/>
      <c r="C65" s="217"/>
      <c r="D65" s="217"/>
      <c r="E65" s="217"/>
      <c r="F65" s="218"/>
      <c r="G65" s="217"/>
      <c r="H65" s="217"/>
      <c r="I65" s="295"/>
      <c r="J65" s="295"/>
      <c r="K65" s="218"/>
      <c r="L65" s="220"/>
      <c r="M65" s="307"/>
      <c r="N65" s="241"/>
      <c r="O65" s="97"/>
      <c r="Q65" s="304"/>
    </row>
    <row r="66" spans="1:17" s="94" customFormat="1" x14ac:dyDescent="0.25">
      <c r="A66" s="97"/>
      <c r="B66" s="97"/>
      <c r="C66" s="97"/>
      <c r="D66" s="97"/>
      <c r="E66" s="97"/>
      <c r="F66" s="222"/>
      <c r="G66" s="97"/>
      <c r="H66" s="97"/>
      <c r="I66" s="314"/>
      <c r="J66" s="314"/>
      <c r="K66" s="222"/>
      <c r="L66" s="223"/>
      <c r="M66" s="307"/>
      <c r="N66" s="241"/>
      <c r="O66" s="97"/>
      <c r="Q66" s="304"/>
    </row>
    <row r="67" spans="1:17" s="94" customFormat="1" ht="13" x14ac:dyDescent="0.3">
      <c r="A67" s="97"/>
      <c r="B67" s="224" t="s">
        <v>196</v>
      </c>
      <c r="C67" s="279"/>
      <c r="D67" s="179"/>
      <c r="E67" s="180"/>
      <c r="F67" s="181"/>
      <c r="G67" s="179"/>
      <c r="H67" s="179"/>
      <c r="I67" s="181"/>
      <c r="J67" s="181"/>
      <c r="K67" s="181"/>
      <c r="L67" s="202"/>
      <c r="M67" s="307"/>
      <c r="N67" s="241"/>
      <c r="O67" s="97"/>
      <c r="Q67" s="304"/>
    </row>
    <row r="68" spans="1:17" s="94" customFormat="1" x14ac:dyDescent="0.25">
      <c r="A68" s="97"/>
      <c r="B68" s="228"/>
      <c r="C68" s="77"/>
      <c r="D68" s="97"/>
      <c r="E68" s="97"/>
      <c r="F68" s="185"/>
      <c r="G68" s="229"/>
      <c r="H68" s="97"/>
      <c r="I68" s="185"/>
      <c r="J68" s="185"/>
      <c r="K68" s="185"/>
      <c r="L68" s="192"/>
      <c r="M68" s="307"/>
      <c r="N68" s="241"/>
      <c r="O68" s="97"/>
    </row>
    <row r="69" spans="1:17" s="94" customFormat="1" x14ac:dyDescent="0.25">
      <c r="A69" s="97"/>
      <c r="B69" s="188" t="s">
        <v>126</v>
      </c>
      <c r="C69" s="189" t="s">
        <v>127</v>
      </c>
      <c r="D69" s="190">
        <v>1233.3356387208999</v>
      </c>
      <c r="E69" s="191">
        <v>410.51</v>
      </c>
      <c r="F69" s="185">
        <f>ROUND(D69*E69,2)</f>
        <v>506296.61</v>
      </c>
      <c r="G69" s="84"/>
      <c r="H69" s="191">
        <v>422.79</v>
      </c>
      <c r="I69" s="185">
        <f>ROUND(D69*H69,2)</f>
        <v>521441.97</v>
      </c>
      <c r="J69" s="185"/>
      <c r="K69" s="185">
        <f>I69-F69</f>
        <v>15145.359999999986</v>
      </c>
      <c r="L69" s="192"/>
      <c r="M69" s="307"/>
      <c r="N69" s="241"/>
      <c r="O69" s="189"/>
      <c r="Q69" s="194">
        <f>H69/E69-1</f>
        <v>2.991400940293798E-2</v>
      </c>
    </row>
    <row r="70" spans="1:17" s="94" customFormat="1" x14ac:dyDescent="0.25">
      <c r="A70" s="97"/>
      <c r="B70" s="228" t="s">
        <v>133</v>
      </c>
      <c r="C70" s="189" t="s">
        <v>127</v>
      </c>
      <c r="D70" s="84">
        <f>D69</f>
        <v>1233.3356387208999</v>
      </c>
      <c r="E70" s="191">
        <v>115.88</v>
      </c>
      <c r="F70" s="159">
        <f>D70*E70</f>
        <v>142918.93381497788</v>
      </c>
      <c r="G70" s="84"/>
      <c r="H70" s="233">
        <f>H48</f>
        <v>125.64</v>
      </c>
      <c r="I70" s="159">
        <f>ROUND(D70*H70,2)</f>
        <v>154956.29</v>
      </c>
      <c r="J70" s="159"/>
      <c r="K70" s="185">
        <f>I70-F70</f>
        <v>12037.35618502213</v>
      </c>
      <c r="L70" s="251"/>
      <c r="M70" s="307"/>
      <c r="N70" s="241"/>
      <c r="O70" s="97"/>
      <c r="Q70" s="194">
        <f t="shared" ref="Q70:Q71" si="2">H70/E70-1</f>
        <v>8.4225060407318031E-2</v>
      </c>
    </row>
    <row r="71" spans="1:17" s="94" customFormat="1" x14ac:dyDescent="0.25">
      <c r="A71" s="97"/>
      <c r="B71" s="228" t="s">
        <v>134</v>
      </c>
      <c r="C71" s="77" t="s">
        <v>132</v>
      </c>
      <c r="D71" s="190">
        <v>1160980.7009999999</v>
      </c>
      <c r="E71" s="191">
        <v>1.17</v>
      </c>
      <c r="F71" s="159">
        <f>ROUND(D71*E71,2)</f>
        <v>1358347.42</v>
      </c>
      <c r="G71" s="84"/>
      <c r="H71" s="233">
        <f>H49</f>
        <v>1.25</v>
      </c>
      <c r="I71" s="159">
        <f>ROUND(D71*H71,2)</f>
        <v>1451225.88</v>
      </c>
      <c r="J71" s="97"/>
      <c r="K71" s="185">
        <f>I71-F71</f>
        <v>92878.459999999963</v>
      </c>
      <c r="L71" s="251"/>
      <c r="M71" s="307"/>
      <c r="N71" s="241"/>
      <c r="O71" s="97"/>
      <c r="Q71" s="194">
        <f t="shared" si="2"/>
        <v>6.8376068376068355E-2</v>
      </c>
    </row>
    <row r="72" spans="1:17" s="94" customFormat="1" x14ac:dyDescent="0.25">
      <c r="A72" s="97"/>
      <c r="B72" s="228"/>
      <c r="C72" s="77"/>
      <c r="D72" s="84"/>
      <c r="E72" s="191"/>
      <c r="F72" s="159"/>
      <c r="G72" s="84"/>
      <c r="H72" s="233"/>
      <c r="I72" s="159"/>
      <c r="J72" s="159"/>
      <c r="K72" s="236"/>
      <c r="L72" s="251"/>
      <c r="M72" s="307"/>
      <c r="N72" s="241"/>
      <c r="O72" s="97"/>
      <c r="Q72" s="304"/>
    </row>
    <row r="73" spans="1:17" s="94" customFormat="1" x14ac:dyDescent="0.25">
      <c r="A73" s="97"/>
      <c r="B73" s="228" t="s">
        <v>135</v>
      </c>
      <c r="C73" s="77"/>
      <c r="D73" s="84"/>
      <c r="E73" s="191"/>
      <c r="F73" s="185"/>
      <c r="G73" s="84"/>
      <c r="H73" s="233"/>
      <c r="I73" s="159"/>
      <c r="J73" s="159"/>
      <c r="K73" s="236"/>
      <c r="L73" s="251"/>
      <c r="M73" s="307"/>
      <c r="N73" s="241"/>
      <c r="O73" s="97"/>
      <c r="Q73" s="304"/>
    </row>
    <row r="74" spans="1:17" s="94" customFormat="1" x14ac:dyDescent="0.25">
      <c r="A74" s="97"/>
      <c r="B74" s="228" t="s">
        <v>136</v>
      </c>
      <c r="C74" s="77" t="s">
        <v>129</v>
      </c>
      <c r="D74" s="190">
        <v>1129776.96</v>
      </c>
      <c r="E74" s="196">
        <v>0.12876000000000001</v>
      </c>
      <c r="F74" s="185" t="s">
        <v>137</v>
      </c>
      <c r="G74" s="84"/>
      <c r="H74" s="197">
        <f>H52</f>
        <v>0.1396</v>
      </c>
      <c r="I74" s="185" t="s">
        <v>137</v>
      </c>
      <c r="J74" s="185"/>
      <c r="K74" s="185"/>
      <c r="L74" s="192"/>
      <c r="M74" s="307"/>
      <c r="N74" s="241"/>
      <c r="O74" s="97"/>
      <c r="Q74" s="194">
        <f>H74/E74-1</f>
        <v>8.4187635911773695E-2</v>
      </c>
    </row>
    <row r="75" spans="1:17" s="94" customFormat="1" x14ac:dyDescent="0.25">
      <c r="A75" s="97"/>
      <c r="B75" s="228" t="s">
        <v>138</v>
      </c>
      <c r="C75" s="77" t="s">
        <v>129</v>
      </c>
      <c r="D75" s="190">
        <v>4274079.3400000008</v>
      </c>
      <c r="E75" s="196">
        <v>0.12876000000000001</v>
      </c>
      <c r="F75" s="185">
        <f>D75*E75</f>
        <v>550330.45581840014</v>
      </c>
      <c r="G75" s="84"/>
      <c r="H75" s="197">
        <f>H53</f>
        <v>0.1396</v>
      </c>
      <c r="I75" s="185">
        <f>H75*D75</f>
        <v>596661.47586400015</v>
      </c>
      <c r="J75" s="185"/>
      <c r="K75" s="185">
        <f>I75-F75</f>
        <v>46331.020045600017</v>
      </c>
      <c r="L75" s="192"/>
      <c r="M75" s="307"/>
      <c r="N75" s="241"/>
      <c r="O75" s="97"/>
      <c r="Q75" s="194">
        <f t="shared" ref="Q75:Q76" si="3">H75/E75-1</f>
        <v>8.4187635911773695E-2</v>
      </c>
    </row>
    <row r="76" spans="1:17" s="94" customFormat="1" x14ac:dyDescent="0.25">
      <c r="A76" s="97"/>
      <c r="B76" s="228" t="s">
        <v>139</v>
      </c>
      <c r="C76" s="77" t="s">
        <v>129</v>
      </c>
      <c r="D76" s="190">
        <v>15088478.149073856</v>
      </c>
      <c r="E76" s="196">
        <v>0.10364</v>
      </c>
      <c r="F76" s="185">
        <f>D76*E76</f>
        <v>1563769.8753700145</v>
      </c>
      <c r="G76" s="84"/>
      <c r="H76" s="197">
        <f>H54</f>
        <v>0.11237</v>
      </c>
      <c r="I76" s="185">
        <f>H76*D76</f>
        <v>1695492.2896114292</v>
      </c>
      <c r="J76" s="185"/>
      <c r="K76" s="185">
        <f>I76-F76</f>
        <v>131722.41424141475</v>
      </c>
      <c r="L76" s="192"/>
      <c r="M76" s="307"/>
      <c r="N76" s="241"/>
      <c r="O76" s="97"/>
      <c r="Q76" s="194">
        <f t="shared" si="3"/>
        <v>8.4233886530297175E-2</v>
      </c>
    </row>
    <row r="77" spans="1:17" s="94" customFormat="1" x14ac:dyDescent="0.25">
      <c r="A77" s="97"/>
      <c r="B77" s="188" t="s">
        <v>140</v>
      </c>
      <c r="C77" s="200"/>
      <c r="D77" s="39">
        <f>SUM(D74:D76)</f>
        <v>20492334.449073859</v>
      </c>
      <c r="E77" s="195"/>
      <c r="F77" s="159"/>
      <c r="G77" s="84"/>
      <c r="H77" s="84"/>
      <c r="I77" s="97"/>
      <c r="J77" s="97"/>
      <c r="K77" s="97"/>
      <c r="L77" s="235"/>
      <c r="M77" s="307"/>
      <c r="N77" s="241"/>
      <c r="O77" s="97"/>
      <c r="Q77" s="194"/>
    </row>
    <row r="78" spans="1:17" s="94" customFormat="1" x14ac:dyDescent="0.25">
      <c r="A78" s="97"/>
      <c r="B78" s="188" t="s">
        <v>131</v>
      </c>
      <c r="C78" s="77" t="s">
        <v>129</v>
      </c>
      <c r="D78" s="84">
        <f>D77</f>
        <v>20492334.449073859</v>
      </c>
      <c r="E78" s="299">
        <v>0</v>
      </c>
      <c r="F78" s="159">
        <f>D78*E78</f>
        <v>0</v>
      </c>
      <c r="G78" s="84"/>
      <c r="H78" s="299">
        <v>0</v>
      </c>
      <c r="I78" s="159">
        <f>D78*H78</f>
        <v>0</v>
      </c>
      <c r="J78" s="159"/>
      <c r="K78" s="185">
        <f>I78-F78</f>
        <v>0</v>
      </c>
      <c r="L78" s="192"/>
      <c r="M78" s="307"/>
      <c r="N78" s="241"/>
      <c r="O78" s="97"/>
      <c r="Q78" s="304"/>
    </row>
    <row r="79" spans="1:17" s="94" customFormat="1" x14ac:dyDescent="0.25">
      <c r="A79" s="97"/>
      <c r="B79" s="213" t="s">
        <v>175</v>
      </c>
      <c r="C79" s="200"/>
      <c r="D79" s="84"/>
      <c r="E79" s="195"/>
      <c r="F79" s="309">
        <f>SUM(F69:F78)</f>
        <v>4121663.2950033923</v>
      </c>
      <c r="G79" s="84"/>
      <c r="H79" s="84"/>
      <c r="I79" s="309">
        <f>SUM(I69:I78)</f>
        <v>4419777.9054754293</v>
      </c>
      <c r="J79" s="159"/>
      <c r="K79" s="309">
        <f>SUM(K69:K78)</f>
        <v>298114.61047203687</v>
      </c>
      <c r="L79" s="202">
        <f>ROUND(K79/F79,5)</f>
        <v>7.2330000000000005E-2</v>
      </c>
      <c r="M79" s="307"/>
      <c r="N79" s="241"/>
      <c r="O79" s="97"/>
      <c r="Q79" s="304"/>
    </row>
    <row r="80" spans="1:17" s="94" customFormat="1" x14ac:dyDescent="0.25">
      <c r="A80" s="97"/>
      <c r="B80" s="188"/>
      <c r="C80" s="200"/>
      <c r="D80" s="84"/>
      <c r="E80" s="195"/>
      <c r="F80" s="159"/>
      <c r="G80" s="84"/>
      <c r="H80" s="84"/>
      <c r="I80" s="159"/>
      <c r="J80" s="159"/>
      <c r="K80" s="185"/>
      <c r="L80" s="192"/>
      <c r="M80" s="307"/>
      <c r="N80" s="241"/>
      <c r="O80" s="315"/>
      <c r="P80" s="77"/>
      <c r="Q80" s="194"/>
    </row>
    <row r="81" spans="1:17" s="94" customFormat="1" x14ac:dyDescent="0.25">
      <c r="A81" s="97"/>
      <c r="B81" s="228" t="s">
        <v>190</v>
      </c>
      <c r="C81" s="77" t="s">
        <v>129</v>
      </c>
      <c r="D81" s="84">
        <f>D77</f>
        <v>20492334.449073859</v>
      </c>
      <c r="E81" s="196">
        <v>6.9999999999999999E-4</v>
      </c>
      <c r="F81" s="185">
        <f>E81*D81</f>
        <v>14344.6341143517</v>
      </c>
      <c r="G81" s="97"/>
      <c r="H81" s="299">
        <v>1E-3</v>
      </c>
      <c r="I81" s="185">
        <f>H81*D81</f>
        <v>20492.33444907386</v>
      </c>
      <c r="J81" s="185"/>
      <c r="K81" s="185">
        <f>I81-F81</f>
        <v>6147.7003347221598</v>
      </c>
      <c r="L81" s="192"/>
      <c r="M81" s="307"/>
      <c r="N81" s="241"/>
      <c r="O81" s="185"/>
      <c r="P81" s="77"/>
      <c r="Q81" s="38"/>
    </row>
    <row r="82" spans="1:17" s="94" customFormat="1" x14ac:dyDescent="0.25">
      <c r="A82" s="97"/>
      <c r="B82" s="228" t="s">
        <v>173</v>
      </c>
      <c r="C82" s="77"/>
      <c r="D82" s="84"/>
      <c r="E82" s="197"/>
      <c r="F82" s="309">
        <f>F79+F81</f>
        <v>4136007.9291177439</v>
      </c>
      <c r="G82" s="97"/>
      <c r="H82" s="233"/>
      <c r="I82" s="309">
        <f>I79+SUM(I81:I81)</f>
        <v>4440270.2399245035</v>
      </c>
      <c r="J82" s="185"/>
      <c r="K82" s="309">
        <f>K79+SUM(K81:K81)</f>
        <v>304262.31080675905</v>
      </c>
      <c r="L82" s="202">
        <f>ROUND(K82/F82,5)</f>
        <v>7.356E-2</v>
      </c>
      <c r="M82" s="307"/>
      <c r="N82" s="241"/>
      <c r="O82" s="222"/>
      <c r="P82" s="77"/>
      <c r="Q82" s="38"/>
    </row>
    <row r="83" spans="1:17" s="94" customFormat="1" x14ac:dyDescent="0.25">
      <c r="A83" s="97"/>
      <c r="B83" s="216"/>
      <c r="C83" s="217"/>
      <c r="D83" s="217"/>
      <c r="E83" s="217"/>
      <c r="F83" s="218"/>
      <c r="G83" s="217"/>
      <c r="H83" s="217"/>
      <c r="I83" s="295"/>
      <c r="J83" s="295"/>
      <c r="K83" s="218"/>
      <c r="L83" s="220"/>
      <c r="M83" s="307"/>
      <c r="N83" s="241"/>
      <c r="O83" s="315"/>
      <c r="P83" s="77"/>
      <c r="Q83" s="38"/>
    </row>
    <row r="84" spans="1:17" s="94" customFormat="1" x14ac:dyDescent="0.25">
      <c r="A84" s="97"/>
      <c r="B84" s="97"/>
      <c r="C84" s="97"/>
      <c r="D84" s="97"/>
      <c r="E84" s="97"/>
      <c r="F84" s="222"/>
      <c r="G84" s="97"/>
      <c r="H84" s="97"/>
      <c r="I84" s="314"/>
      <c r="J84" s="314"/>
      <c r="K84" s="222"/>
      <c r="L84" s="223"/>
      <c r="M84" s="307"/>
      <c r="N84" s="241"/>
      <c r="O84" s="315"/>
      <c r="P84" s="77"/>
      <c r="Q84" s="38"/>
    </row>
    <row r="85" spans="1:17" s="94" customFormat="1" ht="13" x14ac:dyDescent="0.3">
      <c r="A85" s="97"/>
      <c r="B85" s="224" t="s">
        <v>197</v>
      </c>
      <c r="C85" s="279"/>
      <c r="D85" s="179"/>
      <c r="E85" s="180"/>
      <c r="F85" s="181"/>
      <c r="G85" s="179"/>
      <c r="H85" s="179"/>
      <c r="I85" s="181"/>
      <c r="J85" s="181"/>
      <c r="K85" s="181"/>
      <c r="L85" s="202"/>
      <c r="M85" s="307"/>
      <c r="N85" s="241"/>
      <c r="O85" s="315"/>
      <c r="P85" s="77"/>
      <c r="Q85" s="38"/>
    </row>
    <row r="86" spans="1:17" s="94" customFormat="1" x14ac:dyDescent="0.25">
      <c r="A86" s="97"/>
      <c r="B86" s="183"/>
      <c r="C86" s="77"/>
      <c r="D86" s="97"/>
      <c r="E86" s="97"/>
      <c r="F86" s="185"/>
      <c r="G86" s="229"/>
      <c r="H86" s="97"/>
      <c r="I86" s="185"/>
      <c r="J86" s="185"/>
      <c r="K86" s="185"/>
      <c r="L86" s="192"/>
      <c r="M86" s="307"/>
      <c r="N86" s="241"/>
      <c r="O86" s="315"/>
      <c r="P86" s="77"/>
      <c r="Q86" s="38"/>
    </row>
    <row r="87" spans="1:17" s="94" customFormat="1" x14ac:dyDescent="0.25">
      <c r="A87" s="97"/>
      <c r="B87" s="188" t="s">
        <v>126</v>
      </c>
      <c r="C87" s="189" t="s">
        <v>127</v>
      </c>
      <c r="D87" s="84">
        <f>D69+D47</f>
        <v>17211.452562039489</v>
      </c>
      <c r="E87" s="300"/>
      <c r="F87" s="185">
        <f>F69+F47</f>
        <v>2206847.59</v>
      </c>
      <c r="G87" s="84"/>
      <c r="H87" s="300"/>
      <c r="I87" s="185">
        <f>I69+I47</f>
        <v>2333360.4299999997</v>
      </c>
      <c r="J87" s="185"/>
      <c r="K87" s="185">
        <f>K69+K47</f>
        <v>126512.83999999997</v>
      </c>
      <c r="L87" s="192"/>
      <c r="M87" s="307"/>
      <c r="N87" s="241"/>
      <c r="O87" s="315"/>
      <c r="P87" s="77"/>
      <c r="Q87" s="38"/>
    </row>
    <row r="88" spans="1:17" s="94" customFormat="1" x14ac:dyDescent="0.25">
      <c r="A88" s="97"/>
      <c r="B88" s="228" t="s">
        <v>133</v>
      </c>
      <c r="C88" s="189" t="s">
        <v>127</v>
      </c>
      <c r="D88" s="84">
        <f>D87</f>
        <v>17211.452562039489</v>
      </c>
      <c r="E88" s="300"/>
      <c r="F88" s="185">
        <f>F70+F48</f>
        <v>1994463.122889136</v>
      </c>
      <c r="G88" s="84"/>
      <c r="H88" s="233"/>
      <c r="I88" s="185">
        <f>I70+I48</f>
        <v>2162446.9</v>
      </c>
      <c r="J88" s="159"/>
      <c r="K88" s="185">
        <f>K70+K48</f>
        <v>167983.77711086403</v>
      </c>
      <c r="L88" s="251"/>
      <c r="M88" s="307"/>
      <c r="N88" s="241"/>
      <c r="O88" s="315"/>
      <c r="P88" s="77"/>
      <c r="Q88" s="38"/>
    </row>
    <row r="89" spans="1:17" s="94" customFormat="1" x14ac:dyDescent="0.25">
      <c r="A89" s="97"/>
      <c r="B89" s="183" t="s">
        <v>134</v>
      </c>
      <c r="C89" s="77" t="s">
        <v>132</v>
      </c>
      <c r="D89" s="84">
        <f>D71+D49</f>
        <v>5627398.375</v>
      </c>
      <c r="E89" s="300"/>
      <c r="F89" s="185">
        <f>F71+F49</f>
        <v>6584056.0999999996</v>
      </c>
      <c r="G89" s="84"/>
      <c r="H89" s="300"/>
      <c r="I89" s="185">
        <f>I71+I49</f>
        <v>7034247.9699999997</v>
      </c>
      <c r="J89" s="159"/>
      <c r="K89" s="185">
        <f>K71+K49</f>
        <v>450191.87000000011</v>
      </c>
      <c r="L89" s="251"/>
      <c r="M89" s="307"/>
      <c r="N89" s="241"/>
      <c r="O89" s="315"/>
      <c r="P89" s="77"/>
      <c r="Q89" s="38"/>
    </row>
    <row r="90" spans="1:17" s="94" customFormat="1" x14ac:dyDescent="0.25">
      <c r="A90" s="97"/>
      <c r="B90" s="183"/>
      <c r="C90" s="77"/>
      <c r="D90" s="84"/>
      <c r="E90" s="233"/>
      <c r="F90" s="159"/>
      <c r="G90" s="84"/>
      <c r="H90" s="233"/>
      <c r="I90" s="159"/>
      <c r="J90" s="159"/>
      <c r="K90" s="236"/>
      <c r="L90" s="251"/>
      <c r="M90" s="307"/>
      <c r="N90" s="241"/>
      <c r="O90" s="315"/>
      <c r="P90" s="77"/>
      <c r="Q90" s="38"/>
    </row>
    <row r="91" spans="1:17" s="94" customFormat="1" x14ac:dyDescent="0.25">
      <c r="A91" s="97"/>
      <c r="B91" s="183" t="s">
        <v>135</v>
      </c>
      <c r="C91" s="77"/>
      <c r="D91" s="84"/>
      <c r="E91" s="233"/>
      <c r="F91" s="185"/>
      <c r="G91" s="84"/>
      <c r="H91" s="233"/>
      <c r="I91" s="159"/>
      <c r="J91" s="159"/>
      <c r="K91" s="236"/>
      <c r="L91" s="251"/>
      <c r="M91" s="307"/>
      <c r="N91" s="241"/>
      <c r="O91" s="315"/>
      <c r="P91" s="77"/>
      <c r="Q91" s="38"/>
    </row>
    <row r="92" spans="1:17" s="94" customFormat="1" x14ac:dyDescent="0.25">
      <c r="A92" s="97"/>
      <c r="B92" s="228" t="s">
        <v>136</v>
      </c>
      <c r="C92" s="77" t="s">
        <v>129</v>
      </c>
      <c r="D92" s="84">
        <f>D74+D52</f>
        <v>14517630.798999999</v>
      </c>
      <c r="E92" s="240"/>
      <c r="F92" s="185" t="s">
        <v>137</v>
      </c>
      <c r="G92" s="84"/>
      <c r="H92" s="197"/>
      <c r="I92" s="185" t="s">
        <v>137</v>
      </c>
      <c r="J92" s="185"/>
      <c r="K92" s="185"/>
      <c r="L92" s="192"/>
      <c r="M92" s="307"/>
      <c r="N92" s="241"/>
      <c r="O92" s="315"/>
      <c r="P92" s="77"/>
      <c r="Q92" s="38"/>
    </row>
    <row r="93" spans="1:17" s="94" customFormat="1" x14ac:dyDescent="0.25">
      <c r="A93" s="97"/>
      <c r="B93" s="228" t="s">
        <v>138</v>
      </c>
      <c r="C93" s="77" t="s">
        <v>129</v>
      </c>
      <c r="D93" s="84">
        <f>D75+D53</f>
        <v>33846142.677000009</v>
      </c>
      <c r="E93" s="240"/>
      <c r="F93" s="185">
        <f>F75+F53</f>
        <v>4358029.3358183997</v>
      </c>
      <c r="G93" s="84"/>
      <c r="H93" s="197"/>
      <c r="I93" s="185">
        <f>I75+I53</f>
        <v>4724921.5158639997</v>
      </c>
      <c r="J93" s="185"/>
      <c r="K93" s="185">
        <f>K75+K53</f>
        <v>366892.18004560017</v>
      </c>
      <c r="L93" s="192"/>
      <c r="M93" s="307"/>
      <c r="N93" s="241"/>
      <c r="O93" s="315"/>
      <c r="P93" s="77"/>
      <c r="Q93" s="38"/>
    </row>
    <row r="94" spans="1:17" s="94" customFormat="1" x14ac:dyDescent="0.25">
      <c r="A94" s="97"/>
      <c r="B94" s="228" t="s">
        <v>139</v>
      </c>
      <c r="C94" s="77" t="s">
        <v>129</v>
      </c>
      <c r="D94" s="219">
        <f>D76+D54</f>
        <v>37965218.436539344</v>
      </c>
      <c r="E94" s="240"/>
      <c r="F94" s="185">
        <f>F76+F54</f>
        <v>3934715.2353700143</v>
      </c>
      <c r="G94" s="84"/>
      <c r="H94" s="197"/>
      <c r="I94" s="185">
        <f>I76+I54</f>
        <v>4266151.5996114295</v>
      </c>
      <c r="J94" s="185"/>
      <c r="K94" s="185">
        <f>K76+K54</f>
        <v>331436.36424141494</v>
      </c>
      <c r="L94" s="192"/>
      <c r="M94" s="307"/>
      <c r="N94" s="241"/>
      <c r="O94" s="315"/>
      <c r="P94" s="77"/>
      <c r="Q94" s="38"/>
    </row>
    <row r="95" spans="1:17" s="94" customFormat="1" x14ac:dyDescent="0.25">
      <c r="A95" s="97"/>
      <c r="B95" s="213" t="s">
        <v>140</v>
      </c>
      <c r="C95" s="200"/>
      <c r="D95" s="39">
        <f>SUM(D92:D94)</f>
        <v>86328991.912539363</v>
      </c>
      <c r="E95" s="26"/>
      <c r="F95" s="159"/>
      <c r="G95" s="84"/>
      <c r="H95" s="84"/>
      <c r="I95" s="97"/>
      <c r="J95" s="97"/>
      <c r="K95" s="97"/>
      <c r="L95" s="235"/>
      <c r="M95" s="307"/>
      <c r="N95" s="241"/>
      <c r="O95" s="315"/>
      <c r="P95" s="77"/>
      <c r="Q95" s="38"/>
    </row>
    <row r="96" spans="1:17" s="94" customFormat="1" x14ac:dyDescent="0.25">
      <c r="A96" s="97"/>
      <c r="B96" s="188" t="s">
        <v>131</v>
      </c>
      <c r="C96" s="77" t="s">
        <v>129</v>
      </c>
      <c r="D96" s="84">
        <f>D78+D56</f>
        <v>86328991.912539363</v>
      </c>
      <c r="E96" s="316"/>
      <c r="F96" s="159">
        <f>F56+F78</f>
        <v>400945.24395250488</v>
      </c>
      <c r="G96" s="84"/>
      <c r="H96" s="84"/>
      <c r="I96" s="159">
        <f>I78+I56</f>
        <v>668242.07325417479</v>
      </c>
      <c r="J96" s="159"/>
      <c r="K96" s="159">
        <f>K78</f>
        <v>0</v>
      </c>
      <c r="L96" s="192"/>
      <c r="M96" s="307"/>
      <c r="N96" s="241"/>
      <c r="O96" s="315"/>
      <c r="P96" s="77"/>
      <c r="Q96" s="38"/>
    </row>
    <row r="97" spans="1:17" s="94" customFormat="1" x14ac:dyDescent="0.25">
      <c r="A97" s="97"/>
      <c r="B97" s="213" t="s">
        <v>175</v>
      </c>
      <c r="C97" s="200"/>
      <c r="D97" s="84"/>
      <c r="E97" s="26"/>
      <c r="F97" s="309">
        <f>SUM(F87:F96)</f>
        <v>19479056.628030054</v>
      </c>
      <c r="G97" s="84"/>
      <c r="H97" s="84"/>
      <c r="I97" s="309">
        <f>SUM(I87:I89,I93:I96)</f>
        <v>21189370.488729604</v>
      </c>
      <c r="J97" s="159"/>
      <c r="K97" s="309">
        <f>SUM(K87:K96)</f>
        <v>1443017.0313978794</v>
      </c>
      <c r="L97" s="202">
        <f>ROUND(K97/F97,5)</f>
        <v>7.4079999999999993E-2</v>
      </c>
      <c r="M97" s="307"/>
      <c r="N97" s="241"/>
      <c r="O97" s="315"/>
      <c r="P97" s="77"/>
      <c r="Q97" s="38"/>
    </row>
    <row r="98" spans="1:17" s="94" customFormat="1" x14ac:dyDescent="0.25">
      <c r="A98" s="97"/>
      <c r="B98" s="213"/>
      <c r="C98" s="200"/>
      <c r="D98" s="84"/>
      <c r="E98" s="26"/>
      <c r="F98" s="159"/>
      <c r="G98" s="84"/>
      <c r="H98" s="84"/>
      <c r="I98" s="159"/>
      <c r="J98" s="159"/>
      <c r="K98" s="185"/>
      <c r="L98" s="192"/>
      <c r="M98" s="307"/>
      <c r="N98" s="241"/>
      <c r="O98" s="315"/>
      <c r="P98" s="77"/>
      <c r="Q98" s="38"/>
    </row>
    <row r="99" spans="1:17" s="94" customFormat="1" x14ac:dyDescent="0.25">
      <c r="A99" s="97"/>
      <c r="B99" s="183" t="s">
        <v>172</v>
      </c>
      <c r="C99" s="200"/>
      <c r="D99" s="84"/>
      <c r="E99" s="26"/>
      <c r="F99" s="159"/>
      <c r="G99" s="84"/>
      <c r="H99" s="84"/>
      <c r="I99" s="159"/>
      <c r="J99" s="159"/>
      <c r="K99" s="185"/>
      <c r="L99" s="192"/>
      <c r="M99" s="307"/>
      <c r="N99" s="241"/>
      <c r="O99" s="315"/>
      <c r="P99" s="77"/>
      <c r="Q99" s="38"/>
    </row>
    <row r="100" spans="1:17" s="94" customFormat="1" x14ac:dyDescent="0.25">
      <c r="A100" s="97"/>
      <c r="B100" s="228" t="s">
        <v>194</v>
      </c>
      <c r="C100" s="200"/>
      <c r="D100" s="84"/>
      <c r="E100" s="26"/>
      <c r="F100" s="159">
        <f>F60</f>
        <v>14951504.909953015</v>
      </c>
      <c r="G100" s="84"/>
      <c r="H100" s="84"/>
      <c r="I100" s="159">
        <f>I60</f>
        <v>14951504.909953015</v>
      </c>
      <c r="J100" s="159"/>
      <c r="K100" s="159">
        <f>K60</f>
        <v>0</v>
      </c>
      <c r="L100" s="192"/>
      <c r="M100" s="307"/>
      <c r="N100" s="241"/>
      <c r="O100" s="315"/>
      <c r="P100" s="77"/>
      <c r="Q100" s="38"/>
    </row>
    <row r="101" spans="1:17" s="94" customFormat="1" x14ac:dyDescent="0.25">
      <c r="A101" s="97"/>
      <c r="B101" s="228" t="s">
        <v>134</v>
      </c>
      <c r="C101" s="200"/>
      <c r="D101" s="84"/>
      <c r="E101" s="26"/>
      <c r="F101" s="159">
        <f>F61</f>
        <v>4689738.5576999998</v>
      </c>
      <c r="G101" s="84"/>
      <c r="H101" s="84"/>
      <c r="I101" s="159">
        <f>I61</f>
        <v>4689738.5576999998</v>
      </c>
      <c r="J101" s="159"/>
      <c r="K101" s="159">
        <f>K61</f>
        <v>0</v>
      </c>
      <c r="L101" s="192"/>
      <c r="M101" s="307"/>
      <c r="N101" s="241"/>
      <c r="O101" s="315"/>
      <c r="P101" s="77"/>
      <c r="Q101" s="38"/>
    </row>
    <row r="102" spans="1:17" s="94" customFormat="1" x14ac:dyDescent="0.25">
      <c r="A102" s="97"/>
      <c r="B102" s="228" t="s">
        <v>190</v>
      </c>
      <c r="C102" s="200"/>
      <c r="D102" s="84"/>
      <c r="E102" s="26"/>
      <c r="F102" s="159">
        <f>F81</f>
        <v>14344.6341143517</v>
      </c>
      <c r="G102" s="84"/>
      <c r="H102" s="84"/>
      <c r="I102" s="159">
        <f>I81</f>
        <v>20492.33444907386</v>
      </c>
      <c r="J102" s="159"/>
      <c r="K102" s="159">
        <f>K81</f>
        <v>6147.7003347221598</v>
      </c>
      <c r="L102" s="192"/>
      <c r="M102" s="307"/>
      <c r="N102" s="241"/>
      <c r="O102" s="315"/>
      <c r="P102" s="77"/>
      <c r="Q102" s="38"/>
    </row>
    <row r="103" spans="1:17" s="94" customFormat="1" x14ac:dyDescent="0.25">
      <c r="A103" s="97"/>
      <c r="B103" s="213" t="s">
        <v>195</v>
      </c>
      <c r="C103" s="200"/>
      <c r="D103" s="84"/>
      <c r="E103" s="26"/>
      <c r="F103" s="309">
        <f>SUM(F100:F102)</f>
        <v>19655588.101767365</v>
      </c>
      <c r="G103" s="84"/>
      <c r="H103" s="84"/>
      <c r="I103" s="309">
        <f>SUM(I100:I102)</f>
        <v>19661735.802102089</v>
      </c>
      <c r="J103" s="159"/>
      <c r="K103" s="309">
        <f>SUM(K100:K102)</f>
        <v>6147.7003347221598</v>
      </c>
      <c r="L103" s="202">
        <f>ROUND(K103/F103,5)</f>
        <v>3.1E-4</v>
      </c>
      <c r="M103" s="307"/>
      <c r="N103" s="241"/>
      <c r="O103" s="315"/>
      <c r="P103" s="77"/>
      <c r="Q103" s="38"/>
    </row>
    <row r="104" spans="1:17" s="94" customFormat="1" x14ac:dyDescent="0.25">
      <c r="A104" s="97"/>
      <c r="B104" s="183"/>
      <c r="C104" s="200"/>
      <c r="D104" s="97"/>
      <c r="E104" s="77"/>
      <c r="F104" s="185"/>
      <c r="G104" s="84"/>
      <c r="H104" s="84"/>
      <c r="I104" s="159"/>
      <c r="J104" s="159"/>
      <c r="K104" s="185"/>
      <c r="L104" s="192"/>
      <c r="M104" s="307"/>
      <c r="N104" s="241"/>
      <c r="O104" s="185"/>
      <c r="P104" s="77"/>
      <c r="Q104" s="38"/>
    </row>
    <row r="105" spans="1:17" s="94" customFormat="1" x14ac:dyDescent="0.25">
      <c r="A105" s="97"/>
      <c r="B105" s="183" t="s">
        <v>173</v>
      </c>
      <c r="C105" s="77"/>
      <c r="D105" s="84"/>
      <c r="E105" s="197"/>
      <c r="F105" s="309">
        <f>F97+F103</f>
        <v>39134644.729797423</v>
      </c>
      <c r="G105" s="97"/>
      <c r="H105" s="233"/>
      <c r="I105" s="309">
        <f>I97+I103</f>
        <v>40851106.290831693</v>
      </c>
      <c r="J105" s="185"/>
      <c r="K105" s="309">
        <f>K97+K103</f>
        <v>1449164.7317326015</v>
      </c>
      <c r="L105" s="202">
        <f>ROUND(K105/F105,5)</f>
        <v>3.703E-2</v>
      </c>
      <c r="M105" s="307"/>
      <c r="N105" s="241"/>
      <c r="O105" s="77"/>
      <c r="P105" s="77"/>
      <c r="Q105" s="84"/>
    </row>
    <row r="106" spans="1:17" s="94" customFormat="1" x14ac:dyDescent="0.25">
      <c r="A106" s="97"/>
      <c r="B106" s="216"/>
      <c r="C106" s="217"/>
      <c r="D106" s="217"/>
      <c r="E106" s="217"/>
      <c r="F106" s="218"/>
      <c r="G106" s="217"/>
      <c r="H106" s="217"/>
      <c r="I106" s="295"/>
      <c r="J106" s="295"/>
      <c r="K106" s="218"/>
      <c r="L106" s="220"/>
      <c r="M106" s="307"/>
      <c r="N106" s="241"/>
      <c r="O106" s="77"/>
      <c r="P106" s="77"/>
      <c r="Q106" s="84"/>
    </row>
    <row r="107" spans="1:17" s="97" customFormat="1" x14ac:dyDescent="0.25">
      <c r="F107" s="222"/>
      <c r="I107" s="314"/>
      <c r="J107" s="314"/>
      <c r="K107" s="222"/>
      <c r="L107" s="223"/>
      <c r="M107" s="307"/>
      <c r="N107" s="241"/>
      <c r="O107" s="34"/>
      <c r="P107" s="34"/>
      <c r="Q107" s="34"/>
    </row>
    <row r="108" spans="1:17" x14ac:dyDescent="0.25">
      <c r="B108" s="77"/>
      <c r="F108" s="258"/>
      <c r="I108" s="258"/>
      <c r="J108" s="258"/>
      <c r="K108" s="258"/>
      <c r="M108" s="280"/>
      <c r="N108" s="194"/>
      <c r="O108" s="34"/>
      <c r="P108" s="34"/>
      <c r="Q108" s="34"/>
    </row>
    <row r="109" spans="1:17" ht="13" x14ac:dyDescent="0.3">
      <c r="B109" s="155" t="s">
        <v>198</v>
      </c>
      <c r="F109" s="258"/>
      <c r="I109" s="258"/>
      <c r="J109" s="258"/>
      <c r="K109" s="258"/>
      <c r="M109" s="280"/>
      <c r="N109" s="194"/>
      <c r="O109" s="317"/>
      <c r="P109" s="109"/>
      <c r="Q109" s="318"/>
    </row>
    <row r="110" spans="1:17" x14ac:dyDescent="0.25">
      <c r="D110" s="257" t="s">
        <v>129</v>
      </c>
      <c r="F110" s="319" t="s">
        <v>120</v>
      </c>
      <c r="I110" s="319" t="s">
        <v>28</v>
      </c>
      <c r="J110" s="258"/>
      <c r="K110" s="319" t="s">
        <v>103</v>
      </c>
      <c r="M110" s="280"/>
      <c r="N110" s="194"/>
    </row>
    <row r="111" spans="1:17" ht="13" x14ac:dyDescent="0.3">
      <c r="B111" s="155" t="s">
        <v>199</v>
      </c>
      <c r="C111" s="305"/>
      <c r="D111" s="71"/>
      <c r="E111" s="305"/>
      <c r="F111" s="305"/>
      <c r="G111" s="320"/>
      <c r="H111" s="320"/>
      <c r="I111" s="305"/>
      <c r="J111" s="305"/>
      <c r="K111" s="305"/>
      <c r="M111" s="321"/>
    </row>
    <row r="112" spans="1:17" x14ac:dyDescent="0.25">
      <c r="B112" s="95" t="s">
        <v>200</v>
      </c>
      <c r="C112" s="305"/>
      <c r="D112" s="71"/>
      <c r="E112" s="305"/>
      <c r="F112" s="305">
        <f>F17+F29</f>
        <v>74627518.039885283</v>
      </c>
      <c r="G112" s="320"/>
      <c r="H112" s="320"/>
      <c r="I112" s="305">
        <f>I17+I29</f>
        <v>74627528.947874367</v>
      </c>
      <c r="J112" s="305"/>
      <c r="K112" s="323">
        <f>I112-F112</f>
        <v>10.907989084720612</v>
      </c>
      <c r="M112" s="321"/>
    </row>
    <row r="113" spans="2:13" x14ac:dyDescent="0.25">
      <c r="B113" s="95" t="s">
        <v>201</v>
      </c>
      <c r="C113" s="305"/>
      <c r="D113" s="71"/>
      <c r="E113" s="305"/>
      <c r="F113" s="305">
        <f>F62+F81</f>
        <v>19655588.101767365</v>
      </c>
      <c r="G113" s="320"/>
      <c r="H113" s="320"/>
      <c r="I113" s="305">
        <f>I62+I81</f>
        <v>19661735.802102089</v>
      </c>
      <c r="J113" s="305"/>
      <c r="K113" s="323">
        <f>I113-F113</f>
        <v>6147.7003347240388</v>
      </c>
      <c r="M113" s="324"/>
    </row>
    <row r="114" spans="2:13" x14ac:dyDescent="0.25">
      <c r="B114" s="95" t="s">
        <v>0</v>
      </c>
      <c r="C114" s="305"/>
      <c r="D114" s="71"/>
      <c r="E114" s="305"/>
      <c r="F114" s="325">
        <f>SUM(F112:F113)</f>
        <v>94283106.141652644</v>
      </c>
      <c r="G114" s="320"/>
      <c r="H114" s="320"/>
      <c r="I114" s="325">
        <f>SUM(I112:I113)</f>
        <v>94289264.749976456</v>
      </c>
      <c r="J114" s="305"/>
      <c r="K114" s="325">
        <f>SUM(K112:K113)</f>
        <v>6158.6083238087595</v>
      </c>
      <c r="M114" s="324"/>
    </row>
    <row r="115" spans="2:13" x14ac:dyDescent="0.25">
      <c r="C115" s="305"/>
      <c r="D115" s="71"/>
      <c r="E115" s="305"/>
      <c r="F115" s="305"/>
      <c r="G115" s="320"/>
      <c r="H115" s="320"/>
      <c r="I115" s="305"/>
      <c r="J115" s="305"/>
      <c r="K115" s="323"/>
      <c r="M115" s="324"/>
    </row>
    <row r="116" spans="2:13" ht="13" x14ac:dyDescent="0.3">
      <c r="B116" s="155" t="s">
        <v>202</v>
      </c>
      <c r="C116" s="305"/>
      <c r="D116" s="71"/>
      <c r="E116" s="305"/>
      <c r="F116" s="305"/>
      <c r="G116" s="320"/>
      <c r="H116" s="320"/>
      <c r="I116" s="305"/>
      <c r="J116" s="305"/>
      <c r="K116" s="323"/>
      <c r="M116" s="324"/>
    </row>
    <row r="117" spans="2:13" x14ac:dyDescent="0.25">
      <c r="B117" s="95" t="s">
        <v>203</v>
      </c>
      <c r="C117" s="305"/>
      <c r="D117" s="71"/>
      <c r="E117" s="305"/>
      <c r="F117" s="305">
        <f>F15+F27</f>
        <v>93373535.169999987</v>
      </c>
      <c r="G117" s="305"/>
      <c r="H117" s="320"/>
      <c r="I117" s="305">
        <f>I15+I27</f>
        <v>117966594.08000001</v>
      </c>
      <c r="J117" s="305"/>
      <c r="K117" s="323">
        <f>I117-F117</f>
        <v>24593058.910000026</v>
      </c>
      <c r="L117" s="259">
        <f>K117/F117</f>
        <v>0.26338361148289841</v>
      </c>
      <c r="M117" s="324"/>
    </row>
    <row r="118" spans="2:13" x14ac:dyDescent="0.25">
      <c r="B118" s="95" t="s">
        <v>201</v>
      </c>
      <c r="C118" s="305"/>
      <c r="D118" s="71"/>
      <c r="E118" s="305"/>
      <c r="F118" s="305">
        <f>F57+F79</f>
        <v>19479056.628030054</v>
      </c>
      <c r="G118" s="305"/>
      <c r="H118" s="320"/>
      <c r="I118" s="305">
        <f>I57+I79</f>
        <v>21189370.488729604</v>
      </c>
      <c r="J118" s="305"/>
      <c r="K118" s="323">
        <f>I118-F118</f>
        <v>1710313.8606995493</v>
      </c>
      <c r="L118" s="259">
        <f>K118/F118</f>
        <v>8.7802704892722308E-2</v>
      </c>
      <c r="M118" s="324"/>
    </row>
    <row r="119" spans="2:13" x14ac:dyDescent="0.25">
      <c r="B119" s="95" t="s">
        <v>0</v>
      </c>
      <c r="C119" s="305"/>
      <c r="D119" s="71"/>
      <c r="E119" s="305"/>
      <c r="F119" s="325">
        <f>SUM(F117:F118)</f>
        <v>112852591.79803005</v>
      </c>
      <c r="G119" s="305"/>
      <c r="H119" s="320"/>
      <c r="I119" s="325">
        <f>SUM(I117:I118)</f>
        <v>139155964.56872961</v>
      </c>
      <c r="J119" s="305"/>
      <c r="K119" s="325">
        <f>SUM(K117:K118)</f>
        <v>26303372.770699576</v>
      </c>
      <c r="L119" s="259">
        <f>K119/F119</f>
        <v>0.23307725902985177</v>
      </c>
      <c r="M119" s="324"/>
    </row>
    <row r="120" spans="2:13" x14ac:dyDescent="0.25">
      <c r="C120" s="305"/>
      <c r="D120" s="71"/>
      <c r="E120" s="305"/>
      <c r="F120" s="305"/>
      <c r="G120" s="305"/>
      <c r="H120" s="320"/>
      <c r="I120" s="305"/>
      <c r="J120" s="305"/>
      <c r="K120" s="323"/>
      <c r="M120" s="324"/>
    </row>
    <row r="121" spans="2:13" ht="13" x14ac:dyDescent="0.3">
      <c r="B121" s="155" t="s">
        <v>204</v>
      </c>
      <c r="C121" s="305"/>
      <c r="D121" s="71"/>
      <c r="E121" s="305"/>
      <c r="F121" s="305"/>
      <c r="G121" s="305"/>
      <c r="H121" s="320"/>
      <c r="I121" s="305"/>
      <c r="J121" s="305"/>
      <c r="K121" s="323"/>
      <c r="M121" s="324"/>
    </row>
    <row r="122" spans="2:13" x14ac:dyDescent="0.25">
      <c r="B122" s="95" t="s">
        <v>203</v>
      </c>
      <c r="C122" s="305"/>
      <c r="D122" s="71">
        <f>D36</f>
        <v>234176518.05324447</v>
      </c>
      <c r="E122" s="305"/>
      <c r="F122" s="305">
        <f>F112+F117</f>
        <v>168001053.20988527</v>
      </c>
      <c r="G122" s="320"/>
      <c r="H122" s="320"/>
      <c r="I122" s="305">
        <f>I112+I117</f>
        <v>192594123.02787438</v>
      </c>
      <c r="J122" s="305"/>
      <c r="K122" s="323">
        <f>I122-F122</f>
        <v>24593069.817989111</v>
      </c>
      <c r="L122" s="259">
        <f>K122/F122</f>
        <v>0.14638640263323088</v>
      </c>
      <c r="M122" s="324"/>
    </row>
    <row r="123" spans="2:13" x14ac:dyDescent="0.25">
      <c r="B123" s="95" t="s">
        <v>201</v>
      </c>
      <c r="C123" s="305"/>
      <c r="D123" s="71">
        <f>D95</f>
        <v>86328991.912539363</v>
      </c>
      <c r="E123" s="305"/>
      <c r="F123" s="305">
        <f>F113+F118</f>
        <v>39134644.729797423</v>
      </c>
      <c r="G123" s="320"/>
      <c r="H123" s="320"/>
      <c r="I123" s="305">
        <f>I113+I118</f>
        <v>40851106.290831693</v>
      </c>
      <c r="J123" s="305"/>
      <c r="K123" s="323">
        <f>I123-F123</f>
        <v>1716461.5610342696</v>
      </c>
      <c r="L123" s="259">
        <f>K123/F123</f>
        <v>4.3860409948409278E-2</v>
      </c>
      <c r="M123" s="324"/>
    </row>
    <row r="124" spans="2:13" x14ac:dyDescent="0.25">
      <c r="B124" s="95" t="s">
        <v>0</v>
      </c>
      <c r="C124" s="305"/>
      <c r="D124" s="78">
        <f>SUM(D122:D123)</f>
        <v>320505509.96578383</v>
      </c>
      <c r="E124" s="305"/>
      <c r="F124" s="325">
        <f>SUM(F122:F123)</f>
        <v>207135697.93968269</v>
      </c>
      <c r="G124" s="320"/>
      <c r="H124" s="320"/>
      <c r="I124" s="325">
        <f>SUM(I122:I123)</f>
        <v>233445229.31870607</v>
      </c>
      <c r="J124" s="305"/>
      <c r="K124" s="325">
        <f>SUM(K122:K123)</f>
        <v>26309531.379023381</v>
      </c>
      <c r="L124" s="259">
        <f>K124/F124</f>
        <v>0.12701592067768366</v>
      </c>
      <c r="M124" s="324"/>
    </row>
    <row r="125" spans="2:13" x14ac:dyDescent="0.25">
      <c r="C125" s="305"/>
      <c r="D125" s="26"/>
      <c r="E125" s="305"/>
      <c r="F125" s="323"/>
      <c r="G125" s="320"/>
      <c r="H125" s="320"/>
      <c r="I125" s="323"/>
      <c r="J125" s="305"/>
      <c r="K125" s="323"/>
      <c r="M125" s="324"/>
    </row>
    <row r="126" spans="2:13" x14ac:dyDescent="0.25">
      <c r="B126" s="95" t="s">
        <v>185</v>
      </c>
      <c r="F126" s="95"/>
      <c r="G126" s="320"/>
      <c r="H126" s="320"/>
      <c r="I126" s="323"/>
      <c r="J126" s="305"/>
      <c r="K126" s="323"/>
      <c r="M126" s="324"/>
    </row>
    <row r="127" spans="2:13" ht="13" thickBot="1" x14ac:dyDescent="0.3">
      <c r="C127" s="305"/>
      <c r="D127" s="71"/>
      <c r="E127" s="305"/>
      <c r="F127" s="305"/>
      <c r="G127" s="320"/>
      <c r="H127" s="320"/>
      <c r="I127" s="305"/>
      <c r="J127" s="305"/>
      <c r="K127" s="305"/>
      <c r="M127" s="324"/>
    </row>
    <row r="128" spans="2:13" ht="13" thickBot="1" x14ac:dyDescent="0.3">
      <c r="B128" s="261" t="s">
        <v>14</v>
      </c>
      <c r="C128" s="326"/>
      <c r="D128" s="327">
        <v>0</v>
      </c>
      <c r="E128" s="327"/>
      <c r="F128" s="328">
        <v>-5.4303109645843506E-3</v>
      </c>
      <c r="G128" s="320"/>
      <c r="H128" s="320"/>
      <c r="I128" s="305"/>
      <c r="J128" s="305"/>
      <c r="K128" s="305"/>
      <c r="M128" s="324"/>
    </row>
    <row r="129" spans="3:13" x14ac:dyDescent="0.25">
      <c r="C129" s="305"/>
      <c r="D129" s="305"/>
      <c r="E129" s="305"/>
      <c r="F129" s="305"/>
      <c r="G129" s="320"/>
      <c r="H129" s="320"/>
      <c r="I129" s="305"/>
      <c r="J129" s="305"/>
      <c r="K129" s="305"/>
      <c r="M129" s="324"/>
    </row>
    <row r="130" spans="3:13" x14ac:dyDescent="0.25">
      <c r="F130" s="95"/>
      <c r="G130" s="320"/>
      <c r="H130" s="320"/>
      <c r="I130" s="305"/>
      <c r="J130" s="305"/>
      <c r="K130" s="305"/>
      <c r="M130" s="324"/>
    </row>
    <row r="131" spans="3:13" x14ac:dyDescent="0.25">
      <c r="C131" s="305"/>
      <c r="D131" s="305"/>
      <c r="E131" s="305"/>
      <c r="F131" s="305"/>
      <c r="G131" s="320"/>
      <c r="H131" s="320"/>
      <c r="I131" s="305"/>
      <c r="J131" s="305"/>
      <c r="K131" s="305"/>
      <c r="M131" s="324"/>
    </row>
    <row r="132" spans="3:13" x14ac:dyDescent="0.25">
      <c r="C132" s="305"/>
      <c r="D132" s="305"/>
      <c r="E132" s="305"/>
      <c r="F132" s="305"/>
      <c r="G132" s="320"/>
      <c r="H132" s="320"/>
      <c r="I132" s="305"/>
      <c r="J132" s="305"/>
      <c r="K132" s="305"/>
      <c r="M132" s="324"/>
    </row>
    <row r="133" spans="3:13" x14ac:dyDescent="0.25">
      <c r="C133" s="305"/>
      <c r="D133" s="305"/>
      <c r="E133" s="305"/>
      <c r="F133" s="305"/>
      <c r="G133" s="320"/>
      <c r="H133" s="320"/>
      <c r="I133" s="305"/>
      <c r="J133" s="305"/>
      <c r="K133" s="305"/>
      <c r="M133" s="324"/>
    </row>
    <row r="134" spans="3:13" x14ac:dyDescent="0.25">
      <c r="C134" s="305"/>
      <c r="D134" s="305"/>
      <c r="E134" s="305"/>
      <c r="F134" s="305"/>
      <c r="G134" s="320"/>
      <c r="H134" s="320"/>
      <c r="I134" s="305"/>
      <c r="J134" s="305"/>
      <c r="K134" s="305"/>
      <c r="M134" s="324"/>
    </row>
    <row r="135" spans="3:13" x14ac:dyDescent="0.25">
      <c r="C135" s="305"/>
      <c r="D135" s="305"/>
      <c r="E135" s="305"/>
      <c r="F135" s="305"/>
      <c r="G135" s="320"/>
      <c r="H135" s="320"/>
      <c r="I135" s="305"/>
      <c r="J135" s="305"/>
      <c r="K135" s="305"/>
      <c r="M135" s="324"/>
    </row>
    <row r="136" spans="3:13" x14ac:dyDescent="0.25">
      <c r="C136" s="305"/>
      <c r="D136" s="305"/>
      <c r="E136" s="305"/>
      <c r="F136" s="305"/>
      <c r="G136" s="320"/>
      <c r="H136" s="320"/>
      <c r="I136" s="305"/>
      <c r="J136" s="305"/>
      <c r="K136" s="305"/>
      <c r="M136" s="324"/>
    </row>
    <row r="137" spans="3:13" x14ac:dyDescent="0.25">
      <c r="C137" s="305"/>
      <c r="D137" s="305"/>
      <c r="E137" s="305"/>
      <c r="F137" s="305"/>
      <c r="G137" s="320"/>
      <c r="H137" s="320"/>
      <c r="I137" s="305"/>
      <c r="J137" s="305"/>
      <c r="K137" s="305"/>
      <c r="M137" s="324"/>
    </row>
    <row r="138" spans="3:13" x14ac:dyDescent="0.25">
      <c r="C138" s="305"/>
      <c r="D138" s="305"/>
      <c r="E138" s="305"/>
      <c r="F138" s="305"/>
      <c r="G138" s="320"/>
      <c r="H138" s="320"/>
      <c r="I138" s="305"/>
      <c r="J138" s="305"/>
      <c r="K138" s="305"/>
      <c r="M138" s="324"/>
    </row>
    <row r="139" spans="3:13" x14ac:dyDescent="0.25">
      <c r="C139" s="305"/>
      <c r="D139" s="305"/>
      <c r="E139" s="305"/>
      <c r="F139" s="305"/>
      <c r="G139" s="320"/>
      <c r="H139" s="320"/>
      <c r="I139" s="305"/>
      <c r="J139" s="305"/>
      <c r="K139" s="305"/>
      <c r="M139" s="324"/>
    </row>
    <row r="140" spans="3:13" x14ac:dyDescent="0.25">
      <c r="C140" s="305"/>
      <c r="D140" s="305"/>
      <c r="E140" s="305"/>
      <c r="F140" s="305"/>
      <c r="G140" s="320"/>
      <c r="H140" s="320"/>
      <c r="I140" s="305"/>
      <c r="J140" s="305"/>
      <c r="K140" s="305"/>
      <c r="M140" s="324"/>
    </row>
    <row r="141" spans="3:13" x14ac:dyDescent="0.25">
      <c r="C141" s="305"/>
      <c r="D141" s="305"/>
      <c r="E141" s="305"/>
      <c r="F141" s="305"/>
      <c r="G141" s="320"/>
      <c r="H141" s="320"/>
      <c r="I141" s="305"/>
      <c r="J141" s="305"/>
      <c r="K141" s="305"/>
      <c r="M141" s="324"/>
    </row>
    <row r="142" spans="3:13" x14ac:dyDescent="0.25">
      <c r="C142" s="305"/>
      <c r="D142" s="305"/>
      <c r="E142" s="305"/>
      <c r="F142" s="305"/>
      <c r="G142" s="320"/>
      <c r="H142" s="320"/>
      <c r="I142" s="305"/>
      <c r="J142" s="305"/>
      <c r="K142" s="305"/>
      <c r="M142" s="324"/>
    </row>
    <row r="143" spans="3:13" x14ac:dyDescent="0.25">
      <c r="C143" s="305"/>
      <c r="D143" s="305"/>
      <c r="E143" s="305"/>
      <c r="F143" s="305"/>
      <c r="G143" s="320"/>
      <c r="H143" s="320"/>
      <c r="I143" s="305"/>
      <c r="J143" s="305"/>
      <c r="K143" s="305"/>
      <c r="M143" s="324"/>
    </row>
    <row r="144" spans="3:13" x14ac:dyDescent="0.25">
      <c r="C144" s="305"/>
      <c r="D144" s="305"/>
      <c r="E144" s="305"/>
      <c r="F144" s="305"/>
      <c r="G144" s="320"/>
      <c r="H144" s="320"/>
      <c r="I144" s="305"/>
      <c r="J144" s="305"/>
      <c r="K144" s="305"/>
      <c r="M144" s="324"/>
    </row>
    <row r="145" spans="3:13" x14ac:dyDescent="0.25">
      <c r="C145" s="305"/>
      <c r="D145" s="305"/>
      <c r="E145" s="305"/>
      <c r="F145" s="305"/>
      <c r="G145" s="320"/>
      <c r="H145" s="320"/>
      <c r="I145" s="305"/>
      <c r="J145" s="305"/>
      <c r="K145" s="305"/>
      <c r="M145" s="324"/>
    </row>
    <row r="146" spans="3:13" x14ac:dyDescent="0.25">
      <c r="C146" s="305"/>
      <c r="D146" s="305"/>
      <c r="E146" s="305"/>
      <c r="F146" s="305"/>
      <c r="G146" s="320"/>
      <c r="H146" s="320"/>
      <c r="I146" s="305"/>
      <c r="J146" s="305"/>
      <c r="K146" s="305"/>
      <c r="M146" s="324"/>
    </row>
    <row r="147" spans="3:13" x14ac:dyDescent="0.25">
      <c r="C147" s="305"/>
      <c r="D147" s="305"/>
      <c r="E147" s="305"/>
      <c r="F147" s="305"/>
      <c r="G147" s="320"/>
      <c r="H147" s="320"/>
      <c r="I147" s="305"/>
      <c r="J147" s="305"/>
      <c r="K147" s="305"/>
      <c r="M147" s="324"/>
    </row>
    <row r="148" spans="3:13" x14ac:dyDescent="0.25">
      <c r="M148" s="324"/>
    </row>
    <row r="149" spans="3:13" x14ac:dyDescent="0.25">
      <c r="M149" s="324"/>
    </row>
  </sheetData>
  <mergeCells count="1">
    <mergeCell ref="K7:L7"/>
  </mergeCells>
  <printOptions horizontalCentered="1"/>
  <pageMargins left="0.5" right="0.5" top="1" bottom="1" header="0.75" footer="0.5"/>
  <pageSetup scale="73" fitToHeight="8" orientation="landscape" blackAndWhite="1" r:id="rId1"/>
  <headerFooter alignWithMargins="0">
    <oddFooter>&amp;RExhibit JDT-14
                   Page &amp;P of &amp;N</oddFooter>
  </headerFooter>
  <rowBreaks count="2" manualBreakCount="2">
    <brk id="44" min="1" max="16" man="1"/>
    <brk id="84" min="1" max="16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zoomScale="90" zoomScaleNormal="90" workbookViewId="0">
      <selection activeCell="H158" sqref="H158"/>
    </sheetView>
  </sheetViews>
  <sheetFormatPr defaultColWidth="9.1796875" defaultRowHeight="12.5" x14ac:dyDescent="0.25"/>
  <cols>
    <col min="1" max="1" width="2.453125" style="95" customWidth="1"/>
    <col min="2" max="2" width="31.7265625" style="95" customWidth="1"/>
    <col min="3" max="3" width="9.7265625" style="95" customWidth="1"/>
    <col min="4" max="4" width="12.7265625" style="72" bestFit="1" customWidth="1"/>
    <col min="5" max="5" width="10.453125" style="215" customWidth="1"/>
    <col min="6" max="6" width="13.26953125" style="156" customWidth="1"/>
    <col min="7" max="7" width="3" style="84" customWidth="1"/>
    <col min="8" max="8" width="10.453125" style="391" customWidth="1"/>
    <col min="9" max="9" width="13.26953125" style="156" customWidth="1"/>
    <col min="10" max="10" width="2.81640625" style="156" customWidth="1"/>
    <col min="11" max="11" width="13.1796875" style="156" customWidth="1"/>
    <col min="12" max="12" width="10.453125" style="387" customWidth="1"/>
    <col min="13" max="13" width="2.81640625" style="274" customWidth="1"/>
    <col min="14" max="14" width="2.1796875" style="333" customWidth="1"/>
    <col min="15" max="15" width="14.453125" style="95" bestFit="1" customWidth="1"/>
    <col min="16" max="16" width="2.81640625" style="95" customWidth="1"/>
    <col min="17" max="17" width="8.81640625" style="95" customWidth="1"/>
    <col min="18" max="16384" width="9.1796875" style="95"/>
  </cols>
  <sheetData>
    <row r="1" spans="1:17" x14ac:dyDescent="0.25">
      <c r="B1" s="70"/>
      <c r="C1" s="70"/>
      <c r="D1" s="267"/>
      <c r="E1" s="329"/>
      <c r="F1" s="148"/>
      <c r="G1" s="330"/>
      <c r="H1" s="331"/>
      <c r="I1" s="148"/>
      <c r="J1" s="148"/>
      <c r="K1" s="148"/>
      <c r="L1" s="269"/>
      <c r="M1" s="269"/>
      <c r="N1" s="270"/>
      <c r="O1" s="70"/>
      <c r="P1" s="70"/>
      <c r="Q1" s="70"/>
    </row>
    <row r="2" spans="1:17" ht="13" x14ac:dyDescent="0.3">
      <c r="B2" s="146" t="s">
        <v>13</v>
      </c>
      <c r="C2" s="146"/>
      <c r="D2" s="331"/>
      <c r="E2" s="148"/>
      <c r="F2" s="148"/>
      <c r="G2" s="331"/>
      <c r="H2" s="331"/>
      <c r="I2" s="148"/>
      <c r="J2" s="148"/>
      <c r="K2" s="148"/>
      <c r="L2" s="148"/>
      <c r="M2" s="269"/>
      <c r="N2" s="270"/>
      <c r="O2" s="70"/>
      <c r="P2" s="70"/>
      <c r="Q2" s="70"/>
    </row>
    <row r="3" spans="1:17" ht="13" x14ac:dyDescent="0.3">
      <c r="B3" s="152" t="s">
        <v>264</v>
      </c>
      <c r="C3" s="146"/>
      <c r="D3" s="331"/>
      <c r="E3" s="148"/>
      <c r="F3" s="148"/>
      <c r="G3" s="331"/>
      <c r="H3" s="331"/>
      <c r="I3" s="148"/>
      <c r="J3" s="148"/>
      <c r="K3" s="148"/>
      <c r="L3" s="148"/>
      <c r="M3" s="269"/>
      <c r="N3" s="270"/>
      <c r="O3" s="70"/>
      <c r="P3" s="70"/>
      <c r="Q3" s="70"/>
    </row>
    <row r="4" spans="1:17" ht="13" x14ac:dyDescent="0.3">
      <c r="B4" s="146" t="s">
        <v>205</v>
      </c>
      <c r="C4" s="146"/>
      <c r="D4" s="331"/>
      <c r="E4" s="148"/>
      <c r="F4" s="148"/>
      <c r="G4" s="331"/>
      <c r="H4" s="331"/>
      <c r="I4" s="148"/>
      <c r="J4" s="148"/>
      <c r="K4" s="148"/>
      <c r="L4" s="148"/>
      <c r="M4" s="269"/>
      <c r="N4" s="270"/>
      <c r="O4" s="70"/>
      <c r="P4" s="70"/>
      <c r="Q4" s="70"/>
    </row>
    <row r="5" spans="1:17" ht="13" x14ac:dyDescent="0.3">
      <c r="B5" s="146" t="s">
        <v>265</v>
      </c>
      <c r="C5" s="146"/>
      <c r="D5" s="267"/>
      <c r="E5" s="329"/>
      <c r="F5" s="148"/>
      <c r="G5" s="330"/>
      <c r="H5" s="331"/>
      <c r="I5" s="148"/>
      <c r="J5" s="148"/>
      <c r="K5" s="148"/>
      <c r="L5" s="269"/>
      <c r="M5" s="269"/>
      <c r="N5" s="270"/>
      <c r="O5" s="154"/>
      <c r="P5" s="70"/>
      <c r="Q5" s="70"/>
    </row>
    <row r="6" spans="1:17" s="77" customFormat="1" x14ac:dyDescent="0.25">
      <c r="B6" s="332"/>
      <c r="C6" s="154"/>
      <c r="D6" s="84"/>
      <c r="E6" s="288"/>
      <c r="F6" s="157"/>
      <c r="G6" s="84"/>
      <c r="H6" s="233"/>
      <c r="I6" s="157"/>
      <c r="J6" s="157"/>
      <c r="K6" s="157"/>
      <c r="L6" s="333"/>
      <c r="M6" s="276"/>
      <c r="N6" s="276"/>
    </row>
    <row r="7" spans="1:17" x14ac:dyDescent="0.25">
      <c r="B7" s="161"/>
      <c r="C7" s="162"/>
      <c r="D7" s="334" t="s">
        <v>119</v>
      </c>
      <c r="E7" s="167" t="s">
        <v>120</v>
      </c>
      <c r="F7" s="165"/>
      <c r="G7" s="334"/>
      <c r="H7" s="335" t="s">
        <v>28</v>
      </c>
      <c r="I7" s="165"/>
      <c r="J7" s="168"/>
      <c r="K7" s="637" t="s">
        <v>164</v>
      </c>
      <c r="L7" s="638"/>
      <c r="M7" s="276"/>
      <c r="N7" s="270"/>
      <c r="O7" s="34" t="s">
        <v>121</v>
      </c>
      <c r="Q7" s="171" t="s">
        <v>165</v>
      </c>
    </row>
    <row r="8" spans="1:17" x14ac:dyDescent="0.25">
      <c r="B8" s="172" t="s">
        <v>122</v>
      </c>
      <c r="C8" s="336" t="s">
        <v>123</v>
      </c>
      <c r="D8" s="257" t="s">
        <v>124</v>
      </c>
      <c r="E8" s="337" t="s">
        <v>112</v>
      </c>
      <c r="F8" s="173" t="s">
        <v>125</v>
      </c>
      <c r="G8" s="257"/>
      <c r="H8" s="294" t="s">
        <v>112</v>
      </c>
      <c r="I8" s="173" t="s">
        <v>125</v>
      </c>
      <c r="J8" s="173"/>
      <c r="K8" s="173" t="s">
        <v>166</v>
      </c>
      <c r="L8" s="174" t="s">
        <v>167</v>
      </c>
      <c r="M8" s="276"/>
      <c r="N8" s="175"/>
      <c r="O8" s="131" t="s">
        <v>168</v>
      </c>
      <c r="Q8" s="176" t="s">
        <v>102</v>
      </c>
    </row>
    <row r="9" spans="1:17" x14ac:dyDescent="0.25">
      <c r="A9" s="77"/>
      <c r="B9" s="213"/>
      <c r="C9" s="200"/>
      <c r="D9" s="84"/>
      <c r="E9" s="288"/>
      <c r="F9" s="157"/>
      <c r="G9" s="229"/>
      <c r="H9" s="233"/>
      <c r="I9" s="282"/>
      <c r="J9" s="282"/>
      <c r="K9" s="157"/>
      <c r="L9" s="338"/>
      <c r="M9" s="276"/>
      <c r="O9" s="77"/>
    </row>
    <row r="10" spans="1:17" ht="13" x14ac:dyDescent="0.3">
      <c r="B10" s="177" t="s">
        <v>206</v>
      </c>
      <c r="C10" s="279"/>
      <c r="D10" s="39"/>
      <c r="E10" s="339"/>
      <c r="F10" s="181"/>
      <c r="G10" s="340"/>
      <c r="H10" s="341"/>
      <c r="I10" s="342"/>
      <c r="J10" s="342"/>
      <c r="K10" s="181"/>
      <c r="L10" s="182"/>
      <c r="M10" s="276"/>
      <c r="N10" s="276"/>
    </row>
    <row r="11" spans="1:17" x14ac:dyDescent="0.25">
      <c r="B11" s="183"/>
      <c r="C11" s="77"/>
      <c r="D11" s="84"/>
      <c r="E11" s="288"/>
      <c r="F11" s="185"/>
      <c r="G11" s="229"/>
      <c r="H11" s="233"/>
      <c r="I11" s="159"/>
      <c r="J11" s="282"/>
      <c r="K11" s="185"/>
      <c r="L11" s="186"/>
      <c r="M11" s="276"/>
      <c r="N11" s="276"/>
      <c r="O11" s="281" t="s">
        <v>207</v>
      </c>
    </row>
    <row r="12" spans="1:17" x14ac:dyDescent="0.25">
      <c r="B12" s="213" t="s">
        <v>126</v>
      </c>
      <c r="C12" s="200" t="s">
        <v>127</v>
      </c>
      <c r="D12" s="190">
        <v>329.5178182456545</v>
      </c>
      <c r="E12" s="191">
        <v>548.57000000000005</v>
      </c>
      <c r="F12" s="185">
        <f>ROUND(D12*E12,2)</f>
        <v>180763.59</v>
      </c>
      <c r="H12" s="191">
        <v>595.08000000000004</v>
      </c>
      <c r="I12" s="159">
        <f>ROUND(D12*H12,2)</f>
        <v>196089.46</v>
      </c>
      <c r="J12" s="282"/>
      <c r="K12" s="185">
        <f>I12-F12</f>
        <v>15325.869999999995</v>
      </c>
      <c r="L12" s="186"/>
      <c r="M12" s="276"/>
      <c r="N12" s="276"/>
      <c r="O12" s="193">
        <v>747303.06850738183</v>
      </c>
      <c r="Q12" s="194">
        <f>H12/E12-1</f>
        <v>8.4784074958528466E-2</v>
      </c>
    </row>
    <row r="13" spans="1:17" x14ac:dyDescent="0.25">
      <c r="B13" s="183" t="s">
        <v>134</v>
      </c>
      <c r="C13" s="77" t="s">
        <v>132</v>
      </c>
      <c r="D13" s="190">
        <v>86412.906999999992</v>
      </c>
      <c r="E13" s="191">
        <v>1.21</v>
      </c>
      <c r="F13" s="185">
        <f>ROUND(D13*E13,2)</f>
        <v>104559.62</v>
      </c>
      <c r="H13" s="191">
        <v>1.3</v>
      </c>
      <c r="I13" s="159">
        <f>ROUND(D13*H13,2)</f>
        <v>112336.78</v>
      </c>
      <c r="J13" s="282"/>
      <c r="K13" s="185">
        <f>I13-F13</f>
        <v>7777.1600000000035</v>
      </c>
      <c r="L13" s="186"/>
      <c r="M13" s="276"/>
      <c r="N13" s="276"/>
      <c r="O13" s="198" t="s">
        <v>171</v>
      </c>
      <c r="Q13" s="194">
        <f>H13/E13-1</f>
        <v>7.4380165289256173E-2</v>
      </c>
    </row>
    <row r="14" spans="1:17" x14ac:dyDescent="0.25">
      <c r="B14" s="183" t="s">
        <v>131</v>
      </c>
      <c r="C14" s="77" t="s">
        <v>129</v>
      </c>
      <c r="D14" s="84">
        <f>D21</f>
        <v>16184434.068649083</v>
      </c>
      <c r="E14" s="196">
        <v>7.4700000000000001E-3</v>
      </c>
      <c r="F14" s="185">
        <f>E14*D14</f>
        <v>120897.72249280865</v>
      </c>
      <c r="H14" s="196">
        <v>7.11E-3</v>
      </c>
      <c r="I14" s="159">
        <f>ROUND(D14*H14,2)</f>
        <v>115071.33</v>
      </c>
      <c r="J14" s="157"/>
      <c r="K14" s="185">
        <f>I14-F14</f>
        <v>-5826.392492808649</v>
      </c>
      <c r="L14" s="186"/>
      <c r="M14" s="276"/>
      <c r="N14" s="276"/>
      <c r="O14" s="203">
        <f>K21+K42-O12</f>
        <v>115.67899980966467</v>
      </c>
      <c r="Q14" s="194">
        <f>H14/E14-1</f>
        <v>-4.8192771084337394E-2</v>
      </c>
    </row>
    <row r="15" spans="1:17" x14ac:dyDescent="0.25">
      <c r="B15" s="183" t="s">
        <v>141</v>
      </c>
      <c r="C15" s="77"/>
      <c r="D15" s="84"/>
      <c r="E15" s="240"/>
      <c r="F15" s="343">
        <v>0</v>
      </c>
      <c r="H15" s="197"/>
      <c r="I15" s="185">
        <f>F15</f>
        <v>0</v>
      </c>
      <c r="J15" s="157"/>
      <c r="K15" s="185">
        <f>I15-F15</f>
        <v>0</v>
      </c>
      <c r="L15" s="186"/>
      <c r="M15" s="276"/>
      <c r="N15" s="276"/>
      <c r="O15" s="285"/>
    </row>
    <row r="16" spans="1:17" x14ac:dyDescent="0.25">
      <c r="B16" s="183"/>
      <c r="C16" s="77"/>
      <c r="D16" s="84"/>
      <c r="E16" s="240"/>
      <c r="F16" s="185"/>
      <c r="H16" s="197"/>
      <c r="I16" s="159"/>
      <c r="J16" s="282"/>
      <c r="K16" s="185"/>
      <c r="L16" s="186"/>
      <c r="M16" s="276"/>
      <c r="N16" s="276"/>
      <c r="O16" s="210">
        <v>0.102785</v>
      </c>
    </row>
    <row r="17" spans="2:17" x14ac:dyDescent="0.25">
      <c r="B17" s="183" t="s">
        <v>135</v>
      </c>
      <c r="C17" s="77"/>
      <c r="D17" s="84"/>
      <c r="E17" s="240"/>
      <c r="F17" s="185"/>
      <c r="H17" s="197"/>
      <c r="I17" s="159"/>
      <c r="J17" s="282"/>
      <c r="K17" s="185"/>
      <c r="L17" s="186"/>
      <c r="M17" s="276"/>
      <c r="N17" s="276"/>
      <c r="O17" s="344"/>
    </row>
    <row r="18" spans="2:17" x14ac:dyDescent="0.25">
      <c r="B18" s="183" t="s">
        <v>142</v>
      </c>
      <c r="C18" s="77" t="s">
        <v>129</v>
      </c>
      <c r="D18" s="190">
        <v>7617621.6729999995</v>
      </c>
      <c r="E18" s="196">
        <v>9.9360000000000004E-2</v>
      </c>
      <c r="F18" s="185">
        <f>ROUND(D18*E18,2)</f>
        <v>756886.89</v>
      </c>
      <c r="H18" s="197">
        <f>ROUND(E18*(1+$O$16),5)</f>
        <v>0.10957</v>
      </c>
      <c r="I18" s="159">
        <f>ROUND(D18*H18,2)</f>
        <v>834662.81</v>
      </c>
      <c r="J18" s="282"/>
      <c r="K18" s="185">
        <f>I18-F18</f>
        <v>77775.920000000042</v>
      </c>
      <c r="L18" s="186"/>
      <c r="M18" s="276"/>
      <c r="N18" s="276"/>
      <c r="P18" s="345"/>
      <c r="Q18" s="194">
        <f>H18/E18-1</f>
        <v>0.10275764895330108</v>
      </c>
    </row>
    <row r="19" spans="2:17" x14ac:dyDescent="0.25">
      <c r="B19" s="183" t="s">
        <v>143</v>
      </c>
      <c r="C19" s="77" t="s">
        <v>129</v>
      </c>
      <c r="D19" s="190">
        <v>4021281.8230000003</v>
      </c>
      <c r="E19" s="196">
        <v>4.9169999999999998E-2</v>
      </c>
      <c r="F19" s="185">
        <f>ROUND(D19*E19,2)</f>
        <v>197726.43</v>
      </c>
      <c r="H19" s="197">
        <f>ROUND(E19*(1+$O$16),5)</f>
        <v>5.4219999999999997E-2</v>
      </c>
      <c r="I19" s="159">
        <f>ROUND(D19*H19,2)</f>
        <v>218033.9</v>
      </c>
      <c r="J19" s="282"/>
      <c r="K19" s="185">
        <f>I19-F19</f>
        <v>20307.47</v>
      </c>
      <c r="L19" s="186"/>
      <c r="M19" s="276"/>
      <c r="N19" s="276"/>
      <c r="O19" s="240"/>
      <c r="P19" s="240"/>
      <c r="Q19" s="194">
        <f>H19/E19-1</f>
        <v>0.10270490136261956</v>
      </c>
    </row>
    <row r="20" spans="2:17" x14ac:dyDescent="0.25">
      <c r="B20" s="183" t="s">
        <v>144</v>
      </c>
      <c r="C20" s="77" t="s">
        <v>129</v>
      </c>
      <c r="D20" s="190">
        <v>4545530.572649084</v>
      </c>
      <c r="E20" s="196">
        <v>4.7039999999999998E-2</v>
      </c>
      <c r="F20" s="185">
        <f>ROUND(D20*E20,2)</f>
        <v>213821.76</v>
      </c>
      <c r="H20" s="197">
        <f>ROUND(E20*(1+$O$16),5)</f>
        <v>5.1880000000000003E-2</v>
      </c>
      <c r="I20" s="159">
        <f>ROUND(D20*H20,2)</f>
        <v>235822.13</v>
      </c>
      <c r="J20" s="282"/>
      <c r="K20" s="185">
        <f>I20-F20</f>
        <v>22000.369999999995</v>
      </c>
      <c r="L20" s="192"/>
      <c r="M20" s="276"/>
      <c r="N20" s="276"/>
      <c r="O20" s="240"/>
      <c r="P20" s="240"/>
      <c r="Q20" s="194">
        <f>H20/E20-1</f>
        <v>0.10289115646258518</v>
      </c>
    </row>
    <row r="21" spans="2:17" x14ac:dyDescent="0.25">
      <c r="B21" s="213" t="s">
        <v>175</v>
      </c>
      <c r="C21" s="200"/>
      <c r="D21" s="39">
        <f>SUM(D18:D20)</f>
        <v>16184434.068649083</v>
      </c>
      <c r="E21" s="157"/>
      <c r="F21" s="309">
        <f>SUM(F12:F20)</f>
        <v>1574656.0124928085</v>
      </c>
      <c r="H21" s="233"/>
      <c r="I21" s="309">
        <f>SUM(I12:I20)</f>
        <v>1712016.4100000001</v>
      </c>
      <c r="J21" s="282"/>
      <c r="K21" s="309">
        <f>SUM(K12:K20)</f>
        <v>137360.3975071914</v>
      </c>
      <c r="L21" s="346">
        <f>K21/F21</f>
        <v>8.723200268339161E-2</v>
      </c>
      <c r="M21" s="276"/>
      <c r="N21" s="276"/>
      <c r="O21" s="242"/>
      <c r="P21" s="132"/>
      <c r="Q21" s="310"/>
    </row>
    <row r="22" spans="2:17" ht="12.75" customHeight="1" x14ac:dyDescent="0.25">
      <c r="B22" s="213"/>
      <c r="C22" s="200"/>
      <c r="D22" s="84"/>
      <c r="E22" s="157"/>
      <c r="F22" s="159"/>
      <c r="H22" s="233"/>
      <c r="I22" s="159"/>
      <c r="J22" s="282"/>
      <c r="K22" s="185"/>
      <c r="L22" s="186"/>
      <c r="M22" s="276"/>
      <c r="N22" s="276"/>
      <c r="O22" s="347"/>
      <c r="P22" s="109"/>
      <c r="Q22" s="318"/>
    </row>
    <row r="23" spans="2:17" ht="12.75" customHeight="1" x14ac:dyDescent="0.25">
      <c r="B23" s="183" t="s">
        <v>172</v>
      </c>
      <c r="C23" s="200"/>
      <c r="D23" s="84"/>
      <c r="E23" s="157"/>
      <c r="F23" s="159"/>
      <c r="H23" s="233"/>
      <c r="I23" s="159"/>
      <c r="J23" s="282"/>
      <c r="K23" s="185"/>
      <c r="L23" s="186"/>
      <c r="M23" s="276"/>
      <c r="N23" s="276"/>
      <c r="O23" s="347"/>
      <c r="P23" s="109"/>
      <c r="Q23" s="318"/>
    </row>
    <row r="24" spans="2:17" x14ac:dyDescent="0.25">
      <c r="B24" s="183" t="s">
        <v>194</v>
      </c>
      <c r="C24" s="77" t="s">
        <v>129</v>
      </c>
      <c r="D24" s="348">
        <f>D21</f>
        <v>16184434.068649083</v>
      </c>
      <c r="E24" s="196">
        <v>0.2702</v>
      </c>
      <c r="F24" s="159">
        <f>D24*E24</f>
        <v>4373034.0853489824</v>
      </c>
      <c r="G24" s="349"/>
      <c r="H24" s="209">
        <f>E24</f>
        <v>0.2702</v>
      </c>
      <c r="I24" s="159">
        <f>$D24*H24</f>
        <v>4373034.0853489824</v>
      </c>
      <c r="J24" s="282"/>
      <c r="K24" s="185">
        <f>I24-F24</f>
        <v>0</v>
      </c>
      <c r="L24" s="186"/>
      <c r="M24" s="276"/>
      <c r="N24" s="307"/>
    </row>
    <row r="25" spans="2:17" x14ac:dyDescent="0.25">
      <c r="B25" s="183" t="s">
        <v>134</v>
      </c>
      <c r="C25" s="77" t="s">
        <v>132</v>
      </c>
      <c r="D25" s="348">
        <f>D13</f>
        <v>86412.906999999992</v>
      </c>
      <c r="E25" s="191">
        <v>1.05</v>
      </c>
      <c r="F25" s="159">
        <f>D25*E25</f>
        <v>90733.552349999998</v>
      </c>
      <c r="G25" s="349"/>
      <c r="H25" s="250">
        <f>E25</f>
        <v>1.05</v>
      </c>
      <c r="I25" s="159">
        <f>$D25*H25</f>
        <v>90733.552349999998</v>
      </c>
      <c r="J25" s="282"/>
      <c r="K25" s="185">
        <f>I25-F25</f>
        <v>0</v>
      </c>
      <c r="L25" s="192"/>
      <c r="M25" s="276"/>
      <c r="N25" s="276"/>
    </row>
    <row r="26" spans="2:17" x14ac:dyDescent="0.25">
      <c r="B26" s="213" t="s">
        <v>195</v>
      </c>
      <c r="C26" s="200"/>
      <c r="D26" s="97"/>
      <c r="E26" s="157"/>
      <c r="F26" s="309">
        <f>SUM(F24:F25)</f>
        <v>4463767.6376989819</v>
      </c>
      <c r="G26" s="97"/>
      <c r="H26" s="233"/>
      <c r="I26" s="309">
        <f>SUM(I24:I25)</f>
        <v>4463767.6376989819</v>
      </c>
      <c r="J26" s="157"/>
      <c r="K26" s="309">
        <f>SUM(K24:K25)</f>
        <v>0</v>
      </c>
      <c r="L26" s="346">
        <f>ROUND(K26/F26,5)</f>
        <v>0</v>
      </c>
      <c r="M26" s="276"/>
      <c r="N26" s="276"/>
      <c r="O26" s="347"/>
      <c r="P26" s="109"/>
      <c r="Q26" s="318"/>
    </row>
    <row r="27" spans="2:17" x14ac:dyDescent="0.25">
      <c r="B27" s="183"/>
      <c r="C27" s="77"/>
      <c r="D27" s="84"/>
      <c r="E27" s="233"/>
      <c r="F27" s="159"/>
      <c r="H27" s="233"/>
      <c r="I27" s="159"/>
      <c r="J27" s="282"/>
      <c r="K27" s="185"/>
      <c r="L27" s="192"/>
      <c r="M27" s="276"/>
      <c r="N27" s="276"/>
    </row>
    <row r="28" spans="2:17" x14ac:dyDescent="0.25">
      <c r="B28" s="183" t="s">
        <v>173</v>
      </c>
      <c r="C28" s="77"/>
      <c r="D28" s="84"/>
      <c r="E28" s="197"/>
      <c r="F28" s="309">
        <f>F21+F26</f>
        <v>6038423.6501917904</v>
      </c>
      <c r="H28" s="233"/>
      <c r="I28" s="309">
        <f>I21+I26</f>
        <v>6175784.0476989821</v>
      </c>
      <c r="J28" s="282"/>
      <c r="K28" s="309">
        <f>K21+K26</f>
        <v>137360.3975071914</v>
      </c>
      <c r="L28" s="346">
        <f>K28/F28</f>
        <v>2.2747724483165171E-2</v>
      </c>
      <c r="M28" s="276"/>
      <c r="N28" s="276"/>
    </row>
    <row r="29" spans="2:17" x14ac:dyDescent="0.25">
      <c r="B29" s="292"/>
      <c r="C29" s="4"/>
      <c r="D29" s="219"/>
      <c r="E29" s="350"/>
      <c r="F29" s="297"/>
      <c r="G29" s="219"/>
      <c r="H29" s="351"/>
      <c r="I29" s="297"/>
      <c r="J29" s="352"/>
      <c r="K29" s="297"/>
      <c r="L29" s="298"/>
      <c r="M29" s="276"/>
      <c r="N29" s="276"/>
    </row>
    <row r="30" spans="2:17" x14ac:dyDescent="0.25">
      <c r="B30" s="97"/>
      <c r="C30" s="97"/>
      <c r="D30" s="84"/>
      <c r="E30" s="197"/>
      <c r="F30" s="222"/>
      <c r="H30" s="233"/>
      <c r="I30" s="231"/>
      <c r="J30" s="353"/>
      <c r="K30" s="222"/>
      <c r="L30" s="223"/>
      <c r="M30" s="276"/>
      <c r="N30" s="276"/>
    </row>
    <row r="31" spans="2:17" ht="13" x14ac:dyDescent="0.3">
      <c r="B31" s="177" t="s">
        <v>208</v>
      </c>
      <c r="C31" s="279"/>
      <c r="D31" s="39"/>
      <c r="E31" s="339"/>
      <c r="F31" s="181"/>
      <c r="G31" s="340"/>
      <c r="H31" s="341"/>
      <c r="I31" s="342"/>
      <c r="J31" s="342"/>
      <c r="K31" s="181"/>
      <c r="L31" s="182"/>
      <c r="M31" s="276"/>
      <c r="N31" s="276"/>
      <c r="O31" s="354"/>
      <c r="P31" s="189"/>
      <c r="Q31" s="84"/>
    </row>
    <row r="32" spans="2:17" x14ac:dyDescent="0.25">
      <c r="B32" s="183"/>
      <c r="C32" s="77"/>
      <c r="D32" s="84"/>
      <c r="E32" s="288"/>
      <c r="F32" s="185"/>
      <c r="G32" s="229"/>
      <c r="H32" s="233"/>
      <c r="I32" s="159"/>
      <c r="J32" s="282"/>
      <c r="K32" s="185"/>
      <c r="L32" s="186"/>
      <c r="M32" s="276"/>
      <c r="N32" s="276"/>
      <c r="O32" s="97"/>
      <c r="P32" s="97"/>
      <c r="Q32" s="84"/>
    </row>
    <row r="33" spans="2:17" x14ac:dyDescent="0.25">
      <c r="B33" s="213" t="s">
        <v>126</v>
      </c>
      <c r="C33" s="200" t="s">
        <v>127</v>
      </c>
      <c r="D33" s="190">
        <v>1199.4001036779719</v>
      </c>
      <c r="E33" s="191">
        <v>877.69</v>
      </c>
      <c r="F33" s="185">
        <f>ROUND(D33*E33,2)</f>
        <v>1052701.48</v>
      </c>
      <c r="H33" s="191">
        <v>903.09</v>
      </c>
      <c r="I33" s="159">
        <f>ROUND(D33*H33,2)</f>
        <v>1083166.24</v>
      </c>
      <c r="J33" s="282"/>
      <c r="K33" s="185">
        <f>I33-F33</f>
        <v>30464.760000000009</v>
      </c>
      <c r="L33" s="186"/>
      <c r="M33" s="276"/>
      <c r="N33" s="276"/>
      <c r="O33" s="189"/>
      <c r="P33" s="189"/>
      <c r="Q33" s="194">
        <f>H33/E33-1</f>
        <v>2.8939602821041577E-2</v>
      </c>
    </row>
    <row r="34" spans="2:17" x14ac:dyDescent="0.25">
      <c r="B34" s="183" t="s">
        <v>134</v>
      </c>
      <c r="C34" s="77" t="s">
        <v>132</v>
      </c>
      <c r="D34" s="190">
        <v>697056</v>
      </c>
      <c r="E34" s="191">
        <v>1.21</v>
      </c>
      <c r="F34" s="185">
        <f>ROUND(D34*E34,2)</f>
        <v>843437.76</v>
      </c>
      <c r="H34" s="233">
        <f>$H$13</f>
        <v>1.3</v>
      </c>
      <c r="I34" s="159">
        <f>ROUND(D34*H34,2)</f>
        <v>906172.8</v>
      </c>
      <c r="J34" s="282"/>
      <c r="K34" s="185">
        <f>I34-F34</f>
        <v>62735.040000000037</v>
      </c>
      <c r="L34" s="186"/>
      <c r="M34" s="276"/>
      <c r="N34" s="276"/>
      <c r="O34" s="97"/>
      <c r="P34" s="97"/>
      <c r="Q34" s="194">
        <f>H34/E34-1</f>
        <v>7.4380165289256173E-2</v>
      </c>
    </row>
    <row r="35" spans="2:17" x14ac:dyDescent="0.25">
      <c r="B35" s="183" t="s">
        <v>141</v>
      </c>
      <c r="C35" s="77"/>
      <c r="D35" s="190"/>
      <c r="E35" s="191"/>
      <c r="F35" s="355">
        <v>12284.61</v>
      </c>
      <c r="H35" s="233"/>
      <c r="I35" s="159">
        <f>F35</f>
        <v>12284.61</v>
      </c>
      <c r="J35" s="282"/>
      <c r="K35" s="185">
        <f>I35-F35</f>
        <v>0</v>
      </c>
      <c r="L35" s="186"/>
      <c r="M35" s="276"/>
      <c r="N35" s="276"/>
      <c r="O35" s="97"/>
      <c r="P35" s="97"/>
      <c r="Q35" s="38"/>
    </row>
    <row r="36" spans="2:17" x14ac:dyDescent="0.25">
      <c r="B36" s="183"/>
      <c r="C36" s="77"/>
      <c r="D36" s="190"/>
      <c r="E36" s="196"/>
      <c r="F36" s="77"/>
      <c r="H36" s="197"/>
      <c r="I36" s="77"/>
      <c r="J36" s="157"/>
      <c r="K36" s="185"/>
      <c r="L36" s="186"/>
      <c r="M36" s="276"/>
      <c r="N36" s="276"/>
      <c r="O36" s="97"/>
      <c r="P36" s="97"/>
      <c r="Q36" s="84"/>
    </row>
    <row r="37" spans="2:17" x14ac:dyDescent="0.25">
      <c r="B37" s="183"/>
      <c r="C37" s="77"/>
      <c r="D37" s="190"/>
      <c r="E37" s="196"/>
      <c r="F37" s="185"/>
      <c r="H37" s="197"/>
      <c r="I37" s="159"/>
      <c r="J37" s="282"/>
      <c r="K37" s="185"/>
      <c r="L37" s="186"/>
      <c r="M37" s="276"/>
      <c r="N37" s="276"/>
      <c r="O37" s="77"/>
      <c r="P37" s="97"/>
      <c r="Q37" s="84"/>
    </row>
    <row r="38" spans="2:17" x14ac:dyDescent="0.25">
      <c r="B38" s="183" t="s">
        <v>135</v>
      </c>
      <c r="C38" s="77"/>
      <c r="D38" s="190"/>
      <c r="E38" s="196"/>
      <c r="F38" s="185"/>
      <c r="H38" s="197"/>
      <c r="I38" s="159"/>
      <c r="J38" s="282"/>
      <c r="K38" s="185"/>
      <c r="L38" s="186"/>
      <c r="M38" s="276"/>
      <c r="N38" s="276"/>
      <c r="O38" s="97"/>
      <c r="P38" s="97"/>
      <c r="Q38" s="84"/>
    </row>
    <row r="39" spans="2:17" x14ac:dyDescent="0.25">
      <c r="B39" s="183" t="s">
        <v>142</v>
      </c>
      <c r="C39" s="77" t="s">
        <v>129</v>
      </c>
      <c r="D39" s="190">
        <v>28123063.680000003</v>
      </c>
      <c r="E39" s="196">
        <v>9.9360000000000004E-2</v>
      </c>
      <c r="F39" s="185">
        <f>ROUND(D39*E39,2)</f>
        <v>2794307.61</v>
      </c>
      <c r="H39" s="197">
        <f>H18</f>
        <v>0.10957</v>
      </c>
      <c r="I39" s="159">
        <f>ROUND(D39*H39,2)</f>
        <v>3081444.09</v>
      </c>
      <c r="J39" s="282"/>
      <c r="K39" s="185">
        <f>I39-F39</f>
        <v>287136.48</v>
      </c>
      <c r="L39" s="186"/>
      <c r="M39" s="276"/>
      <c r="N39" s="276"/>
      <c r="O39" s="97"/>
      <c r="P39" s="97"/>
      <c r="Q39" s="194">
        <f>H39/E39-1</f>
        <v>0.10275764895330108</v>
      </c>
    </row>
    <row r="40" spans="2:17" x14ac:dyDescent="0.25">
      <c r="B40" s="183" t="s">
        <v>143</v>
      </c>
      <c r="C40" s="77" t="s">
        <v>129</v>
      </c>
      <c r="D40" s="190">
        <v>18732272.719999999</v>
      </c>
      <c r="E40" s="196">
        <v>4.9169999999999998E-2</v>
      </c>
      <c r="F40" s="185">
        <f>ROUND(D40*E40,2)</f>
        <v>921065.85</v>
      </c>
      <c r="H40" s="197">
        <f>H19</f>
        <v>5.4219999999999997E-2</v>
      </c>
      <c r="I40" s="159">
        <f>ROUND(D40*H40,2)</f>
        <v>1015663.83</v>
      </c>
      <c r="J40" s="282"/>
      <c r="K40" s="185">
        <f>I40-F40</f>
        <v>94597.979999999981</v>
      </c>
      <c r="L40" s="186"/>
      <c r="M40" s="276"/>
      <c r="N40" s="276"/>
      <c r="O40" s="97"/>
      <c r="P40" s="97"/>
      <c r="Q40" s="194">
        <f>H40/E40-1</f>
        <v>0.10270490136261956</v>
      </c>
    </row>
    <row r="41" spans="2:17" x14ac:dyDescent="0.25">
      <c r="B41" s="183" t="s">
        <v>145</v>
      </c>
      <c r="C41" s="77" t="s">
        <v>129</v>
      </c>
      <c r="D41" s="190">
        <v>27918200.734971084</v>
      </c>
      <c r="E41" s="196">
        <v>4.7039999999999998E-2</v>
      </c>
      <c r="F41" s="297">
        <f>ROUND(D41*E41,2)</f>
        <v>1313272.1599999999</v>
      </c>
      <c r="H41" s="197">
        <f>H20</f>
        <v>5.1880000000000003E-2</v>
      </c>
      <c r="I41" s="159">
        <f>ROUND(D41*H41,2)</f>
        <v>1448396.25</v>
      </c>
      <c r="J41" s="282"/>
      <c r="K41" s="185">
        <f>I41-F41</f>
        <v>135124.09000000008</v>
      </c>
      <c r="L41" s="192"/>
      <c r="M41" s="276"/>
      <c r="N41" s="276"/>
      <c r="O41" s="97"/>
      <c r="P41" s="97"/>
      <c r="Q41" s="194">
        <f>H41/E41-1</f>
        <v>0.10289115646258518</v>
      </c>
    </row>
    <row r="42" spans="2:17" x14ac:dyDescent="0.25">
      <c r="B42" s="213" t="s">
        <v>175</v>
      </c>
      <c r="C42" s="200"/>
      <c r="D42" s="39">
        <f>SUM(D39:D41)</f>
        <v>74773537.134971082</v>
      </c>
      <c r="E42" s="356"/>
      <c r="F42" s="309">
        <f>SUM(F33:F41)</f>
        <v>6937069.4699999997</v>
      </c>
      <c r="H42" s="233"/>
      <c r="I42" s="309">
        <f>SUM(I33:I41)</f>
        <v>7547127.8200000003</v>
      </c>
      <c r="J42" s="282"/>
      <c r="K42" s="309">
        <f>SUM(K33:K41)</f>
        <v>610058.35000000009</v>
      </c>
      <c r="L42" s="346">
        <f>K42/F42</f>
        <v>8.7941796264006583E-2</v>
      </c>
      <c r="M42" s="276"/>
      <c r="N42" s="276"/>
      <c r="O42" s="97"/>
      <c r="P42" s="97"/>
      <c r="Q42" s="84"/>
    </row>
    <row r="43" spans="2:17" x14ac:dyDescent="0.25">
      <c r="B43" s="213"/>
      <c r="C43" s="200"/>
      <c r="D43" s="84"/>
      <c r="E43" s="356"/>
      <c r="F43" s="159"/>
      <c r="H43" s="233"/>
      <c r="I43" s="159"/>
      <c r="J43" s="282"/>
      <c r="K43" s="185"/>
      <c r="L43" s="186"/>
      <c r="M43" s="276"/>
      <c r="N43" s="276"/>
      <c r="O43" s="189"/>
      <c r="P43" s="97"/>
      <c r="Q43" s="84"/>
    </row>
    <row r="44" spans="2:17" x14ac:dyDescent="0.25">
      <c r="B44" s="183" t="s">
        <v>190</v>
      </c>
      <c r="C44" s="77" t="s">
        <v>129</v>
      </c>
      <c r="D44" s="348">
        <f>D42</f>
        <v>74773537.134971082</v>
      </c>
      <c r="E44" s="196">
        <v>6.9999999999999999E-4</v>
      </c>
      <c r="F44" s="159">
        <f>E44*D44</f>
        <v>52341.475994479755</v>
      </c>
      <c r="G44" s="349"/>
      <c r="H44" s="299">
        <v>1E-3</v>
      </c>
      <c r="I44" s="185">
        <f>H44*D44</f>
        <v>74773.537134971077</v>
      </c>
      <c r="J44" s="282"/>
      <c r="K44" s="185">
        <f>I44-F44</f>
        <v>22432.061140491322</v>
      </c>
      <c r="L44" s="186"/>
      <c r="M44" s="276"/>
      <c r="N44" s="276"/>
      <c r="O44" s="189"/>
      <c r="P44" s="189"/>
      <c r="Q44" s="84"/>
    </row>
    <row r="45" spans="2:17" x14ac:dyDescent="0.25">
      <c r="B45" s="213" t="s">
        <v>173</v>
      </c>
      <c r="C45" s="77"/>
      <c r="D45" s="84"/>
      <c r="E45" s="300"/>
      <c r="F45" s="309">
        <f>F44+F42</f>
        <v>6989410.9459944796</v>
      </c>
      <c r="G45" s="97"/>
      <c r="H45" s="233"/>
      <c r="I45" s="309">
        <f>I44+I42</f>
        <v>7621901.3571349718</v>
      </c>
      <c r="J45" s="157"/>
      <c r="K45" s="309">
        <f>K44+K42</f>
        <v>632490.41114049137</v>
      </c>
      <c r="L45" s="346">
        <f>ROUND(K45/F45,5)</f>
        <v>9.0490000000000001E-2</v>
      </c>
      <c r="M45" s="276"/>
      <c r="N45" s="276"/>
      <c r="O45" s="357"/>
      <c r="P45" s="97"/>
      <c r="Q45" s="349"/>
    </row>
    <row r="46" spans="2:17" x14ac:dyDescent="0.25">
      <c r="B46" s="292"/>
      <c r="C46" s="4"/>
      <c r="D46" s="219"/>
      <c r="E46" s="350"/>
      <c r="F46" s="297"/>
      <c r="G46" s="219"/>
      <c r="H46" s="351"/>
      <c r="I46" s="358"/>
      <c r="J46" s="352"/>
      <c r="K46" s="297"/>
      <c r="L46" s="298"/>
      <c r="M46" s="276"/>
      <c r="N46" s="276"/>
      <c r="O46" s="97"/>
      <c r="P46" s="97"/>
      <c r="Q46" s="84"/>
    </row>
    <row r="47" spans="2:17" x14ac:dyDescent="0.25">
      <c r="B47" s="77"/>
      <c r="C47" s="77"/>
      <c r="D47" s="84"/>
      <c r="E47" s="288"/>
      <c r="F47" s="185"/>
      <c r="H47" s="233"/>
      <c r="I47" s="159"/>
      <c r="J47" s="282"/>
      <c r="K47" s="185"/>
      <c r="L47" s="260"/>
      <c r="M47" s="276"/>
      <c r="N47" s="276"/>
      <c r="O47" s="97"/>
      <c r="P47" s="97"/>
      <c r="Q47" s="84"/>
    </row>
    <row r="48" spans="2:17" ht="13" x14ac:dyDescent="0.3">
      <c r="B48" s="224" t="s">
        <v>209</v>
      </c>
      <c r="C48" s="279"/>
      <c r="D48" s="39"/>
      <c r="E48" s="339"/>
      <c r="F48" s="181"/>
      <c r="G48" s="340"/>
      <c r="H48" s="341"/>
      <c r="I48" s="342"/>
      <c r="J48" s="342"/>
      <c r="K48" s="181"/>
      <c r="L48" s="182"/>
      <c r="M48" s="276"/>
      <c r="N48" s="276"/>
      <c r="O48" s="97"/>
      <c r="P48" s="97"/>
      <c r="Q48" s="84"/>
    </row>
    <row r="49" spans="2:17" x14ac:dyDescent="0.25">
      <c r="B49" s="183"/>
      <c r="C49" s="77"/>
      <c r="D49" s="84"/>
      <c r="E49" s="197"/>
      <c r="F49" s="222"/>
      <c r="G49" s="229"/>
      <c r="H49" s="233"/>
      <c r="I49" s="231"/>
      <c r="J49" s="353"/>
      <c r="K49" s="222"/>
      <c r="L49" s="230"/>
      <c r="M49" s="359"/>
      <c r="N49" s="276"/>
      <c r="O49" s="97"/>
      <c r="P49" s="97"/>
      <c r="Q49" s="84"/>
    </row>
    <row r="50" spans="2:17" x14ac:dyDescent="0.25">
      <c r="B50" s="213" t="s">
        <v>126</v>
      </c>
      <c r="C50" s="200" t="s">
        <v>127</v>
      </c>
      <c r="D50" s="84">
        <f>D33+D12</f>
        <v>1528.9179219236264</v>
      </c>
      <c r="E50" s="300"/>
      <c r="F50" s="222">
        <f>F12+F33</f>
        <v>1233465.07</v>
      </c>
      <c r="H50" s="233"/>
      <c r="I50" s="222">
        <f>I12+I33</f>
        <v>1279255.7</v>
      </c>
      <c r="J50" s="353"/>
      <c r="K50" s="222">
        <f>I50-F50</f>
        <v>45790.629999999888</v>
      </c>
      <c r="L50" s="230"/>
      <c r="M50" s="359"/>
      <c r="N50" s="276"/>
      <c r="O50" s="97"/>
      <c r="P50" s="97"/>
      <c r="Q50" s="194"/>
    </row>
    <row r="51" spans="2:17" x14ac:dyDescent="0.25">
      <c r="B51" s="183" t="s">
        <v>134</v>
      </c>
      <c r="C51" s="77" t="s">
        <v>132</v>
      </c>
      <c r="D51" s="84">
        <f>D34+D13</f>
        <v>783468.90700000001</v>
      </c>
      <c r="E51" s="300"/>
      <c r="F51" s="222">
        <f>F13+F34</f>
        <v>947997.38</v>
      </c>
      <c r="H51" s="233"/>
      <c r="I51" s="222">
        <f>I13+I34</f>
        <v>1018509.5800000001</v>
      </c>
      <c r="J51" s="353"/>
      <c r="K51" s="222">
        <f>I51-F51</f>
        <v>70512.20000000007</v>
      </c>
      <c r="L51" s="230"/>
      <c r="M51" s="359"/>
      <c r="N51" s="276"/>
      <c r="O51" s="97"/>
      <c r="P51" s="97"/>
      <c r="Q51" s="194"/>
    </row>
    <row r="52" spans="2:17" x14ac:dyDescent="0.25">
      <c r="B52" s="183" t="s">
        <v>131</v>
      </c>
      <c r="C52" s="77" t="s">
        <v>129</v>
      </c>
      <c r="D52" s="84">
        <f>D35+D14</f>
        <v>16184434.068649083</v>
      </c>
      <c r="E52" s="300"/>
      <c r="F52" s="222">
        <f>F14</f>
        <v>120897.72249280865</v>
      </c>
      <c r="H52" s="233"/>
      <c r="I52" s="222">
        <f>I14</f>
        <v>115071.33</v>
      </c>
      <c r="J52" s="353"/>
      <c r="K52" s="222">
        <f>I52-F52</f>
        <v>-5826.392492808649</v>
      </c>
      <c r="L52" s="230"/>
      <c r="M52" s="359"/>
      <c r="N52" s="276"/>
      <c r="O52" s="97"/>
      <c r="P52" s="97"/>
      <c r="Q52" s="194"/>
    </row>
    <row r="53" spans="2:17" x14ac:dyDescent="0.25">
      <c r="B53" s="183" t="s">
        <v>141</v>
      </c>
      <c r="C53" s="77"/>
      <c r="D53" s="38"/>
      <c r="E53" s="300"/>
      <c r="F53" s="231">
        <f>F15+F35</f>
        <v>12284.61</v>
      </c>
      <c r="H53" s="233"/>
      <c r="I53" s="231">
        <f>I15+I35</f>
        <v>12284.61</v>
      </c>
      <c r="J53" s="353"/>
      <c r="K53" s="222">
        <f>I53-F53</f>
        <v>0</v>
      </c>
      <c r="L53" s="230"/>
      <c r="M53" s="359"/>
      <c r="N53" s="276"/>
      <c r="O53" s="97"/>
      <c r="P53" s="97"/>
      <c r="Q53" s="84"/>
    </row>
    <row r="54" spans="2:17" x14ac:dyDescent="0.25">
      <c r="B54" s="183"/>
      <c r="C54" s="77"/>
      <c r="D54" s="84"/>
      <c r="E54" s="240"/>
      <c r="F54" s="97"/>
      <c r="H54" s="197"/>
      <c r="I54" s="97"/>
      <c r="J54" s="233"/>
      <c r="K54" s="222"/>
      <c r="L54" s="230"/>
      <c r="M54" s="359"/>
      <c r="N54" s="276"/>
      <c r="O54" s="97"/>
      <c r="P54" s="97"/>
      <c r="Q54" s="84"/>
    </row>
    <row r="55" spans="2:17" x14ac:dyDescent="0.25">
      <c r="B55" s="183" t="s">
        <v>135</v>
      </c>
      <c r="C55" s="77"/>
      <c r="D55" s="84"/>
      <c r="E55" s="240"/>
      <c r="F55" s="222"/>
      <c r="H55" s="197"/>
      <c r="I55" s="222"/>
      <c r="J55" s="353"/>
      <c r="K55" s="222"/>
      <c r="L55" s="230"/>
      <c r="M55" s="359"/>
      <c r="N55" s="276"/>
      <c r="O55" s="97"/>
      <c r="P55" s="97"/>
      <c r="Q55" s="84"/>
    </row>
    <row r="56" spans="2:17" x14ac:dyDescent="0.25">
      <c r="B56" s="183" t="s">
        <v>142</v>
      </c>
      <c r="C56" s="77" t="s">
        <v>129</v>
      </c>
      <c r="D56" s="84">
        <f>D39+D18</f>
        <v>35740685.353</v>
      </c>
      <c r="E56" s="240"/>
      <c r="F56" s="222">
        <f>F18+F39</f>
        <v>3551194.5</v>
      </c>
      <c r="H56" s="240"/>
      <c r="I56" s="222">
        <f>I18+I39</f>
        <v>3916106.9</v>
      </c>
      <c r="J56" s="353"/>
      <c r="K56" s="222">
        <f>I56-F56</f>
        <v>364912.39999999991</v>
      </c>
      <c r="L56" s="230"/>
      <c r="M56" s="359"/>
      <c r="N56" s="276"/>
      <c r="O56" s="97"/>
      <c r="P56" s="97"/>
      <c r="Q56" s="84"/>
    </row>
    <row r="57" spans="2:17" x14ac:dyDescent="0.25">
      <c r="B57" s="183" t="s">
        <v>143</v>
      </c>
      <c r="C57" s="77" t="s">
        <v>129</v>
      </c>
      <c r="D57" s="84">
        <f>D40+D19</f>
        <v>22753554.542999998</v>
      </c>
      <c r="E57" s="240"/>
      <c r="F57" s="222">
        <f>F19+F40</f>
        <v>1118792.28</v>
      </c>
      <c r="H57" s="240"/>
      <c r="I57" s="222">
        <f>I19+I40</f>
        <v>1233697.73</v>
      </c>
      <c r="J57" s="353"/>
      <c r="K57" s="222">
        <f>I57-F57</f>
        <v>114905.44999999995</v>
      </c>
      <c r="L57" s="230"/>
      <c r="M57" s="359"/>
      <c r="N57" s="276"/>
      <c r="O57" s="97"/>
      <c r="P57" s="97"/>
      <c r="Q57" s="84"/>
    </row>
    <row r="58" spans="2:17" x14ac:dyDescent="0.25">
      <c r="B58" s="183" t="s">
        <v>144</v>
      </c>
      <c r="C58" s="77" t="s">
        <v>129</v>
      </c>
      <c r="D58" s="84">
        <f>D41+D20</f>
        <v>32463731.307620168</v>
      </c>
      <c r="E58" s="240"/>
      <c r="F58" s="218">
        <f>F20+F41</f>
        <v>1527093.92</v>
      </c>
      <c r="H58" s="197"/>
      <c r="I58" s="218">
        <f>I20+I41</f>
        <v>1684218.38</v>
      </c>
      <c r="J58" s="353"/>
      <c r="K58" s="222">
        <f>I58-F58</f>
        <v>157124.45999999996</v>
      </c>
      <c r="L58" s="235"/>
      <c r="M58" s="359"/>
      <c r="N58" s="276"/>
      <c r="O58" s="97"/>
      <c r="P58" s="97"/>
      <c r="Q58" s="84"/>
    </row>
    <row r="59" spans="2:17" x14ac:dyDescent="0.25">
      <c r="B59" s="213" t="s">
        <v>175</v>
      </c>
      <c r="C59" s="200"/>
      <c r="D59" s="39">
        <f>SUM(D56:D58)</f>
        <v>90957971.203620166</v>
      </c>
      <c r="E59" s="233"/>
      <c r="F59" s="360">
        <f>SUM(F50:F58)</f>
        <v>8511725.4824928083</v>
      </c>
      <c r="H59" s="233"/>
      <c r="I59" s="360">
        <f>SUM(I50:I58)</f>
        <v>9259144.2300000004</v>
      </c>
      <c r="J59" s="353"/>
      <c r="K59" s="360">
        <f>SUM(K50:K58)</f>
        <v>747418.74750719115</v>
      </c>
      <c r="L59" s="346">
        <f>K59/F59</f>
        <v>8.7810485552489465E-2</v>
      </c>
      <c r="M59" s="359"/>
      <c r="N59" s="276"/>
      <c r="O59" s="97"/>
      <c r="P59" s="97"/>
      <c r="Q59" s="84"/>
    </row>
    <row r="60" spans="2:17" x14ac:dyDescent="0.25">
      <c r="B60" s="213"/>
      <c r="C60" s="200"/>
      <c r="D60" s="84"/>
      <c r="E60" s="233"/>
      <c r="F60" s="231"/>
      <c r="H60" s="233"/>
      <c r="I60" s="231"/>
      <c r="J60" s="353"/>
      <c r="K60" s="222"/>
      <c r="L60" s="230"/>
      <c r="M60" s="359"/>
      <c r="N60" s="276"/>
      <c r="O60" s="97"/>
      <c r="P60" s="97"/>
      <c r="Q60" s="84"/>
    </row>
    <row r="61" spans="2:17" x14ac:dyDescent="0.25">
      <c r="B61" s="183" t="s">
        <v>172</v>
      </c>
      <c r="C61" s="200"/>
      <c r="D61" s="84"/>
      <c r="E61" s="233"/>
      <c r="F61" s="231"/>
      <c r="H61" s="233"/>
      <c r="I61" s="231"/>
      <c r="J61" s="353"/>
      <c r="K61" s="222"/>
      <c r="L61" s="230"/>
      <c r="M61" s="359"/>
      <c r="N61" s="276"/>
      <c r="O61" s="97"/>
      <c r="P61" s="97"/>
      <c r="Q61" s="84"/>
    </row>
    <row r="62" spans="2:17" x14ac:dyDescent="0.25">
      <c r="B62" s="183" t="s">
        <v>194</v>
      </c>
      <c r="C62" s="200"/>
      <c r="D62" s="84">
        <f>D24</f>
        <v>16184434.068649083</v>
      </c>
      <c r="E62" s="233"/>
      <c r="F62" s="231">
        <f>F24</f>
        <v>4373034.0853489824</v>
      </c>
      <c r="H62" s="233"/>
      <c r="I62" s="231">
        <f>I24</f>
        <v>4373034.0853489824</v>
      </c>
      <c r="J62" s="353"/>
      <c r="K62" s="222">
        <f>I62-F62</f>
        <v>0</v>
      </c>
      <c r="L62" s="230"/>
      <c r="M62" s="359"/>
      <c r="N62" s="276"/>
      <c r="O62" s="97"/>
      <c r="P62" s="97"/>
      <c r="Q62" s="84"/>
    </row>
    <row r="63" spans="2:17" x14ac:dyDescent="0.25">
      <c r="B63" s="183" t="s">
        <v>134</v>
      </c>
      <c r="C63" s="200"/>
      <c r="D63" s="84">
        <f>D25</f>
        <v>86412.906999999992</v>
      </c>
      <c r="E63" s="233"/>
      <c r="F63" s="231">
        <f>F25</f>
        <v>90733.552349999998</v>
      </c>
      <c r="H63" s="233"/>
      <c r="I63" s="231">
        <f>I25</f>
        <v>90733.552349999998</v>
      </c>
      <c r="J63" s="353"/>
      <c r="K63" s="222">
        <f>I63-F63</f>
        <v>0</v>
      </c>
      <c r="L63" s="230"/>
      <c r="M63" s="359"/>
      <c r="N63" s="276"/>
      <c r="O63" s="97"/>
      <c r="P63" s="97"/>
      <c r="Q63" s="84"/>
    </row>
    <row r="64" spans="2:17" x14ac:dyDescent="0.25">
      <c r="B64" s="183" t="s">
        <v>190</v>
      </c>
      <c r="C64" s="77" t="s">
        <v>129</v>
      </c>
      <c r="D64" s="84">
        <f>D44</f>
        <v>74773537.134971082</v>
      </c>
      <c r="E64" s="233"/>
      <c r="F64" s="231">
        <f>F44</f>
        <v>52341.475994479755</v>
      </c>
      <c r="H64" s="233"/>
      <c r="I64" s="231">
        <f>I44</f>
        <v>74773.537134971077</v>
      </c>
      <c r="J64" s="353"/>
      <c r="K64" s="222">
        <f>I64-F64</f>
        <v>22432.061140491322</v>
      </c>
      <c r="L64" s="230"/>
      <c r="M64" s="359"/>
      <c r="N64" s="276"/>
      <c r="O64" s="97"/>
      <c r="P64" s="97"/>
      <c r="Q64" s="84"/>
    </row>
    <row r="65" spans="1:17" x14ac:dyDescent="0.25">
      <c r="B65" s="213" t="s">
        <v>195</v>
      </c>
      <c r="C65" s="200"/>
      <c r="D65" s="84"/>
      <c r="E65" s="233"/>
      <c r="F65" s="360">
        <f>SUM(F62:F64)</f>
        <v>4516109.1136934618</v>
      </c>
      <c r="H65" s="233"/>
      <c r="I65" s="360">
        <f>SUM(I62:I64)</f>
        <v>4538541.1748339534</v>
      </c>
      <c r="J65" s="353"/>
      <c r="K65" s="360">
        <f>SUM(K62:K64)</f>
        <v>22432.061140491322</v>
      </c>
      <c r="L65" s="346">
        <f>K65/F65</f>
        <v>4.9671211602204737E-3</v>
      </c>
      <c r="M65" s="359"/>
      <c r="N65" s="276"/>
      <c r="O65" s="97"/>
      <c r="P65" s="97"/>
      <c r="Q65" s="84"/>
    </row>
    <row r="66" spans="1:17" x14ac:dyDescent="0.25">
      <c r="B66" s="213"/>
      <c r="C66" s="200"/>
      <c r="D66" s="84"/>
      <c r="E66" s="233"/>
      <c r="F66" s="231"/>
      <c r="H66" s="233"/>
      <c r="I66" s="231"/>
      <c r="J66" s="353"/>
      <c r="K66" s="222"/>
      <c r="L66" s="230"/>
      <c r="M66" s="359"/>
      <c r="N66" s="276"/>
      <c r="O66" s="97"/>
      <c r="P66" s="97"/>
      <c r="Q66" s="84"/>
    </row>
    <row r="67" spans="1:17" x14ac:dyDescent="0.25">
      <c r="B67" s="183" t="s">
        <v>173</v>
      </c>
      <c r="C67" s="77"/>
      <c r="D67" s="84"/>
      <c r="E67" s="233"/>
      <c r="F67" s="360">
        <f>F59+F65</f>
        <v>13027834.596186269</v>
      </c>
      <c r="H67" s="233"/>
      <c r="I67" s="360">
        <f>I59+I65</f>
        <v>13797685.404833954</v>
      </c>
      <c r="J67" s="353"/>
      <c r="K67" s="360">
        <f>K59+K65</f>
        <v>769850.80864768242</v>
      </c>
      <c r="L67" s="346">
        <f>K67/F67</f>
        <v>5.9092768100774504E-2</v>
      </c>
      <c r="M67" s="359"/>
      <c r="N67" s="276"/>
    </row>
    <row r="68" spans="1:17" x14ac:dyDescent="0.25">
      <c r="B68" s="292"/>
      <c r="C68" s="4"/>
      <c r="D68" s="219"/>
      <c r="E68" s="361"/>
      <c r="F68" s="218"/>
      <c r="G68" s="219"/>
      <c r="H68" s="351"/>
      <c r="I68" s="362"/>
      <c r="J68" s="363"/>
      <c r="K68" s="218"/>
      <c r="L68" s="220"/>
      <c r="M68" s="359"/>
      <c r="N68" s="276"/>
    </row>
    <row r="69" spans="1:17" x14ac:dyDescent="0.25">
      <c r="A69" s="77"/>
      <c r="B69" s="77"/>
      <c r="C69" s="77"/>
      <c r="D69" s="84"/>
      <c r="E69" s="288"/>
      <c r="F69" s="185"/>
      <c r="H69" s="233"/>
      <c r="I69" s="159"/>
      <c r="J69" s="282"/>
      <c r="K69" s="185"/>
      <c r="L69" s="260"/>
      <c r="M69" s="276"/>
      <c r="N69" s="276"/>
      <c r="O69" s="77"/>
    </row>
    <row r="70" spans="1:17" ht="13" x14ac:dyDescent="0.3">
      <c r="B70" s="177" t="s">
        <v>210</v>
      </c>
      <c r="C70" s="279"/>
      <c r="D70" s="39"/>
      <c r="E70" s="339"/>
      <c r="F70" s="181"/>
      <c r="G70" s="39"/>
      <c r="H70" s="341"/>
      <c r="I70" s="309"/>
      <c r="J70" s="342"/>
      <c r="K70" s="181"/>
      <c r="L70" s="202"/>
      <c r="M70" s="276"/>
      <c r="N70" s="276"/>
      <c r="O70" s="77"/>
    </row>
    <row r="71" spans="1:17" x14ac:dyDescent="0.25">
      <c r="B71" s="183"/>
      <c r="C71" s="77"/>
      <c r="D71" s="84"/>
      <c r="E71" s="288"/>
      <c r="F71" s="185"/>
      <c r="G71" s="229"/>
      <c r="H71" s="233"/>
      <c r="I71" s="159"/>
      <c r="J71" s="282"/>
      <c r="K71" s="185"/>
      <c r="L71" s="186"/>
      <c r="M71" s="276"/>
      <c r="N71" s="276"/>
      <c r="O71" s="281" t="s">
        <v>211</v>
      </c>
    </row>
    <row r="72" spans="1:17" x14ac:dyDescent="0.25">
      <c r="B72" s="213" t="s">
        <v>126</v>
      </c>
      <c r="C72" s="200" t="s">
        <v>127</v>
      </c>
      <c r="D72" s="190">
        <v>2661.5565121011946</v>
      </c>
      <c r="E72" s="191">
        <v>139.36000000000001</v>
      </c>
      <c r="F72" s="185">
        <f>ROUND(D72*E72,2)</f>
        <v>370914.52</v>
      </c>
      <c r="H72" s="191">
        <v>148.82</v>
      </c>
      <c r="I72" s="159">
        <f>ROUND(D72*H72,2)</f>
        <v>396092.84</v>
      </c>
      <c r="J72" s="282"/>
      <c r="K72" s="185">
        <f>I72-F72</f>
        <v>25178.320000000007</v>
      </c>
      <c r="L72" s="186"/>
      <c r="M72" s="276"/>
      <c r="N72" s="276"/>
      <c r="O72" s="193">
        <v>0</v>
      </c>
      <c r="Q72" s="194">
        <f>H72/E72-1</f>
        <v>6.7881745120550896E-2</v>
      </c>
    </row>
    <row r="73" spans="1:17" x14ac:dyDescent="0.25">
      <c r="B73" s="183" t="s">
        <v>134</v>
      </c>
      <c r="C73" s="77" t="s">
        <v>132</v>
      </c>
      <c r="D73" s="190">
        <v>82401.308999999994</v>
      </c>
      <c r="E73" s="191">
        <v>1.22</v>
      </c>
      <c r="F73" s="185">
        <f>ROUND(D73*E73,2)</f>
        <v>100529.60000000001</v>
      </c>
      <c r="H73" s="191">
        <v>1.35</v>
      </c>
      <c r="I73" s="159">
        <f>ROUND(D73*H73,2)</f>
        <v>111241.77</v>
      </c>
      <c r="J73" s="282"/>
      <c r="K73" s="185">
        <f>I73-F73</f>
        <v>10712.169999999998</v>
      </c>
      <c r="L73" s="186"/>
      <c r="M73" s="276"/>
      <c r="N73" s="276"/>
      <c r="O73" s="198" t="s">
        <v>171</v>
      </c>
      <c r="Q73" s="194">
        <f>H73/E73-1</f>
        <v>0.10655737704918034</v>
      </c>
    </row>
    <row r="74" spans="1:17" x14ac:dyDescent="0.25">
      <c r="B74" s="183" t="s">
        <v>131</v>
      </c>
      <c r="C74" s="77" t="s">
        <v>129</v>
      </c>
      <c r="D74" s="84">
        <f>D80</f>
        <v>9397200.2729263548</v>
      </c>
      <c r="E74" s="196">
        <v>9.0699999999999999E-3</v>
      </c>
      <c r="F74" s="185">
        <f>ROUND(D74*E74,2)</f>
        <v>85232.61</v>
      </c>
      <c r="H74" s="196">
        <v>1.235E-2</v>
      </c>
      <c r="I74" s="159">
        <f>ROUND(D80*H74,2)</f>
        <v>116055.42</v>
      </c>
      <c r="J74" s="282"/>
      <c r="K74" s="185">
        <f>I74-F74</f>
        <v>30822.809999999998</v>
      </c>
      <c r="L74" s="186"/>
      <c r="M74" s="276"/>
      <c r="N74" s="276"/>
      <c r="O74" s="203">
        <f>K80+K99-O72</f>
        <v>11.319999999899665</v>
      </c>
      <c r="Q74" s="194">
        <f>H74/E74-1</f>
        <v>0.36163175303197348</v>
      </c>
    </row>
    <row r="75" spans="1:17" x14ac:dyDescent="0.25">
      <c r="B75" s="183" t="s">
        <v>141</v>
      </c>
      <c r="C75" s="77"/>
      <c r="D75" s="84"/>
      <c r="E75" s="196"/>
      <c r="F75" s="355">
        <v>35297.54</v>
      </c>
      <c r="H75" s="197"/>
      <c r="I75" s="159">
        <f>F75</f>
        <v>35297.54</v>
      </c>
      <c r="J75" s="364"/>
      <c r="K75" s="185">
        <f>I75-F75</f>
        <v>0</v>
      </c>
      <c r="L75" s="186"/>
      <c r="M75" s="276"/>
      <c r="N75" s="276"/>
      <c r="O75" s="344"/>
    </row>
    <row r="76" spans="1:17" x14ac:dyDescent="0.25">
      <c r="B76" s="183"/>
      <c r="C76" s="77"/>
      <c r="D76" s="84"/>
      <c r="E76" s="196"/>
      <c r="F76" s="185"/>
      <c r="H76" s="197"/>
      <c r="I76" s="159"/>
      <c r="J76" s="282"/>
      <c r="K76" s="185"/>
      <c r="L76" s="186"/>
      <c r="M76" s="276"/>
      <c r="N76" s="276"/>
      <c r="O76" s="210">
        <v>-4.7161000000000002E-2</v>
      </c>
      <c r="P76" s="109"/>
      <c r="Q76" s="109"/>
    </row>
    <row r="77" spans="1:17" x14ac:dyDescent="0.25">
      <c r="B77" s="183" t="s">
        <v>135</v>
      </c>
      <c r="C77" s="77"/>
      <c r="D77" s="84"/>
      <c r="E77" s="196"/>
      <c r="F77" s="185"/>
      <c r="H77" s="197"/>
      <c r="I77" s="159"/>
      <c r="J77" s="282"/>
      <c r="K77" s="185"/>
      <c r="L77" s="186"/>
      <c r="M77" s="276"/>
      <c r="N77" s="276"/>
      <c r="O77" s="239"/>
      <c r="P77" s="34"/>
      <c r="Q77" s="109"/>
    </row>
    <row r="78" spans="1:17" x14ac:dyDescent="0.25">
      <c r="B78" s="228" t="s">
        <v>146</v>
      </c>
      <c r="C78" s="97" t="s">
        <v>129</v>
      </c>
      <c r="D78" s="190">
        <v>2054251.2670000002</v>
      </c>
      <c r="E78" s="196">
        <v>0.19273999999999999</v>
      </c>
      <c r="F78" s="185">
        <f>ROUND(D78*E78,2)</f>
        <v>395936.39</v>
      </c>
      <c r="H78" s="197">
        <f>ROUND(E78*(1+$O$76),5)</f>
        <v>0.18365000000000001</v>
      </c>
      <c r="I78" s="159">
        <f>ROUND(D78*H78,2)</f>
        <v>377263.25</v>
      </c>
      <c r="J78" s="282"/>
      <c r="K78" s="185">
        <f>I78-F78</f>
        <v>-18673.140000000014</v>
      </c>
      <c r="L78" s="186"/>
      <c r="M78" s="276"/>
      <c r="N78" s="276"/>
      <c r="P78" s="109"/>
      <c r="Q78" s="194">
        <f>H78/E78-1</f>
        <v>-4.7161979869253856E-2</v>
      </c>
    </row>
    <row r="79" spans="1:17" ht="12.75" customHeight="1" x14ac:dyDescent="0.25">
      <c r="B79" s="228" t="s">
        <v>147</v>
      </c>
      <c r="C79" s="97" t="s">
        <v>129</v>
      </c>
      <c r="D79" s="190">
        <v>7342949.0059263539</v>
      </c>
      <c r="E79" s="196">
        <v>0.13664000000000001</v>
      </c>
      <c r="F79" s="185">
        <f>ROUND(D79*E79,2)</f>
        <v>1003340.55</v>
      </c>
      <c r="H79" s="197">
        <f>ROUND(E79*(1+$O$76),5)</f>
        <v>0.13020000000000001</v>
      </c>
      <c r="I79" s="159">
        <f>ROUND(D79*H79,2)</f>
        <v>956051.96</v>
      </c>
      <c r="J79" s="282"/>
      <c r="K79" s="185">
        <f>I79-F79</f>
        <v>-47288.590000000084</v>
      </c>
      <c r="L79" s="186"/>
      <c r="M79" s="276"/>
      <c r="N79" s="276"/>
      <c r="O79" s="239"/>
      <c r="P79" s="109"/>
      <c r="Q79" s="194">
        <f>H79/E79-1</f>
        <v>-4.7131147540983576E-2</v>
      </c>
    </row>
    <row r="80" spans="1:17" ht="12.75" customHeight="1" x14ac:dyDescent="0.25">
      <c r="B80" s="213" t="s">
        <v>175</v>
      </c>
      <c r="C80" s="77" t="s">
        <v>129</v>
      </c>
      <c r="D80" s="39">
        <f>SUM(D78:D79)</f>
        <v>9397200.2729263548</v>
      </c>
      <c r="E80" s="365"/>
      <c r="F80" s="309">
        <f>SUM(F72:F79)</f>
        <v>1991251.21</v>
      </c>
      <c r="H80" s="233"/>
      <c r="I80" s="309">
        <f>SUM(I72:I79)</f>
        <v>1992002.78</v>
      </c>
      <c r="J80" s="282"/>
      <c r="K80" s="309">
        <f>SUM(K72:K79)</f>
        <v>751.56999999990512</v>
      </c>
      <c r="L80" s="182">
        <f>K80/F80</f>
        <v>3.7743605438909195E-4</v>
      </c>
      <c r="M80" s="276"/>
      <c r="N80" s="276"/>
      <c r="O80" s="317"/>
      <c r="P80" s="109"/>
      <c r="Q80" s="318"/>
    </row>
    <row r="81" spans="1:17" x14ac:dyDescent="0.25">
      <c r="B81" s="213"/>
      <c r="C81" s="200"/>
      <c r="D81" s="84"/>
      <c r="E81" s="365"/>
      <c r="F81" s="159"/>
      <c r="H81" s="233"/>
      <c r="I81" s="159"/>
      <c r="J81" s="282"/>
      <c r="K81" s="185"/>
      <c r="L81" s="192"/>
      <c r="M81" s="276"/>
      <c r="N81" s="307"/>
      <c r="O81" s="347"/>
      <c r="P81" s="109"/>
      <c r="Q81" s="318"/>
    </row>
    <row r="82" spans="1:17" x14ac:dyDescent="0.25">
      <c r="B82" s="183" t="s">
        <v>172</v>
      </c>
      <c r="C82" s="200"/>
      <c r="D82" s="84"/>
      <c r="E82" s="365"/>
      <c r="F82" s="159"/>
      <c r="H82" s="233"/>
      <c r="I82" s="159"/>
      <c r="J82" s="282"/>
      <c r="K82" s="185"/>
      <c r="L82" s="192"/>
      <c r="M82" s="276"/>
      <c r="N82" s="276"/>
    </row>
    <row r="83" spans="1:17" x14ac:dyDescent="0.25">
      <c r="B83" s="183" t="s">
        <v>194</v>
      </c>
      <c r="C83" s="77" t="s">
        <v>129</v>
      </c>
      <c r="D83" s="348">
        <f>D80</f>
        <v>9397200.2729263548</v>
      </c>
      <c r="E83" s="196">
        <v>0.26795999999999998</v>
      </c>
      <c r="F83" s="159">
        <f>+D83*E83</f>
        <v>2518073.785133346</v>
      </c>
      <c r="G83" s="349"/>
      <c r="H83" s="209">
        <f>E83</f>
        <v>0.26795999999999998</v>
      </c>
      <c r="I83" s="159">
        <f>+D83*H83</f>
        <v>2518073.785133346</v>
      </c>
      <c r="J83" s="282"/>
      <c r="K83" s="185">
        <f>I83-F83</f>
        <v>0</v>
      </c>
      <c r="L83" s="186"/>
      <c r="M83" s="276"/>
      <c r="N83" s="276"/>
      <c r="O83" s="347"/>
      <c r="P83" s="109"/>
      <c r="Q83" s="318"/>
    </row>
    <row r="84" spans="1:17" x14ac:dyDescent="0.25">
      <c r="B84" s="183" t="s">
        <v>134</v>
      </c>
      <c r="C84" s="77" t="s">
        <v>132</v>
      </c>
      <c r="D84" s="348">
        <f>D73</f>
        <v>82401.308999999994</v>
      </c>
      <c r="E84" s="191">
        <v>1.05</v>
      </c>
      <c r="F84" s="159">
        <f>D84*E84</f>
        <v>86521.374450000003</v>
      </c>
      <c r="G84" s="349"/>
      <c r="H84" s="250">
        <f>E84</f>
        <v>1.05</v>
      </c>
      <c r="I84" s="159">
        <f>D84*H84</f>
        <v>86521.374450000003</v>
      </c>
      <c r="J84" s="282"/>
      <c r="K84" s="185">
        <f>I84-F84</f>
        <v>0</v>
      </c>
      <c r="L84" s="192"/>
      <c r="M84" s="276"/>
      <c r="N84" s="276"/>
    </row>
    <row r="85" spans="1:17" x14ac:dyDescent="0.25">
      <c r="B85" s="213" t="s">
        <v>195</v>
      </c>
      <c r="C85" s="200"/>
      <c r="D85" s="97"/>
      <c r="E85" s="157"/>
      <c r="F85" s="309">
        <f>SUM(F83:F84)</f>
        <v>2604595.159583346</v>
      </c>
      <c r="G85" s="97"/>
      <c r="H85" s="233"/>
      <c r="I85" s="309">
        <f>SUM(I83:I84)</f>
        <v>2604595.159583346</v>
      </c>
      <c r="J85" s="157"/>
      <c r="K85" s="309">
        <f>SUM(K83:K84)</f>
        <v>0</v>
      </c>
      <c r="L85" s="182">
        <f>ROUND(K85/F85,5)</f>
        <v>0</v>
      </c>
      <c r="M85" s="276"/>
      <c r="N85" s="276"/>
    </row>
    <row r="86" spans="1:17" x14ac:dyDescent="0.25">
      <c r="B86" s="183"/>
      <c r="C86" s="77"/>
      <c r="D86" s="84"/>
      <c r="E86" s="288"/>
      <c r="F86" s="159"/>
      <c r="H86" s="233"/>
      <c r="I86" s="159"/>
      <c r="J86" s="282"/>
      <c r="K86" s="185"/>
      <c r="L86" s="192"/>
      <c r="M86" s="276"/>
      <c r="N86" s="276"/>
    </row>
    <row r="87" spans="1:17" s="77" customFormat="1" x14ac:dyDescent="0.25">
      <c r="B87" s="183" t="s">
        <v>173</v>
      </c>
      <c r="D87" s="84"/>
      <c r="E87" s="157"/>
      <c r="F87" s="309">
        <f>F85+F80</f>
        <v>4595846.3695833459</v>
      </c>
      <c r="G87" s="84"/>
      <c r="H87" s="233"/>
      <c r="I87" s="309">
        <f>I85+I80</f>
        <v>4596597.9395833462</v>
      </c>
      <c r="J87" s="282"/>
      <c r="K87" s="309">
        <f>K85+K80</f>
        <v>751.56999999990512</v>
      </c>
      <c r="L87" s="182">
        <f>K87/F87</f>
        <v>1.6353244637897711E-4</v>
      </c>
      <c r="M87" s="276"/>
      <c r="N87" s="276"/>
    </row>
    <row r="88" spans="1:17" x14ac:dyDescent="0.25">
      <c r="A88" s="77"/>
      <c r="B88" s="292"/>
      <c r="C88" s="4"/>
      <c r="D88" s="219"/>
      <c r="E88" s="366"/>
      <c r="F88" s="218"/>
      <c r="G88" s="219"/>
      <c r="H88" s="351"/>
      <c r="I88" s="362"/>
      <c r="J88" s="352"/>
      <c r="K88" s="297"/>
      <c r="L88" s="256"/>
      <c r="M88" s="276"/>
      <c r="N88" s="276"/>
    </row>
    <row r="89" spans="1:17" s="77" customFormat="1" x14ac:dyDescent="0.25">
      <c r="D89" s="84"/>
      <c r="E89" s="367"/>
      <c r="F89" s="222"/>
      <c r="G89" s="84"/>
      <c r="H89" s="233"/>
      <c r="I89" s="231"/>
      <c r="J89" s="282"/>
      <c r="K89" s="185"/>
      <c r="L89" s="368"/>
      <c r="M89" s="276"/>
      <c r="N89" s="276"/>
    </row>
    <row r="90" spans="1:17" ht="13" x14ac:dyDescent="0.3">
      <c r="A90" s="77"/>
      <c r="B90" s="177" t="s">
        <v>212</v>
      </c>
      <c r="C90" s="279"/>
      <c r="D90" s="39"/>
      <c r="E90" s="339"/>
      <c r="F90" s="181"/>
      <c r="G90" s="39"/>
      <c r="H90" s="341"/>
      <c r="I90" s="309"/>
      <c r="J90" s="342"/>
      <c r="K90" s="181"/>
      <c r="L90" s="202"/>
      <c r="M90" s="276"/>
      <c r="N90" s="276"/>
    </row>
    <row r="91" spans="1:17" x14ac:dyDescent="0.25">
      <c r="A91" s="77"/>
      <c r="B91" s="183"/>
      <c r="C91" s="77"/>
      <c r="D91" s="84"/>
      <c r="E91" s="288"/>
      <c r="F91" s="185"/>
      <c r="G91" s="229"/>
      <c r="H91" s="233"/>
      <c r="I91" s="159"/>
      <c r="J91" s="282"/>
      <c r="K91" s="185"/>
      <c r="L91" s="186"/>
      <c r="M91" s="276"/>
      <c r="N91" s="276"/>
    </row>
    <row r="92" spans="1:17" x14ac:dyDescent="0.25">
      <c r="A92" s="77"/>
      <c r="B92" s="213" t="s">
        <v>126</v>
      </c>
      <c r="C92" s="200" t="s">
        <v>127</v>
      </c>
      <c r="D92" s="190">
        <v>22.033330326537975</v>
      </c>
      <c r="E92" s="191">
        <v>443.44</v>
      </c>
      <c r="F92" s="185">
        <f>ROUND(D92*E92,2)</f>
        <v>9770.4599999999991</v>
      </c>
      <c r="H92" s="191">
        <v>457.76</v>
      </c>
      <c r="I92" s="159">
        <f>ROUND(D92*H92,2)</f>
        <v>10085.98</v>
      </c>
      <c r="J92" s="282"/>
      <c r="K92" s="185">
        <f>I92-F92</f>
        <v>315.52000000000044</v>
      </c>
      <c r="L92" s="186"/>
      <c r="M92" s="276"/>
      <c r="N92" s="276"/>
      <c r="Q92" s="194">
        <f>H92/E92-1</f>
        <v>3.2292982139635606E-2</v>
      </c>
    </row>
    <row r="93" spans="1:17" x14ac:dyDescent="0.25">
      <c r="A93" s="77"/>
      <c r="B93" s="183" t="s">
        <v>134</v>
      </c>
      <c r="C93" s="77" t="s">
        <v>132</v>
      </c>
      <c r="D93" s="190">
        <v>9750</v>
      </c>
      <c r="E93" s="191">
        <v>1.22</v>
      </c>
      <c r="F93" s="185">
        <f>ROUND(D93*E93,2)</f>
        <v>11895</v>
      </c>
      <c r="H93" s="233">
        <f>H73</f>
        <v>1.35</v>
      </c>
      <c r="I93" s="159">
        <f>ROUND(D93*H93,2)</f>
        <v>13162.5</v>
      </c>
      <c r="J93" s="282"/>
      <c r="K93" s="185">
        <f>I93-F93</f>
        <v>1267.5</v>
      </c>
      <c r="L93" s="186"/>
      <c r="M93" s="276"/>
      <c r="N93" s="276"/>
      <c r="Q93" s="194">
        <f>H93/E93-1</f>
        <v>0.10655737704918034</v>
      </c>
    </row>
    <row r="94" spans="1:17" x14ac:dyDescent="0.25">
      <c r="A94" s="77"/>
      <c r="B94" s="183" t="s">
        <v>141</v>
      </c>
      <c r="C94" s="77"/>
      <c r="D94" s="190"/>
      <c r="E94" s="196"/>
      <c r="F94" s="355">
        <v>0</v>
      </c>
      <c r="H94" s="197"/>
      <c r="I94" s="159">
        <f>F94</f>
        <v>0</v>
      </c>
      <c r="J94" s="364"/>
      <c r="K94" s="185">
        <f>I94-F94</f>
        <v>0</v>
      </c>
      <c r="L94" s="186"/>
      <c r="M94" s="276"/>
      <c r="N94" s="276"/>
    </row>
    <row r="95" spans="1:17" x14ac:dyDescent="0.25">
      <c r="A95" s="77"/>
      <c r="B95" s="183"/>
      <c r="C95" s="77"/>
      <c r="D95" s="190"/>
      <c r="E95" s="196"/>
      <c r="F95" s="185"/>
      <c r="H95" s="197"/>
      <c r="I95" s="159"/>
      <c r="J95" s="282"/>
      <c r="K95" s="185"/>
      <c r="L95" s="186"/>
      <c r="M95" s="276"/>
      <c r="N95" s="276"/>
    </row>
    <row r="96" spans="1:17" x14ac:dyDescent="0.25">
      <c r="A96" s="77"/>
      <c r="B96" s="183" t="s">
        <v>135</v>
      </c>
      <c r="C96" s="77"/>
      <c r="D96" s="190"/>
      <c r="E96" s="196"/>
      <c r="F96" s="185"/>
      <c r="H96" s="197"/>
      <c r="I96" s="159"/>
      <c r="J96" s="282"/>
      <c r="K96" s="185"/>
      <c r="L96" s="186"/>
      <c r="M96" s="276"/>
      <c r="N96" s="276"/>
    </row>
    <row r="97" spans="1:17" x14ac:dyDescent="0.25">
      <c r="A97" s="77"/>
      <c r="B97" s="228" t="s">
        <v>146</v>
      </c>
      <c r="C97" s="97" t="s">
        <v>129</v>
      </c>
      <c r="D97" s="190">
        <v>23011.74</v>
      </c>
      <c r="E97" s="196">
        <v>0.19273999999999999</v>
      </c>
      <c r="F97" s="185">
        <f>ROUND(D97*E97,2)</f>
        <v>4435.28</v>
      </c>
      <c r="H97" s="197">
        <f>H78</f>
        <v>0.18365000000000001</v>
      </c>
      <c r="I97" s="159">
        <f>ROUND(D97*H97,2)</f>
        <v>4226.1099999999997</v>
      </c>
      <c r="J97" s="282"/>
      <c r="K97" s="185">
        <f>I97-F97</f>
        <v>-209.17000000000007</v>
      </c>
      <c r="L97" s="186"/>
      <c r="M97" s="276"/>
      <c r="N97" s="276"/>
      <c r="Q97" s="194">
        <f>H97/E97-1</f>
        <v>-4.7161979869253856E-2</v>
      </c>
    </row>
    <row r="98" spans="1:17" x14ac:dyDescent="0.25">
      <c r="A98" s="77"/>
      <c r="B98" s="228" t="s">
        <v>147</v>
      </c>
      <c r="C98" s="97" t="s">
        <v>129</v>
      </c>
      <c r="D98" s="190">
        <v>328276.40999999997</v>
      </c>
      <c r="E98" s="196">
        <v>0.13664000000000001</v>
      </c>
      <c r="F98" s="185">
        <f>ROUND(D98*E98,2)</f>
        <v>44855.69</v>
      </c>
      <c r="H98" s="197">
        <f>H79</f>
        <v>0.13020000000000001</v>
      </c>
      <c r="I98" s="159">
        <f>ROUND(D98*H98,2)</f>
        <v>42741.59</v>
      </c>
      <c r="J98" s="282"/>
      <c r="K98" s="185">
        <f>I98-F98</f>
        <v>-2114.1000000000058</v>
      </c>
      <c r="L98" s="186"/>
      <c r="M98" s="276"/>
      <c r="N98" s="276"/>
      <c r="Q98" s="194">
        <f>H98/E98-1</f>
        <v>-4.7131147540983576E-2</v>
      </c>
    </row>
    <row r="99" spans="1:17" x14ac:dyDescent="0.25">
      <c r="A99" s="77"/>
      <c r="B99" s="213" t="s">
        <v>175</v>
      </c>
      <c r="C99" s="77" t="s">
        <v>129</v>
      </c>
      <c r="D99" s="39">
        <f>SUM(D97:D98)</f>
        <v>351288.14999999997</v>
      </c>
      <c r="E99" s="365"/>
      <c r="F99" s="309">
        <f>SUM(F92:F98)</f>
        <v>70956.429999999993</v>
      </c>
      <c r="H99" s="233"/>
      <c r="I99" s="309">
        <f>SUM(I92:I98)</f>
        <v>70216.179999999993</v>
      </c>
      <c r="J99" s="282"/>
      <c r="K99" s="309">
        <f>SUM(K92:K98)</f>
        <v>-740.25000000000546</v>
      </c>
      <c r="L99" s="182"/>
      <c r="M99" s="276"/>
      <c r="N99" s="276"/>
    </row>
    <row r="100" spans="1:17" x14ac:dyDescent="0.25">
      <c r="A100" s="77"/>
      <c r="B100" s="213"/>
      <c r="C100" s="200"/>
      <c r="D100" s="84"/>
      <c r="E100" s="365"/>
      <c r="F100" s="159"/>
      <c r="H100" s="233"/>
      <c r="I100" s="159"/>
      <c r="J100" s="282"/>
      <c r="K100" s="185"/>
      <c r="L100" s="192"/>
      <c r="M100" s="276"/>
      <c r="N100" s="276"/>
    </row>
    <row r="101" spans="1:17" x14ac:dyDescent="0.25">
      <c r="A101" s="77"/>
      <c r="B101" s="183" t="s">
        <v>190</v>
      </c>
      <c r="C101" s="77" t="s">
        <v>129</v>
      </c>
      <c r="D101" s="348">
        <f>D99</f>
        <v>351288.14999999997</v>
      </c>
      <c r="E101" s="196">
        <v>6.9999999999999999E-4</v>
      </c>
      <c r="F101" s="159">
        <f>E101*D101</f>
        <v>245.90170499999996</v>
      </c>
      <c r="G101" s="349"/>
      <c r="H101" s="299">
        <v>1E-3</v>
      </c>
      <c r="I101" s="185">
        <f>H101*D101</f>
        <v>351.28814999999997</v>
      </c>
      <c r="J101" s="282"/>
      <c r="K101" s="185">
        <f>I101-F101</f>
        <v>105.38644500000001</v>
      </c>
      <c r="L101" s="186"/>
      <c r="M101" s="276"/>
      <c r="N101" s="276"/>
    </row>
    <row r="102" spans="1:17" x14ac:dyDescent="0.25">
      <c r="A102" s="77"/>
      <c r="B102" s="213" t="s">
        <v>173</v>
      </c>
      <c r="C102" s="77"/>
      <c r="D102" s="84"/>
      <c r="E102" s="300"/>
      <c r="F102" s="309">
        <f>F101+F99</f>
        <v>71202.33170499999</v>
      </c>
      <c r="G102" s="309"/>
      <c r="H102" s="233"/>
      <c r="I102" s="309">
        <f>I101+I99</f>
        <v>70567.468149999986</v>
      </c>
      <c r="J102" s="157"/>
      <c r="K102" s="309">
        <f>K101+K99</f>
        <v>-634.86355500000548</v>
      </c>
      <c r="L102" s="202"/>
      <c r="M102" s="276"/>
      <c r="N102" s="276"/>
    </row>
    <row r="103" spans="1:17" x14ac:dyDescent="0.25">
      <c r="A103" s="77"/>
      <c r="B103" s="292"/>
      <c r="C103" s="4"/>
      <c r="D103" s="219"/>
      <c r="E103" s="350"/>
      <c r="F103" s="297"/>
      <c r="G103" s="219"/>
      <c r="H103" s="351"/>
      <c r="I103" s="358"/>
      <c r="J103" s="352"/>
      <c r="K103" s="297"/>
      <c r="L103" s="298"/>
      <c r="M103" s="276"/>
      <c r="N103" s="276"/>
    </row>
    <row r="104" spans="1:17" s="77" customFormat="1" x14ac:dyDescent="0.25">
      <c r="D104" s="84"/>
      <c r="E104" s="367"/>
      <c r="F104" s="222"/>
      <c r="G104" s="84"/>
      <c r="H104" s="233"/>
      <c r="I104" s="231"/>
      <c r="J104" s="282"/>
      <c r="K104" s="185"/>
      <c r="L104" s="368"/>
      <c r="M104" s="276"/>
      <c r="N104" s="276"/>
    </row>
    <row r="105" spans="1:17" ht="13" x14ac:dyDescent="0.3">
      <c r="A105" s="77"/>
      <c r="B105" s="177" t="s">
        <v>213</v>
      </c>
      <c r="C105" s="279"/>
      <c r="D105" s="39"/>
      <c r="E105" s="339"/>
      <c r="F105" s="181"/>
      <c r="G105" s="39"/>
      <c r="H105" s="341"/>
      <c r="I105" s="309"/>
      <c r="J105" s="342"/>
      <c r="K105" s="181"/>
      <c r="L105" s="202"/>
      <c r="M105" s="276"/>
      <c r="N105" s="276"/>
    </row>
    <row r="106" spans="1:17" x14ac:dyDescent="0.25">
      <c r="A106" s="77"/>
      <c r="B106" s="183"/>
      <c r="C106" s="77"/>
      <c r="D106" s="84"/>
      <c r="E106" s="288"/>
      <c r="F106" s="185"/>
      <c r="G106" s="229"/>
      <c r="H106" s="233"/>
      <c r="I106" s="159"/>
      <c r="J106" s="282"/>
      <c r="K106" s="185"/>
      <c r="L106" s="186"/>
      <c r="M106" s="276"/>
      <c r="N106" s="276"/>
    </row>
    <row r="107" spans="1:17" x14ac:dyDescent="0.25">
      <c r="A107" s="77"/>
      <c r="B107" s="213" t="s">
        <v>126</v>
      </c>
      <c r="C107" s="200" t="s">
        <v>127</v>
      </c>
      <c r="D107" s="84">
        <f>D72+D92</f>
        <v>2683.5898424277325</v>
      </c>
      <c r="E107" s="300"/>
      <c r="F107" s="185">
        <f>F72+F92</f>
        <v>380684.98000000004</v>
      </c>
      <c r="H107" s="300"/>
      <c r="I107" s="185">
        <f>I72+I92</f>
        <v>406178.82</v>
      </c>
      <c r="J107" s="282"/>
      <c r="K107" s="185">
        <f>I107-F107</f>
        <v>25493.839999999967</v>
      </c>
      <c r="L107" s="186"/>
      <c r="M107" s="276"/>
      <c r="N107" s="276"/>
    </row>
    <row r="108" spans="1:17" x14ac:dyDescent="0.25">
      <c r="A108" s="77"/>
      <c r="B108" s="183" t="s">
        <v>134</v>
      </c>
      <c r="C108" s="77" t="s">
        <v>132</v>
      </c>
      <c r="D108" s="84">
        <f>D73+D93</f>
        <v>92151.308999999994</v>
      </c>
      <c r="E108" s="300"/>
      <c r="F108" s="185">
        <f>F73+F93</f>
        <v>112424.6</v>
      </c>
      <c r="H108" s="300"/>
      <c r="I108" s="185">
        <f>I73+I93</f>
        <v>124404.27</v>
      </c>
      <c r="J108" s="282"/>
      <c r="K108" s="185">
        <f>I108-F108</f>
        <v>11979.669999999998</v>
      </c>
      <c r="L108" s="186"/>
      <c r="M108" s="276"/>
      <c r="N108" s="276"/>
    </row>
    <row r="109" spans="1:17" x14ac:dyDescent="0.25">
      <c r="A109" s="77"/>
      <c r="B109" s="183" t="s">
        <v>131</v>
      </c>
      <c r="C109" s="77" t="s">
        <v>129</v>
      </c>
      <c r="D109" s="84">
        <f>D74</f>
        <v>9397200.2729263548</v>
      </c>
      <c r="E109" s="240"/>
      <c r="F109" s="185">
        <f>F74</f>
        <v>85232.61</v>
      </c>
      <c r="H109" s="240"/>
      <c r="I109" s="185">
        <f>I74</f>
        <v>116055.42</v>
      </c>
      <c r="J109" s="282"/>
      <c r="K109" s="185">
        <f>I109-F109</f>
        <v>30822.809999999998</v>
      </c>
      <c r="L109" s="186"/>
      <c r="M109" s="276"/>
      <c r="N109" s="276"/>
    </row>
    <row r="110" spans="1:17" x14ac:dyDescent="0.25">
      <c r="A110" s="77"/>
      <c r="B110" s="183" t="s">
        <v>141</v>
      </c>
      <c r="C110" s="77"/>
      <c r="D110" s="84"/>
      <c r="E110" s="240"/>
      <c r="F110" s="159">
        <f>F75+F94</f>
        <v>35297.54</v>
      </c>
      <c r="H110" s="197"/>
      <c r="I110" s="159">
        <f>I75+I94</f>
        <v>35297.54</v>
      </c>
      <c r="J110" s="364"/>
      <c r="K110" s="185">
        <f>I110-F110</f>
        <v>0</v>
      </c>
      <c r="L110" s="186"/>
      <c r="M110" s="276"/>
      <c r="N110" s="276"/>
    </row>
    <row r="111" spans="1:17" x14ac:dyDescent="0.25">
      <c r="A111" s="77"/>
      <c r="B111" s="183"/>
      <c r="C111" s="77"/>
      <c r="D111" s="84"/>
      <c r="E111" s="240"/>
      <c r="F111" s="185"/>
      <c r="H111" s="197"/>
      <c r="I111" s="185"/>
      <c r="J111" s="282"/>
      <c r="K111" s="185"/>
      <c r="L111" s="186"/>
      <c r="M111" s="276"/>
      <c r="N111" s="276"/>
    </row>
    <row r="112" spans="1:17" x14ac:dyDescent="0.25">
      <c r="A112" s="77"/>
      <c r="B112" s="183" t="s">
        <v>135</v>
      </c>
      <c r="C112" s="77"/>
      <c r="D112" s="84"/>
      <c r="E112" s="240"/>
      <c r="F112" s="185"/>
      <c r="H112" s="197"/>
      <c r="I112" s="185"/>
      <c r="J112" s="282"/>
      <c r="K112" s="185"/>
      <c r="L112" s="186"/>
      <c r="M112" s="276"/>
      <c r="N112" s="276"/>
    </row>
    <row r="113" spans="1:15" x14ac:dyDescent="0.25">
      <c r="A113" s="77"/>
      <c r="B113" s="228" t="s">
        <v>146</v>
      </c>
      <c r="C113" s="97" t="s">
        <v>129</v>
      </c>
      <c r="D113" s="84">
        <f>D78+D97</f>
        <v>2077263.0070000002</v>
      </c>
      <c r="E113" s="240"/>
      <c r="F113" s="185">
        <f>F78+F97</f>
        <v>400371.67000000004</v>
      </c>
      <c r="H113" s="197"/>
      <c r="I113" s="185">
        <f>I78+I97</f>
        <v>381489.36</v>
      </c>
      <c r="J113" s="282"/>
      <c r="K113" s="185">
        <f>I113-F113</f>
        <v>-18882.310000000056</v>
      </c>
      <c r="L113" s="186"/>
      <c r="M113" s="276"/>
      <c r="N113" s="276"/>
    </row>
    <row r="114" spans="1:15" x14ac:dyDescent="0.25">
      <c r="A114" s="77"/>
      <c r="B114" s="228" t="s">
        <v>147</v>
      </c>
      <c r="C114" s="97" t="s">
        <v>129</v>
      </c>
      <c r="D114" s="84">
        <f>D79+D98</f>
        <v>7671225.415926354</v>
      </c>
      <c r="E114" s="240"/>
      <c r="F114" s="185">
        <f>F79+F98</f>
        <v>1048196.24</v>
      </c>
      <c r="H114" s="197"/>
      <c r="I114" s="185">
        <f>I79+I98</f>
        <v>998793.54999999993</v>
      </c>
      <c r="J114" s="282"/>
      <c r="K114" s="185">
        <f>I114-F114</f>
        <v>-49402.690000000061</v>
      </c>
      <c r="L114" s="186"/>
      <c r="M114" s="276"/>
      <c r="N114" s="276"/>
    </row>
    <row r="115" spans="1:15" x14ac:dyDescent="0.25">
      <c r="A115" s="77"/>
      <c r="B115" s="213" t="s">
        <v>175</v>
      </c>
      <c r="C115" s="77" t="s">
        <v>129</v>
      </c>
      <c r="D115" s="39">
        <f>SUM(D113:D114)</f>
        <v>9748488.4229263552</v>
      </c>
      <c r="E115" s="288"/>
      <c r="F115" s="309">
        <f>SUM(F107:F114)</f>
        <v>2062207.6400000001</v>
      </c>
      <c r="H115" s="233"/>
      <c r="I115" s="309">
        <f>SUM(I107:I114)</f>
        <v>2062218.96</v>
      </c>
      <c r="J115" s="282"/>
      <c r="K115" s="309">
        <f>SUM(K107:K114)</f>
        <v>11.319999999846914</v>
      </c>
      <c r="L115" s="182">
        <f>K115/F115</f>
        <v>5.4892629530976391E-6</v>
      </c>
      <c r="M115" s="276"/>
      <c r="N115" s="276"/>
    </row>
    <row r="116" spans="1:15" x14ac:dyDescent="0.25">
      <c r="A116" s="77"/>
      <c r="B116" s="213"/>
      <c r="C116" s="200"/>
      <c r="D116" s="84"/>
      <c r="E116" s="288"/>
      <c r="F116" s="159"/>
      <c r="H116" s="233"/>
      <c r="I116" s="159"/>
      <c r="J116" s="282"/>
      <c r="K116" s="185"/>
      <c r="L116" s="192"/>
      <c r="M116" s="276"/>
      <c r="N116" s="276"/>
    </row>
    <row r="117" spans="1:15" x14ac:dyDescent="0.25">
      <c r="A117" s="77"/>
      <c r="B117" s="183" t="s">
        <v>172</v>
      </c>
      <c r="C117" s="200"/>
      <c r="D117" s="84"/>
      <c r="E117" s="288"/>
      <c r="F117" s="159"/>
      <c r="H117" s="233"/>
      <c r="I117" s="159"/>
      <c r="J117" s="282"/>
      <c r="K117" s="185"/>
      <c r="L117" s="192"/>
      <c r="M117" s="276"/>
      <c r="N117" s="276"/>
    </row>
    <row r="118" spans="1:15" x14ac:dyDescent="0.25">
      <c r="A118" s="77"/>
      <c r="B118" s="183" t="s">
        <v>194</v>
      </c>
      <c r="C118" s="77" t="s">
        <v>129</v>
      </c>
      <c r="D118" s="348">
        <f>D115</f>
        <v>9748488.4229263552</v>
      </c>
      <c r="E118" s="240"/>
      <c r="F118" s="159">
        <f>F83</f>
        <v>2518073.785133346</v>
      </c>
      <c r="G118" s="349"/>
      <c r="H118" s="240"/>
      <c r="I118" s="159">
        <f>I83</f>
        <v>2518073.785133346</v>
      </c>
      <c r="J118" s="282"/>
      <c r="K118" s="185">
        <f>I118-F118</f>
        <v>0</v>
      </c>
      <c r="L118" s="186"/>
      <c r="M118" s="276"/>
      <c r="N118" s="276"/>
    </row>
    <row r="119" spans="1:15" x14ac:dyDescent="0.25">
      <c r="A119" s="77"/>
      <c r="B119" s="183" t="s">
        <v>134</v>
      </c>
      <c r="C119" s="77" t="s">
        <v>132</v>
      </c>
      <c r="D119" s="348">
        <f>D108</f>
        <v>92151.308999999994</v>
      </c>
      <c r="E119" s="300"/>
      <c r="F119" s="159">
        <f>F84</f>
        <v>86521.374450000003</v>
      </c>
      <c r="G119" s="349"/>
      <c r="H119" s="300"/>
      <c r="I119" s="159">
        <f>I84</f>
        <v>86521.374450000003</v>
      </c>
      <c r="J119" s="282"/>
      <c r="K119" s="185">
        <f>I119-F119</f>
        <v>0</v>
      </c>
      <c r="L119" s="192"/>
      <c r="M119" s="276"/>
      <c r="N119" s="276"/>
    </row>
    <row r="120" spans="1:15" x14ac:dyDescent="0.25">
      <c r="A120" s="77"/>
      <c r="B120" s="183" t="s">
        <v>190</v>
      </c>
      <c r="C120" s="77" t="s">
        <v>129</v>
      </c>
      <c r="D120" s="348">
        <f>D118</f>
        <v>9748488.4229263552</v>
      </c>
      <c r="E120" s="300"/>
      <c r="F120" s="159">
        <f>F101</f>
        <v>245.90170499999996</v>
      </c>
      <c r="G120" s="349"/>
      <c r="H120" s="300"/>
      <c r="I120" s="159">
        <f>I101</f>
        <v>351.28814999999997</v>
      </c>
      <c r="J120" s="282"/>
      <c r="K120" s="185">
        <f>I120-F120</f>
        <v>105.38644500000001</v>
      </c>
      <c r="L120" s="192"/>
      <c r="M120" s="276"/>
      <c r="N120" s="276"/>
    </row>
    <row r="121" spans="1:15" x14ac:dyDescent="0.25">
      <c r="A121" s="77"/>
      <c r="B121" s="213" t="s">
        <v>195</v>
      </c>
      <c r="C121" s="200"/>
      <c r="D121" s="97"/>
      <c r="E121" s="157"/>
      <c r="F121" s="309">
        <f>SUM(F118:F120)</f>
        <v>2604841.0612883461</v>
      </c>
      <c r="G121" s="97"/>
      <c r="H121" s="233"/>
      <c r="I121" s="309">
        <f>SUM(I118:I120)</f>
        <v>2604946.4477333459</v>
      </c>
      <c r="J121" s="157"/>
      <c r="K121" s="309">
        <f>SUM(K118:K120)</f>
        <v>105.38644500000001</v>
      </c>
      <c r="L121" s="182">
        <f>ROUND(K121/F121,5)</f>
        <v>4.0000000000000003E-5</v>
      </c>
      <c r="M121" s="276"/>
      <c r="N121" s="276"/>
    </row>
    <row r="122" spans="1:15" x14ac:dyDescent="0.25">
      <c r="A122" s="77"/>
      <c r="B122" s="213"/>
      <c r="C122" s="200"/>
      <c r="D122" s="97"/>
      <c r="E122" s="157"/>
      <c r="F122" s="159"/>
      <c r="G122" s="97"/>
      <c r="H122" s="233"/>
      <c r="I122" s="159"/>
      <c r="J122" s="157"/>
      <c r="K122" s="159"/>
      <c r="L122" s="186"/>
      <c r="M122" s="276"/>
      <c r="N122" s="276"/>
    </row>
    <row r="123" spans="1:15" x14ac:dyDescent="0.25">
      <c r="A123" s="77"/>
      <c r="B123" s="213" t="s">
        <v>173</v>
      </c>
      <c r="C123" s="200"/>
      <c r="D123" s="97"/>
      <c r="E123" s="157"/>
      <c r="F123" s="309">
        <f>F115+F121</f>
        <v>4667048.7012883462</v>
      </c>
      <c r="G123" s="97"/>
      <c r="H123" s="233"/>
      <c r="I123" s="309">
        <f>I115+I121</f>
        <v>4667165.4077333454</v>
      </c>
      <c r="J123" s="157"/>
      <c r="K123" s="309">
        <f>K115+K121</f>
        <v>116.70644499984692</v>
      </c>
      <c r="L123" s="182">
        <f>ROUND(K123/F123,5)</f>
        <v>3.0000000000000001E-5</v>
      </c>
      <c r="M123" s="276"/>
      <c r="N123" s="276"/>
    </row>
    <row r="124" spans="1:15" x14ac:dyDescent="0.25">
      <c r="A124" s="77"/>
      <c r="B124" s="292"/>
      <c r="C124" s="4"/>
      <c r="D124" s="219"/>
      <c r="E124" s="350"/>
      <c r="F124" s="297"/>
      <c r="G124" s="219"/>
      <c r="H124" s="351"/>
      <c r="I124" s="358"/>
      <c r="J124" s="352"/>
      <c r="K124" s="297"/>
      <c r="L124" s="256"/>
      <c r="M124" s="276"/>
      <c r="N124" s="276"/>
    </row>
    <row r="125" spans="1:15" s="77" customFormat="1" x14ac:dyDescent="0.25">
      <c r="B125" s="97"/>
      <c r="C125" s="97"/>
      <c r="D125" s="84"/>
      <c r="E125" s="367"/>
      <c r="F125" s="222"/>
      <c r="G125" s="84"/>
      <c r="H125" s="233"/>
      <c r="I125" s="231"/>
      <c r="J125" s="353"/>
      <c r="K125" s="222"/>
      <c r="L125" s="369"/>
      <c r="M125" s="276"/>
      <c r="N125" s="276"/>
    </row>
    <row r="126" spans="1:15" s="77" customFormat="1" x14ac:dyDescent="0.25">
      <c r="B126" s="97"/>
      <c r="C126" s="97"/>
      <c r="D126" s="84"/>
      <c r="E126" s="197"/>
      <c r="F126" s="222"/>
      <c r="G126" s="84"/>
      <c r="H126" s="233"/>
      <c r="I126" s="231"/>
      <c r="J126" s="353"/>
      <c r="K126" s="222"/>
      <c r="L126" s="369"/>
      <c r="M126" s="276"/>
      <c r="N126" s="276"/>
    </row>
    <row r="127" spans="1:15" ht="13" x14ac:dyDescent="0.3">
      <c r="B127" s="177" t="s">
        <v>214</v>
      </c>
      <c r="C127" s="279"/>
      <c r="D127" s="39"/>
      <c r="E127" s="339"/>
      <c r="F127" s="181"/>
      <c r="G127" s="39"/>
      <c r="H127" s="341"/>
      <c r="I127" s="309"/>
      <c r="J127" s="342"/>
      <c r="K127" s="181"/>
      <c r="L127" s="182"/>
      <c r="M127" s="276"/>
      <c r="N127" s="276"/>
      <c r="O127" s="77"/>
    </row>
    <row r="128" spans="1:15" x14ac:dyDescent="0.25">
      <c r="B128" s="183"/>
      <c r="C128" s="77"/>
      <c r="D128" s="84"/>
      <c r="E128" s="288"/>
      <c r="F128" s="185"/>
      <c r="H128" s="233"/>
      <c r="I128" s="159"/>
      <c r="J128" s="282"/>
      <c r="K128" s="185"/>
      <c r="L128" s="186"/>
      <c r="M128" s="276"/>
      <c r="N128" s="276"/>
      <c r="O128" s="187" t="s">
        <v>215</v>
      </c>
    </row>
    <row r="129" spans="2:17" x14ac:dyDescent="0.25">
      <c r="B129" s="213" t="s">
        <v>126</v>
      </c>
      <c r="C129" s="200" t="s">
        <v>127</v>
      </c>
      <c r="D129" s="190">
        <v>60.025001175986063</v>
      </c>
      <c r="E129" s="191">
        <v>557.39</v>
      </c>
      <c r="F129" s="185">
        <f>ROUND(D129*E129,2)</f>
        <v>33457.339999999997</v>
      </c>
      <c r="H129" s="191">
        <v>606.5</v>
      </c>
      <c r="I129" s="159">
        <f>ROUND(D129*H129,2)</f>
        <v>36405.160000000003</v>
      </c>
      <c r="J129" s="282"/>
      <c r="K129" s="185">
        <f>I129-F129</f>
        <v>2947.820000000007</v>
      </c>
      <c r="L129" s="251"/>
      <c r="M129" s="276"/>
      <c r="N129" s="276"/>
      <c r="O129" s="370">
        <v>1216520.0612738405</v>
      </c>
      <c r="Q129" s="194">
        <f>H129/E129-1</f>
        <v>8.8107070453363079E-2</v>
      </c>
    </row>
    <row r="130" spans="2:17" x14ac:dyDescent="0.25">
      <c r="B130" s="183" t="s">
        <v>134</v>
      </c>
      <c r="C130" s="77" t="s">
        <v>132</v>
      </c>
      <c r="D130" s="190">
        <v>0</v>
      </c>
      <c r="E130" s="191">
        <v>1.38</v>
      </c>
      <c r="F130" s="185">
        <f>ROUND(D130*E130,2)</f>
        <v>0</v>
      </c>
      <c r="H130" s="191">
        <v>1.45</v>
      </c>
      <c r="I130" s="159">
        <f>ROUND(D130*H130,2)</f>
        <v>0</v>
      </c>
      <c r="J130" s="282"/>
      <c r="K130" s="185">
        <f>I130-F130</f>
        <v>0</v>
      </c>
      <c r="L130" s="251"/>
      <c r="M130" s="276"/>
      <c r="N130" s="276"/>
      <c r="O130" s="198" t="s">
        <v>171</v>
      </c>
      <c r="Q130" s="194">
        <f>H130/E130-1</f>
        <v>5.0724637681159424E-2</v>
      </c>
    </row>
    <row r="131" spans="2:17" x14ac:dyDescent="0.25">
      <c r="B131" s="183" t="s">
        <v>131</v>
      </c>
      <c r="C131" s="77"/>
      <c r="D131" s="84">
        <f>D141</f>
        <v>23337042.118500695</v>
      </c>
      <c r="E131" s="196">
        <v>5.94E-3</v>
      </c>
      <c r="F131" s="185">
        <f>ROUND(D131*E131,2)</f>
        <v>138622.03</v>
      </c>
      <c r="H131" s="196">
        <v>8.5100000000000002E-3</v>
      </c>
      <c r="I131" s="185">
        <f>ROUND(D131*H131,2)</f>
        <v>198598.23</v>
      </c>
      <c r="J131" s="282"/>
      <c r="K131" s="185">
        <f>I131-F131</f>
        <v>59976.200000000012</v>
      </c>
      <c r="L131" s="251"/>
      <c r="M131" s="276"/>
      <c r="N131" s="276"/>
      <c r="O131" s="203">
        <f>+K141+K164-O129</f>
        <v>126.19872615952045</v>
      </c>
      <c r="Q131" s="194">
        <f>H131/E131-1</f>
        <v>0.43265993265993274</v>
      </c>
    </row>
    <row r="132" spans="2:17" x14ac:dyDescent="0.25">
      <c r="B132" s="228" t="s">
        <v>141</v>
      </c>
      <c r="C132" s="97"/>
      <c r="D132" s="84"/>
      <c r="E132" s="191"/>
      <c r="F132" s="343">
        <v>34827.85</v>
      </c>
      <c r="H132" s="197" t="s">
        <v>148</v>
      </c>
      <c r="I132" s="159">
        <f>F132</f>
        <v>34827.85</v>
      </c>
      <c r="J132" s="282"/>
      <c r="K132" s="185">
        <f>I132-F132</f>
        <v>0</v>
      </c>
      <c r="L132" s="251"/>
      <c r="M132" s="276"/>
      <c r="N132" s="276"/>
      <c r="O132" s="371"/>
    </row>
    <row r="133" spans="2:17" x14ac:dyDescent="0.25">
      <c r="B133" s="183"/>
      <c r="C133" s="77"/>
      <c r="D133" s="84"/>
      <c r="E133" s="356"/>
      <c r="F133" s="185"/>
      <c r="H133" s="197"/>
      <c r="I133" s="159"/>
      <c r="J133" s="282"/>
      <c r="K133" s="236"/>
      <c r="L133" s="251"/>
      <c r="M133" s="276"/>
      <c r="N133" s="276"/>
      <c r="O133" s="210">
        <v>0.29090300000000002</v>
      </c>
    </row>
    <row r="134" spans="2:17" x14ac:dyDescent="0.25">
      <c r="B134" s="183" t="s">
        <v>135</v>
      </c>
      <c r="C134" s="77"/>
      <c r="D134" s="84"/>
      <c r="E134" s="356"/>
      <c r="F134" s="185"/>
      <c r="H134" s="197"/>
      <c r="I134" s="159"/>
      <c r="J134" s="282"/>
      <c r="K134" s="236"/>
      <c r="L134" s="251"/>
      <c r="M134" s="276"/>
      <c r="N134" s="276"/>
      <c r="O134" s="372"/>
      <c r="P134" s="109"/>
      <c r="Q134" s="109"/>
    </row>
    <row r="135" spans="2:17" x14ac:dyDescent="0.25">
      <c r="B135" s="183" t="s">
        <v>142</v>
      </c>
      <c r="C135" s="77" t="s">
        <v>129</v>
      </c>
      <c r="D135" s="190">
        <v>1500625.1839999999</v>
      </c>
      <c r="E135" s="196">
        <v>0.1391</v>
      </c>
      <c r="F135" s="185">
        <f t="shared" ref="F135:F140" si="0">ROUND(D135*E135,2)</f>
        <v>208736.96</v>
      </c>
      <c r="H135" s="197">
        <f t="shared" ref="H135:H140" si="1">ROUND(E135*(1+$O$133),5)</f>
        <v>0.17956</v>
      </c>
      <c r="I135" s="159">
        <f t="shared" ref="I135:I140" si="2">ROUND(D135*H135,2)</f>
        <v>269452.26</v>
      </c>
      <c r="J135" s="282"/>
      <c r="K135" s="185">
        <f t="shared" ref="K135:K140" si="3">I135-F135</f>
        <v>60715.300000000017</v>
      </c>
      <c r="L135" s="251"/>
      <c r="M135" s="276"/>
      <c r="N135" s="276"/>
      <c r="O135" s="236"/>
      <c r="P135" s="34"/>
      <c r="Q135" s="194">
        <f t="shared" ref="Q135:Q140" si="4">H135/E135-1</f>
        <v>0.29086987778576567</v>
      </c>
    </row>
    <row r="136" spans="2:17" x14ac:dyDescent="0.25">
      <c r="B136" s="183" t="s">
        <v>143</v>
      </c>
      <c r="C136" s="77" t="s">
        <v>129</v>
      </c>
      <c r="D136" s="190">
        <v>1470839.4029999999</v>
      </c>
      <c r="E136" s="196">
        <v>8.4059999999999996E-2</v>
      </c>
      <c r="F136" s="185">
        <f t="shared" si="0"/>
        <v>123638.76</v>
      </c>
      <c r="H136" s="197">
        <f t="shared" si="1"/>
        <v>0.10851</v>
      </c>
      <c r="I136" s="159">
        <f t="shared" si="2"/>
        <v>159600.78</v>
      </c>
      <c r="J136" s="282"/>
      <c r="K136" s="185">
        <f t="shared" si="3"/>
        <v>35962.020000000004</v>
      </c>
      <c r="L136" s="251"/>
      <c r="M136" s="276"/>
      <c r="N136" s="276"/>
      <c r="O136" s="314"/>
      <c r="P136" s="77"/>
      <c r="Q136" s="194">
        <f t="shared" si="4"/>
        <v>0.29086366880799419</v>
      </c>
    </row>
    <row r="137" spans="2:17" x14ac:dyDescent="0.25">
      <c r="B137" s="183" t="s">
        <v>145</v>
      </c>
      <c r="C137" s="77" t="s">
        <v>129</v>
      </c>
      <c r="D137" s="190">
        <v>2603460.2510000002</v>
      </c>
      <c r="E137" s="196">
        <v>5.3490000000000003E-2</v>
      </c>
      <c r="F137" s="185">
        <f t="shared" si="0"/>
        <v>139259.09</v>
      </c>
      <c r="H137" s="197">
        <f t="shared" si="1"/>
        <v>6.905E-2</v>
      </c>
      <c r="I137" s="159">
        <f t="shared" si="2"/>
        <v>179768.93</v>
      </c>
      <c r="J137" s="282"/>
      <c r="K137" s="185">
        <f t="shared" si="3"/>
        <v>40509.839999999997</v>
      </c>
      <c r="L137" s="186"/>
      <c r="M137" s="276"/>
      <c r="N137" s="276"/>
      <c r="O137" s="200"/>
      <c r="P137" s="200"/>
      <c r="Q137" s="194">
        <f t="shared" si="4"/>
        <v>0.29089549448495045</v>
      </c>
    </row>
    <row r="138" spans="2:17" x14ac:dyDescent="0.25">
      <c r="B138" s="183" t="s">
        <v>16</v>
      </c>
      <c r="C138" s="77" t="s">
        <v>129</v>
      </c>
      <c r="D138" s="190">
        <v>3197116.5289999996</v>
      </c>
      <c r="E138" s="196">
        <v>3.4299999999999997E-2</v>
      </c>
      <c r="F138" s="185">
        <f t="shared" si="0"/>
        <v>109661.1</v>
      </c>
      <c r="H138" s="197">
        <f t="shared" si="1"/>
        <v>4.428E-2</v>
      </c>
      <c r="I138" s="159">
        <f t="shared" si="2"/>
        <v>141568.32000000001</v>
      </c>
      <c r="J138" s="282"/>
      <c r="K138" s="185">
        <f t="shared" si="3"/>
        <v>31907.22</v>
      </c>
      <c r="L138" s="186"/>
      <c r="M138" s="276"/>
      <c r="N138" s="276"/>
      <c r="O138" s="77"/>
      <c r="P138" s="77"/>
      <c r="Q138" s="194">
        <f t="shared" si="4"/>
        <v>0.29096209912536453</v>
      </c>
    </row>
    <row r="139" spans="2:17" x14ac:dyDescent="0.25">
      <c r="B139" s="183" t="s">
        <v>15</v>
      </c>
      <c r="C139" s="77" t="s">
        <v>129</v>
      </c>
      <c r="D139" s="190">
        <v>3739136.7420000001</v>
      </c>
      <c r="E139" s="196">
        <v>2.4680000000000001E-2</v>
      </c>
      <c r="F139" s="185">
        <f t="shared" si="0"/>
        <v>92281.89</v>
      </c>
      <c r="H139" s="197">
        <f t="shared" si="1"/>
        <v>3.1859999999999999E-2</v>
      </c>
      <c r="I139" s="159">
        <f t="shared" si="2"/>
        <v>119128.9</v>
      </c>
      <c r="J139" s="282"/>
      <c r="K139" s="185">
        <f t="shared" si="3"/>
        <v>26847.009999999995</v>
      </c>
      <c r="L139" s="186"/>
      <c r="M139" s="276"/>
      <c r="N139" s="276"/>
      <c r="P139" s="77"/>
      <c r="Q139" s="194">
        <f t="shared" si="4"/>
        <v>0.29092382495948121</v>
      </c>
    </row>
    <row r="140" spans="2:17" x14ac:dyDescent="0.25">
      <c r="B140" s="183" t="s">
        <v>149</v>
      </c>
      <c r="C140" s="77" t="s">
        <v>129</v>
      </c>
      <c r="D140" s="190">
        <v>10825864.009500694</v>
      </c>
      <c r="E140" s="196">
        <v>1.9029999999999998E-2</v>
      </c>
      <c r="F140" s="185">
        <f t="shared" si="0"/>
        <v>206016.19</v>
      </c>
      <c r="H140" s="197">
        <f t="shared" si="1"/>
        <v>2.4570000000000002E-2</v>
      </c>
      <c r="I140" s="159">
        <f t="shared" si="2"/>
        <v>265991.48</v>
      </c>
      <c r="J140" s="282"/>
      <c r="K140" s="185">
        <f t="shared" si="3"/>
        <v>59975.289999999979</v>
      </c>
      <c r="L140" s="186"/>
      <c r="M140" s="276"/>
      <c r="N140" s="276"/>
      <c r="O140" s="77"/>
      <c r="P140" s="200"/>
      <c r="Q140" s="194">
        <f t="shared" si="4"/>
        <v>0.2911192853389386</v>
      </c>
    </row>
    <row r="141" spans="2:17" x14ac:dyDescent="0.25">
      <c r="B141" s="213" t="s">
        <v>175</v>
      </c>
      <c r="C141" s="77" t="s">
        <v>129</v>
      </c>
      <c r="D141" s="39">
        <f>SUM(D135:D140)</f>
        <v>23337042.118500695</v>
      </c>
      <c r="E141" s="365"/>
      <c r="F141" s="309">
        <f>SUM(F129:F140)</f>
        <v>1086501.21</v>
      </c>
      <c r="H141" s="233"/>
      <c r="I141" s="309">
        <f>SUM(I129:I140)</f>
        <v>1405341.91</v>
      </c>
      <c r="J141" s="282"/>
      <c r="K141" s="309">
        <f>I141-F141</f>
        <v>318840.69999999995</v>
      </c>
      <c r="L141" s="182">
        <f>K141/F141</f>
        <v>0.29345636899934974</v>
      </c>
      <c r="M141" s="276"/>
      <c r="N141" s="276"/>
      <c r="O141" s="77"/>
      <c r="P141" s="260"/>
      <c r="Q141" s="259"/>
    </row>
    <row r="142" spans="2:17" x14ac:dyDescent="0.25">
      <c r="B142" s="213"/>
      <c r="C142" s="200"/>
      <c r="D142" s="84"/>
      <c r="E142" s="365"/>
      <c r="F142" s="185"/>
      <c r="H142" s="233"/>
      <c r="I142" s="159"/>
      <c r="J142" s="282"/>
      <c r="K142" s="185"/>
      <c r="L142" s="192"/>
      <c r="M142" s="276"/>
      <c r="N142" s="307"/>
      <c r="O142" s="373"/>
      <c r="P142" s="77"/>
      <c r="Q142" s="84"/>
    </row>
    <row r="143" spans="2:17" x14ac:dyDescent="0.25">
      <c r="B143" s="183" t="s">
        <v>172</v>
      </c>
      <c r="C143" s="200"/>
      <c r="D143" s="84"/>
      <c r="E143" s="365"/>
      <c r="F143" s="185"/>
      <c r="H143" s="233"/>
      <c r="I143" s="159"/>
      <c r="J143" s="282"/>
      <c r="K143" s="185"/>
      <c r="L143" s="192"/>
      <c r="M143" s="276"/>
      <c r="N143" s="276"/>
      <c r="O143" s="200"/>
      <c r="P143" s="200"/>
      <c r="Q143" s="97"/>
    </row>
    <row r="144" spans="2:17" x14ac:dyDescent="0.25">
      <c r="B144" s="183" t="s">
        <v>194</v>
      </c>
      <c r="C144" s="77" t="s">
        <v>129</v>
      </c>
      <c r="D144" s="348">
        <f>D141</f>
        <v>23337042.118500695</v>
      </c>
      <c r="E144" s="196">
        <v>0.27044000000000001</v>
      </c>
      <c r="F144" s="159">
        <f>+E144*D144</f>
        <v>6311269.6705273278</v>
      </c>
      <c r="G144" s="349"/>
      <c r="H144" s="209">
        <f>E144</f>
        <v>0.27044000000000001</v>
      </c>
      <c r="I144" s="159">
        <f>+H144*D144</f>
        <v>6311269.6705273278</v>
      </c>
      <c r="J144" s="282"/>
      <c r="K144" s="185">
        <f>I144-F144</f>
        <v>0</v>
      </c>
      <c r="L144" s="186"/>
      <c r="M144" s="276"/>
      <c r="N144" s="276"/>
      <c r="O144" s="77"/>
      <c r="P144" s="77"/>
      <c r="Q144" s="97"/>
    </row>
    <row r="145" spans="1:17" x14ac:dyDescent="0.25">
      <c r="B145" s="183" t="s">
        <v>134</v>
      </c>
      <c r="C145" s="77" t="s">
        <v>132</v>
      </c>
      <c r="D145" s="348">
        <f>D130</f>
        <v>0</v>
      </c>
      <c r="E145" s="191">
        <v>1.05</v>
      </c>
      <c r="F145" s="159">
        <f>D145*E145</f>
        <v>0</v>
      </c>
      <c r="G145" s="349"/>
      <c r="H145" s="250">
        <f>E145</f>
        <v>1.05</v>
      </c>
      <c r="I145" s="159">
        <f>D145*H145</f>
        <v>0</v>
      </c>
      <c r="J145" s="282"/>
      <c r="K145" s="185">
        <f>I145-F145</f>
        <v>0</v>
      </c>
      <c r="L145" s="192"/>
      <c r="M145" s="276"/>
      <c r="N145" s="276"/>
      <c r="O145" s="200"/>
      <c r="P145" s="200"/>
      <c r="Q145" s="97"/>
    </row>
    <row r="146" spans="1:17" x14ac:dyDescent="0.25">
      <c r="B146" s="213" t="s">
        <v>195</v>
      </c>
      <c r="C146" s="200"/>
      <c r="D146" s="97"/>
      <c r="E146" s="157"/>
      <c r="F146" s="309">
        <f>SUM(F144:F145)</f>
        <v>6311269.6705273278</v>
      </c>
      <c r="G146" s="97"/>
      <c r="H146" s="233"/>
      <c r="I146" s="309">
        <f>SUM(I144:I145)</f>
        <v>6311269.6705273278</v>
      </c>
      <c r="J146" s="309"/>
      <c r="K146" s="309">
        <f>I146-F146</f>
        <v>0</v>
      </c>
      <c r="L146" s="182">
        <f>ROUND(K146/F146,5)</f>
        <v>0</v>
      </c>
      <c r="M146" s="276"/>
      <c r="N146" s="276"/>
      <c r="O146" s="77"/>
      <c r="P146" s="77"/>
      <c r="Q146" s="97"/>
    </row>
    <row r="147" spans="1:17" x14ac:dyDescent="0.25">
      <c r="B147" s="183"/>
      <c r="C147" s="77"/>
      <c r="D147" s="84"/>
      <c r="E147" s="157"/>
      <c r="F147" s="159"/>
      <c r="H147" s="233"/>
      <c r="I147" s="159"/>
      <c r="J147" s="159"/>
      <c r="K147" s="185"/>
      <c r="L147" s="192"/>
      <c r="M147" s="276"/>
      <c r="N147" s="276"/>
      <c r="O147" s="200"/>
      <c r="P147" s="77"/>
      <c r="Q147" s="84"/>
    </row>
    <row r="148" spans="1:17" x14ac:dyDescent="0.25">
      <c r="B148" s="183" t="s">
        <v>173</v>
      </c>
      <c r="C148" s="77"/>
      <c r="D148" s="84"/>
      <c r="E148" s="157"/>
      <c r="F148" s="309">
        <f>F141+F146</f>
        <v>7397770.8805273278</v>
      </c>
      <c r="H148" s="233"/>
      <c r="I148" s="309">
        <f>I141+I146</f>
        <v>7716611.580527328</v>
      </c>
      <c r="J148" s="282"/>
      <c r="K148" s="309">
        <f>K141+K146</f>
        <v>318840.69999999995</v>
      </c>
      <c r="L148" s="182">
        <f>K148/F148</f>
        <v>4.3099564064529715E-2</v>
      </c>
      <c r="M148" s="276"/>
      <c r="N148" s="276"/>
      <c r="O148" s="77"/>
      <c r="P148" s="77"/>
      <c r="Q148" s="84"/>
    </row>
    <row r="149" spans="1:17" x14ac:dyDescent="0.25">
      <c r="A149" s="77"/>
      <c r="B149" s="292"/>
      <c r="C149" s="4"/>
      <c r="D149" s="219"/>
      <c r="E149" s="361"/>
      <c r="F149" s="218"/>
      <c r="G149" s="219"/>
      <c r="H149" s="351"/>
      <c r="I149" s="358"/>
      <c r="J149" s="352"/>
      <c r="K149" s="297"/>
      <c r="L149" s="256"/>
      <c r="M149" s="276"/>
      <c r="N149" s="276"/>
      <c r="O149" s="200"/>
      <c r="P149" s="77"/>
      <c r="Q149" s="84"/>
    </row>
    <row r="150" spans="1:17" x14ac:dyDescent="0.25">
      <c r="A150" s="77"/>
      <c r="B150" s="77"/>
      <c r="C150" s="77"/>
      <c r="D150" s="84"/>
      <c r="E150" s="197"/>
      <c r="F150" s="222"/>
      <c r="H150" s="233"/>
      <c r="I150" s="159"/>
      <c r="J150" s="282"/>
      <c r="K150" s="185"/>
      <c r="L150" s="368"/>
      <c r="M150" s="276"/>
      <c r="N150" s="276"/>
      <c r="O150" s="77"/>
      <c r="P150" s="77"/>
      <c r="Q150" s="84"/>
    </row>
    <row r="151" spans="1:17" ht="13" x14ac:dyDescent="0.3">
      <c r="A151" s="77"/>
      <c r="B151" s="177" t="s">
        <v>216</v>
      </c>
      <c r="C151" s="279"/>
      <c r="D151" s="39"/>
      <c r="E151" s="339"/>
      <c r="F151" s="181"/>
      <c r="G151" s="39"/>
      <c r="H151" s="341"/>
      <c r="I151" s="309"/>
      <c r="J151" s="342"/>
      <c r="K151" s="181"/>
      <c r="L151" s="182"/>
      <c r="M151" s="276"/>
      <c r="N151" s="276"/>
      <c r="O151" s="77"/>
      <c r="P151" s="77"/>
      <c r="Q151" s="84"/>
    </row>
    <row r="152" spans="1:17" x14ac:dyDescent="0.25">
      <c r="A152" s="77"/>
      <c r="B152" s="183"/>
      <c r="C152" s="77"/>
      <c r="D152" s="84"/>
      <c r="E152" s="288"/>
      <c r="F152" s="185"/>
      <c r="H152" s="233"/>
      <c r="I152" s="159"/>
      <c r="J152" s="282"/>
      <c r="K152" s="185"/>
      <c r="L152" s="186"/>
      <c r="M152" s="276"/>
      <c r="N152" s="276"/>
      <c r="O152" s="77"/>
      <c r="P152" s="77"/>
      <c r="Q152" s="84"/>
    </row>
    <row r="153" spans="1:17" x14ac:dyDescent="0.25">
      <c r="A153" s="77"/>
      <c r="B153" s="213" t="s">
        <v>126</v>
      </c>
      <c r="C153" s="200" t="s">
        <v>127</v>
      </c>
      <c r="D153" s="190">
        <v>118.76667017913593</v>
      </c>
      <c r="E153" s="191">
        <v>891.83</v>
      </c>
      <c r="F153" s="185">
        <f>ROUND(D153*E153,2)</f>
        <v>105919.67999999999</v>
      </c>
      <c r="H153" s="191">
        <v>918.31</v>
      </c>
      <c r="I153" s="159">
        <f>ROUND(D153*H153,2)</f>
        <v>109064.62</v>
      </c>
      <c r="J153" s="282"/>
      <c r="K153" s="185">
        <f>I153-F153</f>
        <v>3144.9400000000023</v>
      </c>
      <c r="L153" s="251"/>
      <c r="M153" s="276"/>
      <c r="N153" s="276"/>
      <c r="O153" s="77"/>
      <c r="P153" s="77"/>
      <c r="Q153" s="194">
        <f>H153/E153-1</f>
        <v>2.9691757397710239E-2</v>
      </c>
    </row>
    <row r="154" spans="1:17" x14ac:dyDescent="0.25">
      <c r="A154" s="77"/>
      <c r="B154" s="183" t="s">
        <v>134</v>
      </c>
      <c r="C154" s="77" t="s">
        <v>132</v>
      </c>
      <c r="D154" s="190">
        <v>308558</v>
      </c>
      <c r="E154" s="191">
        <v>1.38</v>
      </c>
      <c r="F154" s="185">
        <f>ROUND(D154*E154,2)</f>
        <v>425810.04</v>
      </c>
      <c r="H154" s="233">
        <f>H130</f>
        <v>1.45</v>
      </c>
      <c r="I154" s="159">
        <f>ROUND(D154*H154,2)</f>
        <v>447409.1</v>
      </c>
      <c r="J154" s="282"/>
      <c r="K154" s="185">
        <f>I154-F154</f>
        <v>21599.059999999998</v>
      </c>
      <c r="L154" s="251"/>
      <c r="M154" s="276"/>
      <c r="N154" s="276"/>
      <c r="Q154" s="194">
        <f>H154/E154-1</f>
        <v>5.0724637681159424E-2</v>
      </c>
    </row>
    <row r="155" spans="1:17" x14ac:dyDescent="0.25">
      <c r="A155" s="77"/>
      <c r="B155" s="183" t="s">
        <v>141</v>
      </c>
      <c r="C155" s="77"/>
      <c r="D155" s="190"/>
      <c r="E155" s="191"/>
      <c r="F155" s="343">
        <v>0</v>
      </c>
      <c r="H155" s="233"/>
      <c r="I155" s="159">
        <f>F155</f>
        <v>0</v>
      </c>
      <c r="J155" s="282"/>
      <c r="K155" s="236"/>
      <c r="L155" s="251"/>
      <c r="M155" s="276"/>
      <c r="N155" s="276"/>
    </row>
    <row r="156" spans="1:17" x14ac:dyDescent="0.25">
      <c r="A156" s="77"/>
      <c r="B156" s="228"/>
      <c r="C156" s="77"/>
      <c r="D156" s="190"/>
      <c r="E156" s="196"/>
      <c r="F156" s="185"/>
      <c r="H156" s="240"/>
      <c r="I156" s="159"/>
      <c r="J156" s="282"/>
      <c r="K156" s="236"/>
      <c r="L156" s="251"/>
      <c r="M156" s="276"/>
      <c r="N156" s="276"/>
    </row>
    <row r="157" spans="1:17" x14ac:dyDescent="0.25">
      <c r="A157" s="77"/>
      <c r="B157" s="183" t="s">
        <v>135</v>
      </c>
      <c r="C157" s="77"/>
      <c r="D157" s="190"/>
      <c r="E157" s="356"/>
      <c r="F157" s="185"/>
      <c r="H157" s="197"/>
      <c r="I157" s="159"/>
      <c r="J157" s="282"/>
      <c r="K157" s="236"/>
      <c r="L157" s="251"/>
      <c r="M157" s="276"/>
      <c r="N157" s="276"/>
    </row>
    <row r="158" spans="1:17" x14ac:dyDescent="0.25">
      <c r="A158" s="77"/>
      <c r="B158" s="183" t="s">
        <v>142</v>
      </c>
      <c r="C158" s="77" t="s">
        <v>129</v>
      </c>
      <c r="D158" s="190">
        <v>3000000</v>
      </c>
      <c r="E158" s="196">
        <v>0.1391</v>
      </c>
      <c r="F158" s="222">
        <f t="shared" ref="F158:F163" si="5">ROUND(D158*E158,2)</f>
        <v>417300</v>
      </c>
      <c r="H158" s="197">
        <f t="shared" ref="H158:H163" si="6">H135</f>
        <v>0.17956</v>
      </c>
      <c r="I158" s="159">
        <f t="shared" ref="I158:I163" si="7">ROUND(D158*H158,2)</f>
        <v>538680</v>
      </c>
      <c r="J158" s="282"/>
      <c r="K158" s="185">
        <f t="shared" ref="K158:K163" si="8">I158-F158</f>
        <v>121380</v>
      </c>
      <c r="L158" s="374"/>
      <c r="M158" s="276"/>
      <c r="N158" s="276"/>
      <c r="Q158" s="194">
        <f t="shared" ref="Q158:Q163" si="9">H158/E158-1</f>
        <v>0.29086987778576567</v>
      </c>
    </row>
    <row r="159" spans="1:17" x14ac:dyDescent="0.25">
      <c r="A159" s="77"/>
      <c r="B159" s="183" t="s">
        <v>143</v>
      </c>
      <c r="C159" s="77" t="s">
        <v>129</v>
      </c>
      <c r="D159" s="190">
        <v>3000000</v>
      </c>
      <c r="E159" s="196">
        <v>8.4059999999999996E-2</v>
      </c>
      <c r="F159" s="222">
        <f t="shared" si="5"/>
        <v>252180</v>
      </c>
      <c r="H159" s="197">
        <f t="shared" si="6"/>
        <v>0.10851</v>
      </c>
      <c r="I159" s="159">
        <f t="shared" si="7"/>
        <v>325530</v>
      </c>
      <c r="J159" s="282"/>
      <c r="K159" s="185">
        <f t="shared" si="8"/>
        <v>73350</v>
      </c>
      <c r="L159" s="374"/>
      <c r="M159" s="276"/>
      <c r="N159" s="276"/>
      <c r="Q159" s="194">
        <f t="shared" si="9"/>
        <v>0.29086366880799419</v>
      </c>
    </row>
    <row r="160" spans="1:17" x14ac:dyDescent="0.25">
      <c r="A160" s="77"/>
      <c r="B160" s="183" t="s">
        <v>145</v>
      </c>
      <c r="C160" s="77" t="s">
        <v>129</v>
      </c>
      <c r="D160" s="190">
        <v>5983755.4799999995</v>
      </c>
      <c r="E160" s="196">
        <v>5.3490000000000003E-2</v>
      </c>
      <c r="F160" s="222">
        <f t="shared" si="5"/>
        <v>320071.08</v>
      </c>
      <c r="H160" s="197">
        <f t="shared" si="6"/>
        <v>6.905E-2</v>
      </c>
      <c r="I160" s="159">
        <f t="shared" si="7"/>
        <v>413178.32</v>
      </c>
      <c r="J160" s="282"/>
      <c r="K160" s="185">
        <f t="shared" si="8"/>
        <v>93107.239999999991</v>
      </c>
      <c r="L160" s="374"/>
      <c r="M160" s="276"/>
      <c r="N160" s="276"/>
      <c r="Q160" s="194">
        <f t="shared" si="9"/>
        <v>0.29089549448495045</v>
      </c>
    </row>
    <row r="161" spans="1:17" x14ac:dyDescent="0.25">
      <c r="A161" s="77"/>
      <c r="B161" s="183" t="s">
        <v>16</v>
      </c>
      <c r="C161" s="77" t="s">
        <v>129</v>
      </c>
      <c r="D161" s="190">
        <v>11737512.85</v>
      </c>
      <c r="E161" s="196">
        <v>3.4299999999999997E-2</v>
      </c>
      <c r="F161" s="222">
        <f t="shared" si="5"/>
        <v>402596.69</v>
      </c>
      <c r="H161" s="197">
        <f t="shared" si="6"/>
        <v>4.428E-2</v>
      </c>
      <c r="I161" s="159">
        <f t="shared" si="7"/>
        <v>519737.07</v>
      </c>
      <c r="J161" s="282"/>
      <c r="K161" s="185">
        <f t="shared" si="8"/>
        <v>117140.38</v>
      </c>
      <c r="L161" s="374"/>
      <c r="M161" s="276"/>
      <c r="N161" s="276"/>
      <c r="Q161" s="194">
        <f t="shared" si="9"/>
        <v>0.29096209912536453</v>
      </c>
    </row>
    <row r="162" spans="1:17" x14ac:dyDescent="0.25">
      <c r="A162" s="77"/>
      <c r="B162" s="183" t="s">
        <v>15</v>
      </c>
      <c r="C162" s="77" t="s">
        <v>129</v>
      </c>
      <c r="D162" s="190">
        <v>26253607.010000002</v>
      </c>
      <c r="E162" s="196">
        <v>2.4680000000000001E-2</v>
      </c>
      <c r="F162" s="222">
        <f t="shared" si="5"/>
        <v>647939.02</v>
      </c>
      <c r="H162" s="197">
        <f t="shared" si="6"/>
        <v>3.1859999999999999E-2</v>
      </c>
      <c r="I162" s="159">
        <f t="shared" si="7"/>
        <v>836439.92</v>
      </c>
      <c r="J162" s="282"/>
      <c r="K162" s="185">
        <f t="shared" si="8"/>
        <v>188500.90000000002</v>
      </c>
      <c r="L162" s="374"/>
      <c r="M162" s="276"/>
      <c r="N162" s="276"/>
      <c r="Q162" s="194">
        <f t="shared" si="9"/>
        <v>0.29092382495948121</v>
      </c>
    </row>
    <row r="163" spans="1:17" x14ac:dyDescent="0.25">
      <c r="A163" s="77"/>
      <c r="B163" s="183" t="s">
        <v>149</v>
      </c>
      <c r="C163" s="77" t="s">
        <v>129</v>
      </c>
      <c r="D163" s="190">
        <v>50466253.034701243</v>
      </c>
      <c r="E163" s="196">
        <v>1.9029999999999998E-2</v>
      </c>
      <c r="F163" s="222">
        <f t="shared" si="5"/>
        <v>960372.8</v>
      </c>
      <c r="H163" s="197">
        <f t="shared" si="6"/>
        <v>2.4570000000000002E-2</v>
      </c>
      <c r="I163" s="159">
        <f t="shared" si="7"/>
        <v>1239955.8400000001</v>
      </c>
      <c r="J163" s="282"/>
      <c r="K163" s="185">
        <f t="shared" si="8"/>
        <v>279583.04000000004</v>
      </c>
      <c r="L163" s="374"/>
      <c r="M163" s="276"/>
      <c r="N163" s="276"/>
      <c r="Q163" s="194">
        <f t="shared" si="9"/>
        <v>0.2911192853389386</v>
      </c>
    </row>
    <row r="164" spans="1:17" x14ac:dyDescent="0.25">
      <c r="A164" s="77"/>
      <c r="B164" s="213" t="s">
        <v>175</v>
      </c>
      <c r="C164" s="77"/>
      <c r="D164" s="39">
        <f>SUM(D158:D163)</f>
        <v>100441128.37470125</v>
      </c>
      <c r="E164" s="196"/>
      <c r="F164" s="360">
        <f>SUM(F153:F163)</f>
        <v>3532189.3099999996</v>
      </c>
      <c r="H164" s="197"/>
      <c r="I164" s="360">
        <f>SUM(I153:I163)</f>
        <v>4429994.87</v>
      </c>
      <c r="J164" s="282"/>
      <c r="K164" s="360">
        <f>SUM(K153:K163)</f>
        <v>897805.56</v>
      </c>
      <c r="L164" s="182">
        <f>K164/F164</f>
        <v>0.25417821107668775</v>
      </c>
      <c r="M164" s="276"/>
      <c r="N164" s="276"/>
    </row>
    <row r="165" spans="1:17" x14ac:dyDescent="0.25">
      <c r="A165" s="77"/>
      <c r="B165" s="183"/>
      <c r="C165" s="200"/>
      <c r="D165" s="84"/>
      <c r="E165" s="196"/>
      <c r="F165" s="185"/>
      <c r="H165" s="233"/>
      <c r="I165" s="159"/>
      <c r="J165" s="282"/>
      <c r="K165" s="185"/>
      <c r="L165" s="192"/>
      <c r="M165" s="276"/>
      <c r="N165" s="276"/>
    </row>
    <row r="166" spans="1:17" x14ac:dyDescent="0.25">
      <c r="A166" s="77"/>
      <c r="B166" s="213" t="s">
        <v>190</v>
      </c>
      <c r="C166" s="77" t="s">
        <v>129</v>
      </c>
      <c r="D166" s="348">
        <f>D164</f>
        <v>100441128.37470125</v>
      </c>
      <c r="E166" s="196">
        <v>6.9999999999999999E-4</v>
      </c>
      <c r="F166" s="159">
        <f>+E166*D166</f>
        <v>70308.789862290869</v>
      </c>
      <c r="G166" s="349"/>
      <c r="H166" s="299">
        <v>1E-3</v>
      </c>
      <c r="I166" s="159">
        <f>+H166*D166</f>
        <v>100441.12837470125</v>
      </c>
      <c r="J166" s="282"/>
      <c r="K166" s="185">
        <f>I166-F166</f>
        <v>30132.338512410381</v>
      </c>
      <c r="L166" s="186"/>
      <c r="M166" s="276"/>
      <c r="N166" s="276"/>
    </row>
    <row r="167" spans="1:17" x14ac:dyDescent="0.25">
      <c r="A167" s="77"/>
      <c r="B167" s="183" t="s">
        <v>173</v>
      </c>
      <c r="C167" s="77"/>
      <c r="D167" s="84"/>
      <c r="E167" s="157"/>
      <c r="F167" s="309">
        <f>F166+F164</f>
        <v>3602498.0998622905</v>
      </c>
      <c r="H167" s="233"/>
      <c r="I167" s="309">
        <f>I166+I164</f>
        <v>4530435.9983747015</v>
      </c>
      <c r="J167" s="282"/>
      <c r="K167" s="309">
        <f>K166+K164</f>
        <v>927937.89851241047</v>
      </c>
      <c r="L167" s="182">
        <f>K167/F167</f>
        <v>0.2575817870793275</v>
      </c>
      <c r="M167" s="276"/>
      <c r="N167" s="276"/>
      <c r="O167" s="258"/>
    </row>
    <row r="168" spans="1:17" s="77" customFormat="1" x14ac:dyDescent="0.25">
      <c r="B168" s="292"/>
      <c r="C168" s="4"/>
      <c r="D168" s="219"/>
      <c r="E168" s="361"/>
      <c r="F168" s="218"/>
      <c r="G168" s="219"/>
      <c r="H168" s="351"/>
      <c r="I168" s="358"/>
      <c r="J168" s="352"/>
      <c r="K168" s="297"/>
      <c r="L168" s="256"/>
      <c r="M168" s="276"/>
      <c r="N168" s="276"/>
    </row>
    <row r="169" spans="1:17" s="77" customFormat="1" x14ac:dyDescent="0.25">
      <c r="D169" s="84"/>
      <c r="E169" s="197"/>
      <c r="F169" s="222"/>
      <c r="G169" s="84"/>
      <c r="H169" s="233"/>
      <c r="I169" s="159"/>
      <c r="J169" s="282"/>
      <c r="K169" s="185"/>
      <c r="L169" s="368"/>
      <c r="M169" s="276"/>
      <c r="N169" s="276"/>
    </row>
    <row r="170" spans="1:17" ht="13" x14ac:dyDescent="0.3">
      <c r="A170" s="77"/>
      <c r="B170" s="224" t="s">
        <v>217</v>
      </c>
      <c r="C170" s="375"/>
      <c r="D170" s="39"/>
      <c r="E170" s="376"/>
      <c r="F170" s="284"/>
      <c r="G170" s="39"/>
      <c r="H170" s="341"/>
      <c r="I170" s="360"/>
      <c r="J170" s="377"/>
      <c r="K170" s="284"/>
      <c r="L170" s="346"/>
      <c r="M170" s="276"/>
      <c r="N170" s="276"/>
    </row>
    <row r="171" spans="1:17" x14ac:dyDescent="0.25">
      <c r="A171" s="77"/>
      <c r="B171" s="228"/>
      <c r="C171" s="97"/>
      <c r="D171" s="84"/>
      <c r="E171" s="197"/>
      <c r="F171" s="222"/>
      <c r="H171" s="233"/>
      <c r="I171" s="231"/>
      <c r="J171" s="353"/>
      <c r="K171" s="222"/>
      <c r="L171" s="230"/>
      <c r="M171" s="276"/>
      <c r="N171" s="276"/>
    </row>
    <row r="172" spans="1:17" x14ac:dyDescent="0.25">
      <c r="A172" s="77"/>
      <c r="B172" s="188" t="s">
        <v>126</v>
      </c>
      <c r="C172" s="189" t="s">
        <v>127</v>
      </c>
      <c r="D172" s="84">
        <f>D153+D129</f>
        <v>178.79167135512199</v>
      </c>
      <c r="E172" s="300"/>
      <c r="F172" s="222">
        <f>F153+F129</f>
        <v>139377.01999999999</v>
      </c>
      <c r="H172" s="300"/>
      <c r="I172" s="222">
        <f>I153+I129</f>
        <v>145469.78</v>
      </c>
      <c r="J172" s="353"/>
      <c r="K172" s="231">
        <f>I172-F172</f>
        <v>6092.7600000000093</v>
      </c>
      <c r="L172" s="378"/>
      <c r="M172" s="276"/>
      <c r="N172" s="276"/>
    </row>
    <row r="173" spans="1:17" x14ac:dyDescent="0.25">
      <c r="A173" s="77"/>
      <c r="B173" s="228" t="s">
        <v>134</v>
      </c>
      <c r="C173" s="97" t="s">
        <v>132</v>
      </c>
      <c r="D173" s="84">
        <f>D154+D130</f>
        <v>308558</v>
      </c>
      <c r="E173" s="300"/>
      <c r="F173" s="222">
        <f>F154+F130</f>
        <v>425810.04</v>
      </c>
      <c r="H173" s="300"/>
      <c r="I173" s="222">
        <f>I154+I130</f>
        <v>447409.1</v>
      </c>
      <c r="J173" s="353"/>
      <c r="K173" s="231">
        <f>I173-F173</f>
        <v>21599.059999999998</v>
      </c>
      <c r="L173" s="378"/>
      <c r="M173" s="276"/>
      <c r="N173" s="276"/>
    </row>
    <row r="174" spans="1:17" x14ac:dyDescent="0.25">
      <c r="A174" s="77"/>
      <c r="B174" s="228" t="s">
        <v>131</v>
      </c>
      <c r="C174" s="97"/>
      <c r="D174" s="38"/>
      <c r="E174" s="300"/>
      <c r="F174" s="222">
        <f>F131</f>
        <v>138622.03</v>
      </c>
      <c r="H174" s="300"/>
      <c r="I174" s="222">
        <f>I131</f>
        <v>198598.23</v>
      </c>
      <c r="J174" s="353"/>
      <c r="K174" s="231">
        <f>I174-F174</f>
        <v>59976.200000000012</v>
      </c>
      <c r="L174" s="378"/>
      <c r="M174" s="276"/>
      <c r="N174" s="276"/>
    </row>
    <row r="175" spans="1:17" x14ac:dyDescent="0.25">
      <c r="A175" s="77"/>
      <c r="B175" s="228" t="s">
        <v>141</v>
      </c>
      <c r="C175" s="97"/>
      <c r="D175" s="38"/>
      <c r="E175" s="300"/>
      <c r="F175" s="231">
        <f>F155+F132</f>
        <v>34827.85</v>
      </c>
      <c r="H175" s="233"/>
      <c r="I175" s="231">
        <f>I155+I132</f>
        <v>34827.85</v>
      </c>
      <c r="J175" s="353"/>
      <c r="K175" s="231">
        <f>I175-F175</f>
        <v>0</v>
      </c>
      <c r="L175" s="378"/>
      <c r="M175" s="276"/>
      <c r="N175" s="276"/>
    </row>
    <row r="176" spans="1:17" x14ac:dyDescent="0.25">
      <c r="A176" s="77"/>
      <c r="B176" s="228"/>
      <c r="C176" s="97"/>
      <c r="D176" s="84"/>
      <c r="E176" s="233"/>
      <c r="F176" s="379"/>
      <c r="H176" s="197"/>
      <c r="I176" s="379"/>
      <c r="J176" s="353"/>
      <c r="K176" s="231"/>
      <c r="L176" s="378"/>
      <c r="M176" s="276"/>
      <c r="N176" s="276"/>
    </row>
    <row r="177" spans="1:16" ht="12" customHeight="1" x14ac:dyDescent="0.25">
      <c r="A177" s="77"/>
      <c r="B177" s="228" t="s">
        <v>135</v>
      </c>
      <c r="C177" s="97"/>
      <c r="D177" s="84"/>
      <c r="E177" s="233"/>
      <c r="F177" s="222"/>
      <c r="H177" s="197"/>
      <c r="I177" s="222"/>
      <c r="J177" s="353"/>
      <c r="K177" s="231"/>
      <c r="L177" s="378"/>
      <c r="M177" s="276"/>
      <c r="N177" s="276"/>
    </row>
    <row r="178" spans="1:16" x14ac:dyDescent="0.25">
      <c r="A178" s="77"/>
      <c r="B178" s="228" t="s">
        <v>142</v>
      </c>
      <c r="C178" s="97" t="s">
        <v>129</v>
      </c>
      <c r="D178" s="84">
        <f t="shared" ref="D178:D183" si="10">D158+D135</f>
        <v>4500625.1840000004</v>
      </c>
      <c r="E178" s="240"/>
      <c r="F178" s="222">
        <f t="shared" ref="F178:F183" si="11">F158+F135</f>
        <v>626036.96</v>
      </c>
      <c r="H178" s="240"/>
      <c r="I178" s="222">
        <f t="shared" ref="I178:I183" si="12">I158+I135</f>
        <v>808132.26</v>
      </c>
      <c r="J178" s="353"/>
      <c r="K178" s="231">
        <f t="shared" ref="K178:K183" si="13">I178-F178</f>
        <v>182095.30000000005</v>
      </c>
      <c r="L178" s="378"/>
      <c r="M178" s="276"/>
      <c r="N178" s="276"/>
    </row>
    <row r="179" spans="1:16" x14ac:dyDescent="0.25">
      <c r="A179" s="77"/>
      <c r="B179" s="228" t="s">
        <v>143</v>
      </c>
      <c r="C179" s="97" t="s">
        <v>129</v>
      </c>
      <c r="D179" s="84">
        <f t="shared" si="10"/>
        <v>4470839.4029999999</v>
      </c>
      <c r="E179" s="240"/>
      <c r="F179" s="222">
        <f t="shared" si="11"/>
        <v>375818.76</v>
      </c>
      <c r="H179" s="240"/>
      <c r="I179" s="222">
        <f t="shared" si="12"/>
        <v>485130.78</v>
      </c>
      <c r="J179" s="353"/>
      <c r="K179" s="231">
        <f t="shared" si="13"/>
        <v>109312.02000000002</v>
      </c>
      <c r="L179" s="378"/>
      <c r="M179" s="276"/>
      <c r="N179" s="276"/>
    </row>
    <row r="180" spans="1:16" x14ac:dyDescent="0.25">
      <c r="A180" s="77"/>
      <c r="B180" s="228" t="s">
        <v>145</v>
      </c>
      <c r="C180" s="97" t="s">
        <v>129</v>
      </c>
      <c r="D180" s="84">
        <f t="shared" si="10"/>
        <v>8587215.7309999987</v>
      </c>
      <c r="E180" s="240"/>
      <c r="F180" s="222">
        <f t="shared" si="11"/>
        <v>459330.17000000004</v>
      </c>
      <c r="H180" s="240"/>
      <c r="I180" s="222">
        <f t="shared" si="12"/>
        <v>592947.25</v>
      </c>
      <c r="J180" s="353"/>
      <c r="K180" s="231">
        <f t="shared" si="13"/>
        <v>133617.07999999996</v>
      </c>
      <c r="L180" s="230"/>
      <c r="M180" s="276"/>
      <c r="N180" s="276"/>
    </row>
    <row r="181" spans="1:16" x14ac:dyDescent="0.25">
      <c r="A181" s="77"/>
      <c r="B181" s="228" t="s">
        <v>16</v>
      </c>
      <c r="C181" s="97" t="s">
        <v>129</v>
      </c>
      <c r="D181" s="84">
        <f t="shared" si="10"/>
        <v>14934629.378999999</v>
      </c>
      <c r="E181" s="240"/>
      <c r="F181" s="222">
        <f t="shared" si="11"/>
        <v>512257.79000000004</v>
      </c>
      <c r="H181" s="240"/>
      <c r="I181" s="222">
        <f t="shared" si="12"/>
        <v>661305.39</v>
      </c>
      <c r="J181" s="353"/>
      <c r="K181" s="231">
        <f t="shared" si="13"/>
        <v>149047.59999999998</v>
      </c>
      <c r="L181" s="230"/>
      <c r="M181" s="276"/>
      <c r="N181" s="276"/>
    </row>
    <row r="182" spans="1:16" x14ac:dyDescent="0.25">
      <c r="A182" s="77"/>
      <c r="B182" s="228" t="s">
        <v>15</v>
      </c>
      <c r="C182" s="97" t="s">
        <v>129</v>
      </c>
      <c r="D182" s="84">
        <f t="shared" si="10"/>
        <v>29992743.752</v>
      </c>
      <c r="E182" s="240"/>
      <c r="F182" s="222">
        <f t="shared" si="11"/>
        <v>740220.91</v>
      </c>
      <c r="H182" s="240"/>
      <c r="I182" s="222">
        <f t="shared" si="12"/>
        <v>955568.82000000007</v>
      </c>
      <c r="J182" s="353"/>
      <c r="K182" s="231">
        <f t="shared" si="13"/>
        <v>215347.91000000003</v>
      </c>
      <c r="L182" s="230"/>
      <c r="M182" s="276"/>
      <c r="N182" s="276"/>
    </row>
    <row r="183" spans="1:16" x14ac:dyDescent="0.25">
      <c r="A183" s="77"/>
      <c r="B183" s="228" t="s">
        <v>149</v>
      </c>
      <c r="C183" s="97" t="s">
        <v>129</v>
      </c>
      <c r="D183" s="84">
        <f t="shared" si="10"/>
        <v>61292117.04420194</v>
      </c>
      <c r="E183" s="240"/>
      <c r="F183" s="222">
        <f t="shared" si="11"/>
        <v>1166388.99</v>
      </c>
      <c r="H183" s="240"/>
      <c r="I183" s="222">
        <f t="shared" si="12"/>
        <v>1505947.32</v>
      </c>
      <c r="J183" s="353"/>
      <c r="K183" s="231">
        <f t="shared" si="13"/>
        <v>339558.33000000007</v>
      </c>
      <c r="L183" s="230"/>
      <c r="M183" s="276"/>
      <c r="N183" s="276"/>
    </row>
    <row r="184" spans="1:16" x14ac:dyDescent="0.25">
      <c r="A184" s="77"/>
      <c r="B184" s="213" t="s">
        <v>175</v>
      </c>
      <c r="C184" s="97" t="s">
        <v>129</v>
      </c>
      <c r="D184" s="39">
        <f>SUM(D178:D183)</f>
        <v>123778170.49320194</v>
      </c>
      <c r="E184" s="197"/>
      <c r="F184" s="284">
        <f>SUM(F172:F183)</f>
        <v>4618690.5200000005</v>
      </c>
      <c r="H184" s="233"/>
      <c r="I184" s="284">
        <f>SUM(I172:I183)</f>
        <v>5835336.7800000003</v>
      </c>
      <c r="J184" s="353"/>
      <c r="K184" s="284">
        <f>SUM(K172:K183)</f>
        <v>1216646.2600000002</v>
      </c>
      <c r="L184" s="346">
        <f>K184/F184</f>
        <v>0.2634180087909419</v>
      </c>
      <c r="M184" s="276"/>
      <c r="N184" s="276"/>
      <c r="P184" s="260"/>
    </row>
    <row r="185" spans="1:16" x14ac:dyDescent="0.25">
      <c r="A185" s="77"/>
      <c r="B185" s="188"/>
      <c r="C185" s="189"/>
      <c r="D185" s="84"/>
      <c r="E185" s="197"/>
      <c r="F185" s="222"/>
      <c r="H185" s="233"/>
      <c r="I185" s="231"/>
      <c r="J185" s="353"/>
      <c r="K185" s="222"/>
      <c r="L185" s="235"/>
      <c r="M185" s="276"/>
      <c r="N185" s="276"/>
    </row>
    <row r="186" spans="1:16" x14ac:dyDescent="0.25">
      <c r="A186" s="77"/>
      <c r="B186" s="228" t="s">
        <v>172</v>
      </c>
      <c r="C186" s="189"/>
      <c r="D186" s="84"/>
      <c r="E186" s="197"/>
      <c r="F186" s="222"/>
      <c r="H186" s="233"/>
      <c r="I186" s="231"/>
      <c r="J186" s="353"/>
      <c r="K186" s="222"/>
      <c r="L186" s="235"/>
      <c r="M186" s="276"/>
      <c r="N186" s="276"/>
    </row>
    <row r="187" spans="1:16" x14ac:dyDescent="0.25">
      <c r="A187" s="77"/>
      <c r="B187" s="228" t="s">
        <v>194</v>
      </c>
      <c r="C187" s="189"/>
      <c r="D187" s="84"/>
      <c r="E187" s="197"/>
      <c r="F187" s="222">
        <f>F144</f>
        <v>6311269.6705273278</v>
      </c>
      <c r="H187" s="233"/>
      <c r="I187" s="222">
        <f>I144</f>
        <v>6311269.6705273278</v>
      </c>
      <c r="J187" s="353"/>
      <c r="K187" s="231">
        <f>I187-F187</f>
        <v>0</v>
      </c>
      <c r="L187" s="235"/>
      <c r="M187" s="276"/>
      <c r="N187" s="276"/>
    </row>
    <row r="188" spans="1:16" x14ac:dyDescent="0.25">
      <c r="A188" s="77"/>
      <c r="B188" s="228" t="s">
        <v>134</v>
      </c>
      <c r="C188" s="189"/>
      <c r="D188" s="84"/>
      <c r="E188" s="197"/>
      <c r="F188" s="222">
        <f>F145</f>
        <v>0</v>
      </c>
      <c r="H188" s="233"/>
      <c r="I188" s="222">
        <f>I145</f>
        <v>0</v>
      </c>
      <c r="J188" s="353"/>
      <c r="K188" s="231">
        <f>I188-F188</f>
        <v>0</v>
      </c>
      <c r="L188" s="235"/>
      <c r="M188" s="276"/>
      <c r="N188" s="276"/>
    </row>
    <row r="189" spans="1:16" x14ac:dyDescent="0.25">
      <c r="A189" s="77"/>
      <c r="B189" s="228" t="s">
        <v>190</v>
      </c>
      <c r="C189" s="97" t="s">
        <v>129</v>
      </c>
      <c r="D189" s="84">
        <f>D166</f>
        <v>100441128.37470125</v>
      </c>
      <c r="E189" s="240"/>
      <c r="F189" s="231">
        <f>F166</f>
        <v>70308.789862290869</v>
      </c>
      <c r="G189" s="349"/>
      <c r="H189" s="240"/>
      <c r="I189" s="231">
        <f>I166</f>
        <v>100441.12837470125</v>
      </c>
      <c r="J189" s="353"/>
      <c r="K189" s="231">
        <f>I189-F189</f>
        <v>30132.338512410381</v>
      </c>
      <c r="L189" s="230"/>
      <c r="M189" s="276"/>
      <c r="N189" s="276"/>
    </row>
    <row r="190" spans="1:16" x14ac:dyDescent="0.25">
      <c r="A190" s="77"/>
      <c r="B190" s="213" t="s">
        <v>195</v>
      </c>
      <c r="C190" s="97"/>
      <c r="D190" s="349"/>
      <c r="E190" s="240"/>
      <c r="F190" s="360">
        <f>SUM(F187:F189)</f>
        <v>6381578.4603896188</v>
      </c>
      <c r="G190" s="349"/>
      <c r="H190" s="240"/>
      <c r="I190" s="360">
        <f>SUM(I187:I189)</f>
        <v>6411710.7989020292</v>
      </c>
      <c r="J190" s="360"/>
      <c r="K190" s="360">
        <f>SUM(K187:K189)</f>
        <v>30132.338512410381</v>
      </c>
      <c r="L190" s="346">
        <f>K190/F190</f>
        <v>4.7217688694797758E-3</v>
      </c>
      <c r="M190" s="276"/>
      <c r="N190" s="276"/>
    </row>
    <row r="191" spans="1:16" x14ac:dyDescent="0.25">
      <c r="A191" s="77"/>
      <c r="B191" s="188"/>
      <c r="C191" s="97"/>
      <c r="D191" s="349"/>
      <c r="E191" s="240"/>
      <c r="F191" s="231"/>
      <c r="G191" s="349"/>
      <c r="H191" s="240"/>
      <c r="I191" s="231"/>
      <c r="J191" s="353"/>
      <c r="K191" s="222"/>
      <c r="L191" s="230"/>
      <c r="M191" s="276"/>
      <c r="N191" s="276"/>
    </row>
    <row r="192" spans="1:16" x14ac:dyDescent="0.25">
      <c r="A192" s="77"/>
      <c r="B192" s="188" t="s">
        <v>173</v>
      </c>
      <c r="C192" s="189"/>
      <c r="D192" s="222"/>
      <c r="E192" s="233"/>
      <c r="F192" s="284">
        <f>F184+F190</f>
        <v>11000268.980389619</v>
      </c>
      <c r="G192" s="97"/>
      <c r="H192" s="233"/>
      <c r="I192" s="284">
        <f>I184+I190</f>
        <v>12247047.578902029</v>
      </c>
      <c r="J192" s="233"/>
      <c r="K192" s="284">
        <f>K184+K190</f>
        <v>1246778.5985124107</v>
      </c>
      <c r="L192" s="380">
        <f>ROUND(K192/F192,5)</f>
        <v>0.11334</v>
      </c>
      <c r="M192" s="276"/>
      <c r="N192" s="276"/>
    </row>
    <row r="193" spans="1:15" x14ac:dyDescent="0.25">
      <c r="A193" s="77"/>
      <c r="B193" s="292"/>
      <c r="C193" s="4"/>
      <c r="D193" s="219"/>
      <c r="E193" s="255"/>
      <c r="F193" s="358"/>
      <c r="G193" s="219"/>
      <c r="H193" s="351"/>
      <c r="I193" s="362"/>
      <c r="J193" s="352"/>
      <c r="K193" s="297"/>
      <c r="L193" s="298"/>
      <c r="M193" s="276"/>
      <c r="N193" s="276"/>
    </row>
    <row r="194" spans="1:15" x14ac:dyDescent="0.25">
      <c r="A194" s="77"/>
      <c r="B194" s="77"/>
      <c r="C194" s="77"/>
      <c r="D194" s="84"/>
      <c r="E194" s="197"/>
      <c r="F194" s="222"/>
      <c r="H194" s="233"/>
      <c r="I194" s="159"/>
      <c r="J194" s="282"/>
      <c r="K194" s="185"/>
      <c r="L194" s="368"/>
      <c r="M194" s="276"/>
      <c r="N194" s="276"/>
    </row>
    <row r="195" spans="1:15" ht="13" x14ac:dyDescent="0.3">
      <c r="B195" s="155" t="s">
        <v>218</v>
      </c>
      <c r="C195" s="77"/>
      <c r="D195" s="84"/>
      <c r="E195" s="288"/>
      <c r="F195" s="157"/>
      <c r="H195" s="197"/>
      <c r="I195" s="157"/>
      <c r="J195" s="157"/>
      <c r="K195" s="157"/>
      <c r="L195" s="194"/>
      <c r="M195" s="276"/>
      <c r="N195" s="276"/>
      <c r="O195" s="285"/>
    </row>
    <row r="196" spans="1:15" x14ac:dyDescent="0.25">
      <c r="C196" s="77"/>
      <c r="D196" s="257" t="s">
        <v>129</v>
      </c>
      <c r="E196" s="288"/>
      <c r="F196" s="319" t="s">
        <v>120</v>
      </c>
      <c r="G196" s="72"/>
      <c r="H196" s="94"/>
      <c r="I196" s="319" t="s">
        <v>28</v>
      </c>
      <c r="J196" s="258"/>
      <c r="K196" s="319" t="s">
        <v>103</v>
      </c>
      <c r="L196" s="194"/>
      <c r="M196" s="276"/>
      <c r="N196" s="276"/>
      <c r="O196" s="285"/>
    </row>
    <row r="197" spans="1:15" ht="13" x14ac:dyDescent="0.3">
      <c r="B197" s="155" t="s">
        <v>199</v>
      </c>
      <c r="C197" s="77"/>
      <c r="D197" s="84"/>
      <c r="E197" s="288"/>
      <c r="F197" s="381"/>
      <c r="G197" s="382"/>
      <c r="H197" s="382"/>
      <c r="I197" s="381"/>
      <c r="J197" s="381"/>
      <c r="K197" s="381"/>
      <c r="L197" s="194"/>
      <c r="M197" s="276"/>
      <c r="N197" s="276"/>
      <c r="O197" s="285"/>
    </row>
    <row r="198" spans="1:15" x14ac:dyDescent="0.25">
      <c r="B198" s="95" t="s">
        <v>219</v>
      </c>
      <c r="C198" s="77"/>
      <c r="D198" s="26"/>
      <c r="E198" s="288"/>
      <c r="F198" s="381">
        <f>F26+F44</f>
        <v>4516109.1136934618</v>
      </c>
      <c r="G198" s="382"/>
      <c r="H198" s="382"/>
      <c r="I198" s="381">
        <f>I26+I44</f>
        <v>4538541.1748339534</v>
      </c>
      <c r="J198" s="381"/>
      <c r="K198" s="381">
        <f>I198-F198</f>
        <v>22432.061140491627</v>
      </c>
      <c r="L198" s="194"/>
      <c r="M198" s="276"/>
      <c r="N198" s="276"/>
      <c r="O198" s="285"/>
    </row>
    <row r="199" spans="1:15" x14ac:dyDescent="0.25">
      <c r="B199" s="95" t="s">
        <v>220</v>
      </c>
      <c r="C199" s="77"/>
      <c r="D199" s="26"/>
      <c r="E199" s="288"/>
      <c r="F199" s="381">
        <f>F85+F101</f>
        <v>2604841.0612883461</v>
      </c>
      <c r="G199" s="382"/>
      <c r="H199" s="382"/>
      <c r="I199" s="381">
        <f>I85+I101</f>
        <v>2604946.4477333459</v>
      </c>
      <c r="J199" s="381"/>
      <c r="K199" s="381">
        <f>I199-F199</f>
        <v>105.38644499983639</v>
      </c>
      <c r="L199" s="194"/>
      <c r="M199" s="276"/>
      <c r="N199" s="276"/>
      <c r="O199" s="285"/>
    </row>
    <row r="200" spans="1:15" x14ac:dyDescent="0.25">
      <c r="B200" s="95" t="s">
        <v>221</v>
      </c>
      <c r="C200" s="77"/>
      <c r="D200" s="26"/>
      <c r="E200" s="288"/>
      <c r="F200" s="381">
        <f>F146+F166</f>
        <v>6381578.4603896188</v>
      </c>
      <c r="G200" s="382"/>
      <c r="H200" s="382"/>
      <c r="I200" s="381">
        <f>I146+I166</f>
        <v>6411710.7989020292</v>
      </c>
      <c r="J200" s="381"/>
      <c r="K200" s="381">
        <f>I200-F200</f>
        <v>30132.33851241041</v>
      </c>
      <c r="L200" s="194"/>
      <c r="M200" s="276"/>
      <c r="N200" s="276"/>
      <c r="O200" s="285"/>
    </row>
    <row r="201" spans="1:15" x14ac:dyDescent="0.25">
      <c r="B201" s="95" t="s">
        <v>0</v>
      </c>
      <c r="C201" s="77"/>
      <c r="D201" s="26"/>
      <c r="E201" s="288"/>
      <c r="F201" s="383">
        <f>SUM(F198:F200)</f>
        <v>13502528.635371428</v>
      </c>
      <c r="G201" s="382"/>
      <c r="H201" s="382"/>
      <c r="I201" s="383">
        <f>SUM(I198:I200)</f>
        <v>13555198.421469329</v>
      </c>
      <c r="J201" s="381"/>
      <c r="K201" s="383">
        <f>SUM(K198:K200)</f>
        <v>52669.786097901873</v>
      </c>
      <c r="L201" s="194"/>
      <c r="M201" s="276"/>
      <c r="N201" s="276"/>
      <c r="O201" s="285"/>
    </row>
    <row r="202" spans="1:15" x14ac:dyDescent="0.25">
      <c r="C202" s="77"/>
      <c r="D202" s="26"/>
      <c r="E202" s="288"/>
      <c r="F202" s="381"/>
      <c r="G202" s="382"/>
      <c r="H202" s="382"/>
      <c r="I202" s="381"/>
      <c r="J202" s="381"/>
      <c r="K202" s="381"/>
      <c r="L202" s="194"/>
      <c r="M202" s="276"/>
      <c r="N202" s="276"/>
      <c r="O202" s="285"/>
    </row>
    <row r="203" spans="1:15" ht="13" x14ac:dyDescent="0.3">
      <c r="B203" s="155" t="s">
        <v>202</v>
      </c>
      <c r="C203" s="77"/>
      <c r="D203" s="26"/>
      <c r="E203" s="288"/>
      <c r="F203" s="381"/>
      <c r="G203" s="382"/>
      <c r="H203" s="382"/>
      <c r="I203" s="381"/>
      <c r="J203" s="381"/>
      <c r="K203" s="381"/>
      <c r="L203" s="194"/>
      <c r="M203" s="276"/>
      <c r="N203" s="276"/>
      <c r="O203" s="285"/>
    </row>
    <row r="204" spans="1:15" x14ac:dyDescent="0.25">
      <c r="B204" s="95" t="s">
        <v>219</v>
      </c>
      <c r="C204" s="77"/>
      <c r="D204" s="26"/>
      <c r="E204" s="288"/>
      <c r="F204" s="381">
        <f>F21+F42</f>
        <v>8511725.4824928083</v>
      </c>
      <c r="G204" s="382"/>
      <c r="H204" s="382"/>
      <c r="I204" s="381">
        <f>I21+I42</f>
        <v>9259144.2300000004</v>
      </c>
      <c r="J204" s="381"/>
      <c r="K204" s="381">
        <f>I204-F204</f>
        <v>747418.74750719219</v>
      </c>
      <c r="L204" s="194"/>
      <c r="M204" s="276"/>
      <c r="N204" s="276"/>
      <c r="O204" s="285"/>
    </row>
    <row r="205" spans="1:15" x14ac:dyDescent="0.25">
      <c r="B205" s="95" t="s">
        <v>220</v>
      </c>
      <c r="C205" s="77"/>
      <c r="D205" s="26"/>
      <c r="E205" s="288"/>
      <c r="F205" s="381">
        <f>F80+F99</f>
        <v>2062207.64</v>
      </c>
      <c r="G205" s="382"/>
      <c r="H205" s="382"/>
      <c r="I205" s="381">
        <f>I80+I99</f>
        <v>2062218.96</v>
      </c>
      <c r="J205" s="381"/>
      <c r="K205" s="381">
        <f>I205-F205</f>
        <v>11.320000000065193</v>
      </c>
      <c r="L205" s="194"/>
      <c r="M205" s="276"/>
      <c r="N205" s="276"/>
      <c r="O205" s="285"/>
    </row>
    <row r="206" spans="1:15" x14ac:dyDescent="0.25">
      <c r="B206" s="95" t="s">
        <v>221</v>
      </c>
      <c r="C206" s="77"/>
      <c r="D206" s="26"/>
      <c r="E206" s="288"/>
      <c r="F206" s="381">
        <f>F141+F164</f>
        <v>4618690.5199999996</v>
      </c>
      <c r="G206" s="382"/>
      <c r="H206" s="382"/>
      <c r="I206" s="381">
        <f>I141+I164</f>
        <v>5835336.7800000003</v>
      </c>
      <c r="J206" s="381"/>
      <c r="K206" s="381">
        <f>I206-F206</f>
        <v>1216646.2600000007</v>
      </c>
      <c r="L206" s="194"/>
      <c r="M206" s="276"/>
      <c r="N206" s="276"/>
      <c r="O206" s="285"/>
    </row>
    <row r="207" spans="1:15" x14ac:dyDescent="0.25">
      <c r="B207" s="95" t="s">
        <v>0</v>
      </c>
      <c r="C207" s="77"/>
      <c r="D207" s="26"/>
      <c r="E207" s="288"/>
      <c r="F207" s="383">
        <f>SUM(F204:F206)</f>
        <v>15192623.642492808</v>
      </c>
      <c r="G207" s="382"/>
      <c r="H207" s="382"/>
      <c r="I207" s="383">
        <f>SUM(I204:I206)</f>
        <v>17156699.970000003</v>
      </c>
      <c r="J207" s="381"/>
      <c r="K207" s="383">
        <f>SUM(K204:K206)</f>
        <v>1964076.327507193</v>
      </c>
      <c r="L207" s="194"/>
      <c r="M207" s="276"/>
      <c r="N207" s="276"/>
      <c r="O207" s="285"/>
    </row>
    <row r="208" spans="1:15" x14ac:dyDescent="0.25">
      <c r="C208" s="77"/>
      <c r="D208" s="26"/>
      <c r="E208" s="288"/>
      <c r="F208" s="381"/>
      <c r="G208" s="382"/>
      <c r="H208" s="382"/>
      <c r="I208" s="381"/>
      <c r="J208" s="381"/>
      <c r="K208" s="381"/>
      <c r="L208" s="194"/>
      <c r="M208" s="276"/>
      <c r="N208" s="276"/>
      <c r="O208" s="285"/>
    </row>
    <row r="209" spans="2:15" ht="13" x14ac:dyDescent="0.3">
      <c r="B209" s="155" t="s">
        <v>204</v>
      </c>
      <c r="C209" s="77"/>
      <c r="D209" s="26"/>
      <c r="E209" s="288"/>
      <c r="F209" s="381"/>
      <c r="G209" s="382"/>
      <c r="H209" s="382"/>
      <c r="I209" s="381"/>
      <c r="J209" s="381"/>
      <c r="K209" s="381"/>
      <c r="L209" s="194"/>
      <c r="M209" s="276"/>
      <c r="N209" s="276"/>
      <c r="O209" s="285"/>
    </row>
    <row r="210" spans="2:15" x14ac:dyDescent="0.25">
      <c r="B210" s="95" t="s">
        <v>219</v>
      </c>
      <c r="C210" s="77"/>
      <c r="D210" s="26">
        <f>D59</f>
        <v>90957971.203620166</v>
      </c>
      <c r="E210" s="288"/>
      <c r="F210" s="381">
        <f>F198+F204</f>
        <v>13027834.596186269</v>
      </c>
      <c r="G210" s="382"/>
      <c r="H210" s="382"/>
      <c r="I210" s="381">
        <f>I198+I204</f>
        <v>13797685.404833954</v>
      </c>
      <c r="J210" s="381"/>
      <c r="K210" s="381">
        <f>I210-F210</f>
        <v>769850.80864768475</v>
      </c>
      <c r="L210" s="194"/>
      <c r="M210" s="276"/>
      <c r="N210" s="276"/>
      <c r="O210" s="285"/>
    </row>
    <row r="211" spans="2:15" x14ac:dyDescent="0.25">
      <c r="B211" s="95" t="s">
        <v>220</v>
      </c>
      <c r="C211" s="77"/>
      <c r="D211" s="26">
        <f>D115</f>
        <v>9748488.4229263552</v>
      </c>
      <c r="E211" s="288"/>
      <c r="F211" s="381">
        <f>F199+F205</f>
        <v>4667048.7012883462</v>
      </c>
      <c r="G211" s="382"/>
      <c r="H211" s="382"/>
      <c r="I211" s="381">
        <f>I199+I205</f>
        <v>4667165.4077333454</v>
      </c>
      <c r="J211" s="381"/>
      <c r="K211" s="381">
        <f>I211-F211</f>
        <v>116.70644499920309</v>
      </c>
      <c r="L211" s="194"/>
      <c r="M211" s="276"/>
      <c r="N211" s="276"/>
      <c r="O211" s="285"/>
    </row>
    <row r="212" spans="2:15" x14ac:dyDescent="0.25">
      <c r="B212" s="95" t="s">
        <v>221</v>
      </c>
      <c r="C212" s="77"/>
      <c r="D212" s="26">
        <f>D184</f>
        <v>123778170.49320194</v>
      </c>
      <c r="E212" s="288"/>
      <c r="F212" s="381">
        <f>F200+F206</f>
        <v>11000268.980389617</v>
      </c>
      <c r="G212" s="382"/>
      <c r="H212" s="382"/>
      <c r="I212" s="381">
        <f>I200+I206</f>
        <v>12247047.578902029</v>
      </c>
      <c r="J212" s="381"/>
      <c r="K212" s="381">
        <f>I212-F212</f>
        <v>1246778.5985124111</v>
      </c>
      <c r="L212" s="194"/>
      <c r="M212" s="276"/>
      <c r="N212" s="276"/>
      <c r="O212" s="285"/>
    </row>
    <row r="213" spans="2:15" x14ac:dyDescent="0.25">
      <c r="B213" s="95" t="s">
        <v>0</v>
      </c>
      <c r="C213" s="77"/>
      <c r="D213" s="78">
        <f>SUM(D210:D212)</f>
        <v>224484630.11974847</v>
      </c>
      <c r="E213" s="288"/>
      <c r="F213" s="383">
        <f>SUM(F210:F212)</f>
        <v>28695152.277864233</v>
      </c>
      <c r="G213" s="382"/>
      <c r="H213" s="382"/>
      <c r="I213" s="383">
        <f>SUM(I210:I212)</f>
        <v>30711898.39146933</v>
      </c>
      <c r="J213" s="381"/>
      <c r="K213" s="383">
        <f>SUM(K210:K212)</f>
        <v>2016746.1136050951</v>
      </c>
      <c r="L213" s="194"/>
      <c r="M213" s="276"/>
      <c r="N213" s="276"/>
      <c r="O213" s="285"/>
    </row>
    <row r="214" spans="2:15" x14ac:dyDescent="0.25">
      <c r="C214" s="77"/>
      <c r="D214" s="26"/>
      <c r="E214" s="288"/>
      <c r="F214" s="381"/>
      <c r="G214" s="382"/>
      <c r="H214" s="382"/>
      <c r="I214" s="381"/>
      <c r="J214" s="381"/>
      <c r="K214" s="381"/>
      <c r="L214" s="194"/>
      <c r="M214" s="276"/>
      <c r="N214" s="276"/>
      <c r="O214" s="285"/>
    </row>
    <row r="215" spans="2:15" ht="13" x14ac:dyDescent="0.3">
      <c r="B215" s="155" t="s">
        <v>222</v>
      </c>
      <c r="E215" s="71"/>
      <c r="F215" s="384"/>
      <c r="G215" s="385"/>
      <c r="H215" s="386"/>
      <c r="I215" s="384"/>
      <c r="J215" s="384"/>
      <c r="K215" s="384"/>
      <c r="O215" s="258"/>
    </row>
    <row r="216" spans="2:15" x14ac:dyDescent="0.25">
      <c r="B216" s="156" t="s">
        <v>0</v>
      </c>
      <c r="D216" s="10">
        <f>'Rate Design Res'!D13+'Rate Design Res'!D24+'Rate Design Res'!D37+'Rate Design C&amp;I'!D36+'Rate Design C&amp;I'!D95+'Rate Design Int &amp; Trans'!D59+'Rate Design Int &amp; Trans'!D115+'Rate Design Int &amp; Trans'!D184</f>
        <v>1154247841.2448504</v>
      </c>
      <c r="E216" s="84"/>
      <c r="F216" s="388">
        <f>'Rate Design Res'!F18+'Rate Design Res'!F29+'Rate Design Res'!F41+'Rate Design C&amp;I'!F41+'Rate Design C&amp;I'!F105+'Rate Design Int &amp; Trans'!F67+'Rate Design Int &amp; Trans'!F123+'Rate Design Int &amp; Trans'!F192</f>
        <v>749083007.88678718</v>
      </c>
      <c r="G216" s="382"/>
      <c r="H216" s="386"/>
      <c r="I216" s="388">
        <f>'Rate Design Res'!I18+'Rate Design Res'!I29+'Rate Design Res'!I41+'Rate Design C&amp;I'!I41+'Rate Design C&amp;I'!I105+'Rate Design Int &amp; Trans'!I67+'Rate Design Int &amp; Trans'!I123+'Rate Design Int &amp; Trans'!I192</f>
        <v>832586189.36071002</v>
      </c>
      <c r="J216" s="384"/>
      <c r="K216" s="384">
        <f>I216-F216</f>
        <v>83503181.473922849</v>
      </c>
      <c r="L216" s="389">
        <f>K216/F216</f>
        <v>0.11147386951079141</v>
      </c>
      <c r="O216" s="258"/>
    </row>
    <row r="217" spans="2:15" x14ac:dyDescent="0.25">
      <c r="B217" s="156" t="s">
        <v>223</v>
      </c>
      <c r="D217" s="7">
        <v>37056427.854413897</v>
      </c>
      <c r="E217" s="84"/>
      <c r="F217" s="390">
        <v>1718916.583166973</v>
      </c>
      <c r="G217" s="382"/>
      <c r="H217" s="386"/>
      <c r="I217" s="390">
        <v>1757519.5213237838</v>
      </c>
      <c r="J217" s="384"/>
      <c r="K217" s="384">
        <f>I217-F217</f>
        <v>38602.938156810822</v>
      </c>
      <c r="L217" s="389">
        <f>K217/F217</f>
        <v>2.2457714664482348E-2</v>
      </c>
      <c r="O217" s="258"/>
    </row>
    <row r="218" spans="2:15" x14ac:dyDescent="0.25">
      <c r="B218" s="156" t="s">
        <v>224</v>
      </c>
      <c r="E218" s="84"/>
      <c r="F218" s="390">
        <v>5310380.6899999985</v>
      </c>
      <c r="G218" s="382"/>
      <c r="H218" s="386"/>
      <c r="I218" s="390">
        <v>4612100.6799999988</v>
      </c>
      <c r="J218" s="384"/>
      <c r="K218" s="384">
        <f>I218-F218</f>
        <v>-698280.00999999978</v>
      </c>
      <c r="L218" s="389">
        <f>K218/F218</f>
        <v>-0.13149339958149026</v>
      </c>
      <c r="O218" s="258"/>
    </row>
    <row r="219" spans="2:15" x14ac:dyDescent="0.25">
      <c r="B219" s="156" t="s">
        <v>225</v>
      </c>
      <c r="D219" s="39">
        <f>SUM(D216:D218)</f>
        <v>1191304269.0992644</v>
      </c>
      <c r="E219" s="84"/>
      <c r="F219" s="383">
        <f>SUM(F216:F218)</f>
        <v>756112305.15995419</v>
      </c>
      <c r="G219" s="382"/>
      <c r="H219" s="386"/>
      <c r="I219" s="383">
        <f>SUM(I216:I218)</f>
        <v>838955809.56203377</v>
      </c>
      <c r="J219" s="384"/>
      <c r="K219" s="383">
        <f>SUM(K216:K218)</f>
        <v>82843504.402079657</v>
      </c>
      <c r="L219" s="389">
        <f>K219/F219</f>
        <v>0.10956507893963485</v>
      </c>
      <c r="O219" s="258"/>
    </row>
    <row r="220" spans="2:15" x14ac:dyDescent="0.25">
      <c r="B220" s="391"/>
      <c r="C220" s="94"/>
      <c r="D220" s="7"/>
      <c r="E220" s="84"/>
      <c r="F220" s="392"/>
      <c r="G220" s="382"/>
      <c r="H220" s="386"/>
      <c r="I220" s="392"/>
      <c r="J220" s="384"/>
      <c r="K220" s="392"/>
      <c r="L220" s="389"/>
    </row>
    <row r="221" spans="2:15" x14ac:dyDescent="0.25">
      <c r="B221" s="95" t="s">
        <v>185</v>
      </c>
      <c r="E221" s="84"/>
      <c r="F221" s="381"/>
      <c r="G221" s="382"/>
      <c r="H221" s="386"/>
      <c r="I221" s="381"/>
      <c r="J221" s="384"/>
      <c r="K221" s="381"/>
    </row>
    <row r="222" spans="2:15" ht="13" thickBot="1" x14ac:dyDescent="0.3">
      <c r="F222" s="381"/>
      <c r="G222" s="382"/>
      <c r="H222" s="386"/>
      <c r="I222" s="381"/>
      <c r="J222" s="384"/>
      <c r="K222" s="381"/>
    </row>
    <row r="223" spans="2:15" x14ac:dyDescent="0.25">
      <c r="B223" s="393" t="s">
        <v>14</v>
      </c>
      <c r="C223" s="394"/>
      <c r="D223" s="395">
        <v>0</v>
      </c>
      <c r="E223" s="396"/>
      <c r="F223" s="397">
        <v>2.1263562142848969E-2</v>
      </c>
      <c r="G223" s="382"/>
      <c r="H223" s="386"/>
      <c r="I223" s="384"/>
      <c r="J223" s="384"/>
      <c r="K223" s="384"/>
    </row>
    <row r="224" spans="2:15" ht="13" thickBot="1" x14ac:dyDescent="0.3">
      <c r="B224" s="398" t="s">
        <v>14</v>
      </c>
      <c r="C224" s="399"/>
      <c r="D224" s="400">
        <v>0</v>
      </c>
      <c r="E224" s="401"/>
      <c r="F224" s="402">
        <v>1.1254310607910156E-2</v>
      </c>
    </row>
    <row r="226" spans="4:4" x14ac:dyDescent="0.25">
      <c r="D226" s="215"/>
    </row>
  </sheetData>
  <mergeCells count="1">
    <mergeCell ref="K7:L7"/>
  </mergeCells>
  <printOptions horizontalCentered="1"/>
  <pageMargins left="0.5" right="0.5" top="1" bottom="1" header="0.75" footer="0.5"/>
  <pageSetup scale="74" fitToHeight="2" orientation="landscape" blackAndWhite="1" r:id="rId1"/>
  <headerFooter alignWithMargins="0">
    <oddFooter>&amp;RExhibit JDT-14
                   Page &amp;P of &amp;N</oddFooter>
  </headerFooter>
  <rowBreaks count="5" manualBreakCount="5">
    <brk id="46" max="16383" man="1"/>
    <brk id="88" min="1" max="16" man="1"/>
    <brk id="125" min="1" max="16" man="1"/>
    <brk id="167" min="1" max="16" man="1"/>
    <brk id="194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zoomScale="90" zoomScaleNormal="90" workbookViewId="0">
      <pane xSplit="3" ySplit="9" topLeftCell="D10" activePane="bottomRight" state="frozenSplit"/>
      <selection activeCell="F8" sqref="F8"/>
      <selection pane="topRight" activeCell="F8" sqref="F8"/>
      <selection pane="bottomLeft" activeCell="F8" sqref="F8"/>
      <selection pane="bottomRight" activeCell="I25" sqref="I25"/>
    </sheetView>
  </sheetViews>
  <sheetFormatPr defaultRowHeight="14.5" x14ac:dyDescent="0.35"/>
  <cols>
    <col min="1" max="1" width="2.81640625" customWidth="1"/>
    <col min="2" max="2" width="37.54296875" customWidth="1"/>
    <col min="3" max="3" width="8.453125" bestFit="1" customWidth="1"/>
    <col min="4" max="4" width="15" customWidth="1"/>
    <col min="5" max="5" width="14.54296875" bestFit="1" customWidth="1"/>
    <col min="6" max="6" width="11.7265625" customWidth="1"/>
    <col min="7" max="7" width="15" customWidth="1"/>
    <col min="8" max="8" width="15.54296875" customWidth="1"/>
    <col min="9" max="9" width="14.54296875" customWidth="1"/>
    <col min="10" max="11" width="13.26953125" customWidth="1"/>
    <col min="12" max="12" width="12.1796875" customWidth="1"/>
    <col min="13" max="13" width="13.26953125" customWidth="1"/>
    <col min="14" max="14" width="14" customWidth="1"/>
    <col min="15" max="15" width="11.26953125" customWidth="1"/>
    <col min="16" max="16" width="12.81640625" customWidth="1"/>
    <col min="17" max="18" width="13.26953125" customWidth="1"/>
    <col min="19" max="19" width="15.7265625" customWidth="1"/>
    <col min="20" max="20" width="11.7265625" customWidth="1"/>
    <col min="21" max="21" width="7.81640625" customWidth="1"/>
    <col min="22" max="22" width="13.7265625" bestFit="1" customWidth="1"/>
  </cols>
  <sheetData>
    <row r="1" spans="2:23" x14ac:dyDescent="0.35">
      <c r="B1" s="626" t="s">
        <v>13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</row>
    <row r="2" spans="2:23" x14ac:dyDescent="0.35">
      <c r="B2" s="626" t="s">
        <v>266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</row>
    <row r="3" spans="2:23" x14ac:dyDescent="0.35">
      <c r="B3" s="627" t="s">
        <v>267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</row>
    <row r="4" spans="2:23" x14ac:dyDescent="0.35">
      <c r="B4" s="627" t="s">
        <v>268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</row>
    <row r="5" spans="2:23" x14ac:dyDescent="0.35">
      <c r="F5" s="490"/>
      <c r="N5" s="490"/>
      <c r="R5" s="490"/>
    </row>
    <row r="6" spans="2:23" x14ac:dyDescent="0.35">
      <c r="F6" s="490"/>
      <c r="G6" s="491" t="s">
        <v>269</v>
      </c>
      <c r="N6" s="490"/>
      <c r="R6" s="490"/>
    </row>
    <row r="7" spans="2:23" x14ac:dyDescent="0.35">
      <c r="B7" s="491"/>
      <c r="C7" s="491"/>
      <c r="D7" s="491" t="s">
        <v>228</v>
      </c>
      <c r="E7" s="491" t="s">
        <v>228</v>
      </c>
      <c r="F7" s="491"/>
      <c r="G7" s="491" t="s">
        <v>129</v>
      </c>
      <c r="H7" s="490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2" t="s">
        <v>270</v>
      </c>
      <c r="T7" s="492" t="s">
        <v>150</v>
      </c>
      <c r="U7" s="491"/>
    </row>
    <row r="8" spans="2:23" x14ac:dyDescent="0.35">
      <c r="B8" s="491"/>
      <c r="C8" s="491" t="s">
        <v>12</v>
      </c>
      <c r="D8" s="491" t="s">
        <v>11</v>
      </c>
      <c r="E8" s="491" t="s">
        <v>10</v>
      </c>
      <c r="F8" s="491" t="s">
        <v>271</v>
      </c>
      <c r="G8" s="492" t="s">
        <v>272</v>
      </c>
      <c r="H8" s="490" t="s">
        <v>269</v>
      </c>
      <c r="I8" s="491" t="s">
        <v>273</v>
      </c>
      <c r="J8" s="491" t="s">
        <v>274</v>
      </c>
      <c r="K8" s="491" t="s">
        <v>275</v>
      </c>
      <c r="L8" s="491" t="s">
        <v>276</v>
      </c>
      <c r="M8" s="491" t="s">
        <v>99</v>
      </c>
      <c r="N8" s="491" t="s">
        <v>151</v>
      </c>
      <c r="O8" s="491" t="s">
        <v>277</v>
      </c>
      <c r="P8" s="491" t="s">
        <v>238</v>
      </c>
      <c r="Q8" s="491" t="s">
        <v>278</v>
      </c>
      <c r="R8" s="491" t="s">
        <v>9</v>
      </c>
      <c r="S8" s="491" t="s">
        <v>279</v>
      </c>
      <c r="T8" s="491" t="s">
        <v>6</v>
      </c>
      <c r="U8" s="491" t="s">
        <v>102</v>
      </c>
    </row>
    <row r="9" spans="2:23" ht="16.5" x14ac:dyDescent="0.35">
      <c r="B9" s="622" t="s">
        <v>8</v>
      </c>
      <c r="C9" s="622" t="s">
        <v>7</v>
      </c>
      <c r="D9" s="622" t="s">
        <v>280</v>
      </c>
      <c r="E9" s="622" t="s">
        <v>281</v>
      </c>
      <c r="F9" s="622" t="s">
        <v>282</v>
      </c>
      <c r="G9" s="493" t="s">
        <v>283</v>
      </c>
      <c r="H9" s="622" t="s">
        <v>284</v>
      </c>
      <c r="I9" s="622" t="s">
        <v>6</v>
      </c>
      <c r="J9" s="622" t="s">
        <v>6</v>
      </c>
      <c r="K9" s="622" t="s">
        <v>6</v>
      </c>
      <c r="L9" s="622" t="s">
        <v>6</v>
      </c>
      <c r="M9" s="622" t="s">
        <v>6</v>
      </c>
      <c r="N9" s="622" t="s">
        <v>6</v>
      </c>
      <c r="O9" s="622" t="s">
        <v>6</v>
      </c>
      <c r="P9" s="622" t="s">
        <v>6</v>
      </c>
      <c r="Q9" s="622" t="s">
        <v>6</v>
      </c>
      <c r="R9" s="622" t="s">
        <v>6</v>
      </c>
      <c r="S9" s="494" t="s">
        <v>285</v>
      </c>
      <c r="T9" s="622" t="s">
        <v>103</v>
      </c>
      <c r="U9" s="622" t="s">
        <v>103</v>
      </c>
    </row>
    <row r="10" spans="2:23" x14ac:dyDescent="0.35">
      <c r="B10" s="491" t="s">
        <v>104</v>
      </c>
      <c r="C10" s="491" t="s">
        <v>105</v>
      </c>
      <c r="D10" s="495" t="s">
        <v>106</v>
      </c>
      <c r="E10" s="496" t="s">
        <v>107</v>
      </c>
      <c r="F10" s="491" t="s">
        <v>286</v>
      </c>
      <c r="G10" s="491" t="s">
        <v>287</v>
      </c>
      <c r="H10" s="491" t="s">
        <v>288</v>
      </c>
      <c r="I10" s="491" t="s">
        <v>108</v>
      </c>
      <c r="J10" s="491" t="s">
        <v>109</v>
      </c>
      <c r="K10" s="491" t="s">
        <v>110</v>
      </c>
      <c r="L10" s="496" t="s">
        <v>289</v>
      </c>
      <c r="M10" s="491" t="s">
        <v>290</v>
      </c>
      <c r="N10" s="496" t="s">
        <v>291</v>
      </c>
      <c r="O10" s="491" t="s">
        <v>292</v>
      </c>
      <c r="P10" s="496" t="s">
        <v>293</v>
      </c>
      <c r="Q10" s="496" t="s">
        <v>294</v>
      </c>
      <c r="R10" s="491" t="s">
        <v>295</v>
      </c>
      <c r="S10" s="497" t="s">
        <v>296</v>
      </c>
      <c r="T10" s="491" t="s">
        <v>297</v>
      </c>
      <c r="U10" s="491" t="s">
        <v>298</v>
      </c>
    </row>
    <row r="11" spans="2:23" x14ac:dyDescent="0.35">
      <c r="B11" t="s">
        <v>5</v>
      </c>
      <c r="C11" s="498" t="s">
        <v>299</v>
      </c>
      <c r="D11" s="616">
        <v>609248315.15931809</v>
      </c>
      <c r="E11" s="505">
        <v>369409021.81868041</v>
      </c>
      <c r="F11" s="501">
        <f t="shared" ref="F11:F16" si="0">(E11)/D11</f>
        <v>0.60633572982812456</v>
      </c>
      <c r="G11" s="616">
        <v>635902657</v>
      </c>
      <c r="H11" s="502">
        <f>F11*G11</f>
        <v>385570501.63173854</v>
      </c>
      <c r="I11" s="505">
        <v>242463324.09</v>
      </c>
      <c r="J11" s="505">
        <v>30695021.25</v>
      </c>
      <c r="K11" s="505">
        <v>12838874.64483</v>
      </c>
      <c r="L11" s="505">
        <f>'Schedule 129'!G9</f>
        <v>4457677.6255700001</v>
      </c>
      <c r="M11" s="505">
        <v>14466785.44675</v>
      </c>
      <c r="N11" s="505">
        <v>-8826328.87916</v>
      </c>
      <c r="O11" s="505">
        <v>-432413.80676000001</v>
      </c>
      <c r="P11" s="505">
        <v>-871186.64008999988</v>
      </c>
      <c r="Q11" s="505">
        <v>14320527.84</v>
      </c>
      <c r="R11" s="505">
        <v>11255477.028900001</v>
      </c>
      <c r="S11" s="503">
        <f>SUM(H11:R11)</f>
        <v>705938260.23177874</v>
      </c>
      <c r="T11" s="500">
        <f>'Schedule 129'!I9</f>
        <v>-2136632.9275199999</v>
      </c>
      <c r="U11" s="504">
        <f>T11/S11</f>
        <v>-3.0266569300528988E-3</v>
      </c>
      <c r="V11" s="511"/>
      <c r="W11" s="511"/>
    </row>
    <row r="12" spans="2:23" x14ac:dyDescent="0.35">
      <c r="B12" t="s">
        <v>300</v>
      </c>
      <c r="C12" s="498">
        <v>16</v>
      </c>
      <c r="D12" s="616">
        <v>9386</v>
      </c>
      <c r="E12" s="505">
        <v>5636.54</v>
      </c>
      <c r="F12" s="501">
        <f t="shared" si="0"/>
        <v>0.60052631578947369</v>
      </c>
      <c r="G12" s="616">
        <v>8832</v>
      </c>
      <c r="H12" s="502">
        <f t="shared" ref="H12:H23" si="1">F12*G12</f>
        <v>5303.8484210526312</v>
      </c>
      <c r="I12" s="505">
        <v>3367.55</v>
      </c>
      <c r="J12" s="505">
        <v>426.32</v>
      </c>
      <c r="K12" s="505">
        <v>178.31808000000001</v>
      </c>
      <c r="L12" s="505"/>
      <c r="M12" s="505">
        <v>200.928</v>
      </c>
      <c r="N12" s="505">
        <v>-122.58816</v>
      </c>
      <c r="O12" s="505">
        <v>-6.0057600000000004</v>
      </c>
      <c r="P12" s="505">
        <v>-12.099839999999999</v>
      </c>
      <c r="Q12" s="505"/>
      <c r="R12" s="505">
        <v>156.32640000000001</v>
      </c>
      <c r="S12" s="503">
        <f t="shared" ref="S12:S23" si="2">SUM(H12:R12)</f>
        <v>9492.5971410526327</v>
      </c>
      <c r="T12" s="500"/>
      <c r="U12" s="504">
        <f t="shared" ref="U12:U24" si="3">T12/S12</f>
        <v>0</v>
      </c>
      <c r="V12" s="511"/>
      <c r="W12" s="511"/>
    </row>
    <row r="13" spans="2:23" x14ac:dyDescent="0.35">
      <c r="B13" t="s">
        <v>301</v>
      </c>
      <c r="C13" s="498">
        <v>31</v>
      </c>
      <c r="D13" s="616">
        <v>234140158.08963937</v>
      </c>
      <c r="E13" s="505">
        <v>117941137.18000001</v>
      </c>
      <c r="F13" s="501">
        <f t="shared" si="0"/>
        <v>0.50372024236375057</v>
      </c>
      <c r="G13" s="616">
        <v>237048169</v>
      </c>
      <c r="H13" s="502">
        <f t="shared" si="1"/>
        <v>119405961.14056331</v>
      </c>
      <c r="I13" s="505">
        <v>88454524.260000005</v>
      </c>
      <c r="J13" s="505">
        <v>11406757.890000001</v>
      </c>
      <c r="K13" s="505">
        <v>4786002.53211</v>
      </c>
      <c r="L13" s="505">
        <f>'Schedule 129'!G11</f>
        <v>1317987.8196399999</v>
      </c>
      <c r="M13" s="505">
        <v>6239107.8080799999</v>
      </c>
      <c r="N13" s="505">
        <v>-3543870.1265500002</v>
      </c>
      <c r="O13" s="505">
        <v>-170674.68168000001</v>
      </c>
      <c r="P13" s="505">
        <v>-348460.80842999998</v>
      </c>
      <c r="Q13" s="505">
        <v>7651914.8999999994</v>
      </c>
      <c r="R13" s="505">
        <v>4456505.5772000002</v>
      </c>
      <c r="S13" s="503">
        <f t="shared" si="2"/>
        <v>239655756.31093332</v>
      </c>
      <c r="T13" s="500">
        <f>'Schedule 129'!I11</f>
        <v>-587879.4591199999</v>
      </c>
      <c r="U13" s="504">
        <f t="shared" si="3"/>
        <v>-2.4530162269804836E-3</v>
      </c>
      <c r="V13" s="511"/>
      <c r="W13" s="511"/>
    </row>
    <row r="14" spans="2:23" x14ac:dyDescent="0.35">
      <c r="B14" t="s">
        <v>302</v>
      </c>
      <c r="C14" s="498">
        <v>41</v>
      </c>
      <c r="D14" s="616">
        <v>65836657.463465497</v>
      </c>
      <c r="E14" s="505">
        <v>16769592.583254175</v>
      </c>
      <c r="F14" s="501">
        <f t="shared" si="0"/>
        <v>0.25471512724594297</v>
      </c>
      <c r="G14" s="616">
        <v>66323227</v>
      </c>
      <c r="H14" s="502">
        <f t="shared" si="1"/>
        <v>16893529.204666562</v>
      </c>
      <c r="I14" s="505">
        <v>22169888.27</v>
      </c>
      <c r="J14" s="505">
        <v>3149690.05</v>
      </c>
      <c r="K14" s="505">
        <v>1339065.95313</v>
      </c>
      <c r="L14" s="505">
        <f>'Schedule 129'!G14</f>
        <v>202285.84235000002</v>
      </c>
      <c r="M14" s="505">
        <v>582981.16532999999</v>
      </c>
      <c r="N14" s="505">
        <v>-378042.39390000002</v>
      </c>
      <c r="O14" s="505">
        <v>-19233.735830000001</v>
      </c>
      <c r="P14" s="505">
        <v>-37141.007119999995</v>
      </c>
      <c r="Q14" s="505">
        <v>-1326961.94</v>
      </c>
      <c r="R14" s="505">
        <v>614816.31429000001</v>
      </c>
      <c r="S14" s="503">
        <f t="shared" si="2"/>
        <v>43190877.722916566</v>
      </c>
      <c r="T14" s="500">
        <f>'Schedule 129'!I14</f>
        <v>-103464.23412000002</v>
      </c>
      <c r="U14" s="504">
        <f t="shared" si="3"/>
        <v>-2.3955112647572599E-3</v>
      </c>
      <c r="V14" s="511"/>
      <c r="W14" s="511"/>
    </row>
    <row r="15" spans="2:23" x14ac:dyDescent="0.35">
      <c r="B15" t="s">
        <v>4</v>
      </c>
      <c r="C15" s="498">
        <v>85</v>
      </c>
      <c r="D15" s="616">
        <v>16184434.068649083</v>
      </c>
      <c r="E15" s="505">
        <v>1712016.4100000001</v>
      </c>
      <c r="F15" s="501">
        <f t="shared" si="0"/>
        <v>0.10578166667664657</v>
      </c>
      <c r="G15" s="616">
        <v>12091868</v>
      </c>
      <c r="H15" s="502">
        <f t="shared" si="1"/>
        <v>1279097.950274009</v>
      </c>
      <c r="I15" s="505">
        <v>3726032.75</v>
      </c>
      <c r="J15" s="505">
        <v>568922.39</v>
      </c>
      <c r="K15" s="505">
        <v>202901.54504</v>
      </c>
      <c r="L15" s="505">
        <f>'Schedule 129'!G21</f>
        <v>17167.661663971783</v>
      </c>
      <c r="M15" s="505">
        <v>58645.559800000003</v>
      </c>
      <c r="N15" s="505">
        <v>-32648.043600000001</v>
      </c>
      <c r="O15" s="505">
        <v>-1934.6988800000001</v>
      </c>
      <c r="P15" s="505">
        <v>-3264.8043600000001</v>
      </c>
      <c r="Q15" s="505"/>
      <c r="R15" s="505">
        <v>59854.746600000006</v>
      </c>
      <c r="S15" s="503">
        <f t="shared" si="2"/>
        <v>5874775.0565379802</v>
      </c>
      <c r="T15" s="500">
        <f>'Schedule 129'!I21</f>
        <v>-8190.1918859605257</v>
      </c>
      <c r="U15" s="504">
        <f t="shared" si="3"/>
        <v>-1.3941285933740969E-3</v>
      </c>
      <c r="V15" s="511"/>
      <c r="W15" s="511"/>
    </row>
    <row r="16" spans="2:23" x14ac:dyDescent="0.35">
      <c r="B16" t="s">
        <v>303</v>
      </c>
      <c r="C16" s="498">
        <v>86</v>
      </c>
      <c r="D16" s="616">
        <v>9397200.2729263548</v>
      </c>
      <c r="E16" s="505">
        <v>1992002.78</v>
      </c>
      <c r="F16" s="501">
        <f t="shared" si="0"/>
        <v>0.21197832568696295</v>
      </c>
      <c r="G16" s="616">
        <v>6161401</v>
      </c>
      <c r="H16" s="502">
        <f t="shared" si="1"/>
        <v>1306083.4678659793</v>
      </c>
      <c r="I16" s="505">
        <v>2021324.5099999998</v>
      </c>
      <c r="J16" s="505">
        <v>291126.2</v>
      </c>
      <c r="K16" s="505">
        <v>103388.30877999999</v>
      </c>
      <c r="L16" s="505">
        <f>'Schedule 129'!G23</f>
        <v>18237.74696</v>
      </c>
      <c r="M16" s="505">
        <v>66851.200850000008</v>
      </c>
      <c r="N16" s="505">
        <v>-20825.535380000001</v>
      </c>
      <c r="O16" s="505">
        <v>-1971.6483200000002</v>
      </c>
      <c r="P16" s="505">
        <v>-2033.26233</v>
      </c>
      <c r="Q16" s="505">
        <v>-107075.37</v>
      </c>
      <c r="R16" s="505">
        <v>54343.556819999998</v>
      </c>
      <c r="S16" s="503">
        <f t="shared" si="2"/>
        <v>3729449.1752459798</v>
      </c>
      <c r="T16" s="500">
        <f>'Schedule 129'!I23</f>
        <v>-10166.31165</v>
      </c>
      <c r="U16" s="504">
        <f t="shared" si="3"/>
        <v>-2.7259552744352575E-3</v>
      </c>
      <c r="V16" s="511"/>
      <c r="W16" s="511"/>
    </row>
    <row r="17" spans="2:23" x14ac:dyDescent="0.35">
      <c r="B17" t="s">
        <v>304</v>
      </c>
      <c r="C17" s="498">
        <v>87</v>
      </c>
      <c r="D17" s="616">
        <v>23337042.118500695</v>
      </c>
      <c r="E17" s="505">
        <v>1405341.91</v>
      </c>
      <c r="F17" s="501">
        <f>(E17)/D17</f>
        <v>6.0219367255882859E-2</v>
      </c>
      <c r="G17" s="616">
        <v>17360057</v>
      </c>
      <c r="H17" s="502">
        <f t="shared" si="1"/>
        <v>1045411.64806606</v>
      </c>
      <c r="I17" s="505">
        <v>5413560.1699999999</v>
      </c>
      <c r="J17" s="505">
        <v>817311.48</v>
      </c>
      <c r="K17" s="505">
        <v>291301.75646</v>
      </c>
      <c r="L17" s="505">
        <f>'Schedule 129'!G33</f>
        <v>10143.406650551507</v>
      </c>
      <c r="M17" s="505">
        <v>45830.550479999998</v>
      </c>
      <c r="N17" s="505">
        <v>-24651.280940000001</v>
      </c>
      <c r="O17" s="505">
        <v>-1388.80456</v>
      </c>
      <c r="P17" s="505">
        <v>-2430.40798</v>
      </c>
      <c r="Q17" s="505"/>
      <c r="R17" s="505">
        <v>50344.165299999993</v>
      </c>
      <c r="S17" s="503">
        <f t="shared" si="2"/>
        <v>7645432.6834766101</v>
      </c>
      <c r="T17" s="500">
        <f>'Schedule 129'!I33</f>
        <v>-5023.3420421747696</v>
      </c>
      <c r="U17" s="504">
        <f t="shared" si="3"/>
        <v>-6.570382933370494E-4</v>
      </c>
      <c r="V17" s="511"/>
      <c r="W17" s="511"/>
    </row>
    <row r="18" spans="2:23" x14ac:dyDescent="0.35">
      <c r="B18" t="s">
        <v>305</v>
      </c>
      <c r="C18" s="498" t="s">
        <v>306</v>
      </c>
      <c r="D18" s="616">
        <v>36359.963605097219</v>
      </c>
      <c r="E18" s="505">
        <v>25456.9</v>
      </c>
      <c r="F18" s="501">
        <f>(E18)/D18</f>
        <v>0.70013546428388773</v>
      </c>
      <c r="G18" s="616">
        <v>35180</v>
      </c>
      <c r="H18" s="502">
        <f t="shared" si="1"/>
        <v>24630.76563350717</v>
      </c>
      <c r="I18" s="505"/>
      <c r="J18" s="505"/>
      <c r="K18" s="505"/>
      <c r="L18" s="505">
        <f>'Schedule 129'!G12</f>
        <v>195.60079999999999</v>
      </c>
      <c r="M18" s="505">
        <v>925.93759999999997</v>
      </c>
      <c r="N18" s="505">
        <v>-525.94100000000003</v>
      </c>
      <c r="O18" s="505">
        <v>-25.329600000000003</v>
      </c>
      <c r="P18" s="505">
        <v>-51.714599999999997</v>
      </c>
      <c r="Q18" s="505">
        <v>1096.56</v>
      </c>
      <c r="R18" s="505">
        <v>661.38400000000001</v>
      </c>
      <c r="S18" s="503">
        <f t="shared" si="2"/>
        <v>26907.262833507171</v>
      </c>
      <c r="T18" s="500">
        <f>'Schedule 129'!I12</f>
        <v>-87.246399999999994</v>
      </c>
      <c r="U18" s="504">
        <f t="shared" si="3"/>
        <v>-3.2424851438754851E-3</v>
      </c>
      <c r="V18" s="511"/>
      <c r="W18" s="511"/>
    </row>
    <row r="19" spans="2:23" x14ac:dyDescent="0.35">
      <c r="B19" t="s">
        <v>307</v>
      </c>
      <c r="C19" t="s">
        <v>308</v>
      </c>
      <c r="D19" s="616">
        <v>20492334.449073859</v>
      </c>
      <c r="E19" s="505">
        <v>4419777.9054754293</v>
      </c>
      <c r="F19" s="501">
        <f t="shared" ref="F19:F24" si="4">(E19)/D19</f>
        <v>0.21567957113227668</v>
      </c>
      <c r="G19" s="616">
        <v>24194615</v>
      </c>
      <c r="H19" s="502">
        <f>F19*G19</f>
        <v>5218284.1869105482</v>
      </c>
      <c r="I19" s="505"/>
      <c r="J19" s="505"/>
      <c r="K19" s="505"/>
      <c r="L19" s="505">
        <f>'Schedule 129'!G15</f>
        <v>73793.575750000004</v>
      </c>
      <c r="M19" s="505">
        <v>212670.66584999999</v>
      </c>
      <c r="N19" s="505">
        <v>-137909.30550000002</v>
      </c>
      <c r="O19" s="505">
        <v>-7016.4383500000004</v>
      </c>
      <c r="P19" s="505">
        <v>-13548.984399999999</v>
      </c>
      <c r="Q19" s="505">
        <v>-423080.44</v>
      </c>
      <c r="R19" s="505">
        <v>224284.08105000001</v>
      </c>
      <c r="S19" s="503">
        <f>SUM(H19:R19)</f>
        <v>5147477.3413105477</v>
      </c>
      <c r="T19" s="500">
        <f>'Schedule 129'!I15</f>
        <v>-37743.599400000006</v>
      </c>
      <c r="U19" s="504">
        <f t="shared" si="3"/>
        <v>-7.3324459531065147E-3</v>
      </c>
      <c r="V19" s="511"/>
      <c r="W19" s="511"/>
    </row>
    <row r="20" spans="2:23" x14ac:dyDescent="0.35">
      <c r="B20" t="s">
        <v>309</v>
      </c>
      <c r="C20" t="s">
        <v>3</v>
      </c>
      <c r="D20" s="616">
        <v>74773537.134971082</v>
      </c>
      <c r="E20" s="505">
        <v>7547127.8200000003</v>
      </c>
      <c r="F20" s="501">
        <f t="shared" si="4"/>
        <v>0.10093313903790516</v>
      </c>
      <c r="G20" s="616">
        <v>64033358</v>
      </c>
      <c r="H20" s="502">
        <f t="shared" si="1"/>
        <v>6463087.8260779567</v>
      </c>
      <c r="I20" s="505"/>
      <c r="J20" s="505"/>
      <c r="K20" s="505"/>
      <c r="L20" s="505">
        <f>'Schedule 129'!G39</f>
        <v>83349.89453711026</v>
      </c>
      <c r="M20" s="505">
        <v>310561.78630000004</v>
      </c>
      <c r="N20" s="505">
        <v>-172890.06660000002</v>
      </c>
      <c r="O20" s="505">
        <v>-10245.337280000002</v>
      </c>
      <c r="P20" s="505">
        <v>-17289.006659999999</v>
      </c>
      <c r="Q20" s="505"/>
      <c r="R20" s="505">
        <v>316965.12210000004</v>
      </c>
      <c r="S20" s="503">
        <f t="shared" si="2"/>
        <v>6973540.2184750661</v>
      </c>
      <c r="T20" s="500">
        <f>'Schedule 129'!I39</f>
        <v>-39830.645994702027</v>
      </c>
      <c r="U20" s="504">
        <f t="shared" si="3"/>
        <v>-5.7116822656558741E-3</v>
      </c>
      <c r="V20" s="511"/>
      <c r="W20" s="511"/>
    </row>
    <row r="21" spans="2:23" x14ac:dyDescent="0.35">
      <c r="B21" t="s">
        <v>310</v>
      </c>
      <c r="C21" t="s">
        <v>311</v>
      </c>
      <c r="D21" s="616">
        <v>351288.14999999997</v>
      </c>
      <c r="E21" s="505">
        <v>70216.179999999993</v>
      </c>
      <c r="F21" s="501">
        <f t="shared" si="4"/>
        <v>0.19988200569817113</v>
      </c>
      <c r="G21" s="616">
        <v>503073</v>
      </c>
      <c r="H21" s="502">
        <f t="shared" si="1"/>
        <v>100555.24025259605</v>
      </c>
      <c r="I21" s="505"/>
      <c r="J21" s="505"/>
      <c r="K21" s="505"/>
      <c r="L21" s="505">
        <f>'Schedule 129'!G24</f>
        <v>1489.09608</v>
      </c>
      <c r="M21" s="505">
        <v>5458.3420500000002</v>
      </c>
      <c r="N21" s="505">
        <v>-1700.3867400000001</v>
      </c>
      <c r="O21" s="505">
        <v>-160.98336</v>
      </c>
      <c r="P21" s="505">
        <v>-166.01409000000001</v>
      </c>
      <c r="Q21" s="505">
        <v>-8127.52</v>
      </c>
      <c r="R21" s="505">
        <v>4437.1038600000002</v>
      </c>
      <c r="S21" s="503">
        <f t="shared" si="2"/>
        <v>101784.87805259606</v>
      </c>
      <c r="T21" s="500">
        <f>'Schedule 129'!I24</f>
        <v>-830.07045000000005</v>
      </c>
      <c r="U21" s="504">
        <f t="shared" si="3"/>
        <v>-8.1551451048658876E-3</v>
      </c>
      <c r="V21" s="511"/>
      <c r="W21" s="511"/>
    </row>
    <row r="22" spans="2:23" x14ac:dyDescent="0.35">
      <c r="B22" t="s">
        <v>312</v>
      </c>
      <c r="C22" t="s">
        <v>2</v>
      </c>
      <c r="D22" s="616">
        <v>100441128.37470125</v>
      </c>
      <c r="E22" s="505">
        <v>4429994.87</v>
      </c>
      <c r="F22" s="501">
        <f>(E22)/D22</f>
        <v>4.4105387321751864E-2</v>
      </c>
      <c r="G22" s="616">
        <v>85387016</v>
      </c>
      <c r="H22" s="502">
        <f t="shared" si="1"/>
        <v>3766027.4129286236</v>
      </c>
      <c r="I22" s="505"/>
      <c r="J22" s="505"/>
      <c r="K22" s="505"/>
      <c r="L22" s="505">
        <f>'Schedule 129'!G48</f>
        <v>40850.906404107518</v>
      </c>
      <c r="M22" s="505">
        <v>225421.72224</v>
      </c>
      <c r="N22" s="505">
        <v>-121249.56272</v>
      </c>
      <c r="O22" s="505">
        <v>-6830.9612800000004</v>
      </c>
      <c r="P22" s="505">
        <v>-11954.182239999998</v>
      </c>
      <c r="Q22" s="505"/>
      <c r="R22" s="505">
        <v>247622.34639999998</v>
      </c>
      <c r="S22" s="503">
        <f t="shared" si="2"/>
        <v>4139887.6817327314</v>
      </c>
      <c r="T22" s="500">
        <f>'Schedule 129'!I48</f>
        <v>-20509.412540953308</v>
      </c>
      <c r="U22" s="504">
        <f t="shared" si="3"/>
        <v>-4.9540987866533584E-3</v>
      </c>
      <c r="V22" s="511"/>
      <c r="W22" s="511"/>
    </row>
    <row r="23" spans="2:23" x14ac:dyDescent="0.35">
      <c r="B23" t="s">
        <v>313</v>
      </c>
      <c r="D23" s="616">
        <v>37056427.854413897</v>
      </c>
      <c r="E23" s="505">
        <v>1757519.5213237838</v>
      </c>
      <c r="F23" s="506">
        <f t="shared" si="4"/>
        <v>4.7428195945617584E-2</v>
      </c>
      <c r="G23" s="616">
        <v>31668984</v>
      </c>
      <c r="H23" s="502">
        <f t="shared" si="1"/>
        <v>1502002.7785506281</v>
      </c>
      <c r="I23" s="505"/>
      <c r="J23" s="505"/>
      <c r="K23" s="505"/>
      <c r="L23" s="505"/>
      <c r="M23" s="505">
        <v>41486.369039999998</v>
      </c>
      <c r="N23" s="505">
        <v>-23435.048159999998</v>
      </c>
      <c r="O23" s="505">
        <v>-3483.58824</v>
      </c>
      <c r="P23" s="505">
        <v>-2216.82888</v>
      </c>
      <c r="Q23" s="505"/>
      <c r="R23" s="505">
        <v>21851.598959999999</v>
      </c>
      <c r="S23" s="503">
        <f t="shared" si="2"/>
        <v>1536205.2812706283</v>
      </c>
      <c r="T23" s="500"/>
      <c r="U23" s="504">
        <f t="shared" si="3"/>
        <v>0</v>
      </c>
    </row>
    <row r="24" spans="2:23" x14ac:dyDescent="0.35">
      <c r="B24" t="s">
        <v>0</v>
      </c>
      <c r="D24" s="507">
        <f>SUM(D11:D23)</f>
        <v>1191304269.0992641</v>
      </c>
      <c r="E24" s="508">
        <f>SUM(E11:E23)</f>
        <v>527484842.41873384</v>
      </c>
      <c r="F24" s="501">
        <f t="shared" si="4"/>
        <v>0.44277927654667182</v>
      </c>
      <c r="G24" s="507">
        <f>SUM(G11:G23)</f>
        <v>1180718437</v>
      </c>
      <c r="H24" s="508">
        <f>SUM(H11:H23)</f>
        <v>542580477.10194933</v>
      </c>
      <c r="I24" s="508">
        <f t="shared" ref="I24:K24" si="5">SUM(I11:I23)</f>
        <v>364252021.60000002</v>
      </c>
      <c r="J24" s="508">
        <f t="shared" si="5"/>
        <v>46929255.579999998</v>
      </c>
      <c r="K24" s="508">
        <f t="shared" si="5"/>
        <v>19561713.058430001</v>
      </c>
      <c r="L24" s="508">
        <f>SUM(L11:L23)</f>
        <v>6223179.1764057409</v>
      </c>
      <c r="M24" s="508">
        <f>SUM(M11:M23)</f>
        <v>22256927.48237</v>
      </c>
      <c r="N24" s="508">
        <f>SUM(N11:N23)</f>
        <v>-13284199.158410003</v>
      </c>
      <c r="O24" s="508">
        <f>SUM(O11:O23)</f>
        <v>-655386.01990000007</v>
      </c>
      <c r="P24" s="508">
        <f>SUM(P11:P23)</f>
        <v>-1309755.7610199996</v>
      </c>
      <c r="Q24" s="508">
        <f t="shared" ref="Q24:S24" si="6">SUM(Q11:Q23)</f>
        <v>20108294.029999994</v>
      </c>
      <c r="R24" s="508">
        <f t="shared" si="6"/>
        <v>17307319.351879999</v>
      </c>
      <c r="S24" s="509">
        <f t="shared" si="6"/>
        <v>1023969846.4417053</v>
      </c>
      <c r="T24" s="508">
        <f>SUM(T11:T23)</f>
        <v>-2950357.4411237906</v>
      </c>
      <c r="U24" s="510">
        <f t="shared" si="3"/>
        <v>-2.8812932835632623E-3</v>
      </c>
      <c r="V24" s="502"/>
    </row>
    <row r="25" spans="2:23" x14ac:dyDescent="0.35">
      <c r="D25" s="511"/>
      <c r="E25" s="502"/>
      <c r="G25" s="511"/>
      <c r="L25" s="502"/>
      <c r="P25" s="502"/>
      <c r="Q25" s="502"/>
      <c r="S25" s="502"/>
      <c r="U25" s="512"/>
    </row>
    <row r="26" spans="2:23" s="517" customFormat="1" x14ac:dyDescent="0.35">
      <c r="B26" s="513" t="s">
        <v>314</v>
      </c>
      <c r="C26" s="514"/>
      <c r="D26" s="515"/>
      <c r="E26" s="516"/>
      <c r="T26" s="518"/>
      <c r="U26" s="519"/>
    </row>
    <row r="27" spans="2:23" s="517" customFormat="1" x14ac:dyDescent="0.35">
      <c r="B27" s="520" t="s">
        <v>315</v>
      </c>
      <c r="C27" s="520"/>
      <c r="D27" s="522">
        <f>D11+D12</f>
        <v>609257701.15931809</v>
      </c>
      <c r="E27" s="521">
        <f>E11+E12</f>
        <v>369414658.35868043</v>
      </c>
      <c r="F27" s="501">
        <f t="shared" ref="F27:F34" si="7">(E27)/D27</f>
        <v>0.60633564033042919</v>
      </c>
      <c r="G27" s="648">
        <f>G11+G12</f>
        <v>635911489</v>
      </c>
      <c r="H27" s="521">
        <f>H11+H12</f>
        <v>385575805.48015958</v>
      </c>
      <c r="I27" s="521">
        <f t="shared" ref="I27:R27" si="8">I11+I12</f>
        <v>242466691.64000002</v>
      </c>
      <c r="J27" s="521">
        <f t="shared" si="8"/>
        <v>30695447.57</v>
      </c>
      <c r="K27" s="521">
        <f t="shared" si="8"/>
        <v>12839052.96291</v>
      </c>
      <c r="L27" s="521">
        <f t="shared" si="8"/>
        <v>4457677.6255700001</v>
      </c>
      <c r="M27" s="521">
        <f t="shared" si="8"/>
        <v>14466986.374749999</v>
      </c>
      <c r="N27" s="521">
        <f t="shared" si="8"/>
        <v>-8826451.4673200008</v>
      </c>
      <c r="O27" s="521">
        <f t="shared" si="8"/>
        <v>-432419.81252000004</v>
      </c>
      <c r="P27" s="521">
        <f t="shared" si="8"/>
        <v>-871198.73992999992</v>
      </c>
      <c r="Q27" s="521">
        <f t="shared" si="8"/>
        <v>14320527.84</v>
      </c>
      <c r="R27" s="521">
        <f t="shared" si="8"/>
        <v>11255633.355300002</v>
      </c>
      <c r="S27" s="521">
        <f>S11+S12</f>
        <v>705947752.82891977</v>
      </c>
      <c r="T27" s="502">
        <f>SUM(T11:T12)</f>
        <v>-2136632.9275199999</v>
      </c>
      <c r="U27" s="504">
        <f t="shared" ref="U27:U34" si="9">T27/S27</f>
        <v>-3.0266162318074467E-3</v>
      </c>
      <c r="V27" s="523"/>
    </row>
    <row r="28" spans="2:23" s="517" customFormat="1" x14ac:dyDescent="0.35">
      <c r="B28" s="524" t="s">
        <v>316</v>
      </c>
      <c r="C28" s="524"/>
      <c r="D28" s="522">
        <f>D13+D18</f>
        <v>234176518.05324447</v>
      </c>
      <c r="E28" s="521">
        <f>E13+E18</f>
        <v>117966594.08000001</v>
      </c>
      <c r="F28" s="501">
        <f t="shared" si="7"/>
        <v>0.50375073923158287</v>
      </c>
      <c r="G28" s="648">
        <f t="shared" ref="G28:R32" si="10">G13+G18</f>
        <v>237083349</v>
      </c>
      <c r="H28" s="521">
        <f t="shared" si="10"/>
        <v>119430591.90619682</v>
      </c>
      <c r="I28" s="521">
        <f t="shared" si="10"/>
        <v>88454524.260000005</v>
      </c>
      <c r="J28" s="521">
        <f t="shared" si="10"/>
        <v>11406757.890000001</v>
      </c>
      <c r="K28" s="521">
        <f t="shared" si="10"/>
        <v>4786002.53211</v>
      </c>
      <c r="L28" s="521">
        <f t="shared" si="10"/>
        <v>1318183.4204399998</v>
      </c>
      <c r="M28" s="521">
        <f t="shared" si="10"/>
        <v>6240033.7456799997</v>
      </c>
      <c r="N28" s="521">
        <f t="shared" si="10"/>
        <v>-3544396.0675500003</v>
      </c>
      <c r="O28" s="521">
        <f t="shared" si="10"/>
        <v>-170700.01128000001</v>
      </c>
      <c r="P28" s="521">
        <f t="shared" si="10"/>
        <v>-348512.52302999998</v>
      </c>
      <c r="Q28" s="521">
        <f t="shared" si="10"/>
        <v>7653011.459999999</v>
      </c>
      <c r="R28" s="521">
        <f t="shared" si="10"/>
        <v>4457166.9611999998</v>
      </c>
      <c r="S28" s="521">
        <f>S13+S18</f>
        <v>239682663.57376683</v>
      </c>
      <c r="T28" s="502">
        <f>SUM(T13,T18)</f>
        <v>-587966.70551999984</v>
      </c>
      <c r="U28" s="504">
        <f t="shared" si="9"/>
        <v>-2.4531048543652472E-3</v>
      </c>
    </row>
    <row r="29" spans="2:23" s="517" customFormat="1" x14ac:dyDescent="0.35">
      <c r="B29" s="520" t="s">
        <v>317</v>
      </c>
      <c r="C29" s="520"/>
      <c r="D29" s="522">
        <f t="shared" ref="D29:E32" si="11">D14+D19</f>
        <v>86328991.912539363</v>
      </c>
      <c r="E29" s="521">
        <f t="shared" si="11"/>
        <v>21189370.488729604</v>
      </c>
      <c r="F29" s="501">
        <f t="shared" si="7"/>
        <v>0.2454490666379695</v>
      </c>
      <c r="G29" s="648">
        <f t="shared" si="10"/>
        <v>90517842</v>
      </c>
      <c r="H29" s="521">
        <f t="shared" si="10"/>
        <v>22111813.39157711</v>
      </c>
      <c r="I29" s="521">
        <f t="shared" si="10"/>
        <v>22169888.27</v>
      </c>
      <c r="J29" s="521">
        <f t="shared" si="10"/>
        <v>3149690.05</v>
      </c>
      <c r="K29" s="521">
        <f t="shared" si="10"/>
        <v>1339065.95313</v>
      </c>
      <c r="L29" s="521">
        <f t="shared" si="10"/>
        <v>276079.41810000001</v>
      </c>
      <c r="M29" s="521">
        <f t="shared" si="10"/>
        <v>795651.83117999998</v>
      </c>
      <c r="N29" s="521">
        <f t="shared" si="10"/>
        <v>-515951.69940000004</v>
      </c>
      <c r="O29" s="521">
        <f t="shared" si="10"/>
        <v>-26250.174180000002</v>
      </c>
      <c r="P29" s="521">
        <f t="shared" si="10"/>
        <v>-50689.991519999996</v>
      </c>
      <c r="Q29" s="521">
        <f t="shared" si="10"/>
        <v>-1750042.38</v>
      </c>
      <c r="R29" s="521">
        <f t="shared" si="10"/>
        <v>839100.39534000005</v>
      </c>
      <c r="S29" s="521">
        <f>S14+S19</f>
        <v>48338355.064227112</v>
      </c>
      <c r="T29" s="502">
        <f>SUM(T14,T19)</f>
        <v>-141207.83352000004</v>
      </c>
      <c r="U29" s="504">
        <f t="shared" si="9"/>
        <v>-2.9212378727488217E-3</v>
      </c>
    </row>
    <row r="30" spans="2:23" s="517" customFormat="1" x14ac:dyDescent="0.35">
      <c r="B30" s="520" t="s">
        <v>318</v>
      </c>
      <c r="C30" s="520"/>
      <c r="D30" s="522">
        <f t="shared" si="11"/>
        <v>90957971.203620166</v>
      </c>
      <c r="E30" s="521">
        <f t="shared" si="11"/>
        <v>9259144.2300000004</v>
      </c>
      <c r="F30" s="501">
        <f t="shared" si="7"/>
        <v>0.1017958526061703</v>
      </c>
      <c r="G30" s="648">
        <f t="shared" si="10"/>
        <v>76125226</v>
      </c>
      <c r="H30" s="521">
        <f t="shared" si="10"/>
        <v>7742185.776351966</v>
      </c>
      <c r="I30" s="521">
        <f t="shared" si="10"/>
        <v>3726032.75</v>
      </c>
      <c r="J30" s="521">
        <f t="shared" si="10"/>
        <v>568922.39</v>
      </c>
      <c r="K30" s="521">
        <f t="shared" si="10"/>
        <v>202901.54504</v>
      </c>
      <c r="L30" s="521">
        <f t="shared" si="10"/>
        <v>100517.55620108204</v>
      </c>
      <c r="M30" s="521">
        <f t="shared" si="10"/>
        <v>369207.34610000002</v>
      </c>
      <c r="N30" s="521">
        <f t="shared" si="10"/>
        <v>-205538.11020000002</v>
      </c>
      <c r="O30" s="521">
        <f t="shared" si="10"/>
        <v>-12180.036160000001</v>
      </c>
      <c r="P30" s="521">
        <f t="shared" si="10"/>
        <v>-20553.811020000001</v>
      </c>
      <c r="Q30" s="521">
        <f t="shared" si="10"/>
        <v>0</v>
      </c>
      <c r="R30" s="521">
        <f t="shared" si="10"/>
        <v>376819.86870000005</v>
      </c>
      <c r="S30" s="521">
        <f>S15+S20</f>
        <v>12848315.275013046</v>
      </c>
      <c r="T30" s="502">
        <f>SUM(T15,T20)</f>
        <v>-48020.837880662555</v>
      </c>
      <c r="U30" s="504">
        <f t="shared" si="9"/>
        <v>-3.7375202003372223E-3</v>
      </c>
    </row>
    <row r="31" spans="2:23" s="517" customFormat="1" x14ac:dyDescent="0.35">
      <c r="B31" s="520" t="s">
        <v>319</v>
      </c>
      <c r="C31" s="520"/>
      <c r="D31" s="522">
        <f t="shared" si="11"/>
        <v>9748488.4229263552</v>
      </c>
      <c r="E31" s="521">
        <f t="shared" si="11"/>
        <v>2062218.96</v>
      </c>
      <c r="F31" s="501">
        <f t="shared" si="7"/>
        <v>0.2115424330966125</v>
      </c>
      <c r="G31" s="648">
        <f t="shared" si="10"/>
        <v>6664474</v>
      </c>
      <c r="H31" s="521">
        <f t="shared" si="10"/>
        <v>1406638.7081185754</v>
      </c>
      <c r="I31" s="521">
        <f t="shared" si="10"/>
        <v>2021324.5099999998</v>
      </c>
      <c r="J31" s="521">
        <f t="shared" si="10"/>
        <v>291126.2</v>
      </c>
      <c r="K31" s="521">
        <f t="shared" si="10"/>
        <v>103388.30877999999</v>
      </c>
      <c r="L31" s="521">
        <f t="shared" si="10"/>
        <v>19726.84304</v>
      </c>
      <c r="M31" s="521">
        <f t="shared" si="10"/>
        <v>72309.542900000015</v>
      </c>
      <c r="N31" s="521">
        <f t="shared" si="10"/>
        <v>-22525.922120000003</v>
      </c>
      <c r="O31" s="521">
        <f t="shared" si="10"/>
        <v>-2132.6316800000004</v>
      </c>
      <c r="P31" s="521">
        <f t="shared" si="10"/>
        <v>-2199.2764200000001</v>
      </c>
      <c r="Q31" s="521">
        <f t="shared" si="10"/>
        <v>-115202.89</v>
      </c>
      <c r="R31" s="521">
        <f t="shared" si="10"/>
        <v>58780.660680000001</v>
      </c>
      <c r="S31" s="521">
        <f>S16+S21</f>
        <v>3831234.0532985758</v>
      </c>
      <c r="T31" s="502">
        <f>SUM(T16,T21)</f>
        <v>-10996.382099999999</v>
      </c>
      <c r="U31" s="504">
        <f t="shared" si="9"/>
        <v>-2.87019324505441E-3</v>
      </c>
    </row>
    <row r="32" spans="2:23" s="517" customFormat="1" x14ac:dyDescent="0.35">
      <c r="B32" s="525" t="s">
        <v>320</v>
      </c>
      <c r="C32" s="525"/>
      <c r="D32" s="522">
        <f t="shared" si="11"/>
        <v>123778170.49320194</v>
      </c>
      <c r="E32" s="521">
        <f t="shared" si="11"/>
        <v>5835336.7800000003</v>
      </c>
      <c r="F32" s="501">
        <f t="shared" si="7"/>
        <v>4.7143504842160233E-2</v>
      </c>
      <c r="G32" s="648">
        <f t="shared" si="10"/>
        <v>102747073</v>
      </c>
      <c r="H32" s="521">
        <f t="shared" si="10"/>
        <v>4811439.0609946838</v>
      </c>
      <c r="I32" s="521">
        <f t="shared" si="10"/>
        <v>5413560.1699999999</v>
      </c>
      <c r="J32" s="521">
        <f t="shared" si="10"/>
        <v>817311.48</v>
      </c>
      <c r="K32" s="521">
        <f t="shared" si="10"/>
        <v>291301.75646</v>
      </c>
      <c r="L32" s="521">
        <f t="shared" si="10"/>
        <v>50994.313054659026</v>
      </c>
      <c r="M32" s="521">
        <f t="shared" si="10"/>
        <v>271252.27272000001</v>
      </c>
      <c r="N32" s="521">
        <f t="shared" si="10"/>
        <v>-145900.84366000001</v>
      </c>
      <c r="O32" s="521">
        <f t="shared" si="10"/>
        <v>-8219.76584</v>
      </c>
      <c r="P32" s="521">
        <f t="shared" si="10"/>
        <v>-14384.590219999998</v>
      </c>
      <c r="Q32" s="521">
        <f t="shared" si="10"/>
        <v>0</v>
      </c>
      <c r="R32" s="521">
        <f t="shared" si="10"/>
        <v>297966.51169999997</v>
      </c>
      <c r="S32" s="521">
        <f>S17+S22</f>
        <v>11785320.365209341</v>
      </c>
      <c r="T32" s="502">
        <f>SUM(T17,T22)</f>
        <v>-25532.754583128077</v>
      </c>
      <c r="U32" s="504">
        <f t="shared" si="9"/>
        <v>-2.1664879521223388E-3</v>
      </c>
    </row>
    <row r="33" spans="2:21" s="517" customFormat="1" x14ac:dyDescent="0.35">
      <c r="B33" s="525" t="s">
        <v>313</v>
      </c>
      <c r="C33" s="525"/>
      <c r="D33" s="522">
        <f>D23</f>
        <v>37056427.854413897</v>
      </c>
      <c r="E33" s="521">
        <f>E23</f>
        <v>1757519.5213237838</v>
      </c>
      <c r="F33" s="501">
        <f t="shared" si="7"/>
        <v>4.7428195945617584E-2</v>
      </c>
      <c r="G33" s="648">
        <f>G23</f>
        <v>31668984</v>
      </c>
      <c r="H33" s="521">
        <f>H23</f>
        <v>1502002.7785506281</v>
      </c>
      <c r="I33" s="521">
        <f t="shared" ref="I33:R33" si="12">I23</f>
        <v>0</v>
      </c>
      <c r="J33" s="521">
        <f t="shared" si="12"/>
        <v>0</v>
      </c>
      <c r="K33" s="521">
        <f t="shared" si="12"/>
        <v>0</v>
      </c>
      <c r="L33" s="521">
        <f t="shared" si="12"/>
        <v>0</v>
      </c>
      <c r="M33" s="521">
        <f t="shared" si="12"/>
        <v>41486.369039999998</v>
      </c>
      <c r="N33" s="521">
        <f t="shared" si="12"/>
        <v>-23435.048159999998</v>
      </c>
      <c r="O33" s="521">
        <f t="shared" si="12"/>
        <v>-3483.58824</v>
      </c>
      <c r="P33" s="521">
        <f t="shared" si="12"/>
        <v>-2216.82888</v>
      </c>
      <c r="Q33" s="521">
        <f t="shared" si="12"/>
        <v>0</v>
      </c>
      <c r="R33" s="521">
        <f t="shared" si="12"/>
        <v>21851.598959999999</v>
      </c>
      <c r="S33" s="521">
        <f>S23</f>
        <v>1536205.2812706283</v>
      </c>
      <c r="T33" s="502">
        <f>T23</f>
        <v>0</v>
      </c>
      <c r="U33" s="504">
        <f t="shared" si="9"/>
        <v>0</v>
      </c>
    </row>
    <row r="34" spans="2:21" s="517" customFormat="1" x14ac:dyDescent="0.35">
      <c r="B34" s="525" t="s">
        <v>1</v>
      </c>
      <c r="C34" s="525"/>
      <c r="D34" s="528">
        <f>SUM(D27:D33)</f>
        <v>1191304269.0992644</v>
      </c>
      <c r="E34" s="526">
        <f>SUM(E27:E33)</f>
        <v>527484842.41873378</v>
      </c>
      <c r="F34" s="527">
        <f t="shared" si="7"/>
        <v>0.44277927654667171</v>
      </c>
      <c r="G34" s="649">
        <f>SUM(G27:G33)</f>
        <v>1180718437</v>
      </c>
      <c r="H34" s="526">
        <f>SUM(H27:H33)</f>
        <v>542580477.10194933</v>
      </c>
      <c r="I34" s="526">
        <f t="shared" ref="I34:R34" si="13">SUM(I27:I33)</f>
        <v>364252021.60000002</v>
      </c>
      <c r="J34" s="526">
        <f t="shared" si="13"/>
        <v>46929255.579999998</v>
      </c>
      <c r="K34" s="526">
        <f t="shared" si="13"/>
        <v>19561713.058430001</v>
      </c>
      <c r="L34" s="526">
        <f t="shared" si="13"/>
        <v>6223179.1764057409</v>
      </c>
      <c r="M34" s="526">
        <f t="shared" si="13"/>
        <v>22256927.48237</v>
      </c>
      <c r="N34" s="526">
        <f t="shared" si="13"/>
        <v>-13284199.158410002</v>
      </c>
      <c r="O34" s="526">
        <f t="shared" si="13"/>
        <v>-655386.01989999996</v>
      </c>
      <c r="P34" s="526">
        <f t="shared" si="13"/>
        <v>-1309755.7610199996</v>
      </c>
      <c r="Q34" s="526">
        <f t="shared" si="13"/>
        <v>20108294.029999997</v>
      </c>
      <c r="R34" s="526">
        <f t="shared" si="13"/>
        <v>17307319.351880003</v>
      </c>
      <c r="S34" s="526">
        <f>SUM(S27:S33)</f>
        <v>1023969846.4417053</v>
      </c>
      <c r="T34" s="526">
        <f>SUM(T27:T33)</f>
        <v>-2950357.4411237906</v>
      </c>
      <c r="U34" s="510">
        <f t="shared" si="9"/>
        <v>-2.8812932835632623E-3</v>
      </c>
    </row>
    <row r="35" spans="2:21" s="517" customFormat="1" x14ac:dyDescent="0.35">
      <c r="B35" s="529"/>
      <c r="C35" s="529"/>
      <c r="D35" s="529"/>
      <c r="E35" s="529"/>
      <c r="F35" s="529"/>
      <c r="I35" s="530"/>
      <c r="L35" s="529"/>
      <c r="N35" s="529"/>
      <c r="P35" s="529"/>
      <c r="Q35" s="529"/>
      <c r="R35" s="529"/>
      <c r="S35" s="529"/>
      <c r="T35" s="531"/>
    </row>
    <row r="36" spans="2:21" ht="16.5" x14ac:dyDescent="0.35">
      <c r="B36" t="s">
        <v>321</v>
      </c>
      <c r="D36" s="511"/>
      <c r="E36" s="511"/>
      <c r="H36" s="532"/>
      <c r="L36" s="511"/>
      <c r="P36" s="511"/>
      <c r="Q36" s="511"/>
      <c r="S36" s="511"/>
    </row>
    <row r="37" spans="2:21" ht="16.5" x14ac:dyDescent="0.35">
      <c r="B37" t="s">
        <v>322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zoomScale="90" zoomScaleNormal="90" workbookViewId="0">
      <selection activeCell="B4" sqref="B4:H4"/>
    </sheetView>
  </sheetViews>
  <sheetFormatPr defaultColWidth="9.1796875" defaultRowHeight="14.5" x14ac:dyDescent="0.35"/>
  <cols>
    <col min="1" max="1" width="2.1796875" style="533" customWidth="1"/>
    <col min="2" max="2" width="2.453125" style="533" customWidth="1"/>
    <col min="3" max="3" width="34.54296875" style="533" customWidth="1"/>
    <col min="4" max="5" width="11.81640625" style="533" customWidth="1"/>
    <col min="6" max="6" width="2.7265625" style="546" customWidth="1"/>
    <col min="7" max="8" width="11.81640625" style="533" customWidth="1"/>
    <col min="9" max="16384" width="9.1796875" style="533"/>
  </cols>
  <sheetData>
    <row r="1" spans="2:8" x14ac:dyDescent="0.35">
      <c r="B1" s="628" t="s">
        <v>13</v>
      </c>
      <c r="C1" s="628"/>
      <c r="D1" s="628"/>
      <c r="E1" s="628"/>
      <c r="F1" s="628"/>
      <c r="G1" s="628"/>
      <c r="H1" s="628"/>
    </row>
    <row r="2" spans="2:8" x14ac:dyDescent="0.35">
      <c r="B2" s="628" t="str">
        <f>'Rate Impacts Sch129'!B2:U2</f>
        <v>2021 Gas Schedule 129 Low Income Program Filing</v>
      </c>
      <c r="C2" s="628"/>
      <c r="D2" s="628"/>
      <c r="E2" s="628"/>
      <c r="F2" s="628"/>
      <c r="G2" s="628"/>
      <c r="H2" s="628"/>
    </row>
    <row r="3" spans="2:8" x14ac:dyDescent="0.35">
      <c r="B3" s="626" t="s">
        <v>323</v>
      </c>
      <c r="C3" s="626"/>
      <c r="D3" s="626"/>
      <c r="E3" s="626"/>
      <c r="F3" s="626"/>
      <c r="G3" s="626"/>
      <c r="H3" s="626"/>
    </row>
    <row r="4" spans="2:8" x14ac:dyDescent="0.35">
      <c r="B4" s="626" t="str">
        <f>'Rate Impacts Sch129'!B4:U4</f>
        <v>Proposed Rates Effective October 1, 2021</v>
      </c>
      <c r="C4" s="626"/>
      <c r="D4" s="626"/>
      <c r="E4" s="626"/>
      <c r="F4" s="626"/>
      <c r="G4" s="626"/>
      <c r="H4" s="626"/>
    </row>
    <row r="6" spans="2:8" x14ac:dyDescent="0.35">
      <c r="D6" s="534" t="s">
        <v>324</v>
      </c>
      <c r="E6" s="534"/>
      <c r="F6" s="535"/>
      <c r="G6" s="534" t="s">
        <v>325</v>
      </c>
      <c r="H6" s="534"/>
    </row>
    <row r="7" spans="2:8" ht="16.5" x14ac:dyDescent="0.35">
      <c r="D7" s="623" t="s">
        <v>326</v>
      </c>
      <c r="E7" s="623" t="s">
        <v>111</v>
      </c>
      <c r="F7" s="536"/>
      <c r="G7" s="623" t="s">
        <v>112</v>
      </c>
      <c r="H7" s="623" t="s">
        <v>111</v>
      </c>
    </row>
    <row r="8" spans="2:8" x14ac:dyDescent="0.35">
      <c r="B8" s="533" t="s">
        <v>327</v>
      </c>
      <c r="D8" s="537">
        <v>64</v>
      </c>
      <c r="E8" s="538"/>
      <c r="F8" s="539"/>
      <c r="G8" s="537">
        <v>64</v>
      </c>
      <c r="H8" s="538"/>
    </row>
    <row r="9" spans="2:8" x14ac:dyDescent="0.35">
      <c r="D9" s="537"/>
      <c r="E9" s="538"/>
      <c r="F9" s="539"/>
      <c r="G9" s="537"/>
      <c r="H9" s="538"/>
    </row>
    <row r="10" spans="2:8" x14ac:dyDescent="0.35">
      <c r="B10" s="533" t="s">
        <v>328</v>
      </c>
      <c r="D10" s="537"/>
      <c r="E10" s="538"/>
      <c r="F10" s="539"/>
      <c r="G10" s="537"/>
      <c r="H10" s="538"/>
    </row>
    <row r="11" spans="2:8" x14ac:dyDescent="0.35">
      <c r="C11" s="533" t="s">
        <v>329</v>
      </c>
      <c r="D11" s="617">
        <v>11.52</v>
      </c>
      <c r="E11" s="538">
        <f>D11</f>
        <v>11.52</v>
      </c>
      <c r="F11" s="540"/>
      <c r="G11" s="541">
        <f>$D$11</f>
        <v>11.52</v>
      </c>
      <c r="H11" s="538">
        <f>G11</f>
        <v>11.52</v>
      </c>
    </row>
    <row r="12" spans="2:8" x14ac:dyDescent="0.35">
      <c r="C12" s="533" t="s">
        <v>330</v>
      </c>
      <c r="D12" s="618">
        <v>0</v>
      </c>
      <c r="E12" s="542">
        <f>D12</f>
        <v>0</v>
      </c>
      <c r="F12" s="540"/>
      <c r="G12" s="543">
        <f>$D$12</f>
        <v>0</v>
      </c>
      <c r="H12" s="542">
        <f>G12</f>
        <v>0</v>
      </c>
    </row>
    <row r="13" spans="2:8" x14ac:dyDescent="0.35">
      <c r="C13" s="533" t="s">
        <v>1</v>
      </c>
      <c r="D13" s="544">
        <f>SUM(D11:D12)</f>
        <v>11.52</v>
      </c>
      <c r="E13" s="544">
        <f>SUM(E11:E12)</f>
        <v>11.52</v>
      </c>
      <c r="F13" s="540"/>
      <c r="G13" s="544">
        <f>SUM(G11:G12)</f>
        <v>11.52</v>
      </c>
      <c r="H13" s="544">
        <f>SUM(H11:H12)</f>
        <v>11.52</v>
      </c>
    </row>
    <row r="14" spans="2:8" x14ac:dyDescent="0.35">
      <c r="D14" s="545"/>
      <c r="E14" s="538"/>
      <c r="F14" s="540"/>
      <c r="G14" s="541"/>
      <c r="H14" s="538"/>
    </row>
    <row r="15" spans="2:8" x14ac:dyDescent="0.35">
      <c r="B15" s="533" t="s">
        <v>331</v>
      </c>
      <c r="E15" s="538"/>
      <c r="H15" s="538"/>
    </row>
    <row r="16" spans="2:8" x14ac:dyDescent="0.35">
      <c r="C16" s="533" t="s">
        <v>332</v>
      </c>
      <c r="D16" s="619">
        <v>0.42857000000000001</v>
      </c>
      <c r="E16" s="538"/>
      <c r="F16" s="548"/>
      <c r="G16" s="549">
        <f>$D$16</f>
        <v>0.42857000000000001</v>
      </c>
      <c r="H16" s="538"/>
    </row>
    <row r="17" spans="3:8" x14ac:dyDescent="0.35">
      <c r="C17" s="533" t="s">
        <v>333</v>
      </c>
      <c r="D17" s="620">
        <f>'Schedule 129'!$E$9</f>
        <v>7.0099999999999997E-3</v>
      </c>
      <c r="E17" s="538"/>
      <c r="F17" s="548"/>
      <c r="G17" s="547">
        <f>'Schedule 129'!$F$9</f>
        <v>3.65E-3</v>
      </c>
      <c r="H17" s="538"/>
    </row>
    <row r="18" spans="3:8" x14ac:dyDescent="0.35">
      <c r="C18" s="533" t="s">
        <v>334</v>
      </c>
      <c r="D18" s="619">
        <v>2.2749999999999999E-2</v>
      </c>
      <c r="E18" s="538"/>
      <c r="F18" s="548"/>
      <c r="G18" s="550">
        <f>$D$18</f>
        <v>2.2749999999999999E-2</v>
      </c>
      <c r="H18" s="538"/>
    </row>
    <row r="19" spans="3:8" x14ac:dyDescent="0.35">
      <c r="C19" s="533" t="s">
        <v>330</v>
      </c>
      <c r="D19" s="619">
        <v>0</v>
      </c>
      <c r="E19" s="538"/>
      <c r="F19" s="548"/>
      <c r="G19" s="549">
        <f>$D$19</f>
        <v>0</v>
      </c>
      <c r="H19" s="538"/>
    </row>
    <row r="20" spans="3:8" x14ac:dyDescent="0.35">
      <c r="C20" s="533" t="s">
        <v>335</v>
      </c>
      <c r="D20" s="619">
        <v>-1.388E-2</v>
      </c>
      <c r="E20" s="538"/>
      <c r="F20" s="548"/>
      <c r="G20" s="549">
        <f>$D$20</f>
        <v>-1.388E-2</v>
      </c>
      <c r="H20" s="538"/>
    </row>
    <row r="21" spans="3:8" x14ac:dyDescent="0.35">
      <c r="C21" s="533" t="s">
        <v>336</v>
      </c>
      <c r="D21" s="619">
        <v>-6.8000000000000005E-4</v>
      </c>
      <c r="E21" s="538"/>
      <c r="F21" s="548"/>
      <c r="G21" s="550">
        <f>$D$21</f>
        <v>-6.8000000000000005E-4</v>
      </c>
      <c r="H21" s="538"/>
    </row>
    <row r="22" spans="3:8" x14ac:dyDescent="0.35">
      <c r="C22" s="533" t="s">
        <v>337</v>
      </c>
      <c r="D22" s="619">
        <v>-1.3699999999999999E-3</v>
      </c>
      <c r="E22" s="538"/>
      <c r="F22" s="548"/>
      <c r="G22" s="550">
        <f>$D$22</f>
        <v>-1.3699999999999999E-3</v>
      </c>
      <c r="H22" s="538"/>
    </row>
    <row r="23" spans="3:8" x14ac:dyDescent="0.35">
      <c r="C23" s="533" t="s">
        <v>338</v>
      </c>
      <c r="D23" s="619">
        <v>2.2519999999999998E-2</v>
      </c>
      <c r="E23" s="538"/>
      <c r="F23" s="548"/>
      <c r="G23" s="550">
        <f>$D$23</f>
        <v>2.2519999999999998E-2</v>
      </c>
      <c r="H23" s="538"/>
    </row>
    <row r="24" spans="3:8" x14ac:dyDescent="0.35">
      <c r="C24" s="533" t="s">
        <v>339</v>
      </c>
      <c r="D24" s="620">
        <v>1.77E-2</v>
      </c>
      <c r="E24" s="538"/>
      <c r="F24" s="548"/>
      <c r="G24" s="550">
        <f>$D$24</f>
        <v>1.77E-2</v>
      </c>
      <c r="H24" s="538"/>
    </row>
    <row r="25" spans="3:8" x14ac:dyDescent="0.35">
      <c r="C25" s="533" t="s">
        <v>1</v>
      </c>
      <c r="D25" s="551">
        <f>SUM(D16:D24)</f>
        <v>0.48261999999999999</v>
      </c>
      <c r="E25" s="538">
        <f>ROUND(D25*D$8,2)</f>
        <v>30.89</v>
      </c>
      <c r="F25" s="548"/>
      <c r="G25" s="551">
        <f>SUM(G16:G24)</f>
        <v>0.47925999999999996</v>
      </c>
      <c r="H25" s="538">
        <f>ROUND(G25*G$8,2)</f>
        <v>30.67</v>
      </c>
    </row>
    <row r="27" spans="3:8" x14ac:dyDescent="0.35">
      <c r="C27" s="533" t="s">
        <v>340</v>
      </c>
      <c r="D27" s="619">
        <v>2.019E-2</v>
      </c>
      <c r="E27" s="538">
        <f>ROUND(D27*D$8,2)</f>
        <v>1.29</v>
      </c>
      <c r="F27" s="548"/>
      <c r="G27" s="552">
        <f>$D$27</f>
        <v>2.019E-2</v>
      </c>
      <c r="H27" s="538">
        <f>ROUND(G27*G$8,2)</f>
        <v>1.29</v>
      </c>
    </row>
    <row r="28" spans="3:8" x14ac:dyDescent="0.35">
      <c r="D28" s="619"/>
      <c r="E28" s="538"/>
      <c r="F28" s="548"/>
      <c r="G28" s="549"/>
      <c r="H28" s="538"/>
    </row>
    <row r="29" spans="3:8" x14ac:dyDescent="0.35">
      <c r="C29" s="533" t="s">
        <v>341</v>
      </c>
      <c r="D29" s="619">
        <v>0.38129000000000002</v>
      </c>
      <c r="E29" s="538"/>
      <c r="F29" s="548"/>
      <c r="G29" s="550">
        <f>$D$29</f>
        <v>0.38129000000000002</v>
      </c>
      <c r="H29" s="538"/>
    </row>
    <row r="30" spans="3:8" x14ac:dyDescent="0.35">
      <c r="C30" s="533" t="s">
        <v>342</v>
      </c>
      <c r="D30" s="619">
        <v>4.827E-2</v>
      </c>
      <c r="E30" s="538"/>
      <c r="F30" s="548"/>
      <c r="G30" s="550">
        <f>$D$30</f>
        <v>4.827E-2</v>
      </c>
      <c r="H30" s="538"/>
    </row>
    <row r="31" spans="3:8" x14ac:dyDescent="0.35">
      <c r="C31" s="533" t="s">
        <v>1</v>
      </c>
      <c r="D31" s="551">
        <f>SUM(D29:D30)</f>
        <v>0.42956</v>
      </c>
      <c r="E31" s="538">
        <f>ROUND(D31*D$8,2)</f>
        <v>27.49</v>
      </c>
      <c r="F31" s="548"/>
      <c r="G31" s="551">
        <f>SUM(G29:G30)</f>
        <v>0.42956</v>
      </c>
      <c r="H31" s="538">
        <f>ROUND(G31*G$8,2)</f>
        <v>27.49</v>
      </c>
    </row>
    <row r="32" spans="3:8" x14ac:dyDescent="0.35">
      <c r="C32" s="533" t="s">
        <v>343</v>
      </c>
      <c r="D32" s="551">
        <f>D25+D27+D31</f>
        <v>0.93236999999999992</v>
      </c>
      <c r="E32" s="553">
        <f>SUM(E25,E27,E31)</f>
        <v>59.67</v>
      </c>
      <c r="F32" s="554"/>
      <c r="G32" s="551">
        <f>G25+G27+G31</f>
        <v>0.92900999999999989</v>
      </c>
      <c r="H32" s="553">
        <f>SUM(H25,H27,H31)</f>
        <v>59.45</v>
      </c>
    </row>
    <row r="33" spans="2:8" x14ac:dyDescent="0.35">
      <c r="E33" s="538"/>
      <c r="H33" s="538"/>
    </row>
    <row r="34" spans="2:8" x14ac:dyDescent="0.35">
      <c r="B34" s="533" t="s">
        <v>344</v>
      </c>
      <c r="D34" s="541"/>
      <c r="E34" s="538">
        <f>E13+E32</f>
        <v>71.19</v>
      </c>
      <c r="F34" s="543"/>
      <c r="G34" s="541"/>
      <c r="H34" s="538">
        <f>H13+H32</f>
        <v>70.97</v>
      </c>
    </row>
    <row r="35" spans="2:8" x14ac:dyDescent="0.35">
      <c r="B35" s="533" t="s">
        <v>345</v>
      </c>
      <c r="D35" s="541"/>
      <c r="E35" s="538"/>
      <c r="F35" s="543"/>
      <c r="G35" s="541"/>
      <c r="H35" s="538">
        <f>H34-$E34</f>
        <v>-0.21999999999999886</v>
      </c>
    </row>
    <row r="36" spans="2:8" x14ac:dyDescent="0.35">
      <c r="B36" s="533" t="s">
        <v>346</v>
      </c>
      <c r="D36" s="555"/>
      <c r="E36" s="555"/>
      <c r="F36" s="556"/>
      <c r="G36" s="555"/>
      <c r="H36" s="557">
        <f>H35/$E34</f>
        <v>-3.0903216743924551E-3</v>
      </c>
    </row>
    <row r="37" spans="2:8" x14ac:dyDescent="0.35">
      <c r="E37" s="538"/>
    </row>
    <row r="38" spans="2:8" x14ac:dyDescent="0.35">
      <c r="B38" s="533" t="s">
        <v>347</v>
      </c>
      <c r="D38" s="549">
        <f>D25+D27</f>
        <v>0.50280999999999998</v>
      </c>
      <c r="E38" s="538"/>
      <c r="F38" s="554"/>
      <c r="G38" s="549">
        <f>G25+G27</f>
        <v>0.49944999999999995</v>
      </c>
    </row>
    <row r="40" spans="2:8" ht="16.5" x14ac:dyDescent="0.35">
      <c r="B40" s="558" t="s">
        <v>348</v>
      </c>
    </row>
    <row r="41" spans="2:8" x14ac:dyDescent="0.35">
      <c r="C41" s="558"/>
      <c r="D41" s="558"/>
      <c r="E41" s="558"/>
      <c r="F41" s="559"/>
      <c r="G41" s="559"/>
      <c r="H41" s="559"/>
    </row>
    <row r="46" spans="2:8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3" orientation="landscape" blackAndWhite="1" r:id="rId1"/>
  <headerFooter alignWithMargins="0">
    <oddFooter>&amp;L&amp;F 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90" zoomScaleNormal="90" workbookViewId="0">
      <selection activeCell="I11" sqref="I11"/>
    </sheetView>
  </sheetViews>
  <sheetFormatPr defaultRowHeight="14.5" x14ac:dyDescent="0.35"/>
  <cols>
    <col min="1" max="1" width="2.81640625" customWidth="1"/>
    <col min="2" max="2" width="37.81640625" customWidth="1"/>
    <col min="3" max="3" width="9.1796875" bestFit="1" customWidth="1"/>
    <col min="4" max="5" width="20.1796875" bestFit="1" customWidth="1"/>
    <col min="6" max="6" width="13.453125" bestFit="1" customWidth="1"/>
    <col min="7" max="7" width="2.54296875" customWidth="1"/>
    <col min="8" max="9" width="20.1796875" bestFit="1" customWidth="1"/>
    <col min="10" max="10" width="13.453125" bestFit="1" customWidth="1"/>
    <col min="11" max="11" width="2.54296875" customWidth="1"/>
    <col min="12" max="12" width="11.1796875" bestFit="1" customWidth="1"/>
    <col min="13" max="13" width="9.26953125" customWidth="1"/>
    <col min="14" max="14" width="13.81640625" customWidth="1"/>
  </cols>
  <sheetData>
    <row r="1" spans="2:14" x14ac:dyDescent="0.35">
      <c r="B1" s="626" t="s">
        <v>13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2:14" x14ac:dyDescent="0.35">
      <c r="B2" s="626" t="str">
        <f>'Rate Impacts Sch129'!B2:U2</f>
        <v>2021 Gas Schedule 129 Low Income Program Filing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3" spans="2:14" x14ac:dyDescent="0.35">
      <c r="B3" s="627" t="s">
        <v>349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</row>
    <row r="4" spans="2:14" x14ac:dyDescent="0.35">
      <c r="B4" s="627" t="str">
        <f>'Rate Impacts Sch129'!B4:U4</f>
        <v>Proposed Rates Effective October 1, 2021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</row>
    <row r="5" spans="2:14" x14ac:dyDescent="0.35"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</row>
    <row r="6" spans="2:14" ht="16.5" x14ac:dyDescent="0.35">
      <c r="D6" s="629" t="s">
        <v>367</v>
      </c>
      <c r="E6" s="629"/>
      <c r="F6" s="629"/>
      <c r="G6" s="490"/>
      <c r="H6" s="629" t="s">
        <v>152</v>
      </c>
      <c r="I6" s="629"/>
      <c r="J6" s="629"/>
    </row>
    <row r="7" spans="2:14" x14ac:dyDescent="0.35">
      <c r="B7" s="491"/>
      <c r="C7" s="491"/>
      <c r="D7" s="491" t="s">
        <v>269</v>
      </c>
      <c r="E7" s="560" t="s">
        <v>269</v>
      </c>
      <c r="F7" s="491"/>
      <c r="G7" s="491"/>
      <c r="H7" s="491" t="s">
        <v>269</v>
      </c>
      <c r="I7" s="560" t="s">
        <v>269</v>
      </c>
      <c r="J7" s="491"/>
      <c r="K7" s="491"/>
      <c r="L7" s="491"/>
    </row>
    <row r="8" spans="2:14" x14ac:dyDescent="0.35">
      <c r="B8" s="491"/>
      <c r="C8" s="491" t="s">
        <v>12</v>
      </c>
      <c r="D8" s="491" t="s">
        <v>350</v>
      </c>
      <c r="E8" s="491" t="s">
        <v>6</v>
      </c>
      <c r="F8" s="491" t="s">
        <v>351</v>
      </c>
      <c r="G8" s="491"/>
      <c r="H8" s="491" t="s">
        <v>350</v>
      </c>
      <c r="I8" s="491" t="s">
        <v>6</v>
      </c>
      <c r="J8" s="491" t="s">
        <v>351</v>
      </c>
      <c r="K8" s="491"/>
      <c r="L8" s="491" t="s">
        <v>0</v>
      </c>
    </row>
    <row r="9" spans="2:14" x14ac:dyDescent="0.35">
      <c r="B9" s="622" t="s">
        <v>8</v>
      </c>
      <c r="C9" s="622" t="s">
        <v>7</v>
      </c>
      <c r="D9" s="493" t="s">
        <v>352</v>
      </c>
      <c r="E9" s="561" t="str">
        <f>D9</f>
        <v>Oct. 2021 - Sept. 2022</v>
      </c>
      <c r="F9" s="622" t="s">
        <v>353</v>
      </c>
      <c r="G9" s="491"/>
      <c r="H9" s="561" t="str">
        <f>D9</f>
        <v>Oct. 2021 - Sept. 2022</v>
      </c>
      <c r="I9" s="561" t="str">
        <f>D9</f>
        <v>Oct. 2021 - Sept. 2022</v>
      </c>
      <c r="J9" s="622" t="s">
        <v>353</v>
      </c>
      <c r="K9" s="491"/>
      <c r="L9" s="622" t="s">
        <v>354</v>
      </c>
      <c r="N9" s="562" t="s">
        <v>355</v>
      </c>
    </row>
    <row r="10" spans="2:14" x14ac:dyDescent="0.35">
      <c r="B10" s="491" t="s">
        <v>104</v>
      </c>
      <c r="C10" s="491" t="s">
        <v>105</v>
      </c>
      <c r="D10" s="491" t="s">
        <v>106</v>
      </c>
      <c r="E10" s="491" t="s">
        <v>107</v>
      </c>
      <c r="F10" s="495" t="s">
        <v>356</v>
      </c>
      <c r="G10" s="491"/>
      <c r="H10" s="491" t="s">
        <v>153</v>
      </c>
      <c r="I10" s="491" t="s">
        <v>154</v>
      </c>
      <c r="J10" s="495" t="s">
        <v>357</v>
      </c>
      <c r="K10" s="495"/>
      <c r="L10" s="496" t="s">
        <v>358</v>
      </c>
    </row>
    <row r="11" spans="2:14" x14ac:dyDescent="0.35">
      <c r="B11" t="s">
        <v>5</v>
      </c>
      <c r="C11" s="498" t="s">
        <v>299</v>
      </c>
      <c r="D11" s="563">
        <f>'Rate Impacts Sch129'!G11</f>
        <v>635902657</v>
      </c>
      <c r="E11" s="564">
        <f>'Rate Impacts Sch129'!S11</f>
        <v>705938260.23177874</v>
      </c>
      <c r="F11" s="565">
        <f>E11/D11</f>
        <v>1.1101357298335344</v>
      </c>
      <c r="G11" s="501"/>
      <c r="H11" s="563">
        <f>'Rate Impacts Sch129'!G11</f>
        <v>635902657</v>
      </c>
      <c r="I11" s="564">
        <f>'Rate Impacts Sch129'!S11+'Rate Impacts Sch129'!T11</f>
        <v>703801627.3042587</v>
      </c>
      <c r="J11" s="565">
        <f>I11/H11</f>
        <v>1.1067757298335343</v>
      </c>
      <c r="K11" s="566"/>
      <c r="L11" s="504">
        <f>(I11-E11)/E11</f>
        <v>-3.0266569300529509E-3</v>
      </c>
      <c r="N11" s="567">
        <f>L11-'Rate Impacts Sch129'!U11</f>
        <v>-5.2041704279304213E-17</v>
      </c>
    </row>
    <row r="12" spans="2:14" x14ac:dyDescent="0.35">
      <c r="B12" t="s">
        <v>300</v>
      </c>
      <c r="C12" s="498">
        <v>16</v>
      </c>
      <c r="D12" s="563">
        <f>'Rate Impacts Sch129'!G12</f>
        <v>8832</v>
      </c>
      <c r="E12" s="564">
        <f>'Rate Impacts Sch129'!S12</f>
        <v>9492.5971410526327</v>
      </c>
      <c r="F12" s="565">
        <f t="shared" ref="F12:F23" si="0">E12/D12</f>
        <v>1.0747958719488941</v>
      </c>
      <c r="G12" s="501"/>
      <c r="H12" s="563">
        <f>'Rate Impacts Sch129'!G12</f>
        <v>8832</v>
      </c>
      <c r="I12" s="564">
        <f>'Rate Impacts Sch129'!S12+'Rate Impacts Sch129'!T12</f>
        <v>9492.5971410526327</v>
      </c>
      <c r="J12" s="565">
        <f t="shared" ref="J12:J23" si="1">I12/H12</f>
        <v>1.0747958719488941</v>
      </c>
      <c r="K12" s="566"/>
      <c r="L12" s="504">
        <f t="shared" ref="L12:L23" si="2">(I12-E12)/E12</f>
        <v>0</v>
      </c>
      <c r="N12" s="567">
        <f>L12-'Rate Impacts Sch129'!U12</f>
        <v>0</v>
      </c>
    </row>
    <row r="13" spans="2:14" x14ac:dyDescent="0.35">
      <c r="B13" t="s">
        <v>301</v>
      </c>
      <c r="C13" s="498">
        <v>31</v>
      </c>
      <c r="D13" s="563">
        <f>'Rate Impacts Sch129'!G13</f>
        <v>237048169</v>
      </c>
      <c r="E13" s="564">
        <f>'Rate Impacts Sch129'!S13</f>
        <v>239655756.31093332</v>
      </c>
      <c r="F13" s="565">
        <f t="shared" si="0"/>
        <v>1.0110002423639615</v>
      </c>
      <c r="G13" s="501"/>
      <c r="H13" s="563">
        <f>'Rate Impacts Sch129'!G13</f>
        <v>237048169</v>
      </c>
      <c r="I13" s="564">
        <f>'Rate Impacts Sch129'!S13+'Rate Impacts Sch129'!T13</f>
        <v>239067876.85181332</v>
      </c>
      <c r="J13" s="565">
        <f t="shared" si="1"/>
        <v>1.0085202423639616</v>
      </c>
      <c r="K13" s="566"/>
      <c r="L13" s="504">
        <f t="shared" si="2"/>
        <v>-2.4530162269805066E-3</v>
      </c>
      <c r="N13" s="567">
        <f>L13-'Rate Impacts Sch129'!U13</f>
        <v>-2.2985086056692694E-17</v>
      </c>
    </row>
    <row r="14" spans="2:14" x14ac:dyDescent="0.35">
      <c r="B14" t="s">
        <v>302</v>
      </c>
      <c r="C14" s="498">
        <v>41</v>
      </c>
      <c r="D14" s="563">
        <f>'Rate Impacts Sch129'!G14</f>
        <v>66323227</v>
      </c>
      <c r="E14" s="564">
        <f>'Rate Impacts Sch129'!S14</f>
        <v>43190877.722916566</v>
      </c>
      <c r="F14" s="565">
        <f t="shared" si="0"/>
        <v>0.65121797711858265</v>
      </c>
      <c r="G14" s="501"/>
      <c r="H14" s="563">
        <f>'Rate Impacts Sch129'!G14</f>
        <v>66323227</v>
      </c>
      <c r="I14" s="564">
        <f>'Rate Impacts Sch129'!S14+'Rate Impacts Sch129'!T14</f>
        <v>43087413.488796569</v>
      </c>
      <c r="J14" s="565">
        <f t="shared" si="1"/>
        <v>0.64965797711858275</v>
      </c>
      <c r="K14" s="566"/>
      <c r="L14" s="504">
        <f t="shared" si="2"/>
        <v>-2.3955112647571766E-3</v>
      </c>
      <c r="N14" s="567">
        <f>L14-'Rate Impacts Sch129'!U14</f>
        <v>8.3266726846886741E-17</v>
      </c>
    </row>
    <row r="15" spans="2:14" x14ac:dyDescent="0.35">
      <c r="B15" t="s">
        <v>4</v>
      </c>
      <c r="C15" s="498">
        <v>85</v>
      </c>
      <c r="D15" s="563">
        <f>'Rate Impacts Sch129'!G15</f>
        <v>12091868</v>
      </c>
      <c r="E15" s="564">
        <f>'Rate Impacts Sch129'!S15</f>
        <v>5874775.0565379802</v>
      </c>
      <c r="F15" s="565">
        <f t="shared" si="0"/>
        <v>0.48584511975635031</v>
      </c>
      <c r="G15" s="501"/>
      <c r="H15" s="563">
        <f>'Rate Impacts Sch129'!G15</f>
        <v>12091868</v>
      </c>
      <c r="I15" s="564">
        <f>'Rate Impacts Sch129'!S15+'Rate Impacts Sch129'!T15</f>
        <v>5866584.8646520199</v>
      </c>
      <c r="J15" s="565">
        <f t="shared" si="1"/>
        <v>0.48516778918294673</v>
      </c>
      <c r="K15" s="566"/>
      <c r="L15" s="504">
        <f t="shared" si="2"/>
        <v>-1.3941285933740566E-3</v>
      </c>
      <c r="N15" s="567">
        <f>L15-'Rate Impacts Sch129'!U15</f>
        <v>4.0332320816460765E-17</v>
      </c>
    </row>
    <row r="16" spans="2:14" x14ac:dyDescent="0.35">
      <c r="B16" t="s">
        <v>303</v>
      </c>
      <c r="C16" s="498">
        <v>86</v>
      </c>
      <c r="D16" s="563">
        <f>'Rate Impacts Sch129'!G16</f>
        <v>6161401</v>
      </c>
      <c r="E16" s="564">
        <f>'Rate Impacts Sch129'!S16</f>
        <v>3729449.1752459798</v>
      </c>
      <c r="F16" s="565">
        <f t="shared" si="0"/>
        <v>0.60529239620112041</v>
      </c>
      <c r="G16" s="501"/>
      <c r="H16" s="563">
        <f>'Rate Impacts Sch129'!G16</f>
        <v>6161401</v>
      </c>
      <c r="I16" s="564">
        <f>'Rate Impacts Sch129'!S16+'Rate Impacts Sch129'!T16</f>
        <v>3719282.8635959798</v>
      </c>
      <c r="J16" s="565">
        <f>I16/H16</f>
        <v>0.60364239620112048</v>
      </c>
      <c r="K16" s="566"/>
      <c r="L16" s="504">
        <f t="shared" si="2"/>
        <v>-2.72595527443527E-3</v>
      </c>
      <c r="N16" s="567">
        <f>L16-'Rate Impacts Sch129'!U16</f>
        <v>-1.2576745200831851E-17</v>
      </c>
    </row>
    <row r="17" spans="2:14" x14ac:dyDescent="0.35">
      <c r="B17" t="s">
        <v>304</v>
      </c>
      <c r="C17" s="498">
        <v>87</v>
      </c>
      <c r="D17" s="563">
        <f>'Rate Impacts Sch129'!G17</f>
        <v>17360057</v>
      </c>
      <c r="E17" s="564">
        <f>'Rate Impacts Sch129'!S17</f>
        <v>7645432.6834766101</v>
      </c>
      <c r="F17" s="565">
        <f t="shared" si="0"/>
        <v>0.44040366246934615</v>
      </c>
      <c r="G17" s="501"/>
      <c r="H17" s="563">
        <f>'Rate Impacts Sch129'!G17</f>
        <v>17360057</v>
      </c>
      <c r="I17" s="564">
        <f>'Rate Impacts Sch129'!S17+'Rate Impacts Sch129'!T17</f>
        <v>7640409.341434435</v>
      </c>
      <c r="J17" s="565">
        <f t="shared" si="1"/>
        <v>0.44011430039857791</v>
      </c>
      <c r="K17" s="566"/>
      <c r="L17" s="504">
        <f t="shared" si="2"/>
        <v>-6.5703829333709548E-4</v>
      </c>
      <c r="N17" s="567">
        <f>L17-'Rate Impacts Sch129'!U17</f>
        <v>-4.6078592330633938E-17</v>
      </c>
    </row>
    <row r="18" spans="2:14" x14ac:dyDescent="0.35">
      <c r="B18" t="s">
        <v>305</v>
      </c>
      <c r="C18" s="498" t="s">
        <v>306</v>
      </c>
      <c r="D18" s="563">
        <f>'Rate Impacts Sch129'!G18</f>
        <v>35180</v>
      </c>
      <c r="E18" s="564">
        <f>'Rate Impacts Sch129'!S18</f>
        <v>26907.262833507171</v>
      </c>
      <c r="F18" s="565">
        <f t="shared" si="0"/>
        <v>0.76484544722874281</v>
      </c>
      <c r="G18" s="501"/>
      <c r="H18" s="563">
        <f>'Rate Impacts Sch129'!G18</f>
        <v>35180</v>
      </c>
      <c r="I18" s="564">
        <f>'Rate Impacts Sch129'!S18+'Rate Impacts Sch129'!T18</f>
        <v>26820.016433507171</v>
      </c>
      <c r="J18" s="565">
        <f t="shared" si="1"/>
        <v>0.76236544722874278</v>
      </c>
      <c r="K18" s="566"/>
      <c r="L18" s="504">
        <f t="shared" si="2"/>
        <v>-3.2424851438754851E-3</v>
      </c>
      <c r="N18" s="567">
        <f>L18-'Rate Impacts Sch129'!U18</f>
        <v>0</v>
      </c>
    </row>
    <row r="19" spans="2:14" x14ac:dyDescent="0.35">
      <c r="B19" t="s">
        <v>307</v>
      </c>
      <c r="C19" t="s">
        <v>308</v>
      </c>
      <c r="D19" s="563">
        <f>'Rate Impacts Sch129'!G19</f>
        <v>24194615</v>
      </c>
      <c r="E19" s="564">
        <f>'Rate Impacts Sch129'!S19</f>
        <v>5147477.3413105477</v>
      </c>
      <c r="F19" s="565">
        <f t="shared" si="0"/>
        <v>0.21275301720281756</v>
      </c>
      <c r="G19" s="501"/>
      <c r="H19" s="563">
        <f>'Rate Impacts Sch129'!G19</f>
        <v>24194615</v>
      </c>
      <c r="I19" s="564">
        <f>'Rate Impacts Sch129'!S19+'Rate Impacts Sch129'!T19</f>
        <v>5109733.7419105479</v>
      </c>
      <c r="J19" s="565">
        <f t="shared" si="1"/>
        <v>0.21119301720281758</v>
      </c>
      <c r="K19" s="566"/>
      <c r="L19" s="504">
        <f t="shared" si="2"/>
        <v>-7.3324459531064583E-3</v>
      </c>
      <c r="N19" s="567">
        <f>L19-'Rate Impacts Sch129'!U19</f>
        <v>5.6378512969246231E-17</v>
      </c>
    </row>
    <row r="20" spans="2:14" x14ac:dyDescent="0.35">
      <c r="B20" t="s">
        <v>309</v>
      </c>
      <c r="C20" t="s">
        <v>3</v>
      </c>
      <c r="D20" s="563">
        <f>'Rate Impacts Sch129'!G20</f>
        <v>64033358</v>
      </c>
      <c r="E20" s="564">
        <f>'Rate Impacts Sch129'!S20</f>
        <v>6973540.2184750661</v>
      </c>
      <c r="F20" s="565">
        <f t="shared" si="0"/>
        <v>0.10890480268854659</v>
      </c>
      <c r="G20" s="501"/>
      <c r="H20" s="563">
        <f>'Rate Impacts Sch129'!G20</f>
        <v>64033358</v>
      </c>
      <c r="I20" s="564">
        <f>'Rate Impacts Sch129'!S20+'Rate Impacts Sch129'!T20</f>
        <v>6933709.5724803638</v>
      </c>
      <c r="J20" s="565">
        <f t="shared" si="1"/>
        <v>0.10828277305838566</v>
      </c>
      <c r="K20" s="566"/>
      <c r="L20" s="504">
        <f t="shared" si="2"/>
        <v>-5.7116822656559209E-3</v>
      </c>
      <c r="N20" s="567">
        <f>L20-'Rate Impacts Sch129'!U20</f>
        <v>-4.6837533851373792E-17</v>
      </c>
    </row>
    <row r="21" spans="2:14" x14ac:dyDescent="0.35">
      <c r="B21" t="s">
        <v>310</v>
      </c>
      <c r="C21" t="s">
        <v>311</v>
      </c>
      <c r="D21" s="563">
        <f>'Rate Impacts Sch129'!G21</f>
        <v>503073</v>
      </c>
      <c r="E21" s="564">
        <f>'Rate Impacts Sch129'!S21</f>
        <v>101784.87805259606</v>
      </c>
      <c r="F21" s="565">
        <f t="shared" si="0"/>
        <v>0.20232625891788281</v>
      </c>
      <c r="G21" s="501"/>
      <c r="H21" s="563">
        <f>'Rate Impacts Sch129'!G21</f>
        <v>503073</v>
      </c>
      <c r="I21" s="564">
        <f>'Rate Impacts Sch129'!S21+'Rate Impacts Sch129'!T21</f>
        <v>100954.80760259606</v>
      </c>
      <c r="J21" s="565">
        <f t="shared" si="1"/>
        <v>0.20067625891788282</v>
      </c>
      <c r="K21" s="566"/>
      <c r="L21" s="504">
        <f t="shared" si="2"/>
        <v>-8.1551451048658789E-3</v>
      </c>
      <c r="N21" s="567">
        <f>L21-'Rate Impacts Sch129'!U21</f>
        <v>0</v>
      </c>
    </row>
    <row r="22" spans="2:14" x14ac:dyDescent="0.35">
      <c r="B22" t="s">
        <v>312</v>
      </c>
      <c r="C22" t="s">
        <v>2</v>
      </c>
      <c r="D22" s="563">
        <f>'Rate Impacts Sch129'!G22</f>
        <v>85387016</v>
      </c>
      <c r="E22" s="564">
        <f>'Rate Impacts Sch129'!S22</f>
        <v>4139887.6817327314</v>
      </c>
      <c r="F22" s="565">
        <f t="shared" si="0"/>
        <v>4.8483807909773205E-2</v>
      </c>
      <c r="G22" s="501"/>
      <c r="H22" s="563">
        <f>'Rate Impacts Sch129'!G22</f>
        <v>85387016</v>
      </c>
      <c r="I22" s="564">
        <f>'Rate Impacts Sch129'!S22+'Rate Impacts Sch129'!T22</f>
        <v>4119378.2691917783</v>
      </c>
      <c r="J22" s="565">
        <f t="shared" si="1"/>
        <v>4.8243614335835065E-2</v>
      </c>
      <c r="K22" s="566"/>
      <c r="L22" s="504">
        <f t="shared" si="2"/>
        <v>-4.9540987866533177E-3</v>
      </c>
      <c r="N22" s="567">
        <f>L22-'Rate Impacts Sch129'!U22</f>
        <v>4.0766001685454967E-17</v>
      </c>
    </row>
    <row r="23" spans="2:14" x14ac:dyDescent="0.35">
      <c r="B23" t="s">
        <v>313</v>
      </c>
      <c r="D23" s="563">
        <f>'Rate Impacts Sch129'!G23</f>
        <v>31668984</v>
      </c>
      <c r="E23" s="564">
        <f>'Rate Impacts Sch129'!S23</f>
        <v>1536205.2812706283</v>
      </c>
      <c r="F23" s="565">
        <f t="shared" si="0"/>
        <v>4.8508195945617588E-2</v>
      </c>
      <c r="G23" s="568"/>
      <c r="H23" s="563">
        <f>'Rate Impacts Sch129'!G23</f>
        <v>31668984</v>
      </c>
      <c r="I23" s="564">
        <f>'Rate Impacts Sch129'!S23+'Rate Impacts Sch129'!T23</f>
        <v>1536205.2812706283</v>
      </c>
      <c r="J23" s="565">
        <f t="shared" si="1"/>
        <v>4.8508195945617588E-2</v>
      </c>
      <c r="K23" s="566"/>
      <c r="L23" s="504">
        <f t="shared" si="2"/>
        <v>0</v>
      </c>
      <c r="M23" s="569"/>
      <c r="N23" s="567">
        <f>L23-'Rate Impacts Sch129'!U23</f>
        <v>0</v>
      </c>
    </row>
    <row r="24" spans="2:14" x14ac:dyDescent="0.35">
      <c r="B24" t="s">
        <v>0</v>
      </c>
      <c r="D24" s="570">
        <f>SUM(D11:D23)</f>
        <v>1180718437</v>
      </c>
      <c r="E24" s="508">
        <f>SUM(E11:E23)</f>
        <v>1023969846.4417053</v>
      </c>
      <c r="F24" s="571">
        <f>E24/D24</f>
        <v>0.86724303979146333</v>
      </c>
      <c r="G24" s="568"/>
      <c r="H24" s="570">
        <f>SUM(H11:H23)</f>
        <v>1180718437</v>
      </c>
      <c r="I24" s="508">
        <f>SUM(I11:I23)</f>
        <v>1021019489.0005815</v>
      </c>
      <c r="J24" s="571">
        <f>I24/H24</f>
        <v>0.86474425824569512</v>
      </c>
      <c r="K24" s="572"/>
      <c r="L24" s="510">
        <f>(I24-E24)/E24</f>
        <v>-2.8812932835633135E-3</v>
      </c>
      <c r="M24" s="573"/>
      <c r="N24" s="567">
        <f>L24-'Rate Impacts Sch129'!U24</f>
        <v>-5.1174342541315809E-17</v>
      </c>
    </row>
    <row r="25" spans="2:14" x14ac:dyDescent="0.35">
      <c r="F25" s="574"/>
      <c r="G25" s="569"/>
      <c r="J25" s="574"/>
      <c r="K25" s="572"/>
      <c r="L25" s="575"/>
      <c r="M25" s="569"/>
      <c r="N25" s="576"/>
    </row>
    <row r="26" spans="2:14" s="517" customFormat="1" x14ac:dyDescent="0.35">
      <c r="B26" s="513" t="s">
        <v>314</v>
      </c>
      <c r="C26" s="514"/>
      <c r="D26" s="514"/>
      <c r="E26" s="514"/>
      <c r="F26" s="577"/>
      <c r="G26" s="530"/>
      <c r="H26" s="514"/>
      <c r="I26" s="514"/>
      <c r="J26" s="577"/>
      <c r="K26" s="577"/>
      <c r="L26" s="578"/>
      <c r="M26" s="530"/>
      <c r="N26" s="576"/>
    </row>
    <row r="27" spans="2:14" s="517" customFormat="1" x14ac:dyDescent="0.35">
      <c r="B27" s="520" t="s">
        <v>315</v>
      </c>
      <c r="C27" s="520"/>
      <c r="D27" s="522">
        <f>D11+D12</f>
        <v>635911489</v>
      </c>
      <c r="E27" s="521">
        <f>E11+E12</f>
        <v>705947752.82891977</v>
      </c>
      <c r="F27" s="579">
        <f>E27/D27</f>
        <v>1.1101352390079553</v>
      </c>
      <c r="G27" s="580"/>
      <c r="H27" s="522">
        <f>H11+H12</f>
        <v>635911489</v>
      </c>
      <c r="I27" s="521">
        <f>I11+I12</f>
        <v>703811119.90139973</v>
      </c>
      <c r="J27" s="579">
        <f>I27/H27</f>
        <v>1.1067752856740725</v>
      </c>
      <c r="K27" s="581"/>
      <c r="L27" s="504">
        <f>(I27-E27)/E27</f>
        <v>-3.0266162318074987E-3</v>
      </c>
      <c r="M27" s="523"/>
      <c r="N27" s="567">
        <f>L27-'Rate Impacts Sch129'!U27</f>
        <v>-5.2041704279304213E-17</v>
      </c>
    </row>
    <row r="28" spans="2:14" s="517" customFormat="1" x14ac:dyDescent="0.35">
      <c r="B28" s="524" t="s">
        <v>316</v>
      </c>
      <c r="C28" s="524"/>
      <c r="D28" s="522">
        <f t="shared" ref="D28:E32" si="3">D13+D18</f>
        <v>237083349</v>
      </c>
      <c r="E28" s="521">
        <f t="shared" si="3"/>
        <v>239682663.57376683</v>
      </c>
      <c r="F28" s="579">
        <f t="shared" ref="F28:F33" si="4">E28/D28</f>
        <v>1.0109637162826093</v>
      </c>
      <c r="G28" s="580"/>
      <c r="H28" s="522">
        <f t="shared" ref="H28:I32" si="5">H13+H18</f>
        <v>237083349</v>
      </c>
      <c r="I28" s="521">
        <f t="shared" si="5"/>
        <v>239094696.86824682</v>
      </c>
      <c r="J28" s="579">
        <f t="shared" ref="J28:J33" si="6">I28/H28</f>
        <v>1.0084837162826092</v>
      </c>
      <c r="K28" s="581"/>
      <c r="L28" s="504">
        <f t="shared" ref="L28:L34" si="7">(I28-E28)/E28</f>
        <v>-2.453104854365265E-3</v>
      </c>
      <c r="M28" s="530"/>
      <c r="N28" s="567">
        <f>L28-'Rate Impacts Sch129'!U28</f>
        <v>-1.7780915628762273E-17</v>
      </c>
    </row>
    <row r="29" spans="2:14" s="517" customFormat="1" x14ac:dyDescent="0.35">
      <c r="B29" s="520" t="s">
        <v>317</v>
      </c>
      <c r="C29" s="520"/>
      <c r="D29" s="522">
        <f t="shared" si="3"/>
        <v>90517842</v>
      </c>
      <c r="E29" s="521">
        <f t="shared" si="3"/>
        <v>48338355.064227112</v>
      </c>
      <c r="F29" s="579">
        <f t="shared" si="4"/>
        <v>0.53402018868531032</v>
      </c>
      <c r="G29" s="580"/>
      <c r="H29" s="522">
        <f t="shared" si="5"/>
        <v>90517842</v>
      </c>
      <c r="I29" s="521">
        <f t="shared" si="5"/>
        <v>48197147.230707116</v>
      </c>
      <c r="J29" s="579">
        <f t="shared" si="6"/>
        <v>0.53246018868531042</v>
      </c>
      <c r="K29" s="581"/>
      <c r="L29" s="504">
        <f t="shared" si="7"/>
        <v>-2.921237872748722E-3</v>
      </c>
      <c r="M29" s="530"/>
      <c r="N29" s="567">
        <f>L29-'Rate Impacts Sch129'!U29</f>
        <v>9.9746599868666408E-17</v>
      </c>
    </row>
    <row r="30" spans="2:14" s="517" customFormat="1" x14ac:dyDescent="0.35">
      <c r="B30" s="520" t="s">
        <v>318</v>
      </c>
      <c r="C30" s="520"/>
      <c r="D30" s="522">
        <f t="shared" si="3"/>
        <v>76125226</v>
      </c>
      <c r="E30" s="521">
        <f t="shared" si="3"/>
        <v>12848315.275013046</v>
      </c>
      <c r="F30" s="579">
        <f t="shared" si="4"/>
        <v>0.16877868152421704</v>
      </c>
      <c r="G30" s="580"/>
      <c r="H30" s="522">
        <f t="shared" si="5"/>
        <v>76125226</v>
      </c>
      <c r="I30" s="521">
        <f t="shared" si="5"/>
        <v>12800294.437132385</v>
      </c>
      <c r="J30" s="579">
        <f t="shared" si="6"/>
        <v>0.16814786779263399</v>
      </c>
      <c r="K30" s="581"/>
      <c r="L30" s="504">
        <f t="shared" si="7"/>
        <v>-3.7375202003371568E-3</v>
      </c>
      <c r="M30" s="530"/>
      <c r="N30" s="567">
        <f>L30-'Rate Impacts Sch129'!U30</f>
        <v>6.5485811218124468E-17</v>
      </c>
    </row>
    <row r="31" spans="2:14" s="517" customFormat="1" x14ac:dyDescent="0.35">
      <c r="B31" s="520" t="s">
        <v>319</v>
      </c>
      <c r="C31" s="520"/>
      <c r="D31" s="522">
        <f t="shared" si="3"/>
        <v>6664474</v>
      </c>
      <c r="E31" s="521">
        <f t="shared" si="3"/>
        <v>3831234.0532985758</v>
      </c>
      <c r="F31" s="579">
        <f t="shared" si="4"/>
        <v>0.57487418411394142</v>
      </c>
      <c r="G31" s="580"/>
      <c r="H31" s="522">
        <f t="shared" si="5"/>
        <v>6664474</v>
      </c>
      <c r="I31" s="521">
        <f t="shared" si="5"/>
        <v>3820237.6711985758</v>
      </c>
      <c r="J31" s="579">
        <f t="shared" si="6"/>
        <v>0.57322418411394149</v>
      </c>
      <c r="K31" s="581"/>
      <c r="L31" s="504">
        <f t="shared" si="7"/>
        <v>-2.8701932450544221E-3</v>
      </c>
      <c r="M31" s="530"/>
      <c r="N31" s="567">
        <f>L31-'Rate Impacts Sch129'!U31</f>
        <v>-1.214306433183765E-17</v>
      </c>
    </row>
    <row r="32" spans="2:14" s="517" customFormat="1" x14ac:dyDescent="0.35">
      <c r="B32" s="525" t="s">
        <v>320</v>
      </c>
      <c r="C32" s="525"/>
      <c r="D32" s="522">
        <f t="shared" si="3"/>
        <v>102747073</v>
      </c>
      <c r="E32" s="521">
        <f t="shared" si="3"/>
        <v>11785320.365209341</v>
      </c>
      <c r="F32" s="579">
        <f t="shared" si="4"/>
        <v>0.11470224913569403</v>
      </c>
      <c r="G32" s="580"/>
      <c r="H32" s="522">
        <f t="shared" si="5"/>
        <v>102747073</v>
      </c>
      <c r="I32" s="521">
        <f t="shared" si="5"/>
        <v>11759787.610626213</v>
      </c>
      <c r="J32" s="579">
        <f t="shared" si="6"/>
        <v>0.11445374809486021</v>
      </c>
      <c r="K32" s="581"/>
      <c r="L32" s="504">
        <f t="shared" si="7"/>
        <v>-2.1664879521223149E-3</v>
      </c>
      <c r="M32" s="530"/>
      <c r="N32" s="567">
        <f>L32-'Rate Impacts Sch129'!U32</f>
        <v>2.3852447794681098E-17</v>
      </c>
    </row>
    <row r="33" spans="2:14" s="517" customFormat="1" x14ac:dyDescent="0.35">
      <c r="B33" s="525" t="s">
        <v>313</v>
      </c>
      <c r="C33" s="525"/>
      <c r="D33" s="522">
        <f>D23</f>
        <v>31668984</v>
      </c>
      <c r="E33" s="521">
        <f>E23</f>
        <v>1536205.2812706283</v>
      </c>
      <c r="F33" s="579">
        <f t="shared" si="4"/>
        <v>4.8508195945617588E-2</v>
      </c>
      <c r="G33" s="580"/>
      <c r="H33" s="522">
        <f>H23</f>
        <v>31668984</v>
      </c>
      <c r="I33" s="521">
        <f>I23</f>
        <v>1536205.2812706283</v>
      </c>
      <c r="J33" s="579">
        <f t="shared" si="6"/>
        <v>4.8508195945617588E-2</v>
      </c>
      <c r="K33" s="581"/>
      <c r="L33" s="504">
        <f t="shared" si="7"/>
        <v>0</v>
      </c>
      <c r="M33" s="530"/>
      <c r="N33" s="567">
        <f>L33-'Rate Impacts Sch129'!U33</f>
        <v>0</v>
      </c>
    </row>
    <row r="34" spans="2:14" s="517" customFormat="1" x14ac:dyDescent="0.35">
      <c r="B34" s="525" t="s">
        <v>1</v>
      </c>
      <c r="C34" s="525"/>
      <c r="D34" s="582">
        <f>SUM(D27:D33)</f>
        <v>1180718437</v>
      </c>
      <c r="E34" s="583">
        <f>SUM(E27:E33)</f>
        <v>1023969846.4417053</v>
      </c>
      <c r="F34" s="584">
        <f>E34/D34</f>
        <v>0.86724303979146333</v>
      </c>
      <c r="G34" s="580"/>
      <c r="H34" s="582">
        <f>SUM(H27:H33)</f>
        <v>1180718437</v>
      </c>
      <c r="I34" s="583">
        <f>SUM(I27:I33)</f>
        <v>1021019489.0005815</v>
      </c>
      <c r="J34" s="584">
        <f>I34/H34</f>
        <v>0.86474425824569512</v>
      </c>
      <c r="K34" s="581"/>
      <c r="L34" s="510">
        <f t="shared" si="7"/>
        <v>-2.8812932835633135E-3</v>
      </c>
      <c r="M34" s="530"/>
      <c r="N34" s="567">
        <f>L34-'Rate Impacts Sch129'!U34</f>
        <v>-5.1174342541315809E-17</v>
      </c>
    </row>
    <row r="35" spans="2:14" s="517" customFormat="1" x14ac:dyDescent="0.35">
      <c r="B35" s="529"/>
      <c r="C35" s="529"/>
      <c r="D35" s="529"/>
      <c r="E35" s="529"/>
      <c r="F35" s="529"/>
      <c r="G35" s="529"/>
      <c r="J35" s="530"/>
      <c r="K35" s="530"/>
    </row>
    <row r="36" spans="2:14" ht="16.5" x14ac:dyDescent="0.35">
      <c r="B36" s="520" t="s">
        <v>368</v>
      </c>
      <c r="F36" s="511"/>
      <c r="I36" s="532"/>
      <c r="K36" s="569"/>
    </row>
    <row r="37" spans="2:14" x14ac:dyDescent="0.35">
      <c r="F37" s="511"/>
    </row>
    <row r="38" spans="2:14" x14ac:dyDescent="0.35">
      <c r="B38" s="585"/>
    </row>
  </sheetData>
  <mergeCells count="6">
    <mergeCell ref="B1:L1"/>
    <mergeCell ref="B2:L2"/>
    <mergeCell ref="B3:L3"/>
    <mergeCell ref="B4:L4"/>
    <mergeCell ref="D6:F6"/>
    <mergeCell ref="H6:J6"/>
  </mergeCells>
  <printOptions horizontalCentered="1"/>
  <pageMargins left="0.7" right="0.7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9" activePane="bottomLeft" state="frozen"/>
      <selection activeCell="F8" sqref="F8"/>
      <selection pane="bottomLeft" activeCell="F18" sqref="F18"/>
    </sheetView>
  </sheetViews>
  <sheetFormatPr defaultColWidth="9.1796875" defaultRowHeight="14.5" x14ac:dyDescent="0.35"/>
  <cols>
    <col min="1" max="1" width="3.54296875" style="533" customWidth="1"/>
    <col min="2" max="2" width="19.81640625" style="533" customWidth="1"/>
    <col min="3" max="3" width="8.7265625" style="533" bestFit="1" customWidth="1"/>
    <col min="4" max="4" width="18.54296875" style="533" bestFit="1" customWidth="1"/>
    <col min="5" max="5" width="13.7265625" style="533" customWidth="1"/>
    <col min="6" max="6" width="13.7265625" style="609" customWidth="1"/>
    <col min="7" max="9" width="14.453125" style="533" customWidth="1"/>
    <col min="10" max="10" width="8.26953125" style="533" customWidth="1"/>
    <col min="11" max="11" width="11.81640625" style="533" bestFit="1" customWidth="1"/>
    <col min="12" max="12" width="11.26953125" style="533" bestFit="1" customWidth="1"/>
    <col min="13" max="13" width="10.54296875" style="533" customWidth="1"/>
    <col min="14" max="16384" width="9.1796875" style="533"/>
  </cols>
  <sheetData>
    <row r="1" spans="1:10" ht="15" customHeight="1" x14ac:dyDescent="0.35">
      <c r="A1" s="630" t="s">
        <v>13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5" customHeight="1" x14ac:dyDescent="0.35">
      <c r="A2" s="630" t="s">
        <v>359</v>
      </c>
      <c r="B2" s="630"/>
      <c r="C2" s="630"/>
      <c r="D2" s="630"/>
      <c r="E2" s="630"/>
      <c r="F2" s="630"/>
      <c r="G2" s="630"/>
      <c r="H2" s="630"/>
      <c r="I2" s="630"/>
      <c r="J2" s="630"/>
    </row>
    <row r="3" spans="1:10" ht="15" customHeight="1" x14ac:dyDescent="0.35">
      <c r="A3" s="630" t="s">
        <v>360</v>
      </c>
      <c r="B3" s="630"/>
      <c r="C3" s="630"/>
      <c r="D3" s="630"/>
      <c r="E3" s="630"/>
      <c r="F3" s="630"/>
      <c r="G3" s="630"/>
      <c r="H3" s="630"/>
      <c r="I3" s="630"/>
      <c r="J3" s="630"/>
    </row>
    <row r="4" spans="1:10" ht="15" customHeight="1" x14ac:dyDescent="0.35">
      <c r="A4" s="631" t="s">
        <v>268</v>
      </c>
      <c r="B4" s="631"/>
      <c r="C4" s="631"/>
      <c r="D4" s="631"/>
      <c r="E4" s="631"/>
      <c r="F4" s="631"/>
      <c r="G4" s="631"/>
      <c r="H4" s="631"/>
      <c r="I4" s="631"/>
      <c r="J4" s="631"/>
    </row>
    <row r="6" spans="1:10" x14ac:dyDescent="0.35">
      <c r="D6" s="560" t="s">
        <v>269</v>
      </c>
      <c r="E6" s="586"/>
      <c r="F6" s="587"/>
      <c r="G6" s="586" t="s">
        <v>269</v>
      </c>
      <c r="H6" s="586" t="s">
        <v>269</v>
      </c>
      <c r="I6" s="586" t="s">
        <v>276</v>
      </c>
    </row>
    <row r="7" spans="1:10" x14ac:dyDescent="0.35">
      <c r="C7" s="586" t="s">
        <v>12</v>
      </c>
      <c r="D7" s="560" t="s">
        <v>350</v>
      </c>
      <c r="E7" s="586" t="s">
        <v>120</v>
      </c>
      <c r="F7" s="587" t="s">
        <v>28</v>
      </c>
      <c r="G7" s="586" t="s">
        <v>6</v>
      </c>
      <c r="H7" s="586" t="s">
        <v>6</v>
      </c>
      <c r="I7" s="586" t="s">
        <v>6</v>
      </c>
      <c r="J7" s="560" t="s">
        <v>102</v>
      </c>
    </row>
    <row r="8" spans="1:10" x14ac:dyDescent="0.35">
      <c r="A8" s="632" t="s">
        <v>27</v>
      </c>
      <c r="B8" s="632"/>
      <c r="C8" s="623" t="s">
        <v>7</v>
      </c>
      <c r="D8" s="588" t="str">
        <f>'Rate Impacts Sch129'!$S$7</f>
        <v>12ME Sept. 2022</v>
      </c>
      <c r="E8" s="623" t="s">
        <v>361</v>
      </c>
      <c r="F8" s="589" t="s">
        <v>12</v>
      </c>
      <c r="G8" s="623" t="s">
        <v>324</v>
      </c>
      <c r="H8" s="623" t="s">
        <v>152</v>
      </c>
      <c r="I8" s="623" t="s">
        <v>103</v>
      </c>
      <c r="J8" s="494" t="s">
        <v>103</v>
      </c>
    </row>
    <row r="9" spans="1:10" x14ac:dyDescent="0.35">
      <c r="A9" s="533" t="s">
        <v>5</v>
      </c>
      <c r="C9" s="586" t="s">
        <v>26</v>
      </c>
      <c r="D9" s="499">
        <f>'Rate Impacts Sch129'!G11</f>
        <v>635902657</v>
      </c>
      <c r="E9" s="590">
        <v>7.0099999999999997E-3</v>
      </c>
      <c r="F9" s="645">
        <f>Rates!J9</f>
        <v>3.65E-3</v>
      </c>
      <c r="G9" s="574">
        <f>D9*(E9)</f>
        <v>4457677.6255700001</v>
      </c>
      <c r="H9" s="574">
        <f>D9*(F9)</f>
        <v>2321044.6980500002</v>
      </c>
      <c r="I9" s="591">
        <f>H9-G9</f>
        <v>-2136632.9275199999</v>
      </c>
      <c r="J9" s="555">
        <f>I9/G9</f>
        <v>-0.47931526390870183</v>
      </c>
    </row>
    <row r="10" spans="1:10" x14ac:dyDescent="0.35">
      <c r="C10" s="586"/>
      <c r="D10" s="499"/>
      <c r="E10" s="590"/>
      <c r="F10" s="645"/>
      <c r="G10" s="574"/>
      <c r="H10" s="574"/>
      <c r="I10" s="591"/>
    </row>
    <row r="11" spans="1:10" x14ac:dyDescent="0.35">
      <c r="A11" s="533" t="s">
        <v>25</v>
      </c>
      <c r="C11" s="586">
        <v>31</v>
      </c>
      <c r="D11" s="592">
        <f>'Rate Impacts Sch129'!G13</f>
        <v>237048169</v>
      </c>
      <c r="E11" s="590">
        <v>5.5599999999999998E-3</v>
      </c>
      <c r="F11" s="645">
        <f>Rates!J11</f>
        <v>3.0799999999999998E-3</v>
      </c>
      <c r="G11" s="574">
        <f>D11*(E11)</f>
        <v>1317987.8196399999</v>
      </c>
      <c r="H11" s="574">
        <f>D11*(F11)</f>
        <v>730108.36051999999</v>
      </c>
      <c r="I11" s="591">
        <f t="shared" ref="I11:I47" si="0">H11-G11</f>
        <v>-587879.4591199999</v>
      </c>
      <c r="J11" s="555">
        <f t="shared" ref="J11:J12" si="1">I11/G11</f>
        <v>-0.44604316546762585</v>
      </c>
    </row>
    <row r="12" spans="1:10" x14ac:dyDescent="0.35">
      <c r="A12" s="533" t="s">
        <v>25</v>
      </c>
      <c r="C12" s="586" t="s">
        <v>306</v>
      </c>
      <c r="D12" s="592">
        <f>'Rate Impacts Sch129'!G18</f>
        <v>35180</v>
      </c>
      <c r="E12" s="590">
        <v>5.5599999999999998E-3</v>
      </c>
      <c r="F12" s="645">
        <f>F11</f>
        <v>3.0799999999999998E-3</v>
      </c>
      <c r="G12" s="574">
        <f>D12*(E12)</f>
        <v>195.60079999999999</v>
      </c>
      <c r="H12" s="574">
        <f>D12*(F12)</f>
        <v>108.3544</v>
      </c>
      <c r="I12" s="591">
        <f t="shared" si="0"/>
        <v>-87.246399999999994</v>
      </c>
      <c r="J12" s="555">
        <f t="shared" si="1"/>
        <v>-0.4460431654676259</v>
      </c>
    </row>
    <row r="13" spans="1:10" x14ac:dyDescent="0.35">
      <c r="C13" s="586"/>
      <c r="D13" s="499"/>
      <c r="E13" s="590"/>
      <c r="F13" s="645"/>
      <c r="G13" s="574"/>
      <c r="H13" s="574"/>
      <c r="I13" s="591"/>
    </row>
    <row r="14" spans="1:10" x14ac:dyDescent="0.35">
      <c r="A14" s="533" t="s">
        <v>24</v>
      </c>
      <c r="C14" s="586">
        <v>41</v>
      </c>
      <c r="D14" s="592">
        <f>'Rate Impacts Sch129'!G14</f>
        <v>66323227</v>
      </c>
      <c r="E14" s="590">
        <v>3.0500000000000002E-3</v>
      </c>
      <c r="F14" s="645">
        <f>Rates!J13</f>
        <v>1.49E-3</v>
      </c>
      <c r="G14" s="574">
        <f>D14*(E14)</f>
        <v>202285.84235000002</v>
      </c>
      <c r="H14" s="574">
        <f>D14*(F14)</f>
        <v>98821.608229999998</v>
      </c>
      <c r="I14" s="591">
        <f t="shared" si="0"/>
        <v>-103464.23412000002</v>
      </c>
      <c r="J14" s="555">
        <f t="shared" ref="J14:J15" si="2">I14/G14</f>
        <v>-0.51147540983606565</v>
      </c>
    </row>
    <row r="15" spans="1:10" x14ac:dyDescent="0.35">
      <c r="A15" s="533" t="s">
        <v>24</v>
      </c>
      <c r="C15" s="586" t="s">
        <v>308</v>
      </c>
      <c r="D15" s="593">
        <f>'Rate Impacts Sch129'!G19</f>
        <v>24194615</v>
      </c>
      <c r="E15" s="590">
        <v>3.0500000000000002E-3</v>
      </c>
      <c r="F15" s="645">
        <f>F14</f>
        <v>1.49E-3</v>
      </c>
      <c r="G15" s="574">
        <f>D15*(E15)</f>
        <v>73793.575750000004</v>
      </c>
      <c r="H15" s="574">
        <f>D15*(F15)</f>
        <v>36049.976349999997</v>
      </c>
      <c r="I15" s="591">
        <f t="shared" si="0"/>
        <v>-37743.599400000006</v>
      </c>
      <c r="J15" s="555">
        <f t="shared" si="2"/>
        <v>-0.51147540983606565</v>
      </c>
    </row>
    <row r="16" spans="1:10" x14ac:dyDescent="0.35">
      <c r="C16" s="586"/>
      <c r="D16" s="594"/>
      <c r="E16" s="590"/>
      <c r="F16" s="645"/>
      <c r="G16" s="574"/>
      <c r="H16" s="574"/>
      <c r="I16" s="591"/>
    </row>
    <row r="17" spans="1:10" x14ac:dyDescent="0.35">
      <c r="A17" s="533" t="s">
        <v>4</v>
      </c>
      <c r="C17" s="586">
        <v>85</v>
      </c>
      <c r="D17" s="595"/>
      <c r="E17" s="590"/>
      <c r="F17" s="645"/>
      <c r="G17" s="574"/>
      <c r="H17" s="574"/>
      <c r="I17" s="591"/>
    </row>
    <row r="18" spans="1:10" x14ac:dyDescent="0.35">
      <c r="B18" s="533" t="s">
        <v>19</v>
      </c>
      <c r="C18" s="586"/>
      <c r="D18" s="616">
        <v>5691349.8089058427</v>
      </c>
      <c r="E18" s="596">
        <v>1.9599999999999999E-3</v>
      </c>
      <c r="F18" s="646">
        <f>Rates!J16</f>
        <v>1.0300000000000001E-3</v>
      </c>
      <c r="G18" s="574">
        <f t="shared" ref="G18:G47" si="3">D18*(E18)</f>
        <v>11155.045625455452</v>
      </c>
      <c r="H18" s="574">
        <f t="shared" ref="H18:H47" si="4">D18*(F18)</f>
        <v>5862.0903031730186</v>
      </c>
      <c r="I18" s="591">
        <f t="shared" si="0"/>
        <v>-5292.9553222824334</v>
      </c>
      <c r="J18" s="555">
        <f t="shared" ref="J18:J21" si="5">I18/G18</f>
        <v>-0.47448979591836732</v>
      </c>
    </row>
    <row r="19" spans="1:10" x14ac:dyDescent="0.35">
      <c r="B19" s="533" t="s">
        <v>18</v>
      </c>
      <c r="C19" s="586"/>
      <c r="D19" s="616">
        <v>3004418.2446086654</v>
      </c>
      <c r="E19" s="596">
        <v>1.2099999999999999E-3</v>
      </c>
      <c r="F19" s="646">
        <f>Rates!J17</f>
        <v>6.3000000000000003E-4</v>
      </c>
      <c r="G19" s="574">
        <f t="shared" si="3"/>
        <v>3635.3460759764848</v>
      </c>
      <c r="H19" s="574">
        <f t="shared" si="4"/>
        <v>1892.7834941034594</v>
      </c>
      <c r="I19" s="591">
        <f t="shared" si="0"/>
        <v>-1742.5625818730255</v>
      </c>
      <c r="J19" s="555">
        <f t="shared" si="5"/>
        <v>-0.47933884297520651</v>
      </c>
    </row>
    <row r="20" spans="1:10" x14ac:dyDescent="0.35">
      <c r="B20" s="533" t="s">
        <v>23</v>
      </c>
      <c r="C20" s="586"/>
      <c r="D20" s="616">
        <v>3396099.9464854919</v>
      </c>
      <c r="E20" s="596">
        <v>6.9999999999999999E-4</v>
      </c>
      <c r="F20" s="646">
        <f>Rates!J18</f>
        <v>3.6000000000000002E-4</v>
      </c>
      <c r="G20" s="574">
        <f t="shared" si="3"/>
        <v>2377.2699625398445</v>
      </c>
      <c r="H20" s="574">
        <f t="shared" si="4"/>
        <v>1222.5959807347772</v>
      </c>
      <c r="I20" s="591">
        <f t="shared" si="0"/>
        <v>-1154.6739818050673</v>
      </c>
      <c r="J20" s="555">
        <f t="shared" si="5"/>
        <v>-0.48571428571428571</v>
      </c>
    </row>
    <row r="21" spans="1:10" x14ac:dyDescent="0.35">
      <c r="B21" s="533" t="s">
        <v>0</v>
      </c>
      <c r="C21" s="586"/>
      <c r="D21" s="597">
        <f>SUM(D18:D20)</f>
        <v>12091868</v>
      </c>
      <c r="E21" s="590"/>
      <c r="F21" s="645"/>
      <c r="G21" s="598">
        <f>SUM(G18:G20)</f>
        <v>17167.661663971783</v>
      </c>
      <c r="H21" s="598">
        <f t="shared" ref="H21:I21" si="6">SUM(H18:H20)</f>
        <v>8977.4697780112547</v>
      </c>
      <c r="I21" s="598">
        <f t="shared" si="6"/>
        <v>-8190.1918859605257</v>
      </c>
      <c r="J21" s="599">
        <f t="shared" si="5"/>
        <v>-0.47707090495315035</v>
      </c>
    </row>
    <row r="22" spans="1:10" x14ac:dyDescent="0.35">
      <c r="C22" s="586"/>
      <c r="D22" s="594"/>
      <c r="E22" s="590"/>
      <c r="F22" s="645"/>
      <c r="G22" s="574"/>
      <c r="H22" s="574"/>
      <c r="I22" s="591"/>
    </row>
    <row r="23" spans="1:10" x14ac:dyDescent="0.35">
      <c r="A23" s="533" t="s">
        <v>4</v>
      </c>
      <c r="C23" s="586">
        <v>86</v>
      </c>
      <c r="D23" s="592">
        <f>'Rate Impacts Sch129'!G16</f>
        <v>6161401</v>
      </c>
      <c r="E23" s="590">
        <v>2.96E-3</v>
      </c>
      <c r="F23" s="645">
        <f>Rates!J21</f>
        <v>1.31E-3</v>
      </c>
      <c r="G23" s="574">
        <f t="shared" si="3"/>
        <v>18237.74696</v>
      </c>
      <c r="H23" s="574">
        <f t="shared" si="4"/>
        <v>8071.4353099999998</v>
      </c>
      <c r="I23" s="591">
        <f t="shared" si="0"/>
        <v>-10166.31165</v>
      </c>
      <c r="J23" s="555">
        <f t="shared" ref="J23:J24" si="7">I23/G23</f>
        <v>-0.55743243243243235</v>
      </c>
    </row>
    <row r="24" spans="1:10" x14ac:dyDescent="0.35">
      <c r="A24" s="533" t="s">
        <v>4</v>
      </c>
      <c r="C24" s="586" t="s">
        <v>311</v>
      </c>
      <c r="D24" s="593">
        <f>'Rate Impacts Sch129'!G21</f>
        <v>503073</v>
      </c>
      <c r="E24" s="590">
        <v>2.96E-3</v>
      </c>
      <c r="F24" s="645">
        <f>F23</f>
        <v>1.31E-3</v>
      </c>
      <c r="G24" s="574">
        <f t="shared" si="3"/>
        <v>1489.09608</v>
      </c>
      <c r="H24" s="574">
        <f t="shared" si="4"/>
        <v>659.02562999999998</v>
      </c>
      <c r="I24" s="591">
        <f t="shared" si="0"/>
        <v>-830.07045000000005</v>
      </c>
      <c r="J24" s="555">
        <f t="shared" si="7"/>
        <v>-0.55743243243243246</v>
      </c>
    </row>
    <row r="25" spans="1:10" x14ac:dyDescent="0.35">
      <c r="C25" s="586"/>
      <c r="D25" s="594"/>
      <c r="E25" s="590"/>
      <c r="F25" s="645"/>
      <c r="G25" s="574"/>
      <c r="H25" s="574"/>
      <c r="I25" s="591"/>
    </row>
    <row r="26" spans="1:10" x14ac:dyDescent="0.35">
      <c r="A26" s="533" t="s">
        <v>4</v>
      </c>
      <c r="C26" s="586">
        <v>87</v>
      </c>
      <c r="D26" s="594"/>
      <c r="E26" s="590"/>
      <c r="F26" s="645"/>
      <c r="G26" s="574"/>
      <c r="H26" s="574"/>
      <c r="I26" s="591"/>
    </row>
    <row r="27" spans="1:10" x14ac:dyDescent="0.35">
      <c r="B27" s="533" t="s">
        <v>19</v>
      </c>
      <c r="C27" s="586"/>
      <c r="D27" s="616">
        <v>1116291.3704999194</v>
      </c>
      <c r="E27" s="596">
        <v>1.9599999999999999E-3</v>
      </c>
      <c r="F27" s="646">
        <f>Rates!J24</f>
        <v>1.0300000000000001E-3</v>
      </c>
      <c r="G27" s="574">
        <f t="shared" si="3"/>
        <v>2187.9310861798422</v>
      </c>
      <c r="H27" s="574">
        <f t="shared" si="4"/>
        <v>1149.7801116149171</v>
      </c>
      <c r="I27" s="591">
        <f t="shared" si="0"/>
        <v>-1038.150974564925</v>
      </c>
      <c r="J27" s="555">
        <f t="shared" ref="J27:J33" si="8">I27/G27</f>
        <v>-0.47448979591836732</v>
      </c>
    </row>
    <row r="28" spans="1:10" x14ac:dyDescent="0.35">
      <c r="B28" s="533" t="s">
        <v>18</v>
      </c>
      <c r="C28" s="586"/>
      <c r="D28" s="616">
        <v>1094134.1985102613</v>
      </c>
      <c r="E28" s="596">
        <v>1.2099999999999999E-3</v>
      </c>
      <c r="F28" s="646">
        <f>Rates!J25</f>
        <v>6.3000000000000003E-4</v>
      </c>
      <c r="G28" s="574">
        <f t="shared" si="3"/>
        <v>1323.9023801974161</v>
      </c>
      <c r="H28" s="574">
        <f t="shared" si="4"/>
        <v>689.30454506146464</v>
      </c>
      <c r="I28" s="591">
        <f t="shared" si="0"/>
        <v>-634.59783513595141</v>
      </c>
      <c r="J28" s="555">
        <f t="shared" si="8"/>
        <v>-0.47933884297520657</v>
      </c>
    </row>
    <row r="29" spans="1:10" x14ac:dyDescent="0.35">
      <c r="B29" s="533" t="s">
        <v>17</v>
      </c>
      <c r="C29" s="586"/>
      <c r="D29" s="616">
        <v>1936672.9564568298</v>
      </c>
      <c r="E29" s="596">
        <v>8.0000000000000004E-4</v>
      </c>
      <c r="F29" s="646">
        <f>Rates!J26</f>
        <v>4.0999999999999999E-4</v>
      </c>
      <c r="G29" s="574">
        <f t="shared" si="3"/>
        <v>1549.338365165464</v>
      </c>
      <c r="H29" s="574">
        <f t="shared" si="4"/>
        <v>794.03591214730022</v>
      </c>
      <c r="I29" s="591">
        <f t="shared" si="0"/>
        <v>-755.30245301816376</v>
      </c>
      <c r="J29" s="555">
        <f t="shared" si="8"/>
        <v>-0.48750000000000004</v>
      </c>
    </row>
    <row r="30" spans="1:10" x14ac:dyDescent="0.35">
      <c r="B30" s="533" t="s">
        <v>16</v>
      </c>
      <c r="C30" s="586"/>
      <c r="D30" s="616">
        <v>2378284.4842655626</v>
      </c>
      <c r="E30" s="596">
        <v>5.4000000000000001E-4</v>
      </c>
      <c r="F30" s="646">
        <f>Rates!J27</f>
        <v>2.7E-4</v>
      </c>
      <c r="G30" s="574">
        <f t="shared" si="3"/>
        <v>1284.2736215034038</v>
      </c>
      <c r="H30" s="574">
        <f t="shared" si="4"/>
        <v>642.13681075170189</v>
      </c>
      <c r="I30" s="591">
        <f t="shared" si="0"/>
        <v>-642.13681075170189</v>
      </c>
      <c r="J30" s="555">
        <f t="shared" si="8"/>
        <v>-0.5</v>
      </c>
    </row>
    <row r="31" spans="1:10" x14ac:dyDescent="0.35">
      <c r="B31" s="533" t="s">
        <v>15</v>
      </c>
      <c r="C31" s="586"/>
      <c r="D31" s="616">
        <v>2781484.7589641572</v>
      </c>
      <c r="E31" s="596">
        <v>4.0999999999999999E-4</v>
      </c>
      <c r="F31" s="646">
        <f>Rates!J28</f>
        <v>2.0000000000000001E-4</v>
      </c>
      <c r="G31" s="574">
        <f t="shared" si="3"/>
        <v>1140.4087511753044</v>
      </c>
      <c r="H31" s="574">
        <f t="shared" si="4"/>
        <v>556.29695179283146</v>
      </c>
      <c r="I31" s="591">
        <f t="shared" si="0"/>
        <v>-584.1117993824729</v>
      </c>
      <c r="J31" s="555">
        <f t="shared" si="8"/>
        <v>-0.51219512195121941</v>
      </c>
    </row>
    <row r="32" spans="1:10" x14ac:dyDescent="0.35">
      <c r="B32" s="533" t="s">
        <v>21</v>
      </c>
      <c r="C32" s="586"/>
      <c r="D32" s="616">
        <v>8053189.2313032653</v>
      </c>
      <c r="E32" s="596">
        <v>3.3E-4</v>
      </c>
      <c r="F32" s="646">
        <f>Rates!J29</f>
        <v>1.6000000000000001E-4</v>
      </c>
      <c r="G32" s="574">
        <f t="shared" si="3"/>
        <v>2657.5524463300776</v>
      </c>
      <c r="H32" s="574">
        <f t="shared" si="4"/>
        <v>1288.5102770085225</v>
      </c>
      <c r="I32" s="591">
        <f t="shared" si="0"/>
        <v>-1369.0421693215551</v>
      </c>
      <c r="J32" s="555">
        <f t="shared" si="8"/>
        <v>-0.51515151515151514</v>
      </c>
    </row>
    <row r="33" spans="1:10" x14ac:dyDescent="0.35">
      <c r="B33" s="533" t="s">
        <v>0</v>
      </c>
      <c r="C33" s="586"/>
      <c r="D33" s="597">
        <f>SUM(D27:D32)</f>
        <v>17360056.999999993</v>
      </c>
      <c r="E33" s="590"/>
      <c r="F33" s="645"/>
      <c r="G33" s="598">
        <f>SUM(G27:G32)</f>
        <v>10143.406650551507</v>
      </c>
      <c r="H33" s="598">
        <f t="shared" ref="H33:I33" si="9">SUM(H27:H32)</f>
        <v>5120.0646083767379</v>
      </c>
      <c r="I33" s="598">
        <f t="shared" si="9"/>
        <v>-5023.3420421747696</v>
      </c>
      <c r="J33" s="599">
        <f t="shared" si="8"/>
        <v>-0.49523224447495118</v>
      </c>
    </row>
    <row r="34" spans="1:10" x14ac:dyDescent="0.35">
      <c r="C34" s="586"/>
      <c r="D34" s="600"/>
      <c r="E34" s="590"/>
      <c r="F34" s="645"/>
      <c r="G34" s="574"/>
      <c r="H34" s="574"/>
      <c r="I34" s="591"/>
      <c r="J34" s="601"/>
    </row>
    <row r="35" spans="1:10" x14ac:dyDescent="0.35">
      <c r="A35" s="533" t="s">
        <v>22</v>
      </c>
      <c r="C35" s="586" t="s">
        <v>3</v>
      </c>
      <c r="D35" s="600"/>
      <c r="E35" s="590"/>
      <c r="F35" s="645"/>
      <c r="G35" s="574"/>
      <c r="H35" s="574"/>
      <c r="I35" s="591"/>
      <c r="J35" s="601"/>
    </row>
    <row r="36" spans="1:10" x14ac:dyDescent="0.35">
      <c r="B36" s="533" t="s">
        <v>19</v>
      </c>
      <c r="C36" s="586"/>
      <c r="D36" s="621">
        <v>24083576.538951885</v>
      </c>
      <c r="E36" s="596">
        <v>1.9599999999999999E-3</v>
      </c>
      <c r="F36" s="646">
        <f>Rates!J33</f>
        <v>1.0300000000000001E-3</v>
      </c>
      <c r="G36" s="574">
        <f t="shared" si="3"/>
        <v>47203.810016345691</v>
      </c>
      <c r="H36" s="574">
        <f t="shared" si="4"/>
        <v>24806.083835120444</v>
      </c>
      <c r="I36" s="591">
        <f t="shared" si="0"/>
        <v>-22397.726181225247</v>
      </c>
      <c r="J36" s="555">
        <f t="shared" ref="J36:J39" si="10">I36/G36</f>
        <v>-0.47448979591836726</v>
      </c>
    </row>
    <row r="37" spans="1:10" x14ac:dyDescent="0.35">
      <c r="B37" s="533" t="s">
        <v>18</v>
      </c>
      <c r="C37" s="586"/>
      <c r="D37" s="621">
        <v>16041642.15300175</v>
      </c>
      <c r="E37" s="596">
        <v>1.2099999999999999E-3</v>
      </c>
      <c r="F37" s="646">
        <f>Rates!J34</f>
        <v>6.3000000000000003E-4</v>
      </c>
      <c r="G37" s="574">
        <f t="shared" si="3"/>
        <v>19410.387005132117</v>
      </c>
      <c r="H37" s="574">
        <f t="shared" si="4"/>
        <v>10106.234556391102</v>
      </c>
      <c r="I37" s="591">
        <f t="shared" si="0"/>
        <v>-9304.1524487410152</v>
      </c>
      <c r="J37" s="555">
        <f t="shared" si="10"/>
        <v>-0.47933884297520662</v>
      </c>
    </row>
    <row r="38" spans="1:10" x14ac:dyDescent="0.35">
      <c r="B38" s="533" t="s">
        <v>23</v>
      </c>
      <c r="C38" s="586"/>
      <c r="D38" s="621">
        <v>23908139.308046363</v>
      </c>
      <c r="E38" s="596">
        <v>6.9999999999999999E-4</v>
      </c>
      <c r="F38" s="646">
        <f>Rates!J35</f>
        <v>3.6000000000000002E-4</v>
      </c>
      <c r="G38" s="574">
        <f t="shared" si="3"/>
        <v>16735.697515632455</v>
      </c>
      <c r="H38" s="574">
        <f t="shared" si="4"/>
        <v>8606.930150896691</v>
      </c>
      <c r="I38" s="591">
        <f t="shared" si="0"/>
        <v>-8128.7673647357642</v>
      </c>
      <c r="J38" s="555">
        <f t="shared" si="10"/>
        <v>-0.48571428571428571</v>
      </c>
    </row>
    <row r="39" spans="1:10" x14ac:dyDescent="0.35">
      <c r="B39" s="533" t="s">
        <v>0</v>
      </c>
      <c r="C39" s="586"/>
      <c r="D39" s="597">
        <f>SUM(D36:D38)</f>
        <v>64033358</v>
      </c>
      <c r="E39" s="590"/>
      <c r="F39" s="645"/>
      <c r="G39" s="598">
        <f>SUM(G36:G38)</f>
        <v>83349.89453711026</v>
      </c>
      <c r="H39" s="598">
        <f t="shared" ref="H39:I39" si="11">SUM(H36:H38)</f>
        <v>43519.248542408233</v>
      </c>
      <c r="I39" s="598">
        <f t="shared" si="11"/>
        <v>-39830.645994702027</v>
      </c>
      <c r="J39" s="599">
        <f t="shared" si="10"/>
        <v>-0.47787278215412793</v>
      </c>
    </row>
    <row r="40" spans="1:10" x14ac:dyDescent="0.35">
      <c r="C40" s="586"/>
      <c r="D40" s="600"/>
      <c r="E40" s="590"/>
      <c r="F40" s="645"/>
      <c r="G40" s="574"/>
      <c r="H40" s="574"/>
      <c r="I40" s="591"/>
      <c r="J40" s="601"/>
    </row>
    <row r="41" spans="1:10" x14ac:dyDescent="0.35">
      <c r="A41" s="533" t="s">
        <v>22</v>
      </c>
      <c r="C41" s="586" t="s">
        <v>2</v>
      </c>
      <c r="D41" s="600"/>
      <c r="E41" s="590"/>
      <c r="F41" s="645"/>
      <c r="G41" s="574"/>
      <c r="H41" s="574"/>
      <c r="I41" s="591"/>
    </row>
    <row r="42" spans="1:10" x14ac:dyDescent="0.35">
      <c r="B42" s="533" t="s">
        <v>19</v>
      </c>
      <c r="C42" s="586"/>
      <c r="D42" s="621">
        <v>2550360.1178630418</v>
      </c>
      <c r="E42" s="596">
        <v>1.9599999999999999E-3</v>
      </c>
      <c r="F42" s="646">
        <f>Rates!J39</f>
        <v>1.0300000000000001E-3</v>
      </c>
      <c r="G42" s="574">
        <f t="shared" si="3"/>
        <v>4998.7058310115617</v>
      </c>
      <c r="H42" s="574">
        <f t="shared" si="4"/>
        <v>2626.8709213989332</v>
      </c>
      <c r="I42" s="591">
        <f t="shared" si="0"/>
        <v>-2371.8349096126285</v>
      </c>
      <c r="J42" s="555">
        <f t="shared" ref="J42:J48" si="12">I42/G42</f>
        <v>-0.47448979591836732</v>
      </c>
    </row>
    <row r="43" spans="1:10" x14ac:dyDescent="0.35">
      <c r="B43" s="533" t="s">
        <v>18</v>
      </c>
      <c r="C43" s="586"/>
      <c r="D43" s="621">
        <v>2550360.1178630418</v>
      </c>
      <c r="E43" s="596">
        <v>1.2099999999999999E-3</v>
      </c>
      <c r="F43" s="646">
        <f>Rates!J40</f>
        <v>6.3000000000000003E-4</v>
      </c>
      <c r="G43" s="574">
        <f t="shared" si="3"/>
        <v>3085.9357426142806</v>
      </c>
      <c r="H43" s="574">
        <f t="shared" si="4"/>
        <v>1606.7268742537165</v>
      </c>
      <c r="I43" s="591">
        <f t="shared" si="0"/>
        <v>-1479.2088683605641</v>
      </c>
      <c r="J43" s="555">
        <f t="shared" si="12"/>
        <v>-0.47933884297520657</v>
      </c>
    </row>
    <row r="44" spans="1:10" x14ac:dyDescent="0.35">
      <c r="B44" s="533" t="s">
        <v>17</v>
      </c>
      <c r="C44" s="586"/>
      <c r="D44" s="621">
        <v>5086910.4437454734</v>
      </c>
      <c r="E44" s="596">
        <v>8.0000000000000004E-4</v>
      </c>
      <c r="F44" s="646">
        <f>Rates!J41</f>
        <v>4.0999999999999999E-4</v>
      </c>
      <c r="G44" s="574">
        <f t="shared" si="3"/>
        <v>4069.5283549963788</v>
      </c>
      <c r="H44" s="574">
        <f t="shared" si="4"/>
        <v>2085.6332819356439</v>
      </c>
      <c r="I44" s="591">
        <f t="shared" si="0"/>
        <v>-1983.8950730607348</v>
      </c>
      <c r="J44" s="555">
        <f t="shared" si="12"/>
        <v>-0.48750000000000004</v>
      </c>
    </row>
    <row r="45" spans="1:10" x14ac:dyDescent="0.35">
      <c r="B45" s="533" t="s">
        <v>16</v>
      </c>
      <c r="C45" s="586"/>
      <c r="D45" s="621">
        <v>9978294.885181658</v>
      </c>
      <c r="E45" s="596">
        <v>5.4000000000000001E-4</v>
      </c>
      <c r="F45" s="646">
        <f>Rates!J42</f>
        <v>2.7E-4</v>
      </c>
      <c r="G45" s="574">
        <f t="shared" si="3"/>
        <v>5388.2792379980956</v>
      </c>
      <c r="H45" s="574">
        <f t="shared" si="4"/>
        <v>2694.1396189990478</v>
      </c>
      <c r="I45" s="591">
        <f t="shared" si="0"/>
        <v>-2694.1396189990478</v>
      </c>
      <c r="J45" s="555">
        <f t="shared" si="12"/>
        <v>-0.5</v>
      </c>
    </row>
    <row r="46" spans="1:10" x14ac:dyDescent="0.35">
      <c r="B46" s="533" t="s">
        <v>15</v>
      </c>
      <c r="C46" s="586"/>
      <c r="D46" s="621">
        <v>22318717.42278453</v>
      </c>
      <c r="E46" s="596">
        <v>4.0999999999999999E-4</v>
      </c>
      <c r="F46" s="646">
        <f>Rates!J43</f>
        <v>2.0000000000000001E-4</v>
      </c>
      <c r="G46" s="574">
        <f t="shared" si="3"/>
        <v>9150.6741433416573</v>
      </c>
      <c r="H46" s="574">
        <f t="shared" si="4"/>
        <v>4463.743484556906</v>
      </c>
      <c r="I46" s="591">
        <f t="shared" si="0"/>
        <v>-4686.9306587847514</v>
      </c>
      <c r="J46" s="555">
        <f t="shared" si="12"/>
        <v>-0.51219512195121952</v>
      </c>
    </row>
    <row r="47" spans="1:10" x14ac:dyDescent="0.35">
      <c r="B47" s="533" t="s">
        <v>21</v>
      </c>
      <c r="C47" s="586"/>
      <c r="D47" s="621">
        <v>42902373.012562253</v>
      </c>
      <c r="E47" s="596">
        <v>3.3E-4</v>
      </c>
      <c r="F47" s="646">
        <f>Rates!J44</f>
        <v>1.6000000000000001E-4</v>
      </c>
      <c r="G47" s="574">
        <f t="shared" si="3"/>
        <v>14157.783094145543</v>
      </c>
      <c r="H47" s="574">
        <f t="shared" si="4"/>
        <v>6864.3796820099606</v>
      </c>
      <c r="I47" s="591">
        <f t="shared" si="0"/>
        <v>-7293.4034121355826</v>
      </c>
      <c r="J47" s="555">
        <f t="shared" si="12"/>
        <v>-0.51515151515151514</v>
      </c>
    </row>
    <row r="48" spans="1:10" x14ac:dyDescent="0.35">
      <c r="B48" s="533" t="s">
        <v>0</v>
      </c>
      <c r="C48" s="586"/>
      <c r="D48" s="597">
        <f>SUM(D42:D47)</f>
        <v>85387016</v>
      </c>
      <c r="E48" s="590"/>
      <c r="F48" s="650"/>
      <c r="G48" s="598">
        <f>SUM(G42:G47)</f>
        <v>40850.906404107518</v>
      </c>
      <c r="H48" s="598">
        <f t="shared" ref="H48:I48" si="13">SUM(H42:H47)</f>
        <v>20341.493863154206</v>
      </c>
      <c r="I48" s="598">
        <f t="shared" si="13"/>
        <v>-20509.412540953308</v>
      </c>
      <c r="J48" s="599">
        <f t="shared" si="12"/>
        <v>-0.50205526257040667</v>
      </c>
    </row>
    <row r="49" spans="2:12" x14ac:dyDescent="0.35">
      <c r="D49" s="603"/>
      <c r="E49" s="604"/>
      <c r="F49" s="604"/>
      <c r="G49" s="605"/>
      <c r="H49" s="572"/>
      <c r="I49" s="591"/>
      <c r="J49" s="546"/>
    </row>
    <row r="50" spans="2:12" x14ac:dyDescent="0.35">
      <c r="B50" s="533" t="s">
        <v>0</v>
      </c>
      <c r="D50" s="606">
        <f>D9+D11+D14+D21+D23+D33+D39+D48+D12+D15+D24</f>
        <v>1149040621</v>
      </c>
      <c r="E50" s="590"/>
      <c r="F50" s="602"/>
      <c r="G50" s="509">
        <f>G9+G11+G14+G21+G23+G33+G39+G48+G12+G15+G24</f>
        <v>6223179.1764057409</v>
      </c>
      <c r="H50" s="509">
        <f>H9+H11+H14+H21+H23+H33+H39+H48+H12+H15+H24</f>
        <v>3272821.7352819513</v>
      </c>
      <c r="I50" s="509">
        <f>I9+I11+I14+I21+I23+I33+I39+I48+I12+I15+I24</f>
        <v>-2950357.4411237906</v>
      </c>
      <c r="J50" s="599">
        <f>I50/G50</f>
        <v>-0.47409167525010887</v>
      </c>
    </row>
    <row r="51" spans="2:12" x14ac:dyDescent="0.35">
      <c r="D51" s="546"/>
      <c r="E51" s="546"/>
      <c r="F51" s="607"/>
      <c r="G51" s="546"/>
      <c r="H51" s="546"/>
      <c r="J51" s="601"/>
    </row>
    <row r="52" spans="2:12" x14ac:dyDescent="0.35">
      <c r="D52" s="546"/>
      <c r="E52" s="546"/>
      <c r="F52" s="607"/>
      <c r="G52" s="608"/>
      <c r="H52" s="608"/>
    </row>
    <row r="53" spans="2:12" x14ac:dyDescent="0.35">
      <c r="L53" s="601"/>
    </row>
    <row r="54" spans="2:12" x14ac:dyDescent="0.35">
      <c r="B54" s="610"/>
      <c r="D54" s="611"/>
      <c r="E54" s="611"/>
      <c r="F54" s="612"/>
      <c r="G54" s="591"/>
      <c r="H54" s="591"/>
    </row>
    <row r="55" spans="2:12" x14ac:dyDescent="0.35">
      <c r="C55" s="607"/>
      <c r="D55" s="613"/>
      <c r="E55" s="546"/>
      <c r="F55" s="607"/>
    </row>
    <row r="56" spans="2:12" x14ac:dyDescent="0.35">
      <c r="C56" s="607"/>
      <c r="D56" s="546"/>
      <c r="E56" s="607"/>
      <c r="F56" s="607"/>
    </row>
    <row r="57" spans="2:12" x14ac:dyDescent="0.35">
      <c r="C57" s="607"/>
      <c r="D57" s="546"/>
      <c r="E57" s="614"/>
      <c r="F57" s="615"/>
    </row>
    <row r="58" spans="2:12" x14ac:dyDescent="0.35">
      <c r="C58" s="611"/>
      <c r="D58" s="611"/>
      <c r="E58" s="614"/>
      <c r="F58" s="615"/>
    </row>
    <row r="59" spans="2:12" x14ac:dyDescent="0.35">
      <c r="E59" s="614"/>
      <c r="F59" s="615"/>
    </row>
    <row r="60" spans="2:12" x14ac:dyDescent="0.35">
      <c r="E60" s="546"/>
      <c r="F60" s="607"/>
    </row>
    <row r="61" spans="2:12" x14ac:dyDescent="0.35">
      <c r="E61" s="546"/>
      <c r="F61" s="607"/>
    </row>
    <row r="62" spans="2:12" x14ac:dyDescent="0.35">
      <c r="E62" s="546"/>
      <c r="F62" s="607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H32" sqref="H32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zoomScale="90" zoomScaleNormal="90" workbookViewId="0">
      <pane ySplit="8" topLeftCell="A9" activePane="bottomLeft" state="frozen"/>
      <selection activeCell="P36" sqref="P36"/>
      <selection pane="bottomLeft" activeCell="Q9" sqref="Q9"/>
    </sheetView>
  </sheetViews>
  <sheetFormatPr defaultColWidth="8.81640625" defaultRowHeight="12.5" x14ac:dyDescent="0.25"/>
  <cols>
    <col min="1" max="1" width="1.54296875" style="95" customWidth="1"/>
    <col min="2" max="2" width="4.54296875" style="95" customWidth="1"/>
    <col min="3" max="3" width="3.1796875" style="95" customWidth="1"/>
    <col min="4" max="4" width="25.7265625" style="95" customWidth="1"/>
    <col min="5" max="5" width="12.1796875" style="95" customWidth="1"/>
    <col min="6" max="6" width="9" style="95" bestFit="1" customWidth="1"/>
    <col min="7" max="7" width="13.7265625" style="95" customWidth="1"/>
    <col min="8" max="8" width="13.26953125" style="95" customWidth="1"/>
    <col min="9" max="9" width="13.26953125" style="95" bestFit="1" customWidth="1"/>
    <col min="10" max="10" width="12.54296875" style="94" bestFit="1" customWidth="1"/>
    <col min="11" max="11" width="12.54296875" style="95" bestFit="1" customWidth="1"/>
    <col min="12" max="12" width="11.453125" style="94" customWidth="1"/>
    <col min="13" max="13" width="10.81640625" style="95" customWidth="1"/>
    <col min="14" max="14" width="9.26953125" style="95" bestFit="1" customWidth="1"/>
    <col min="15" max="15" width="10" style="95" bestFit="1" customWidth="1"/>
    <col min="16" max="16" width="19.54296875" style="95" customWidth="1"/>
    <col min="17" max="17" width="15.26953125" style="94" customWidth="1"/>
    <col min="18" max="18" width="16" style="94" bestFit="1" customWidth="1"/>
    <col min="19" max="20" width="15.453125" style="94" bestFit="1" customWidth="1"/>
    <col min="21" max="21" width="16" style="94" bestFit="1" customWidth="1"/>
    <col min="22" max="22" width="10.81640625" style="95" customWidth="1"/>
    <col min="23" max="16384" width="8.81640625" style="95"/>
  </cols>
  <sheetData>
    <row r="1" spans="2:22" x14ac:dyDescent="0.25">
      <c r="B1" s="633" t="s">
        <v>13</v>
      </c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</row>
    <row r="2" spans="2:22" s="94" customFormat="1" x14ac:dyDescent="0.25">
      <c r="B2" s="403" t="str">
        <f>Rates!$B$2</f>
        <v>2021 Gas Schedule 129 Low Income Program Filing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</row>
    <row r="3" spans="2:22" s="94" customFormat="1" x14ac:dyDescent="0.25">
      <c r="B3" s="634" t="s">
        <v>63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</row>
    <row r="4" spans="2:22" s="94" customFormat="1" x14ac:dyDescent="0.25">
      <c r="B4" s="127" t="str">
        <f>Rates!B4</f>
        <v>Proposed Effective October 1, 2021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24"/>
    </row>
    <row r="6" spans="2:22" x14ac:dyDescent="0.25">
      <c r="E6" s="109"/>
      <c r="F6" s="109"/>
      <c r="G6" s="109" t="s">
        <v>62</v>
      </c>
      <c r="H6" s="114"/>
      <c r="J6" s="114" t="s">
        <v>40</v>
      </c>
      <c r="K6" s="109" t="s">
        <v>61</v>
      </c>
      <c r="L6" s="114" t="s">
        <v>40</v>
      </c>
      <c r="M6" s="109"/>
      <c r="P6" s="95" t="s">
        <v>161</v>
      </c>
    </row>
    <row r="7" spans="2:22" ht="25" x14ac:dyDescent="0.25">
      <c r="E7" s="114" t="s">
        <v>88</v>
      </c>
      <c r="F7" s="114"/>
      <c r="G7" s="109" t="s">
        <v>89</v>
      </c>
      <c r="H7" s="114"/>
      <c r="I7" s="109" t="s">
        <v>46</v>
      </c>
      <c r="J7" s="114" t="s">
        <v>6</v>
      </c>
      <c r="K7" s="109" t="s">
        <v>6</v>
      </c>
      <c r="L7" s="114" t="s">
        <v>60</v>
      </c>
      <c r="M7" s="109" t="s">
        <v>29</v>
      </c>
      <c r="Q7" s="651" t="s">
        <v>366</v>
      </c>
      <c r="R7" s="624" t="s">
        <v>229</v>
      </c>
      <c r="S7" s="624" t="s">
        <v>243</v>
      </c>
      <c r="T7" s="624" t="s">
        <v>243</v>
      </c>
      <c r="U7" s="624" t="s">
        <v>230</v>
      </c>
    </row>
    <row r="8" spans="2:22" ht="14.5" x14ac:dyDescent="0.25">
      <c r="B8" s="4" t="s">
        <v>38</v>
      </c>
      <c r="C8" s="625" t="s">
        <v>59</v>
      </c>
      <c r="D8" s="625"/>
      <c r="E8" s="41" t="s">
        <v>57</v>
      </c>
      <c r="F8" s="41" t="s">
        <v>58</v>
      </c>
      <c r="G8" s="110" t="s">
        <v>57</v>
      </c>
      <c r="H8" s="41" t="s">
        <v>97</v>
      </c>
      <c r="I8" s="110" t="s">
        <v>56</v>
      </c>
      <c r="J8" s="41" t="s">
        <v>36</v>
      </c>
      <c r="K8" s="110" t="s">
        <v>36</v>
      </c>
      <c r="L8" s="41" t="s">
        <v>55</v>
      </c>
      <c r="M8" s="110" t="s">
        <v>6</v>
      </c>
      <c r="Q8" s="624" t="s">
        <v>115</v>
      </c>
      <c r="R8" s="624" t="s">
        <v>116</v>
      </c>
      <c r="S8" s="624" t="s">
        <v>117</v>
      </c>
      <c r="T8" s="624" t="s">
        <v>245</v>
      </c>
      <c r="U8" s="624" t="s">
        <v>118</v>
      </c>
      <c r="V8" s="109"/>
    </row>
    <row r="9" spans="2:22" x14ac:dyDescent="0.25">
      <c r="B9" s="109">
        <v>1</v>
      </c>
      <c r="C9" s="95" t="s">
        <v>54</v>
      </c>
      <c r="E9" s="72"/>
      <c r="F9" s="72"/>
      <c r="G9" s="71"/>
      <c r="Q9" s="624" t="s">
        <v>98</v>
      </c>
      <c r="R9" s="624" t="s">
        <v>100</v>
      </c>
      <c r="S9" s="624" t="s">
        <v>114</v>
      </c>
      <c r="T9" s="624" t="s">
        <v>242</v>
      </c>
      <c r="U9" s="624" t="s">
        <v>48</v>
      </c>
      <c r="V9" s="109" t="s">
        <v>0</v>
      </c>
    </row>
    <row r="10" spans="2:22" x14ac:dyDescent="0.25">
      <c r="B10" s="109">
        <v>2</v>
      </c>
      <c r="D10" s="95" t="s">
        <v>19</v>
      </c>
      <c r="E10" s="11">
        <v>7493391</v>
      </c>
      <c r="F10" s="64">
        <f>+E10/$E$17</f>
        <v>0.42995017933259927</v>
      </c>
      <c r="G10" s="50">
        <f t="shared" ref="G10:G15" si="0">+F10*$G$17</f>
        <v>7827275.7071266854</v>
      </c>
      <c r="H10" s="53">
        <f>H$39</f>
        <v>0.18353999999999998</v>
      </c>
      <c r="I10" s="49">
        <f t="shared" ref="I10:I15" si="1">ROUND(G10*H10,0)</f>
        <v>1436618</v>
      </c>
      <c r="K10" s="49">
        <f>ROUND(I10*$J$48,0)</f>
        <v>8029</v>
      </c>
      <c r="L10" s="53">
        <f>L29</f>
        <v>1.0300000000000001E-3</v>
      </c>
      <c r="M10" s="49">
        <f>G10*L10</f>
        <v>8062.0939783404865</v>
      </c>
      <c r="P10" s="95" t="s">
        <v>19</v>
      </c>
      <c r="Q10" s="125">
        <f>'Rate Design Int &amp; Trans'!H158</f>
        <v>0.17956</v>
      </c>
      <c r="R10" s="125">
        <f>'Margin Revenue'!$H$26</f>
        <v>2.64E-3</v>
      </c>
      <c r="S10" s="125">
        <f>'Margin Revenue'!$I$26</f>
        <v>-1.42E-3</v>
      </c>
      <c r="T10" s="125">
        <f>'Margin Revenue'!$J$26</f>
        <v>-1.3999999999999999E-4</v>
      </c>
      <c r="U10" s="125">
        <f>'Margin Revenue'!$K$26</f>
        <v>2.8999999999999998E-3</v>
      </c>
      <c r="V10" s="93">
        <f>SUM(Q10:U10)</f>
        <v>0.18353999999999998</v>
      </c>
    </row>
    <row r="11" spans="2:22" x14ac:dyDescent="0.25">
      <c r="B11" s="109">
        <v>3</v>
      </c>
      <c r="D11" s="95" t="s">
        <v>18</v>
      </c>
      <c r="E11" s="11">
        <v>4056562</v>
      </c>
      <c r="F11" s="64">
        <f t="shared" ref="F11:F15" si="2">+E11/$E$17</f>
        <v>0.23275437774083957</v>
      </c>
      <c r="G11" s="50">
        <f t="shared" si="0"/>
        <v>4237311.1448546117</v>
      </c>
      <c r="H11" s="53">
        <f>H$40</f>
        <v>0.11248999999999999</v>
      </c>
      <c r="I11" s="49">
        <f t="shared" si="1"/>
        <v>476655</v>
      </c>
      <c r="K11" s="49">
        <f t="shared" ref="K11:K15" si="3">ROUND(I11*$J$48,0)</f>
        <v>2664</v>
      </c>
      <c r="L11" s="53">
        <f>L30</f>
        <v>6.3000000000000003E-4</v>
      </c>
      <c r="M11" s="49">
        <f>G11*L11</f>
        <v>2669.5060212584053</v>
      </c>
      <c r="P11" s="95" t="s">
        <v>18</v>
      </c>
      <c r="Q11" s="125">
        <f>'Rate Design Int &amp; Trans'!H159</f>
        <v>0.10851</v>
      </c>
      <c r="R11" s="125">
        <f>'Margin Revenue'!$H$26</f>
        <v>2.64E-3</v>
      </c>
      <c r="S11" s="125">
        <f>'Margin Revenue'!$I$26</f>
        <v>-1.42E-3</v>
      </c>
      <c r="T11" s="125">
        <f>'Margin Revenue'!$J$26</f>
        <v>-1.3999999999999999E-4</v>
      </c>
      <c r="U11" s="125">
        <f>'Margin Revenue'!$K$26</f>
        <v>2.8999999999999998E-3</v>
      </c>
      <c r="V11" s="93">
        <f t="shared" ref="V11:V15" si="4">SUM(Q11:U11)</f>
        <v>0.11248999999999999</v>
      </c>
    </row>
    <row r="12" spans="2:22" x14ac:dyDescent="0.25">
      <c r="B12" s="109">
        <v>4</v>
      </c>
      <c r="D12" s="95" t="s">
        <v>17</v>
      </c>
      <c r="E12" s="11">
        <v>3623031</v>
      </c>
      <c r="F12" s="64">
        <f t="shared" si="2"/>
        <v>0.20787956055910689</v>
      </c>
      <c r="G12" s="50">
        <f t="shared" si="0"/>
        <v>3784463.206639945</v>
      </c>
      <c r="H12" s="53">
        <f>H$41</f>
        <v>7.3029999999999998E-2</v>
      </c>
      <c r="I12" s="49">
        <f t="shared" si="1"/>
        <v>276379</v>
      </c>
      <c r="K12" s="49">
        <f t="shared" si="3"/>
        <v>1545</v>
      </c>
      <c r="L12" s="53"/>
      <c r="P12" s="95" t="s">
        <v>17</v>
      </c>
      <c r="Q12" s="125">
        <f>'Rate Design Int &amp; Trans'!H160</f>
        <v>6.905E-2</v>
      </c>
      <c r="R12" s="125">
        <f>'Margin Revenue'!$H$26</f>
        <v>2.64E-3</v>
      </c>
      <c r="S12" s="125">
        <f>'Margin Revenue'!$I$26</f>
        <v>-1.42E-3</v>
      </c>
      <c r="T12" s="125">
        <f>'Margin Revenue'!$J$26</f>
        <v>-1.3999999999999999E-4</v>
      </c>
      <c r="U12" s="125">
        <f>'Margin Revenue'!$K$26</f>
        <v>2.8999999999999998E-3</v>
      </c>
      <c r="V12" s="93">
        <f t="shared" si="4"/>
        <v>7.3029999999999998E-2</v>
      </c>
    </row>
    <row r="13" spans="2:22" x14ac:dyDescent="0.25">
      <c r="B13" s="109">
        <v>5</v>
      </c>
      <c r="D13" s="95" t="s">
        <v>16</v>
      </c>
      <c r="E13" s="11">
        <v>1687499</v>
      </c>
      <c r="F13" s="64">
        <f t="shared" si="2"/>
        <v>9.68240543798638E-2</v>
      </c>
      <c r="G13" s="50">
        <f t="shared" si="0"/>
        <v>1762689.272253453</v>
      </c>
      <c r="H13" s="53">
        <f>H$42</f>
        <v>4.8260000000000004E-2</v>
      </c>
      <c r="I13" s="49">
        <f t="shared" si="1"/>
        <v>85067</v>
      </c>
      <c r="K13" s="49">
        <f t="shared" si="3"/>
        <v>475</v>
      </c>
      <c r="L13" s="53"/>
      <c r="P13" s="95" t="s">
        <v>16</v>
      </c>
      <c r="Q13" s="125">
        <f>'Rate Design Int &amp; Trans'!H161</f>
        <v>4.428E-2</v>
      </c>
      <c r="R13" s="125">
        <f>'Margin Revenue'!$H$26</f>
        <v>2.64E-3</v>
      </c>
      <c r="S13" s="125">
        <f>'Margin Revenue'!$I$26</f>
        <v>-1.42E-3</v>
      </c>
      <c r="T13" s="125">
        <f>'Margin Revenue'!$J$26</f>
        <v>-1.3999999999999999E-4</v>
      </c>
      <c r="U13" s="125">
        <f>'Margin Revenue'!$K$26</f>
        <v>2.8999999999999998E-3</v>
      </c>
      <c r="V13" s="93">
        <f t="shared" si="4"/>
        <v>4.8260000000000004E-2</v>
      </c>
    </row>
    <row r="14" spans="2:22" x14ac:dyDescent="0.25">
      <c r="B14" s="109">
        <v>6</v>
      </c>
      <c r="D14" s="95" t="s">
        <v>15</v>
      </c>
      <c r="E14" s="11">
        <v>568027</v>
      </c>
      <c r="F14" s="64">
        <f t="shared" si="2"/>
        <v>3.2591827987590451E-2</v>
      </c>
      <c r="G14" s="50">
        <f t="shared" si="0"/>
        <v>593336.70671823353</v>
      </c>
      <c r="H14" s="53">
        <f>H$43</f>
        <v>3.5840000000000004E-2</v>
      </c>
      <c r="I14" s="49">
        <f t="shared" si="1"/>
        <v>21265</v>
      </c>
      <c r="K14" s="49">
        <f t="shared" si="3"/>
        <v>119</v>
      </c>
      <c r="L14" s="53"/>
      <c r="P14" s="95" t="s">
        <v>15</v>
      </c>
      <c r="Q14" s="125">
        <f>'Rate Design Int &amp; Trans'!H162</f>
        <v>3.1859999999999999E-2</v>
      </c>
      <c r="R14" s="125">
        <f>'Margin Revenue'!$H$26</f>
        <v>2.64E-3</v>
      </c>
      <c r="S14" s="125">
        <f>'Margin Revenue'!$I$26</f>
        <v>-1.42E-3</v>
      </c>
      <c r="T14" s="125">
        <f>'Margin Revenue'!$J$26</f>
        <v>-1.3999999999999999E-4</v>
      </c>
      <c r="U14" s="125">
        <f>'Margin Revenue'!$K$26</f>
        <v>2.8999999999999998E-3</v>
      </c>
      <c r="V14" s="93">
        <f t="shared" si="4"/>
        <v>3.5840000000000004E-2</v>
      </c>
    </row>
    <row r="15" spans="2:22" x14ac:dyDescent="0.25">
      <c r="B15" s="109">
        <v>7</v>
      </c>
      <c r="D15" s="95" t="s">
        <v>21</v>
      </c>
      <c r="E15" s="11">
        <v>0</v>
      </c>
      <c r="F15" s="64">
        <f t="shared" si="2"/>
        <v>0</v>
      </c>
      <c r="G15" s="50">
        <f t="shared" si="0"/>
        <v>0</v>
      </c>
      <c r="H15" s="53">
        <f>H$44</f>
        <v>2.8549999999999999E-2</v>
      </c>
      <c r="I15" s="49">
        <f t="shared" si="1"/>
        <v>0</v>
      </c>
      <c r="K15" s="49">
        <f t="shared" si="3"/>
        <v>0</v>
      </c>
      <c r="L15" s="53"/>
      <c r="P15" s="95" t="s">
        <v>21</v>
      </c>
      <c r="Q15" s="125">
        <f>'Rate Design Int &amp; Trans'!H163</f>
        <v>2.4570000000000002E-2</v>
      </c>
      <c r="R15" s="125">
        <f>'Margin Revenue'!$H$26</f>
        <v>2.64E-3</v>
      </c>
      <c r="S15" s="125">
        <f>'Margin Revenue'!$I$26</f>
        <v>-1.42E-3</v>
      </c>
      <c r="T15" s="125">
        <f>'Margin Revenue'!$J$26</f>
        <v>-1.3999999999999999E-4</v>
      </c>
      <c r="U15" s="125">
        <f>'Margin Revenue'!$K$26</f>
        <v>2.8999999999999998E-3</v>
      </c>
      <c r="V15" s="93">
        <f t="shared" si="4"/>
        <v>2.8549999999999999E-2</v>
      </c>
    </row>
    <row r="16" spans="2:22" x14ac:dyDescent="0.25">
      <c r="B16" s="109">
        <v>8</v>
      </c>
      <c r="D16" s="95" t="s">
        <v>51</v>
      </c>
      <c r="E16" s="55">
        <f>SUM(E12:E15)</f>
        <v>5878557</v>
      </c>
      <c r="F16" s="63"/>
      <c r="G16" s="55">
        <f>SUM(G12:G15)</f>
        <v>6140489.1856116317</v>
      </c>
      <c r="H16" s="53"/>
      <c r="I16" s="54">
        <f>SUM(I12:I15)</f>
        <v>382711</v>
      </c>
      <c r="K16" s="54">
        <f>SUM(K12:K15)</f>
        <v>2139</v>
      </c>
      <c r="L16" s="53">
        <f>L35</f>
        <v>3.6000000000000002E-4</v>
      </c>
      <c r="M16" s="51">
        <f>G16*L16</f>
        <v>2210.5761068201878</v>
      </c>
      <c r="O16" s="69"/>
    </row>
    <row r="17" spans="2:14" x14ac:dyDescent="0.25">
      <c r="B17" s="109">
        <v>9</v>
      </c>
      <c r="D17" s="95" t="s">
        <v>0</v>
      </c>
      <c r="E17" s="119">
        <f>SUM(E10:E15)</f>
        <v>17428510</v>
      </c>
      <c r="F17" s="62">
        <f>SUM(F10:F15)</f>
        <v>0.99999999999999989</v>
      </c>
      <c r="G17" s="120">
        <f>'Margin Revenue'!M20</f>
        <v>18205076.037592929</v>
      </c>
      <c r="H17" s="53"/>
      <c r="I17" s="54">
        <f>SUM(I10:I15)</f>
        <v>2295984</v>
      </c>
      <c r="J17" s="115">
        <f>Rates!I19</f>
        <v>11848.118488769302</v>
      </c>
      <c r="K17" s="54">
        <f>SUM(K10:K15)</f>
        <v>12832</v>
      </c>
      <c r="M17" s="47">
        <f>SUM(M10:M16)</f>
        <v>12942.17610641908</v>
      </c>
      <c r="N17" s="101">
        <f>M17-J17</f>
        <v>1094.057617649778</v>
      </c>
    </row>
    <row r="18" spans="2:14" x14ac:dyDescent="0.25">
      <c r="B18" s="109"/>
      <c r="E18" s="121"/>
      <c r="F18" s="121"/>
      <c r="G18" s="72"/>
      <c r="H18" s="53"/>
    </row>
    <row r="19" spans="2:14" x14ac:dyDescent="0.25">
      <c r="B19" s="109">
        <v>10</v>
      </c>
      <c r="C19" s="95" t="s">
        <v>53</v>
      </c>
      <c r="E19" s="121"/>
      <c r="F19" s="121"/>
      <c r="G19" s="72"/>
      <c r="H19" s="53"/>
    </row>
    <row r="20" spans="2:14" x14ac:dyDescent="0.25">
      <c r="B20" s="109">
        <v>11</v>
      </c>
      <c r="D20" s="95" t="s">
        <v>19</v>
      </c>
      <c r="E20" s="11">
        <v>1500000</v>
      </c>
      <c r="F20" s="64">
        <f t="shared" ref="F20:F25" si="5">+E20/$E$26</f>
        <v>6.883737212138745E-2</v>
      </c>
      <c r="G20" s="50">
        <f t="shared" ref="G20:G25" si="6">+F20*$G$26</f>
        <v>1544118.4906812124</v>
      </c>
      <c r="H20" s="53">
        <f>H$39</f>
        <v>0.18353999999999998</v>
      </c>
      <c r="I20" s="49">
        <f t="shared" ref="I20:I25" si="7">ROUND(G20*H20,0)</f>
        <v>283408</v>
      </c>
      <c r="K20" s="49">
        <f t="shared" ref="K20:K25" si="8">ROUND(I20*$J$48,0)</f>
        <v>1584</v>
      </c>
      <c r="L20" s="53">
        <f t="shared" ref="L20:L25" si="9">L39</f>
        <v>1.0300000000000001E-3</v>
      </c>
      <c r="M20" s="49">
        <f t="shared" ref="M20:M25" si="10">G20*L20</f>
        <v>1590.442045401649</v>
      </c>
    </row>
    <row r="21" spans="2:14" x14ac:dyDescent="0.25">
      <c r="B21" s="109">
        <v>12</v>
      </c>
      <c r="D21" s="95" t="s">
        <v>18</v>
      </c>
      <c r="E21" s="11">
        <v>1450949</v>
      </c>
      <c r="F21" s="64">
        <f t="shared" si="5"/>
        <v>6.6586344161436675E-2</v>
      </c>
      <c r="G21" s="50">
        <f t="shared" si="6"/>
        <v>1493624.7866236097</v>
      </c>
      <c r="H21" s="53">
        <f>H$40</f>
        <v>0.11248999999999999</v>
      </c>
      <c r="I21" s="49">
        <f t="shared" si="7"/>
        <v>168018</v>
      </c>
      <c r="K21" s="49">
        <f t="shared" si="8"/>
        <v>939</v>
      </c>
      <c r="L21" s="53">
        <f t="shared" si="9"/>
        <v>6.3000000000000003E-4</v>
      </c>
      <c r="M21" s="49">
        <f t="shared" si="10"/>
        <v>940.98361557287421</v>
      </c>
    </row>
    <row r="22" spans="2:14" x14ac:dyDescent="0.25">
      <c r="B22" s="109">
        <v>13</v>
      </c>
      <c r="D22" s="95" t="s">
        <v>17</v>
      </c>
      <c r="E22" s="11">
        <v>2564599</v>
      </c>
      <c r="F22" s="64">
        <f t="shared" si="5"/>
        <v>0.11769350380342543</v>
      </c>
      <c r="G22" s="50">
        <f t="shared" si="6"/>
        <v>2640029.8247216977</v>
      </c>
      <c r="H22" s="53">
        <f>H$41</f>
        <v>7.3029999999999998E-2</v>
      </c>
      <c r="I22" s="49">
        <f t="shared" si="7"/>
        <v>192801</v>
      </c>
      <c r="K22" s="49">
        <f t="shared" si="8"/>
        <v>1078</v>
      </c>
      <c r="L22" s="53">
        <f t="shared" si="9"/>
        <v>4.0999999999999999E-4</v>
      </c>
      <c r="M22" s="49">
        <f t="shared" si="10"/>
        <v>1082.4122281358959</v>
      </c>
    </row>
    <row r="23" spans="2:14" x14ac:dyDescent="0.25">
      <c r="B23" s="109">
        <v>14</v>
      </c>
      <c r="D23" s="95" t="s">
        <v>16</v>
      </c>
      <c r="E23" s="11">
        <v>3002669</v>
      </c>
      <c r="F23" s="64">
        <f t="shared" si="5"/>
        <v>0.13779722887356957</v>
      </c>
      <c r="G23" s="50">
        <f t="shared" si="6"/>
        <v>3090984.4828635105</v>
      </c>
      <c r="H23" s="53">
        <f>H$42</f>
        <v>4.8260000000000004E-2</v>
      </c>
      <c r="I23" s="49">
        <f t="shared" si="7"/>
        <v>149171</v>
      </c>
      <c r="K23" s="49">
        <f t="shared" si="8"/>
        <v>834</v>
      </c>
      <c r="L23" s="53">
        <f t="shared" si="9"/>
        <v>2.7E-4</v>
      </c>
      <c r="M23" s="49">
        <f t="shared" si="10"/>
        <v>834.56581037314788</v>
      </c>
    </row>
    <row r="24" spans="2:14" x14ac:dyDescent="0.25">
      <c r="B24" s="109">
        <v>15</v>
      </c>
      <c r="D24" s="95" t="s">
        <v>15</v>
      </c>
      <c r="E24" s="11">
        <v>3729858</v>
      </c>
      <c r="F24" s="64">
        <f t="shared" si="5"/>
        <v>0.17116908207062265</v>
      </c>
      <c r="G24" s="50">
        <f t="shared" si="6"/>
        <v>3839561.8036101637</v>
      </c>
      <c r="H24" s="53">
        <f>H$43</f>
        <v>3.5840000000000004E-2</v>
      </c>
      <c r="I24" s="49">
        <f t="shared" si="7"/>
        <v>137610</v>
      </c>
      <c r="K24" s="49">
        <f t="shared" si="8"/>
        <v>769</v>
      </c>
      <c r="L24" s="53">
        <f t="shared" si="9"/>
        <v>2.0000000000000001E-4</v>
      </c>
      <c r="M24" s="49">
        <f t="shared" si="10"/>
        <v>767.91236072203276</v>
      </c>
    </row>
    <row r="25" spans="2:14" x14ac:dyDescent="0.25">
      <c r="B25" s="109">
        <v>16</v>
      </c>
      <c r="D25" s="95" t="s">
        <v>21</v>
      </c>
      <c r="E25" s="643">
        <v>9542414</v>
      </c>
      <c r="F25" s="65">
        <f t="shared" si="5"/>
        <v>0.43791646896955821</v>
      </c>
      <c r="G25" s="50">
        <f t="shared" si="6"/>
        <v>9823078.6020901799</v>
      </c>
      <c r="H25" s="53">
        <f>H$44</f>
        <v>2.8549999999999999E-2</v>
      </c>
      <c r="I25" s="49">
        <f t="shared" si="7"/>
        <v>280449</v>
      </c>
      <c r="K25" s="49">
        <f t="shared" si="8"/>
        <v>1567</v>
      </c>
      <c r="L25" s="53">
        <f t="shared" si="9"/>
        <v>1.6000000000000001E-4</v>
      </c>
      <c r="M25" s="49">
        <f t="shared" si="10"/>
        <v>1571.6925763344288</v>
      </c>
    </row>
    <row r="26" spans="2:14" x14ac:dyDescent="0.25">
      <c r="B26" s="109">
        <v>17</v>
      </c>
      <c r="D26" s="95" t="s">
        <v>0</v>
      </c>
      <c r="E26" s="121">
        <f>SUM(E20:E25)</f>
        <v>21790489</v>
      </c>
      <c r="F26" s="64">
        <f>SUM(F20:F25)</f>
        <v>1</v>
      </c>
      <c r="G26" s="120">
        <f>'Margin Revenue'!M21</f>
        <v>22431397.990590375</v>
      </c>
      <c r="H26" s="53"/>
      <c r="I26" s="47">
        <f>SUM(I20:I25)</f>
        <v>1211457</v>
      </c>
      <c r="J26" s="115">
        <f>Rates!I30</f>
        <v>8322.6301235286919</v>
      </c>
      <c r="K26" s="47">
        <f>SUM(K20:K25)</f>
        <v>6771</v>
      </c>
      <c r="M26" s="47">
        <f>SUM(M20:M25)</f>
        <v>6788.0086365400284</v>
      </c>
      <c r="N26" s="101">
        <f>M26-J26</f>
        <v>-1534.6214869886635</v>
      </c>
    </row>
    <row r="27" spans="2:14" x14ac:dyDescent="0.25">
      <c r="B27" s="109"/>
      <c r="E27" s="121"/>
      <c r="F27" s="121"/>
      <c r="G27" s="11"/>
      <c r="H27" s="53"/>
      <c r="I27" s="80"/>
      <c r="J27" s="7"/>
      <c r="K27" s="80"/>
      <c r="M27" s="80"/>
    </row>
    <row r="28" spans="2:14" x14ac:dyDescent="0.25">
      <c r="B28" s="109">
        <f>B26+1</f>
        <v>18</v>
      </c>
      <c r="C28" s="95" t="s">
        <v>52</v>
      </c>
      <c r="E28" s="121"/>
      <c r="F28" s="121"/>
      <c r="G28" s="11"/>
      <c r="H28" s="53"/>
      <c r="I28" s="80"/>
      <c r="J28" s="7"/>
      <c r="K28" s="80"/>
      <c r="M28" s="80"/>
    </row>
    <row r="29" spans="2:14" x14ac:dyDescent="0.25">
      <c r="B29" s="109">
        <f t="shared" ref="B29:B36" si="11">B28+1</f>
        <v>19</v>
      </c>
      <c r="D29" s="95" t="s">
        <v>19</v>
      </c>
      <c r="E29" s="11">
        <v>25161927</v>
      </c>
      <c r="F29" s="64">
        <f t="shared" ref="F29:F34" si="12">+E29/$E$36</f>
        <v>0.37547000850368473</v>
      </c>
      <c r="G29" s="50">
        <f t="shared" ref="G29:G34" si="13">+F29*$G$36</f>
        <v>25236810.661203414</v>
      </c>
      <c r="H29" s="53">
        <f>H$39</f>
        <v>0.18353999999999998</v>
      </c>
      <c r="I29" s="49">
        <f t="shared" ref="I29:I34" si="14">ROUND(G29*H29,0)</f>
        <v>4631964</v>
      </c>
      <c r="J29" s="7"/>
      <c r="K29" s="49">
        <f t="shared" ref="K29:K34" si="15">ROUND(I29*$J$48,0)</f>
        <v>25888</v>
      </c>
      <c r="L29" s="53">
        <f>L39</f>
        <v>1.0300000000000001E-3</v>
      </c>
      <c r="M29" s="49">
        <f>G29*L29</f>
        <v>25993.914981039517</v>
      </c>
    </row>
    <row r="30" spans="2:14" x14ac:dyDescent="0.25">
      <c r="B30" s="109">
        <f t="shared" si="11"/>
        <v>20</v>
      </c>
      <c r="D30" s="95" t="s">
        <v>18</v>
      </c>
      <c r="E30" s="11">
        <v>17174221</v>
      </c>
      <c r="F30" s="64">
        <f t="shared" si="12"/>
        <v>0.25627627426604332</v>
      </c>
      <c r="G30" s="50">
        <f t="shared" si="13"/>
        <v>17225332.687383741</v>
      </c>
      <c r="H30" s="53">
        <f>H$40</f>
        <v>0.11248999999999999</v>
      </c>
      <c r="I30" s="49">
        <f t="shared" si="14"/>
        <v>1937678</v>
      </c>
      <c r="J30" s="7"/>
      <c r="K30" s="49">
        <f t="shared" si="15"/>
        <v>10830</v>
      </c>
      <c r="L30" s="53">
        <f>L40</f>
        <v>6.3000000000000003E-4</v>
      </c>
      <c r="M30" s="49">
        <f>G30*L30</f>
        <v>10851.959593051757</v>
      </c>
    </row>
    <row r="31" spans="2:14" x14ac:dyDescent="0.25">
      <c r="B31" s="109">
        <f t="shared" si="11"/>
        <v>21</v>
      </c>
      <c r="D31" s="95" t="s">
        <v>17</v>
      </c>
      <c r="E31" s="11">
        <v>16670396</v>
      </c>
      <c r="F31" s="64">
        <f t="shared" si="12"/>
        <v>0.24875812285282409</v>
      </c>
      <c r="G31" s="50">
        <f t="shared" si="13"/>
        <v>16720008.268813543</v>
      </c>
      <c r="H31" s="53">
        <f>H$41</f>
        <v>7.3029999999999998E-2</v>
      </c>
      <c r="I31" s="49">
        <f t="shared" si="14"/>
        <v>1221062</v>
      </c>
      <c r="J31" s="7"/>
      <c r="K31" s="49">
        <f t="shared" si="15"/>
        <v>6825</v>
      </c>
      <c r="M31" s="80"/>
    </row>
    <row r="32" spans="2:14" x14ac:dyDescent="0.25">
      <c r="B32" s="109">
        <f t="shared" si="11"/>
        <v>22</v>
      </c>
      <c r="D32" s="95" t="s">
        <v>16</v>
      </c>
      <c r="E32" s="11">
        <v>7302880</v>
      </c>
      <c r="F32" s="64">
        <f t="shared" si="12"/>
        <v>0.10897465904345835</v>
      </c>
      <c r="G32" s="50">
        <f t="shared" si="13"/>
        <v>7324613.8835665956</v>
      </c>
      <c r="H32" s="53">
        <f>H$42</f>
        <v>4.8260000000000004E-2</v>
      </c>
      <c r="I32" s="49">
        <f t="shared" si="14"/>
        <v>353486</v>
      </c>
      <c r="J32" s="7"/>
      <c r="K32" s="49">
        <f t="shared" si="15"/>
        <v>1976</v>
      </c>
      <c r="M32" s="80"/>
    </row>
    <row r="33" spans="2:16" x14ac:dyDescent="0.25">
      <c r="B33" s="109">
        <f t="shared" si="11"/>
        <v>23</v>
      </c>
      <c r="D33" s="95" t="s">
        <v>15</v>
      </c>
      <c r="E33" s="11">
        <v>705055</v>
      </c>
      <c r="F33" s="64">
        <f t="shared" si="12"/>
        <v>1.052093533398954E-2</v>
      </c>
      <c r="G33" s="50">
        <f t="shared" si="13"/>
        <v>707153.29317721853</v>
      </c>
      <c r="H33" s="53">
        <f>H$43</f>
        <v>3.5840000000000004E-2</v>
      </c>
      <c r="I33" s="49">
        <f t="shared" si="14"/>
        <v>25344</v>
      </c>
      <c r="J33" s="7"/>
      <c r="K33" s="49">
        <f t="shared" si="15"/>
        <v>142</v>
      </c>
      <c r="M33" s="80"/>
    </row>
    <row r="34" spans="2:16" x14ac:dyDescent="0.25">
      <c r="B34" s="109">
        <f t="shared" si="11"/>
        <v>24</v>
      </c>
      <c r="D34" s="95" t="s">
        <v>21</v>
      </c>
      <c r="E34" s="11">
        <v>0</v>
      </c>
      <c r="F34" s="64">
        <f t="shared" si="12"/>
        <v>0</v>
      </c>
      <c r="G34" s="50">
        <f t="shared" si="13"/>
        <v>0</v>
      </c>
      <c r="H34" s="53">
        <f>H$44</f>
        <v>2.8549999999999999E-2</v>
      </c>
      <c r="I34" s="49">
        <f t="shared" si="14"/>
        <v>0</v>
      </c>
      <c r="J34" s="7"/>
      <c r="K34" s="49">
        <f t="shared" si="15"/>
        <v>0</v>
      </c>
      <c r="M34" s="80"/>
    </row>
    <row r="35" spans="2:16" x14ac:dyDescent="0.25">
      <c r="B35" s="109">
        <f t="shared" si="11"/>
        <v>25</v>
      </c>
      <c r="D35" s="95" t="s">
        <v>51</v>
      </c>
      <c r="E35" s="122">
        <f>SUM(E31:E34)</f>
        <v>24678331</v>
      </c>
      <c r="F35" s="129"/>
      <c r="G35" s="122">
        <f>SUM(G31:G34)</f>
        <v>24751775.445557356</v>
      </c>
      <c r="H35" s="53"/>
      <c r="I35" s="52">
        <f>SUM(I31:I34)</f>
        <v>1599892</v>
      </c>
      <c r="K35" s="52">
        <f>SUM(K31:K34)</f>
        <v>8943</v>
      </c>
      <c r="L35" s="53">
        <f>ROUND((K35+K16)/(G35+G16),5)</f>
        <v>3.6000000000000002E-4</v>
      </c>
      <c r="M35" s="51">
        <f>G35*L35</f>
        <v>8910.6391604006494</v>
      </c>
    </row>
    <row r="36" spans="2:16" x14ac:dyDescent="0.25">
      <c r="B36" s="109">
        <f t="shared" si="11"/>
        <v>26</v>
      </c>
      <c r="D36" s="95" t="s">
        <v>0</v>
      </c>
      <c r="E36" s="121">
        <f>SUM(E29:E34)</f>
        <v>67014479</v>
      </c>
      <c r="F36" s="64">
        <f>SUM(F29:F34)</f>
        <v>1</v>
      </c>
      <c r="G36" s="120">
        <f>'Margin Revenue'!M25</f>
        <v>67213918.794144511</v>
      </c>
      <c r="H36" s="53"/>
      <c r="I36" s="80">
        <f>SUM(I29:I34)</f>
        <v>8169534</v>
      </c>
      <c r="J36" s="115">
        <f>Rates!I36</f>
        <v>41860.359696854634</v>
      </c>
      <c r="K36" s="80">
        <f>SUM(K29:K34)</f>
        <v>45661</v>
      </c>
      <c r="M36" s="47">
        <f>SUM(M29:M35)</f>
        <v>45756.51373449192</v>
      </c>
      <c r="N36" s="101">
        <f>M36-J36</f>
        <v>3896.1540376372868</v>
      </c>
    </row>
    <row r="37" spans="2:16" x14ac:dyDescent="0.25">
      <c r="B37" s="109"/>
      <c r="E37" s="121"/>
      <c r="F37" s="121"/>
      <c r="G37" s="11"/>
      <c r="H37" s="53"/>
      <c r="I37" s="80"/>
      <c r="J37" s="7"/>
      <c r="K37" s="80"/>
      <c r="M37" s="80"/>
    </row>
    <row r="38" spans="2:16" x14ac:dyDescent="0.25">
      <c r="B38" s="109">
        <f>B36+1</f>
        <v>27</v>
      </c>
      <c r="C38" s="95" t="s">
        <v>50</v>
      </c>
      <c r="E38" s="121"/>
      <c r="F38" s="121"/>
      <c r="G38" s="11"/>
      <c r="H38" s="53"/>
      <c r="I38" s="49"/>
      <c r="J38" s="7"/>
      <c r="K38" s="80"/>
      <c r="M38" s="80"/>
    </row>
    <row r="39" spans="2:16" x14ac:dyDescent="0.25">
      <c r="B39" s="109">
        <f t="shared" ref="B39:B45" si="16">B38+1</f>
        <v>28</v>
      </c>
      <c r="D39" s="95" t="s">
        <v>19</v>
      </c>
      <c r="E39" s="11">
        <v>3000000</v>
      </c>
      <c r="F39" s="64">
        <f t="shared" ref="F39:F44" si="17">+E39/$E$45</f>
        <v>3.2249242787779346E-2</v>
      </c>
      <c r="G39" s="50">
        <f t="shared" ref="G39:G44" si="18">+F39*$G$45</f>
        <v>2995517.9831827828</v>
      </c>
      <c r="H39" s="53">
        <f>V10</f>
        <v>0.18353999999999998</v>
      </c>
      <c r="I39" s="49">
        <f t="shared" ref="I39:I44" si="19">ROUND(G39*H39,0)</f>
        <v>549797</v>
      </c>
      <c r="J39" s="7"/>
      <c r="K39" s="49">
        <f t="shared" ref="K39:K44" si="20">ROUND(I39*$J$48,0)</f>
        <v>3073</v>
      </c>
      <c r="L39" s="53">
        <f t="shared" ref="L39:L44" si="21">ROUND(K39/G39,5)</f>
        <v>1.0300000000000001E-3</v>
      </c>
      <c r="M39" s="49">
        <f t="shared" ref="M39:M44" si="22">G39*L39</f>
        <v>3085.3835226782667</v>
      </c>
      <c r="P39" s="69"/>
    </row>
    <row r="40" spans="2:16" x14ac:dyDescent="0.25">
      <c r="B40" s="109">
        <f t="shared" si="16"/>
        <v>29</v>
      </c>
      <c r="D40" s="95" t="s">
        <v>18</v>
      </c>
      <c r="E40" s="11">
        <v>2981191</v>
      </c>
      <c r="F40" s="64">
        <f t="shared" si="17"/>
        <v>3.2047050785247562E-2</v>
      </c>
      <c r="G40" s="50">
        <f t="shared" si="18"/>
        <v>2976737.083934221</v>
      </c>
      <c r="H40" s="53">
        <f t="shared" ref="H40:H44" si="23">V11</f>
        <v>0.11248999999999999</v>
      </c>
      <c r="I40" s="49">
        <f t="shared" si="19"/>
        <v>334853</v>
      </c>
      <c r="J40" s="7"/>
      <c r="K40" s="49">
        <f t="shared" si="20"/>
        <v>1872</v>
      </c>
      <c r="L40" s="53">
        <f t="shared" si="21"/>
        <v>6.3000000000000003E-4</v>
      </c>
      <c r="M40" s="49">
        <f t="shared" si="22"/>
        <v>1875.3443628785592</v>
      </c>
      <c r="P40" s="69"/>
    </row>
    <row r="41" spans="2:16" x14ac:dyDescent="0.25">
      <c r="B41" s="109">
        <f t="shared" si="16"/>
        <v>30</v>
      </c>
      <c r="D41" s="95" t="s">
        <v>17</v>
      </c>
      <c r="E41" s="11">
        <v>5950000</v>
      </c>
      <c r="F41" s="64">
        <f t="shared" si="17"/>
        <v>6.396099819576237E-2</v>
      </c>
      <c r="G41" s="50">
        <f t="shared" si="18"/>
        <v>5941110.6666458528</v>
      </c>
      <c r="H41" s="53">
        <f>V12</f>
        <v>7.3029999999999998E-2</v>
      </c>
      <c r="I41" s="49">
        <f t="shared" si="19"/>
        <v>433879</v>
      </c>
      <c r="J41" s="7"/>
      <c r="K41" s="49">
        <f t="shared" si="20"/>
        <v>2425</v>
      </c>
      <c r="L41" s="53">
        <f t="shared" si="21"/>
        <v>4.0999999999999999E-4</v>
      </c>
      <c r="M41" s="49">
        <f t="shared" si="22"/>
        <v>2435.8553733247995</v>
      </c>
      <c r="P41" s="69"/>
    </row>
    <row r="42" spans="2:16" x14ac:dyDescent="0.25">
      <c r="B42" s="109">
        <f t="shared" si="16"/>
        <v>31</v>
      </c>
      <c r="D42" s="95" t="s">
        <v>16</v>
      </c>
      <c r="E42" s="11">
        <v>11412641</v>
      </c>
      <c r="F42" s="64">
        <f t="shared" si="17"/>
        <v>0.12268301015292161</v>
      </c>
      <c r="G42" s="50">
        <f t="shared" si="18"/>
        <v>11395590.450369712</v>
      </c>
      <c r="H42" s="53">
        <f t="shared" si="23"/>
        <v>4.8260000000000004E-2</v>
      </c>
      <c r="I42" s="49">
        <f t="shared" si="19"/>
        <v>549951</v>
      </c>
      <c r="J42" s="7"/>
      <c r="K42" s="49">
        <f t="shared" si="20"/>
        <v>3074</v>
      </c>
      <c r="L42" s="53">
        <f t="shared" si="21"/>
        <v>2.7E-4</v>
      </c>
      <c r="M42" s="49">
        <f t="shared" si="22"/>
        <v>3076.8094215998221</v>
      </c>
      <c r="P42" s="69"/>
    </row>
    <row r="43" spans="2:16" x14ac:dyDescent="0.25">
      <c r="B43" s="109">
        <f t="shared" si="16"/>
        <v>32</v>
      </c>
      <c r="D43" s="95" t="s">
        <v>15</v>
      </c>
      <c r="E43" s="11">
        <v>25450547</v>
      </c>
      <c r="F43" s="64">
        <f t="shared" si="17"/>
        <v>0.27358695642826308</v>
      </c>
      <c r="G43" s="50">
        <f t="shared" si="18"/>
        <v>25412523.740112875</v>
      </c>
      <c r="H43" s="53">
        <f t="shared" si="23"/>
        <v>3.5840000000000004E-2</v>
      </c>
      <c r="I43" s="49">
        <f t="shared" si="19"/>
        <v>910785</v>
      </c>
      <c r="J43" s="7"/>
      <c r="K43" s="49">
        <f t="shared" si="20"/>
        <v>5090</v>
      </c>
      <c r="L43" s="53">
        <f t="shared" si="21"/>
        <v>2.0000000000000001E-4</v>
      </c>
      <c r="M43" s="49">
        <f t="shared" si="22"/>
        <v>5082.5047480225749</v>
      </c>
      <c r="P43" s="69"/>
    </row>
    <row r="44" spans="2:16" x14ac:dyDescent="0.25">
      <c r="B44" s="109">
        <f t="shared" si="16"/>
        <v>33</v>
      </c>
      <c r="D44" s="95" t="s">
        <v>21</v>
      </c>
      <c r="E44" s="643">
        <v>44231061</v>
      </c>
      <c r="F44" s="65">
        <f t="shared" si="17"/>
        <v>0.47547274165002607</v>
      </c>
      <c r="G44" s="50">
        <f t="shared" si="18"/>
        <v>44164979.546918206</v>
      </c>
      <c r="H44" s="53">
        <f t="shared" si="23"/>
        <v>2.8549999999999999E-2</v>
      </c>
      <c r="I44" s="49">
        <f t="shared" si="19"/>
        <v>1260910</v>
      </c>
      <c r="J44" s="7"/>
      <c r="K44" s="48">
        <f t="shared" si="20"/>
        <v>7047</v>
      </c>
      <c r="L44" s="53">
        <f t="shared" si="21"/>
        <v>1.6000000000000001E-4</v>
      </c>
      <c r="M44" s="48">
        <f t="shared" si="22"/>
        <v>7066.3967275069135</v>
      </c>
      <c r="P44" s="69"/>
    </row>
    <row r="45" spans="2:16" x14ac:dyDescent="0.25">
      <c r="B45" s="109">
        <f t="shared" si="16"/>
        <v>34</v>
      </c>
      <c r="D45" s="95" t="s">
        <v>0</v>
      </c>
      <c r="E45" s="121">
        <f>SUM(E39:E44)</f>
        <v>93025440</v>
      </c>
      <c r="F45" s="64">
        <f>SUM(F39:F44)</f>
        <v>1</v>
      </c>
      <c r="G45" s="120">
        <f>'Margin Revenue'!M26</f>
        <v>92886459.471163645</v>
      </c>
      <c r="H45" s="69"/>
      <c r="I45" s="47">
        <f>SUM(I39:I44)</f>
        <v>4040175</v>
      </c>
      <c r="J45" s="115">
        <f>Rates!I45</f>
        <v>25813.032801340945</v>
      </c>
      <c r="K45" s="47">
        <f>SUM(K39:K44)</f>
        <v>22581</v>
      </c>
      <c r="M45" s="80">
        <f>SUM(M39:M44)</f>
        <v>22622.294156010936</v>
      </c>
      <c r="N45" s="101">
        <f>M45-J45</f>
        <v>-3190.7386453300096</v>
      </c>
    </row>
    <row r="46" spans="2:16" x14ac:dyDescent="0.25">
      <c r="B46" s="109"/>
      <c r="E46" s="123"/>
      <c r="F46" s="123"/>
      <c r="G46" s="11"/>
      <c r="I46" s="80"/>
      <c r="J46" s="116"/>
      <c r="K46" s="80"/>
      <c r="M46" s="80"/>
    </row>
    <row r="47" spans="2:16" x14ac:dyDescent="0.25">
      <c r="B47" s="109"/>
      <c r="C47" s="95" t="s">
        <v>0</v>
      </c>
      <c r="E47" s="123">
        <f>E17+E26+E36+E45</f>
        <v>199258918</v>
      </c>
      <c r="F47" s="123"/>
      <c r="G47" s="123">
        <f>G17+G26+G36+G45</f>
        <v>200736852.29349148</v>
      </c>
      <c r="I47" s="80">
        <f>I17+I26+I36+I45</f>
        <v>15717150</v>
      </c>
      <c r="J47" s="17">
        <f>J17+J26+J36+J45</f>
        <v>87844.141110493569</v>
      </c>
      <c r="K47" s="80">
        <f>K17+K26+K36+K45</f>
        <v>87845</v>
      </c>
      <c r="M47" s="80">
        <f>M17+M26+M36+M45</f>
        <v>88108.992633461967</v>
      </c>
      <c r="N47" s="46">
        <f>M47-J47</f>
        <v>264.85152296839806</v>
      </c>
    </row>
    <row r="48" spans="2:16" x14ac:dyDescent="0.25">
      <c r="B48" s="109"/>
      <c r="C48" s="95" t="s">
        <v>49</v>
      </c>
      <c r="E48" s="87"/>
      <c r="F48" s="87"/>
      <c r="G48" s="11"/>
      <c r="I48" s="80"/>
      <c r="J48" s="117">
        <f>J47/I47</f>
        <v>5.58906297328037E-3</v>
      </c>
      <c r="K48" s="80"/>
      <c r="M48" s="80"/>
      <c r="N48" s="107">
        <f>N47/K47</f>
        <v>3.0149868856326261E-3</v>
      </c>
    </row>
    <row r="49" spans="2:14" x14ac:dyDescent="0.25">
      <c r="B49" s="109"/>
      <c r="E49" s="87"/>
      <c r="F49" s="87"/>
      <c r="G49" s="11"/>
      <c r="I49" s="80"/>
      <c r="J49" s="117"/>
      <c r="K49" s="80"/>
      <c r="M49" s="80"/>
      <c r="N49" s="107"/>
    </row>
    <row r="50" spans="2:14" x14ac:dyDescent="0.25">
      <c r="B50" s="109"/>
    </row>
    <row r="51" spans="2:14" s="94" customFormat="1" ht="12.75" customHeight="1" x14ac:dyDescent="0.25">
      <c r="B51" s="60" t="s">
        <v>32</v>
      </c>
      <c r="C51" s="644" t="s">
        <v>226</v>
      </c>
    </row>
    <row r="52" spans="2:14" s="94" customFormat="1" ht="12.75" customHeight="1" x14ac:dyDescent="0.25">
      <c r="B52" s="61" t="s">
        <v>31</v>
      </c>
      <c r="C52" s="644" t="str">
        <f>'Margin Revenue'!$C$37</f>
        <v>Weather normalized volume for year ending December 31, 2020 from 2020 Commission Basis Report (CBR)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14" s="94" customFormat="1" ht="12.75" customHeight="1" x14ac:dyDescent="0.25">
      <c r="B53" s="61" t="s">
        <v>30</v>
      </c>
      <c r="C53" s="24" t="s">
        <v>244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2:14" ht="13" thickBot="1" x14ac:dyDescent="0.3"/>
    <row r="55" spans="2:14" x14ac:dyDescent="0.25">
      <c r="G55" s="45" t="s">
        <v>14</v>
      </c>
    </row>
    <row r="56" spans="2:14" x14ac:dyDescent="0.25">
      <c r="G56" s="44">
        <f>G17-SUM(G10:G15)</f>
        <v>0</v>
      </c>
    </row>
    <row r="57" spans="2:14" x14ac:dyDescent="0.25">
      <c r="G57" s="44">
        <f>G26-SUM(G20:G25)</f>
        <v>0</v>
      </c>
    </row>
    <row r="58" spans="2:14" x14ac:dyDescent="0.25">
      <c r="G58" s="44">
        <f>G36-SUM(G29:G34)</f>
        <v>0</v>
      </c>
    </row>
    <row r="59" spans="2:14" ht="13" thickBot="1" x14ac:dyDescent="0.3">
      <c r="G59" s="43">
        <f>G45-SUM(G39:G44)</f>
        <v>0</v>
      </c>
    </row>
    <row r="63" spans="2:14" x14ac:dyDescent="0.25">
      <c r="I63" s="75"/>
      <c r="J63" s="118"/>
    </row>
    <row r="64" spans="2:14" x14ac:dyDescent="0.25">
      <c r="G64" s="75"/>
    </row>
    <row r="68" spans="7:10" x14ac:dyDescent="0.25">
      <c r="G68" s="75"/>
    </row>
    <row r="70" spans="7:10" x14ac:dyDescent="0.25">
      <c r="J70" s="118"/>
    </row>
    <row r="72" spans="7:10" x14ac:dyDescent="0.25">
      <c r="J72" s="118"/>
    </row>
  </sheetData>
  <mergeCells count="3">
    <mergeCell ref="C8:D8"/>
    <mergeCell ref="B1:N1"/>
    <mergeCell ref="B3:N3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in="1" max="13" man="1"/>
  </rowBreaks>
  <colBreaks count="1" manualBreakCount="1">
    <brk id="13" max="1048575" man="1"/>
  </colBreaks>
  <ignoredErrors>
    <ignoredError sqref="E16 E35" formulaRange="1"/>
    <ignoredError sqref="J17 J26 J36 J4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4"/>
  <sheetViews>
    <sheetView zoomScale="90" zoomScaleNormal="90" workbookViewId="0">
      <selection activeCell="F10" sqref="F10"/>
    </sheetView>
  </sheetViews>
  <sheetFormatPr defaultColWidth="8.81640625" defaultRowHeight="13" x14ac:dyDescent="0.3"/>
  <cols>
    <col min="1" max="1" width="3.1796875" style="95" customWidth="1"/>
    <col min="2" max="2" width="3.453125" style="95" customWidth="1"/>
    <col min="3" max="3" width="24.1796875" style="95" customWidth="1"/>
    <col min="4" max="4" width="9" style="95" bestFit="1" customWidth="1"/>
    <col min="5" max="5" width="13.81640625" style="95" customWidth="1"/>
    <col min="6" max="6" width="14.54296875" style="95" customWidth="1"/>
    <col min="7" max="7" width="13.54296875" style="95" customWidth="1"/>
    <col min="8" max="10" width="13.54296875" style="133" customWidth="1"/>
    <col min="11" max="12" width="13.54296875" style="94" customWidth="1"/>
    <col min="13" max="13" width="13.81640625" style="94" customWidth="1"/>
    <col min="14" max="14" width="15.453125" style="94" bestFit="1" customWidth="1"/>
    <col min="15" max="22" width="9.1796875" style="95" customWidth="1"/>
    <col min="23" max="16384" width="8.81640625" style="95"/>
  </cols>
  <sheetData>
    <row r="1" spans="2:19" ht="15" customHeight="1" x14ac:dyDescent="0.25">
      <c r="B1" s="145" t="s">
        <v>13</v>
      </c>
      <c r="C1" s="70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68"/>
      <c r="P1" s="70"/>
      <c r="Q1" s="42"/>
      <c r="R1" s="42"/>
      <c r="S1" s="42"/>
    </row>
    <row r="2" spans="2:19" s="94" customFormat="1" ht="15" customHeight="1" x14ac:dyDescent="0.3">
      <c r="B2" s="403" t="str">
        <f>Rates!$B$2</f>
        <v>2021 Gas Schedule 129 Low Income Program Filing</v>
      </c>
      <c r="C2" s="403"/>
      <c r="D2" s="403"/>
      <c r="E2" s="403"/>
      <c r="F2" s="403"/>
      <c r="G2" s="403"/>
      <c r="H2" s="403"/>
      <c r="I2" s="403"/>
      <c r="J2" s="403"/>
      <c r="K2" s="143"/>
      <c r="L2" s="143"/>
      <c r="M2" s="143"/>
      <c r="N2" s="143"/>
      <c r="O2" s="126"/>
      <c r="P2" s="127"/>
      <c r="Q2" s="24"/>
      <c r="R2" s="24"/>
      <c r="S2" s="24"/>
    </row>
    <row r="3" spans="2:19" s="94" customFormat="1" ht="15" customHeight="1" x14ac:dyDescent="0.3">
      <c r="B3" s="127" t="s">
        <v>162</v>
      </c>
      <c r="C3" s="127"/>
      <c r="D3" s="127"/>
      <c r="E3" s="127"/>
      <c r="F3" s="127"/>
      <c r="G3" s="127"/>
      <c r="H3" s="127"/>
      <c r="I3" s="127"/>
      <c r="J3" s="127"/>
      <c r="K3" s="144"/>
      <c r="L3" s="144"/>
      <c r="M3" s="144"/>
      <c r="N3" s="144"/>
      <c r="O3" s="24"/>
      <c r="P3" s="127"/>
      <c r="Q3" s="24"/>
      <c r="R3" s="24"/>
      <c r="S3" s="24"/>
    </row>
    <row r="4" spans="2:19" s="94" customFormat="1" ht="15" customHeight="1" x14ac:dyDescent="0.3">
      <c r="B4" s="144"/>
      <c r="C4" s="127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24"/>
      <c r="P4" s="127"/>
      <c r="Q4" s="24"/>
      <c r="R4" s="24"/>
      <c r="S4" s="24"/>
    </row>
    <row r="6" spans="2:19" x14ac:dyDescent="0.3">
      <c r="G6" s="109"/>
      <c r="N6" s="95"/>
    </row>
    <row r="7" spans="2:19" ht="12.5" x14ac:dyDescent="0.25">
      <c r="E7" s="639" t="s">
        <v>228</v>
      </c>
      <c r="F7" s="109" t="str">
        <f>$E$7</f>
        <v>UG-190530</v>
      </c>
      <c r="G7" s="109" t="str">
        <f>$E$7</f>
        <v>UG-190530</v>
      </c>
      <c r="H7" s="624" t="s">
        <v>99</v>
      </c>
      <c r="I7" s="624" t="s">
        <v>151</v>
      </c>
      <c r="J7" s="624" t="s">
        <v>238</v>
      </c>
      <c r="K7" s="624" t="s">
        <v>9</v>
      </c>
      <c r="L7" s="114" t="s">
        <v>0</v>
      </c>
      <c r="M7" s="642">
        <v>2020</v>
      </c>
      <c r="N7" s="34">
        <f>+M7</f>
        <v>2020</v>
      </c>
      <c r="O7" s="34"/>
    </row>
    <row r="8" spans="2:19" ht="12.5" x14ac:dyDescent="0.25">
      <c r="D8" s="109" t="s">
        <v>12</v>
      </c>
      <c r="E8" s="96" t="s">
        <v>11</v>
      </c>
      <c r="F8" s="96" t="s">
        <v>98</v>
      </c>
      <c r="G8" s="34" t="s">
        <v>47</v>
      </c>
      <c r="H8" s="96" t="s">
        <v>100</v>
      </c>
      <c r="I8" s="96" t="s">
        <v>114</v>
      </c>
      <c r="J8" s="96" t="s">
        <v>242</v>
      </c>
      <c r="K8" s="96" t="s">
        <v>48</v>
      </c>
      <c r="L8" s="96" t="s">
        <v>47</v>
      </c>
      <c r="M8" s="96" t="s">
        <v>11</v>
      </c>
      <c r="N8" s="96" t="s">
        <v>39</v>
      </c>
      <c r="O8" s="96"/>
    </row>
    <row r="9" spans="2:19" ht="14.5" x14ac:dyDescent="0.25">
      <c r="B9" s="110" t="s">
        <v>38</v>
      </c>
      <c r="C9" s="110" t="s">
        <v>8</v>
      </c>
      <c r="D9" s="110" t="s">
        <v>7</v>
      </c>
      <c r="E9" s="41" t="s">
        <v>92</v>
      </c>
      <c r="F9" s="41" t="s">
        <v>101</v>
      </c>
      <c r="G9" s="131" t="s">
        <v>45</v>
      </c>
      <c r="H9" s="41" t="s">
        <v>362</v>
      </c>
      <c r="I9" s="41" t="s">
        <v>363</v>
      </c>
      <c r="J9" s="41" t="s">
        <v>364</v>
      </c>
      <c r="K9" s="41" t="s">
        <v>365</v>
      </c>
      <c r="L9" s="41" t="s">
        <v>45</v>
      </c>
      <c r="M9" s="41" t="s">
        <v>239</v>
      </c>
      <c r="N9" s="41" t="s">
        <v>240</v>
      </c>
      <c r="O9" s="96"/>
    </row>
    <row r="10" spans="2:19" ht="12.5" x14ac:dyDescent="0.25">
      <c r="B10" s="109">
        <v>1</v>
      </c>
      <c r="C10" s="22" t="s">
        <v>5</v>
      </c>
      <c r="D10" s="109" t="s">
        <v>26</v>
      </c>
      <c r="E10" s="103">
        <f>'Rate Design Res'!D13+'Rate Design Res'!D24</f>
        <v>609248315.15931809</v>
      </c>
      <c r="F10" s="104">
        <f>'Rate Design Res'!I14+'Rate Design Res'!I25</f>
        <v>369409021.81868041</v>
      </c>
      <c r="G10" s="27">
        <f>F10/E10</f>
        <v>0.60633572982812456</v>
      </c>
      <c r="H10" s="124">
        <v>2.2749999999999999E-2</v>
      </c>
      <c r="I10" s="124">
        <v>-1.388E-2</v>
      </c>
      <c r="J10" s="124">
        <v>-1.3699999999999999E-3</v>
      </c>
      <c r="K10" s="124">
        <v>1.77E-2</v>
      </c>
      <c r="L10" s="93">
        <f>SUM(G10:K10)</f>
        <v>0.63153572982812467</v>
      </c>
      <c r="M10" s="11">
        <v>626901489.92004681</v>
      </c>
      <c r="N10" s="36">
        <f>L10*M10</f>
        <v>395910689.96699548</v>
      </c>
      <c r="O10" s="1"/>
      <c r="R10" s="130"/>
    </row>
    <row r="11" spans="2:19" ht="12.5" x14ac:dyDescent="0.25">
      <c r="B11" s="109"/>
      <c r="C11" s="22"/>
      <c r="D11" s="109"/>
      <c r="E11" s="103"/>
      <c r="F11" s="104"/>
      <c r="H11" s="124"/>
      <c r="I11" s="124"/>
      <c r="J11" s="124"/>
      <c r="K11" s="124"/>
      <c r="M11" s="72"/>
      <c r="N11" s="95"/>
      <c r="O11" s="77"/>
    </row>
    <row r="12" spans="2:19" ht="12.5" x14ac:dyDescent="0.25">
      <c r="B12" s="109">
        <f>B10+1</f>
        <v>2</v>
      </c>
      <c r="C12" s="98" t="s">
        <v>25</v>
      </c>
      <c r="D12" s="109"/>
      <c r="E12" s="103"/>
      <c r="F12" s="104"/>
      <c r="H12" s="124"/>
      <c r="I12" s="124"/>
      <c r="J12" s="124"/>
      <c r="K12" s="124"/>
      <c r="M12" s="72"/>
      <c r="N12" s="95"/>
      <c r="O12" s="77"/>
    </row>
    <row r="13" spans="2:19" ht="12.5" x14ac:dyDescent="0.25">
      <c r="B13" s="109">
        <f t="shared" ref="B13:B28" si="0">B12+1</f>
        <v>3</v>
      </c>
      <c r="C13" s="40" t="s">
        <v>44</v>
      </c>
      <c r="D13" s="109" t="s">
        <v>35</v>
      </c>
      <c r="E13" s="105">
        <f>'Rate Design C&amp;I'!D36</f>
        <v>234176518.05324447</v>
      </c>
      <c r="F13" s="104">
        <f>'Rate Design C&amp;I'!I38</f>
        <v>117966594.08</v>
      </c>
      <c r="G13" s="27">
        <f>F13/E13</f>
        <v>0.50375073923158276</v>
      </c>
      <c r="H13" s="124">
        <v>2.632E-2</v>
      </c>
      <c r="I13" s="124">
        <v>-1.495E-2</v>
      </c>
      <c r="J13" s="124">
        <v>-1.47E-3</v>
      </c>
      <c r="K13" s="124">
        <v>1.8800000000000001E-2</v>
      </c>
      <c r="L13" s="93">
        <f>SUM(G13:K13)</f>
        <v>0.53245073923158281</v>
      </c>
      <c r="M13" s="11">
        <v>221175078.62786937</v>
      </c>
      <c r="N13" s="36">
        <f>L13*M13</f>
        <v>117764834.1150125</v>
      </c>
      <c r="O13" s="1"/>
      <c r="R13" s="130"/>
    </row>
    <row r="14" spans="2:19" ht="12.5" x14ac:dyDescent="0.25">
      <c r="B14" s="109"/>
      <c r="C14" s="98"/>
      <c r="D14" s="96"/>
      <c r="E14" s="105"/>
      <c r="F14" s="104"/>
      <c r="H14" s="124"/>
      <c r="I14" s="124"/>
      <c r="J14" s="124"/>
      <c r="K14" s="124"/>
      <c r="M14" s="72"/>
      <c r="N14" s="36"/>
      <c r="O14" s="1"/>
    </row>
    <row r="15" spans="2:19" ht="12.5" x14ac:dyDescent="0.25">
      <c r="B15" s="109">
        <f>B13+1</f>
        <v>4</v>
      </c>
      <c r="C15" s="22" t="s">
        <v>24</v>
      </c>
      <c r="D15" s="109" t="s">
        <v>34</v>
      </c>
      <c r="E15" s="103">
        <f>'Rate Design C&amp;I'!D95</f>
        <v>86328991.912539363</v>
      </c>
      <c r="F15" s="104">
        <f>'Rate Design C&amp;I'!I97</f>
        <v>21189370.488729604</v>
      </c>
      <c r="G15" s="27">
        <f>F15/E15</f>
        <v>0.2454490666379695</v>
      </c>
      <c r="H15" s="124">
        <v>8.7899999999999992E-3</v>
      </c>
      <c r="I15" s="124">
        <v>-5.7000000000000002E-3</v>
      </c>
      <c r="J15" s="124">
        <v>-5.5999999999999995E-4</v>
      </c>
      <c r="K15" s="124">
        <v>9.2700000000000005E-3</v>
      </c>
      <c r="L15" s="93">
        <f>SUM(G15:K15)</f>
        <v>0.25724906663796954</v>
      </c>
      <c r="M15" s="11">
        <v>81612956.841022506</v>
      </c>
      <c r="N15" s="36">
        <f>L15*M15</f>
        <v>20994856.972917929</v>
      </c>
      <c r="O15" s="1"/>
      <c r="R15" s="130"/>
    </row>
    <row r="16" spans="2:19" ht="12.5" x14ac:dyDescent="0.25">
      <c r="B16" s="109"/>
      <c r="C16" s="22"/>
      <c r="D16" s="109"/>
      <c r="E16" s="103"/>
      <c r="F16" s="104"/>
      <c r="G16" s="27"/>
      <c r="H16" s="124"/>
      <c r="I16" s="124"/>
      <c r="J16" s="124"/>
      <c r="K16" s="124"/>
      <c r="L16" s="93"/>
      <c r="M16" s="7"/>
      <c r="N16" s="36"/>
      <c r="O16" s="1"/>
    </row>
    <row r="17" spans="1:25" ht="12.5" x14ac:dyDescent="0.25">
      <c r="B17" s="109">
        <f>B15+1</f>
        <v>5</v>
      </c>
      <c r="C17" s="22" t="s">
        <v>43</v>
      </c>
      <c r="D17" s="109" t="s">
        <v>33</v>
      </c>
      <c r="E17" s="103">
        <f>'Rate Design Int &amp; Trans'!D115</f>
        <v>9748488.4229263552</v>
      </c>
      <c r="F17" s="104">
        <f>'Rate Design Int &amp; Trans'!I115</f>
        <v>2062218.96</v>
      </c>
      <c r="G17" s="27">
        <f>F17/E17</f>
        <v>0.2115424330966125</v>
      </c>
      <c r="H17" s="124">
        <v>1.085E-2</v>
      </c>
      <c r="I17" s="124">
        <v>-3.3800000000000002E-3</v>
      </c>
      <c r="J17" s="124">
        <v>-3.3E-4</v>
      </c>
      <c r="K17" s="124">
        <v>8.8199999999999997E-3</v>
      </c>
      <c r="L17" s="93">
        <f>SUM(G17:K17)</f>
        <v>0.2275024330966125</v>
      </c>
      <c r="M17" s="11">
        <v>7076278.8580077542</v>
      </c>
      <c r="N17" s="36">
        <f>L17*M17</f>
        <v>1609870.6574668826</v>
      </c>
      <c r="O17" s="1"/>
      <c r="R17" s="130"/>
    </row>
    <row r="18" spans="1:25" ht="12.5" x14ac:dyDescent="0.25">
      <c r="B18" s="109"/>
      <c r="C18" s="22"/>
      <c r="D18" s="109"/>
      <c r="E18" s="105"/>
      <c r="F18" s="104"/>
      <c r="H18" s="124"/>
      <c r="I18" s="124"/>
      <c r="J18" s="124"/>
      <c r="K18" s="124"/>
      <c r="M18" s="72"/>
      <c r="N18" s="36"/>
      <c r="O18" s="1"/>
    </row>
    <row r="19" spans="1:25" ht="12.5" x14ac:dyDescent="0.25">
      <c r="B19" s="109">
        <f>B17+1</f>
        <v>6</v>
      </c>
      <c r="C19" s="22" t="s">
        <v>4</v>
      </c>
      <c r="D19" s="109"/>
      <c r="E19" s="106"/>
      <c r="F19" s="106"/>
      <c r="H19" s="124"/>
      <c r="I19" s="124"/>
      <c r="J19" s="124"/>
      <c r="K19" s="124"/>
      <c r="M19" s="72"/>
      <c r="N19" s="36"/>
      <c r="O19" s="1"/>
    </row>
    <row r="20" spans="1:25" ht="12.5" x14ac:dyDescent="0.25">
      <c r="B20" s="109">
        <f t="shared" si="0"/>
        <v>7</v>
      </c>
      <c r="C20" s="37" t="s">
        <v>4</v>
      </c>
      <c r="D20" s="109">
        <v>85</v>
      </c>
      <c r="E20" s="103">
        <f>'Rate Design Int &amp; Trans'!D21</f>
        <v>16184434.068649083</v>
      </c>
      <c r="F20" s="104">
        <f>'Rate Design Int &amp; Trans'!I21</f>
        <v>1712016.4100000001</v>
      </c>
      <c r="G20" s="27">
        <f>F20/E20</f>
        <v>0.10578166667664657</v>
      </c>
      <c r="H20" s="124">
        <v>4.8500000000000001E-3</v>
      </c>
      <c r="I20" s="124">
        <v>-2.7000000000000001E-3</v>
      </c>
      <c r="J20" s="124">
        <v>-2.7E-4</v>
      </c>
      <c r="K20" s="124">
        <v>4.9500000000000004E-3</v>
      </c>
      <c r="L20" s="93">
        <f>SUM(G20:K20)</f>
        <v>0.11261166667664656</v>
      </c>
      <c r="M20" s="11">
        <v>18205076.037592929</v>
      </c>
      <c r="N20" s="36">
        <f>L20*M20</f>
        <v>2050103.9545684203</v>
      </c>
      <c r="O20" s="1"/>
      <c r="R20" s="130"/>
    </row>
    <row r="21" spans="1:25" ht="12.5" x14ac:dyDescent="0.25">
      <c r="B21" s="109">
        <f t="shared" si="0"/>
        <v>8</v>
      </c>
      <c r="C21" s="35" t="s">
        <v>42</v>
      </c>
      <c r="D21" s="34">
        <v>87</v>
      </c>
      <c r="E21" s="103">
        <f>'Rate Design Int &amp; Trans'!D141</f>
        <v>23337042.118500695</v>
      </c>
      <c r="F21" s="641">
        <f>'Rate Design Int &amp; Trans'!I141</f>
        <v>1405341.91</v>
      </c>
      <c r="G21" s="27">
        <f>F21/E21</f>
        <v>6.0219367255882859E-2</v>
      </c>
      <c r="H21" s="128">
        <v>2.64E-3</v>
      </c>
      <c r="I21" s="128">
        <v>-1.42E-3</v>
      </c>
      <c r="J21" s="128">
        <v>-1.3999999999999999E-4</v>
      </c>
      <c r="K21" s="128">
        <v>2.8999999999999998E-3</v>
      </c>
      <c r="L21" s="93">
        <f>SUM(G21:K21)</f>
        <v>6.419936725588285E-2</v>
      </c>
      <c r="M21" s="11">
        <v>22431397.990590375</v>
      </c>
      <c r="N21" s="36">
        <f>L21*M21</f>
        <v>1440081.5576607841</v>
      </c>
      <c r="O21" s="1"/>
      <c r="R21" s="130"/>
    </row>
    <row r="22" spans="1:25" ht="12.5" x14ac:dyDescent="0.25">
      <c r="B22" s="109">
        <f t="shared" si="0"/>
        <v>9</v>
      </c>
      <c r="C22" s="35" t="s">
        <v>1</v>
      </c>
      <c r="D22" s="34"/>
      <c r="E22" s="39">
        <f t="shared" ref="E22" si="1">SUM(E20:E21)</f>
        <v>39521476.187149778</v>
      </c>
      <c r="F22" s="28">
        <f t="shared" ref="F22" si="2">SUM(F20:F21)</f>
        <v>3117358.3200000003</v>
      </c>
      <c r="G22" s="27"/>
      <c r="H22" s="128"/>
      <c r="I22" s="128"/>
      <c r="J22" s="128"/>
      <c r="K22" s="128"/>
      <c r="L22" s="93"/>
      <c r="M22" s="39">
        <f>SUM(M20:M21)</f>
        <v>40636474.028183304</v>
      </c>
      <c r="N22" s="79">
        <f>SUM(N20:N21)</f>
        <v>3490185.5122292042</v>
      </c>
      <c r="O22" s="1"/>
      <c r="R22" s="130"/>
    </row>
    <row r="23" spans="1:25" ht="12.5" x14ac:dyDescent="0.25">
      <c r="B23" s="109"/>
      <c r="C23" s="35"/>
      <c r="D23" s="34"/>
      <c r="E23" s="84"/>
      <c r="F23" s="18"/>
      <c r="G23" s="27"/>
      <c r="H23" s="128"/>
      <c r="I23" s="128"/>
      <c r="J23" s="128"/>
      <c r="K23" s="128"/>
      <c r="L23" s="93"/>
      <c r="M23" s="84"/>
      <c r="N23" s="1"/>
      <c r="O23" s="1"/>
    </row>
    <row r="24" spans="1:25" ht="12.5" x14ac:dyDescent="0.25">
      <c r="B24" s="109">
        <f>B22+1</f>
        <v>10</v>
      </c>
      <c r="C24" s="29" t="s">
        <v>22</v>
      </c>
      <c r="D24" s="34"/>
      <c r="E24" s="38"/>
      <c r="F24" s="19"/>
      <c r="H24" s="128"/>
      <c r="I24" s="128"/>
      <c r="J24" s="128"/>
      <c r="K24" s="128"/>
      <c r="M24" s="72"/>
      <c r="N24" s="36"/>
      <c r="O24" s="1"/>
    </row>
    <row r="25" spans="1:25" ht="12.5" x14ac:dyDescent="0.25">
      <c r="B25" s="109">
        <f t="shared" si="0"/>
        <v>11</v>
      </c>
      <c r="C25" s="37" t="s">
        <v>4</v>
      </c>
      <c r="D25" s="34" t="s">
        <v>3</v>
      </c>
      <c r="E25" s="103">
        <f>'Rate Design Int &amp; Trans'!D42</f>
        <v>74773537.134971082</v>
      </c>
      <c r="F25" s="641">
        <f>'Rate Design Int &amp; Trans'!I42</f>
        <v>7547127.8200000003</v>
      </c>
      <c r="G25" s="27">
        <f t="shared" ref="G25:G26" si="3">F25/E25</f>
        <v>0.10093313903790516</v>
      </c>
      <c r="H25" s="128">
        <v>4.8500000000000001E-3</v>
      </c>
      <c r="I25" s="128">
        <f>I20</f>
        <v>-2.7000000000000001E-3</v>
      </c>
      <c r="J25" s="128">
        <f>J20</f>
        <v>-2.7E-4</v>
      </c>
      <c r="K25" s="128">
        <v>4.9500000000000004E-3</v>
      </c>
      <c r="L25" s="93">
        <f t="shared" ref="L25:L26" si="4">SUM(G25:K25)</f>
        <v>0.10776313903790515</v>
      </c>
      <c r="M25" s="11">
        <v>67213918.794144511</v>
      </c>
      <c r="N25" s="36">
        <f>L25*M25</f>
        <v>7243182.8762958609</v>
      </c>
      <c r="O25" s="1"/>
      <c r="R25" s="130"/>
    </row>
    <row r="26" spans="1:25" ht="12.5" x14ac:dyDescent="0.25">
      <c r="B26" s="109">
        <f t="shared" si="0"/>
        <v>12</v>
      </c>
      <c r="C26" s="35" t="s">
        <v>42</v>
      </c>
      <c r="D26" s="34" t="s">
        <v>2</v>
      </c>
      <c r="E26" s="103">
        <f>'Rate Design Int &amp; Trans'!D164</f>
        <v>100441128.37470125</v>
      </c>
      <c r="F26" s="641">
        <f>'Rate Design Int &amp; Trans'!I164</f>
        <v>4429994.87</v>
      </c>
      <c r="G26" s="27">
        <f t="shared" si="3"/>
        <v>4.4105387321751864E-2</v>
      </c>
      <c r="H26" s="128">
        <v>2.64E-3</v>
      </c>
      <c r="I26" s="128">
        <f>I21</f>
        <v>-1.42E-3</v>
      </c>
      <c r="J26" s="128">
        <f>J21</f>
        <v>-1.3999999999999999E-4</v>
      </c>
      <c r="K26" s="128">
        <v>2.8999999999999998E-3</v>
      </c>
      <c r="L26" s="93">
        <f t="shared" si="4"/>
        <v>4.8085387321751862E-2</v>
      </c>
      <c r="M26" s="11">
        <v>92886459.471163645</v>
      </c>
      <c r="N26" s="33">
        <f>L26*M26</f>
        <v>4466481.3806171101</v>
      </c>
      <c r="O26" s="1"/>
      <c r="R26" s="130"/>
    </row>
    <row r="27" spans="1:25" ht="12.5" x14ac:dyDescent="0.25">
      <c r="B27" s="109">
        <f t="shared" si="0"/>
        <v>13</v>
      </c>
      <c r="C27" s="29" t="s">
        <v>41</v>
      </c>
      <c r="D27" s="34"/>
      <c r="E27" s="32">
        <f t="shared" ref="E27" si="5">SUM(E25:E26)</f>
        <v>175214665.50967234</v>
      </c>
      <c r="F27" s="31">
        <f t="shared" ref="F27" si="6">SUM(F25:F26)</f>
        <v>11977122.690000001</v>
      </c>
      <c r="G27" s="27"/>
      <c r="H27" s="640"/>
      <c r="I27" s="640"/>
      <c r="J27" s="640"/>
      <c r="L27" s="93"/>
      <c r="M27" s="32">
        <f>SUM(M25:M26)</f>
        <v>160100378.26530814</v>
      </c>
      <c r="N27" s="30">
        <f>SUM(N25:N26)</f>
        <v>11709664.256912971</v>
      </c>
      <c r="O27" s="67"/>
      <c r="R27" s="130"/>
    </row>
    <row r="28" spans="1:25" x14ac:dyDescent="0.3">
      <c r="B28" s="109">
        <f t="shared" si="0"/>
        <v>14</v>
      </c>
      <c r="C28" s="29" t="s">
        <v>0</v>
      </c>
      <c r="D28" s="29"/>
      <c r="E28" s="78">
        <f t="shared" ref="E28" si="7">E10+E13+E15+E17+E22+E27</f>
        <v>1154238455.2448504</v>
      </c>
      <c r="F28" s="79">
        <f t="shared" ref="F28" si="8">F10+F13+F15+F17+F22+F27</f>
        <v>525721686.35740995</v>
      </c>
      <c r="G28" s="27"/>
      <c r="H28" s="136"/>
      <c r="I28" s="136"/>
      <c r="J28" s="136"/>
      <c r="L28" s="93"/>
      <c r="M28" s="39">
        <f>M10+M13+M15+M17+M22+M27</f>
        <v>1137502656.5404379</v>
      </c>
      <c r="N28" s="79">
        <f>N10+N13+N15+N17+N22+N27</f>
        <v>551480101.48153496</v>
      </c>
      <c r="O28" s="1"/>
      <c r="R28" s="130"/>
    </row>
    <row r="29" spans="1:25" x14ac:dyDescent="0.3">
      <c r="C29" s="22"/>
      <c r="D29" s="22"/>
      <c r="E29" s="26"/>
      <c r="F29" s="25"/>
      <c r="G29" s="25"/>
      <c r="H29" s="137"/>
      <c r="I29" s="137"/>
      <c r="J29" s="137"/>
      <c r="N29" s="95"/>
      <c r="O29" s="77"/>
    </row>
    <row r="30" spans="1:25" x14ac:dyDescent="0.3">
      <c r="C30" s="22"/>
      <c r="D30" s="22"/>
      <c r="E30" s="26"/>
      <c r="F30" s="25"/>
      <c r="G30" s="25"/>
      <c r="H30" s="137"/>
      <c r="I30" s="137"/>
      <c r="J30" s="137"/>
      <c r="K30" s="99"/>
      <c r="O30" s="77"/>
    </row>
    <row r="31" spans="1:25" s="94" customFormat="1" ht="14.5" x14ac:dyDescent="0.3">
      <c r="A31" s="95"/>
      <c r="B31" s="61" t="s">
        <v>32</v>
      </c>
      <c r="C31" s="24" t="s">
        <v>249</v>
      </c>
      <c r="D31" s="24"/>
      <c r="E31" s="24"/>
      <c r="F31" s="24"/>
      <c r="G31" s="24"/>
      <c r="H31" s="138"/>
      <c r="I31" s="138"/>
      <c r="J31" s="138"/>
      <c r="K31" s="24"/>
      <c r="L31" s="24"/>
      <c r="M31" s="24"/>
      <c r="N31" s="24"/>
      <c r="O31" s="24"/>
      <c r="P31" s="24"/>
      <c r="T31" s="97"/>
      <c r="U31" s="97"/>
      <c r="V31" s="97"/>
      <c r="W31" s="97"/>
      <c r="X31" s="97"/>
      <c r="Y31" s="97"/>
    </row>
    <row r="32" spans="1:25" s="94" customFormat="1" ht="14.5" x14ac:dyDescent="0.3">
      <c r="B32" s="61" t="s">
        <v>31</v>
      </c>
      <c r="C32" s="24" t="s">
        <v>250</v>
      </c>
      <c r="D32" s="23"/>
      <c r="E32" s="23"/>
      <c r="F32" s="23"/>
      <c r="G32" s="23"/>
      <c r="H32" s="135"/>
      <c r="I32" s="135"/>
      <c r="J32" s="135"/>
      <c r="K32" s="23"/>
      <c r="L32" s="23"/>
      <c r="M32" s="23"/>
      <c r="N32" s="23"/>
      <c r="O32" s="23"/>
      <c r="P32" s="23"/>
      <c r="T32" s="97"/>
      <c r="U32" s="97"/>
      <c r="V32" s="97"/>
      <c r="W32" s="97"/>
      <c r="X32" s="97"/>
      <c r="Y32" s="97"/>
    </row>
    <row r="33" spans="1:25" s="133" customFormat="1" ht="14.5" x14ac:dyDescent="0.3">
      <c r="A33" s="95"/>
      <c r="B33" s="61" t="s">
        <v>30</v>
      </c>
      <c r="C33" s="94" t="s">
        <v>233</v>
      </c>
      <c r="D33" s="134"/>
      <c r="E33" s="134"/>
      <c r="F33" s="134"/>
      <c r="G33" s="134"/>
      <c r="H33" s="135"/>
      <c r="I33" s="135"/>
      <c r="J33" s="135"/>
      <c r="K33" s="134"/>
      <c r="L33" s="134"/>
      <c r="M33" s="23"/>
      <c r="N33" s="134"/>
      <c r="O33" s="134"/>
      <c r="P33" s="134"/>
      <c r="T33" s="112"/>
      <c r="U33" s="112"/>
      <c r="V33" s="112"/>
      <c r="W33" s="112"/>
      <c r="X33" s="112"/>
      <c r="Y33" s="112"/>
    </row>
    <row r="34" spans="1:25" s="133" customFormat="1" ht="14.5" x14ac:dyDescent="0.3">
      <c r="A34" s="94"/>
      <c r="B34" s="61" t="s">
        <v>234</v>
      </c>
      <c r="C34" s="94" t="s">
        <v>246</v>
      </c>
      <c r="D34" s="134"/>
      <c r="E34" s="134"/>
      <c r="F34" s="134"/>
      <c r="G34" s="134"/>
      <c r="H34" s="135"/>
      <c r="I34" s="135"/>
      <c r="J34" s="135"/>
      <c r="K34" s="134"/>
      <c r="L34" s="134"/>
      <c r="M34" s="23"/>
      <c r="N34" s="134"/>
      <c r="O34" s="134"/>
      <c r="P34" s="134"/>
      <c r="T34" s="112"/>
      <c r="U34" s="112"/>
      <c r="V34" s="112"/>
      <c r="W34" s="112"/>
      <c r="X34" s="112"/>
      <c r="Y34" s="112"/>
    </row>
    <row r="35" spans="1:25" s="94" customFormat="1" ht="14.5" x14ac:dyDescent="0.3">
      <c r="B35" s="61" t="s">
        <v>231</v>
      </c>
      <c r="C35" s="94" t="s">
        <v>247</v>
      </c>
      <c r="D35" s="23"/>
      <c r="E35" s="23"/>
      <c r="F35" s="23"/>
      <c r="G35" s="23"/>
      <c r="H35" s="135"/>
      <c r="I35" s="135"/>
      <c r="J35" s="135"/>
      <c r="K35" s="23"/>
      <c r="L35" s="23"/>
      <c r="M35" s="23"/>
      <c r="N35" s="23"/>
      <c r="O35" s="23"/>
      <c r="P35" s="23"/>
      <c r="T35" s="97"/>
      <c r="U35" s="97"/>
      <c r="V35" s="97"/>
      <c r="W35" s="97"/>
      <c r="X35" s="97"/>
      <c r="Y35" s="97"/>
    </row>
    <row r="36" spans="1:25" s="94" customFormat="1" ht="14.5" x14ac:dyDescent="0.3">
      <c r="A36" s="95"/>
      <c r="B36" s="61" t="s">
        <v>235</v>
      </c>
      <c r="C36" s="94" t="s">
        <v>232</v>
      </c>
      <c r="D36" s="23"/>
      <c r="E36" s="23"/>
      <c r="F36" s="23"/>
      <c r="G36" s="23"/>
      <c r="H36" s="135"/>
      <c r="I36" s="135"/>
      <c r="J36" s="135"/>
      <c r="K36" s="23"/>
      <c r="L36" s="23"/>
      <c r="M36" s="23"/>
      <c r="N36" s="23"/>
      <c r="O36" s="23"/>
      <c r="P36" s="23"/>
      <c r="T36" s="97"/>
      <c r="U36" s="97"/>
      <c r="V36" s="97"/>
      <c r="W36" s="97"/>
      <c r="X36" s="97"/>
      <c r="Y36" s="97"/>
    </row>
    <row r="37" spans="1:25" s="94" customFormat="1" ht="14.5" x14ac:dyDescent="0.3">
      <c r="A37" s="95"/>
      <c r="B37" s="61" t="s">
        <v>237</v>
      </c>
      <c r="C37" s="94" t="s">
        <v>248</v>
      </c>
      <c r="D37" s="114"/>
      <c r="E37" s="96"/>
      <c r="F37" s="96"/>
      <c r="G37" s="96"/>
      <c r="H37" s="111"/>
      <c r="I37" s="111"/>
      <c r="J37" s="111"/>
      <c r="K37" s="96"/>
      <c r="L37" s="96"/>
      <c r="M37" s="21"/>
      <c r="N37" s="21"/>
      <c r="O37" s="21"/>
      <c r="P37" s="21"/>
      <c r="T37" s="97"/>
      <c r="U37" s="97"/>
      <c r="V37" s="97"/>
      <c r="W37" s="97"/>
      <c r="X37" s="97"/>
      <c r="Y37" s="97"/>
    </row>
    <row r="38" spans="1:25" s="94" customFormat="1" ht="14.5" x14ac:dyDescent="0.3">
      <c r="A38" s="95"/>
      <c r="B38" s="61" t="s">
        <v>241</v>
      </c>
      <c r="C38" s="94" t="s">
        <v>236</v>
      </c>
      <c r="D38" s="21"/>
      <c r="E38" s="21"/>
      <c r="F38" s="21"/>
      <c r="G38" s="21"/>
      <c r="H38" s="135"/>
      <c r="I38" s="135"/>
      <c r="J38" s="135"/>
      <c r="K38" s="21"/>
      <c r="L38" s="21"/>
      <c r="M38" s="21"/>
      <c r="N38" s="21"/>
      <c r="O38" s="21"/>
      <c r="P38" s="21"/>
      <c r="T38" s="97"/>
      <c r="U38" s="97"/>
      <c r="V38" s="97"/>
      <c r="W38" s="97"/>
      <c r="X38" s="97"/>
      <c r="Y38" s="97"/>
    </row>
    <row r="39" spans="1:25" x14ac:dyDescent="0.3">
      <c r="C39" s="21"/>
      <c r="D39" s="22"/>
      <c r="E39" s="22"/>
      <c r="F39" s="22"/>
      <c r="G39" s="22"/>
      <c r="H39" s="135"/>
      <c r="I39" s="135"/>
      <c r="J39" s="135"/>
      <c r="K39" s="21"/>
      <c r="L39" s="21"/>
      <c r="M39" s="21"/>
      <c r="N39" s="21"/>
      <c r="O39" s="22"/>
      <c r="P39" s="22"/>
      <c r="T39" s="77"/>
      <c r="U39" s="77"/>
      <c r="V39" s="77"/>
      <c r="W39" s="77"/>
      <c r="X39" s="77"/>
      <c r="Y39" s="77"/>
    </row>
    <row r="40" spans="1:25" ht="12.5" x14ac:dyDescent="0.25">
      <c r="C40" s="635"/>
      <c r="D40" s="635"/>
      <c r="E40" s="635"/>
      <c r="F40" s="635"/>
      <c r="G40" s="635"/>
      <c r="H40" s="635"/>
      <c r="I40" s="635"/>
      <c r="J40" s="635"/>
      <c r="K40" s="635"/>
      <c r="L40" s="635"/>
      <c r="M40" s="635"/>
      <c r="N40" s="21"/>
      <c r="O40" s="22"/>
      <c r="P40" s="22"/>
      <c r="T40" s="77"/>
      <c r="U40" s="77"/>
      <c r="V40" s="77"/>
      <c r="W40" s="77"/>
      <c r="X40" s="77"/>
      <c r="Y40" s="77"/>
    </row>
    <row r="41" spans="1:25" x14ac:dyDescent="0.3">
      <c r="C41" s="21"/>
      <c r="D41" s="22"/>
      <c r="E41" s="22"/>
      <c r="F41" s="22"/>
      <c r="G41" s="22"/>
      <c r="H41" s="135"/>
      <c r="I41" s="135"/>
      <c r="J41" s="135"/>
      <c r="K41" s="21"/>
      <c r="L41" s="21"/>
      <c r="M41" s="21"/>
      <c r="N41" s="21"/>
      <c r="O41" s="22"/>
      <c r="P41" s="22"/>
      <c r="T41" s="77"/>
      <c r="U41" s="77"/>
      <c r="V41" s="77"/>
      <c r="W41" s="77"/>
      <c r="X41" s="77"/>
      <c r="Y41" s="77"/>
    </row>
    <row r="42" spans="1:25" x14ac:dyDescent="0.3">
      <c r="C42" s="21"/>
      <c r="D42" s="22"/>
      <c r="E42" s="22"/>
      <c r="F42" s="22"/>
      <c r="G42" s="22"/>
      <c r="H42" s="135"/>
      <c r="I42" s="135"/>
      <c r="J42" s="135"/>
      <c r="K42" s="21"/>
      <c r="L42" s="21"/>
      <c r="M42" s="21"/>
      <c r="N42" s="21"/>
      <c r="O42" s="22"/>
      <c r="P42" s="22"/>
      <c r="T42" s="77"/>
      <c r="U42" s="77"/>
      <c r="V42" s="77"/>
      <c r="W42" s="77"/>
      <c r="X42" s="77"/>
      <c r="Y42" s="77"/>
    </row>
    <row r="43" spans="1:25" x14ac:dyDescent="0.3">
      <c r="E43" s="15"/>
      <c r="F43" s="15"/>
      <c r="G43" s="15"/>
      <c r="H43" s="135"/>
      <c r="I43" s="135"/>
      <c r="J43" s="135"/>
      <c r="K43" s="15"/>
      <c r="L43" s="15"/>
      <c r="M43" s="15"/>
      <c r="N43" s="15"/>
      <c r="O43" s="15"/>
      <c r="P43" s="15"/>
      <c r="Q43" s="77"/>
      <c r="R43" s="77"/>
      <c r="S43" s="77"/>
      <c r="T43" s="20"/>
      <c r="U43" s="77"/>
      <c r="V43" s="77"/>
      <c r="W43" s="77"/>
      <c r="X43" s="77"/>
      <c r="Y43" s="77"/>
    </row>
    <row r="44" spans="1:25" x14ac:dyDescent="0.3">
      <c r="E44" s="15"/>
      <c r="F44" s="15"/>
      <c r="G44" s="15"/>
      <c r="H44" s="135"/>
      <c r="I44" s="135"/>
      <c r="J44" s="135"/>
      <c r="K44" s="15"/>
      <c r="L44" s="15"/>
      <c r="M44" s="15"/>
      <c r="N44" s="15"/>
      <c r="O44" s="15"/>
      <c r="P44" s="15"/>
      <c r="Q44" s="77"/>
      <c r="R44" s="77"/>
      <c r="S44" s="20"/>
      <c r="T44" s="20"/>
      <c r="U44" s="77"/>
      <c r="V44" s="77"/>
      <c r="W44" s="77"/>
      <c r="X44" s="77"/>
      <c r="Y44" s="77"/>
    </row>
    <row r="45" spans="1:25" x14ac:dyDescent="0.3">
      <c r="E45" s="15"/>
      <c r="F45" s="15"/>
      <c r="G45" s="15"/>
      <c r="H45" s="135"/>
      <c r="I45" s="135"/>
      <c r="J45" s="135"/>
      <c r="K45" s="15"/>
      <c r="L45" s="15"/>
      <c r="M45" s="15"/>
      <c r="N45" s="15"/>
      <c r="O45" s="15"/>
      <c r="P45" s="15"/>
      <c r="Q45" s="77"/>
      <c r="R45" s="77"/>
      <c r="S45" s="26"/>
      <c r="T45" s="20"/>
      <c r="U45" s="77"/>
      <c r="V45" s="77"/>
      <c r="W45" s="77"/>
      <c r="X45" s="77"/>
      <c r="Y45" s="77"/>
    </row>
    <row r="46" spans="1:25" x14ac:dyDescent="0.3">
      <c r="E46" s="15"/>
      <c r="F46" s="15"/>
      <c r="G46" s="15"/>
      <c r="H46" s="135"/>
      <c r="I46" s="135"/>
      <c r="J46" s="135"/>
      <c r="K46" s="15"/>
      <c r="L46" s="15"/>
      <c r="M46" s="15"/>
      <c r="N46" s="15"/>
      <c r="O46" s="15"/>
      <c r="P46" s="15"/>
      <c r="Q46" s="77"/>
      <c r="R46" s="77"/>
      <c r="S46" s="20"/>
      <c r="T46" s="15"/>
      <c r="U46" s="77"/>
      <c r="V46" s="77"/>
      <c r="W46" s="77"/>
      <c r="X46" s="77"/>
      <c r="Y46" s="77"/>
    </row>
    <row r="47" spans="1:25" x14ac:dyDescent="0.3">
      <c r="E47" s="15"/>
      <c r="F47" s="15"/>
      <c r="G47" s="15"/>
      <c r="H47" s="135"/>
      <c r="I47" s="135"/>
      <c r="J47" s="135"/>
      <c r="K47" s="15"/>
      <c r="L47" s="15"/>
      <c r="M47" s="15"/>
      <c r="N47" s="15"/>
      <c r="O47" s="15"/>
      <c r="P47" s="15"/>
      <c r="Q47" s="77"/>
      <c r="R47" s="77"/>
      <c r="S47" s="20"/>
      <c r="T47" s="20"/>
      <c r="U47" s="77"/>
      <c r="V47" s="77"/>
      <c r="W47" s="77"/>
      <c r="X47" s="77"/>
      <c r="Y47" s="77"/>
    </row>
    <row r="48" spans="1:25" x14ac:dyDescent="0.3">
      <c r="E48" s="15"/>
      <c r="F48" s="15"/>
      <c r="G48" s="15"/>
      <c r="H48" s="135"/>
      <c r="I48" s="135"/>
      <c r="J48" s="135"/>
      <c r="K48" s="15"/>
      <c r="L48" s="15"/>
      <c r="M48" s="15"/>
      <c r="N48" s="15"/>
      <c r="O48" s="15"/>
      <c r="P48" s="15"/>
      <c r="Q48" s="77"/>
      <c r="R48" s="77"/>
      <c r="S48" s="26"/>
      <c r="T48" s="20"/>
      <c r="U48" s="77"/>
      <c r="V48" s="77"/>
      <c r="W48" s="77"/>
      <c r="X48" s="77"/>
      <c r="Y48" s="77"/>
    </row>
    <row r="49" spans="5:20" x14ac:dyDescent="0.3">
      <c r="E49" s="15"/>
      <c r="F49" s="15"/>
      <c r="G49" s="15"/>
      <c r="H49" s="135"/>
      <c r="I49" s="135"/>
      <c r="J49" s="135"/>
      <c r="K49" s="15"/>
      <c r="L49" s="15"/>
      <c r="M49" s="15"/>
      <c r="N49" s="15"/>
      <c r="O49" s="15"/>
      <c r="P49" s="15"/>
      <c r="Q49" s="77"/>
      <c r="R49" s="77"/>
      <c r="S49" s="77"/>
      <c r="T49" s="20"/>
    </row>
    <row r="50" spans="5:20" x14ac:dyDescent="0.3">
      <c r="E50" s="15"/>
      <c r="F50" s="15"/>
      <c r="G50" s="15"/>
      <c r="H50" s="135"/>
      <c r="I50" s="135"/>
      <c r="J50" s="135"/>
      <c r="K50" s="15"/>
      <c r="L50" s="15"/>
      <c r="M50" s="15"/>
      <c r="N50" s="15"/>
      <c r="O50" s="15"/>
      <c r="P50" s="15"/>
      <c r="Q50" s="77"/>
      <c r="R50" s="77"/>
      <c r="S50" s="77"/>
      <c r="T50" s="20"/>
    </row>
    <row r="51" spans="5:20" x14ac:dyDescent="0.3">
      <c r="E51" s="15"/>
      <c r="F51" s="15"/>
      <c r="G51" s="15"/>
      <c r="H51" s="135"/>
      <c r="I51" s="135"/>
      <c r="J51" s="135"/>
      <c r="K51" s="15"/>
      <c r="L51" s="15"/>
      <c r="M51" s="15"/>
      <c r="N51" s="15"/>
      <c r="O51" s="15"/>
      <c r="P51" s="15"/>
      <c r="Q51" s="77"/>
      <c r="R51" s="77"/>
      <c r="S51" s="77"/>
      <c r="T51" s="20"/>
    </row>
    <row r="52" spans="5:20" x14ac:dyDescent="0.3">
      <c r="E52" s="15"/>
      <c r="F52" s="15"/>
      <c r="G52" s="15"/>
      <c r="H52" s="135"/>
      <c r="I52" s="135"/>
      <c r="J52" s="135"/>
      <c r="K52" s="15"/>
      <c r="L52" s="15"/>
      <c r="M52" s="15"/>
      <c r="N52" s="15"/>
      <c r="O52" s="15"/>
      <c r="P52" s="15"/>
      <c r="Q52" s="77"/>
      <c r="R52" s="77"/>
      <c r="S52" s="77"/>
      <c r="T52" s="20"/>
    </row>
    <row r="53" spans="5:20" x14ac:dyDescent="0.3">
      <c r="E53" s="15"/>
      <c r="F53" s="15"/>
      <c r="G53" s="15"/>
      <c r="H53" s="135"/>
      <c r="I53" s="135"/>
      <c r="J53" s="135"/>
      <c r="K53" s="15"/>
      <c r="L53" s="15"/>
      <c r="M53" s="15"/>
      <c r="N53" s="15"/>
      <c r="O53" s="15"/>
      <c r="P53" s="15"/>
      <c r="Q53" s="77"/>
      <c r="R53" s="77"/>
      <c r="S53" s="77"/>
      <c r="T53" s="20"/>
    </row>
    <row r="54" spans="5:20" x14ac:dyDescent="0.3">
      <c r="E54" s="15"/>
      <c r="F54" s="15"/>
      <c r="G54" s="15"/>
      <c r="H54" s="135"/>
      <c r="I54" s="135"/>
      <c r="J54" s="135"/>
      <c r="K54" s="15"/>
      <c r="L54" s="15"/>
      <c r="M54" s="15"/>
      <c r="N54" s="15"/>
      <c r="O54" s="15"/>
      <c r="P54" s="15"/>
      <c r="Q54" s="77"/>
      <c r="R54" s="77"/>
      <c r="S54" s="77"/>
      <c r="T54" s="20"/>
    </row>
    <row r="55" spans="5:20" x14ac:dyDescent="0.3">
      <c r="E55" s="15"/>
      <c r="F55" s="15"/>
      <c r="G55" s="15"/>
      <c r="H55" s="135"/>
      <c r="I55" s="135"/>
      <c r="J55" s="135"/>
      <c r="K55" s="15"/>
      <c r="L55" s="15"/>
      <c r="M55" s="15"/>
      <c r="N55" s="15"/>
      <c r="O55" s="15"/>
      <c r="P55" s="15"/>
      <c r="Q55" s="77"/>
      <c r="R55" s="77"/>
      <c r="S55" s="77"/>
      <c r="T55" s="20"/>
    </row>
    <row r="56" spans="5:20" x14ac:dyDescent="0.3">
      <c r="E56" s="97"/>
      <c r="F56" s="19"/>
      <c r="G56" s="19"/>
      <c r="H56" s="139"/>
      <c r="I56" s="139"/>
      <c r="J56" s="139"/>
      <c r="K56" s="19"/>
      <c r="L56" s="97"/>
      <c r="M56" s="97"/>
      <c r="N56" s="97"/>
      <c r="O56" s="97"/>
      <c r="P56" s="97"/>
      <c r="Q56" s="77"/>
      <c r="R56" s="77"/>
      <c r="S56" s="77"/>
      <c r="T56" s="20"/>
    </row>
    <row r="57" spans="5:20" x14ac:dyDescent="0.3">
      <c r="E57" s="97"/>
      <c r="F57" s="18"/>
      <c r="G57" s="18"/>
      <c r="H57" s="140"/>
      <c r="I57" s="140"/>
      <c r="J57" s="140"/>
      <c r="K57" s="18"/>
      <c r="L57" s="97"/>
      <c r="M57" s="97"/>
      <c r="N57" s="97"/>
      <c r="O57" s="97"/>
      <c r="P57" s="97"/>
      <c r="Q57" s="77"/>
      <c r="R57" s="77"/>
      <c r="S57" s="77"/>
      <c r="T57" s="20"/>
    </row>
    <row r="58" spans="5:20" x14ac:dyDescent="0.3">
      <c r="E58" s="97"/>
      <c r="F58" s="97"/>
      <c r="G58" s="97"/>
      <c r="H58" s="112"/>
      <c r="I58" s="112"/>
      <c r="J58" s="112"/>
      <c r="K58" s="97"/>
      <c r="L58" s="97"/>
      <c r="M58" s="97"/>
      <c r="N58" s="97"/>
      <c r="O58" s="15"/>
      <c r="P58" s="15"/>
      <c r="Q58" s="77"/>
      <c r="R58" s="77"/>
      <c r="S58" s="77"/>
      <c r="T58" s="20"/>
    </row>
    <row r="59" spans="5:20" x14ac:dyDescent="0.3">
      <c r="E59" s="97"/>
      <c r="F59" s="17"/>
      <c r="G59" s="17"/>
      <c r="H59" s="112"/>
      <c r="I59" s="112"/>
      <c r="J59" s="112"/>
      <c r="K59" s="17"/>
      <c r="L59" s="97"/>
      <c r="M59" s="17"/>
      <c r="N59" s="97"/>
      <c r="O59" s="15"/>
      <c r="P59" s="17"/>
      <c r="Q59" s="77"/>
      <c r="R59" s="77"/>
      <c r="S59" s="77"/>
      <c r="T59" s="77"/>
    </row>
    <row r="60" spans="5:20" x14ac:dyDescent="0.3">
      <c r="E60" s="97"/>
      <c r="F60" s="17"/>
      <c r="G60" s="17"/>
      <c r="H60" s="112"/>
      <c r="I60" s="112"/>
      <c r="J60" s="112"/>
      <c r="K60" s="17"/>
      <c r="L60" s="15"/>
      <c r="M60" s="17"/>
      <c r="N60" s="15"/>
      <c r="O60" s="15"/>
      <c r="P60" s="17"/>
      <c r="Q60" s="77"/>
      <c r="R60" s="77"/>
      <c r="S60" s="77"/>
      <c r="T60" s="77"/>
    </row>
    <row r="61" spans="5:20" x14ac:dyDescent="0.3">
      <c r="E61" s="97"/>
      <c r="F61" s="17"/>
      <c r="G61" s="17"/>
      <c r="H61" s="112"/>
      <c r="I61" s="112"/>
      <c r="J61" s="112"/>
      <c r="K61" s="17"/>
      <c r="L61" s="15"/>
      <c r="M61" s="17"/>
      <c r="N61" s="15"/>
      <c r="O61" s="15"/>
      <c r="P61" s="15"/>
      <c r="Q61" s="77"/>
      <c r="R61" s="77"/>
      <c r="S61" s="77"/>
      <c r="T61" s="77"/>
    </row>
    <row r="62" spans="5:20" x14ac:dyDescent="0.3">
      <c r="E62" s="18"/>
      <c r="F62" s="97"/>
      <c r="G62" s="97"/>
      <c r="H62" s="112"/>
      <c r="I62" s="112"/>
      <c r="J62" s="112"/>
      <c r="K62" s="97"/>
      <c r="L62" s="15"/>
      <c r="M62" s="17"/>
      <c r="N62" s="15"/>
      <c r="O62" s="15"/>
      <c r="P62" s="15"/>
      <c r="Q62" s="77"/>
      <c r="R62" s="77"/>
      <c r="S62" s="77"/>
      <c r="T62" s="77"/>
    </row>
    <row r="63" spans="5:20" x14ac:dyDescent="0.3">
      <c r="E63" s="97"/>
      <c r="F63" s="97"/>
      <c r="G63" s="97"/>
      <c r="H63" s="112"/>
      <c r="I63" s="112"/>
      <c r="J63" s="112"/>
      <c r="K63" s="97"/>
      <c r="L63" s="15"/>
      <c r="M63" s="17"/>
      <c r="N63" s="15"/>
      <c r="O63" s="15"/>
      <c r="P63" s="15"/>
      <c r="Q63" s="77"/>
      <c r="R63" s="77"/>
      <c r="S63" s="77"/>
      <c r="T63" s="77"/>
    </row>
    <row r="64" spans="5:20" x14ac:dyDescent="0.3">
      <c r="E64" s="97"/>
      <c r="F64" s="97"/>
      <c r="G64" s="97"/>
      <c r="H64" s="112"/>
      <c r="I64" s="112"/>
      <c r="J64" s="112"/>
      <c r="K64" s="97"/>
      <c r="L64" s="97"/>
      <c r="M64" s="17"/>
      <c r="N64" s="15"/>
      <c r="O64" s="15"/>
      <c r="P64" s="15"/>
      <c r="Q64" s="77"/>
      <c r="R64" s="77"/>
      <c r="S64" s="77"/>
      <c r="T64" s="77"/>
    </row>
    <row r="65" spans="5:20" x14ac:dyDescent="0.3">
      <c r="E65" s="97"/>
      <c r="F65" s="97"/>
      <c r="G65" s="97"/>
      <c r="H65" s="112"/>
      <c r="I65" s="112"/>
      <c r="J65" s="112"/>
      <c r="K65" s="97"/>
      <c r="L65" s="97"/>
      <c r="M65" s="97"/>
      <c r="N65" s="15"/>
      <c r="O65" s="15"/>
      <c r="P65" s="15"/>
      <c r="Q65" s="77"/>
      <c r="R65" s="77"/>
      <c r="S65" s="77"/>
      <c r="T65" s="77"/>
    </row>
    <row r="66" spans="5:20" x14ac:dyDescent="0.3">
      <c r="E66" s="97"/>
      <c r="F66" s="97"/>
      <c r="G66" s="97"/>
      <c r="H66" s="112"/>
      <c r="I66" s="112"/>
      <c r="J66" s="112"/>
      <c r="K66" s="97"/>
      <c r="L66" s="15"/>
      <c r="M66" s="15"/>
      <c r="N66" s="15"/>
      <c r="O66" s="15"/>
      <c r="P66" s="15"/>
      <c r="Q66" s="77"/>
      <c r="R66" s="77"/>
      <c r="S66" s="80"/>
      <c r="T66" s="77"/>
    </row>
    <row r="67" spans="5:20" x14ac:dyDescent="0.3">
      <c r="E67" s="97"/>
      <c r="F67" s="17"/>
      <c r="G67" s="17"/>
      <c r="H67" s="141"/>
      <c r="I67" s="141"/>
      <c r="J67" s="141"/>
      <c r="K67" s="17"/>
      <c r="L67" s="17"/>
      <c r="M67" s="17"/>
      <c r="N67" s="17"/>
      <c r="O67" s="17"/>
      <c r="P67" s="17"/>
      <c r="Q67" s="80"/>
      <c r="R67" s="80"/>
      <c r="S67" s="16"/>
      <c r="T67" s="77"/>
    </row>
    <row r="68" spans="5:20" x14ac:dyDescent="0.3">
      <c r="E68" s="97"/>
      <c r="F68" s="17"/>
      <c r="G68" s="17"/>
      <c r="H68" s="141"/>
      <c r="I68" s="141"/>
      <c r="J68" s="141"/>
      <c r="K68" s="17"/>
      <c r="L68" s="17"/>
      <c r="M68" s="17"/>
      <c r="N68" s="17"/>
      <c r="O68" s="17"/>
      <c r="P68" s="17"/>
      <c r="Q68" s="80"/>
      <c r="R68" s="80"/>
      <c r="S68" s="80"/>
      <c r="T68" s="77"/>
    </row>
    <row r="69" spans="5:20" x14ac:dyDescent="0.3">
      <c r="E69" s="97"/>
      <c r="F69" s="17"/>
      <c r="G69" s="17"/>
      <c r="H69" s="141"/>
      <c r="I69" s="141"/>
      <c r="J69" s="141"/>
      <c r="K69" s="17"/>
      <c r="L69" s="17"/>
      <c r="M69" s="15"/>
      <c r="N69" s="17"/>
      <c r="O69" s="17"/>
      <c r="P69" s="17"/>
      <c r="Q69" s="80"/>
      <c r="R69" s="80"/>
      <c r="S69" s="80"/>
      <c r="T69" s="77"/>
    </row>
    <row r="70" spans="5:20" x14ac:dyDescent="0.3">
      <c r="E70" s="97"/>
      <c r="F70" s="17"/>
      <c r="G70" s="17"/>
      <c r="H70" s="142"/>
      <c r="I70" s="142"/>
      <c r="J70" s="142"/>
      <c r="K70" s="17"/>
      <c r="L70" s="17"/>
      <c r="M70" s="17"/>
      <c r="N70" s="17"/>
      <c r="O70" s="17"/>
      <c r="P70" s="17"/>
      <c r="Q70" s="80"/>
      <c r="R70" s="80"/>
      <c r="S70" s="80"/>
      <c r="T70" s="77"/>
    </row>
    <row r="71" spans="5:20" x14ac:dyDescent="0.3">
      <c r="E71" s="77"/>
      <c r="F71" s="80"/>
      <c r="G71" s="80"/>
      <c r="H71" s="142"/>
      <c r="I71" s="142"/>
      <c r="J71" s="142"/>
      <c r="K71" s="17"/>
      <c r="L71" s="17"/>
      <c r="M71" s="17"/>
      <c r="N71" s="17"/>
      <c r="O71" s="80"/>
      <c r="P71" s="80"/>
      <c r="Q71" s="80"/>
      <c r="R71" s="80"/>
      <c r="S71" s="77"/>
      <c r="T71" s="77"/>
    </row>
    <row r="72" spans="5:20" x14ac:dyDescent="0.3">
      <c r="E72" s="77"/>
      <c r="F72" s="77"/>
      <c r="G72" s="77"/>
      <c r="H72" s="111"/>
      <c r="I72" s="111"/>
      <c r="J72" s="111"/>
      <c r="K72" s="97"/>
      <c r="L72" s="15"/>
      <c r="M72" s="15"/>
      <c r="N72" s="15"/>
      <c r="O72" s="20"/>
      <c r="P72" s="20"/>
      <c r="Q72" s="77"/>
      <c r="R72" s="77"/>
      <c r="S72" s="77"/>
      <c r="T72" s="77"/>
    </row>
    <row r="73" spans="5:20" x14ac:dyDescent="0.3">
      <c r="E73" s="77"/>
      <c r="F73" s="77"/>
      <c r="G73" s="77"/>
      <c r="H73" s="111"/>
      <c r="I73" s="111"/>
      <c r="J73" s="111"/>
      <c r="K73" s="97"/>
      <c r="L73" s="15"/>
      <c r="M73" s="15"/>
      <c r="N73" s="15"/>
      <c r="O73" s="20"/>
      <c r="P73" s="20"/>
      <c r="Q73" s="20"/>
      <c r="R73" s="77"/>
      <c r="S73" s="77"/>
      <c r="T73" s="77"/>
    </row>
    <row r="74" spans="5:20" x14ac:dyDescent="0.3">
      <c r="L74" s="14"/>
      <c r="M74" s="14"/>
      <c r="N74" s="14"/>
      <c r="O74" s="13"/>
      <c r="P74" s="13"/>
      <c r="Q74" s="13"/>
    </row>
    <row r="75" spans="5:20" x14ac:dyDescent="0.3">
      <c r="L75" s="14"/>
      <c r="M75" s="14"/>
      <c r="N75" s="14"/>
      <c r="O75" s="13"/>
      <c r="P75" s="13"/>
      <c r="Q75" s="13"/>
    </row>
    <row r="76" spans="5:20" x14ac:dyDescent="0.3">
      <c r="L76" s="14"/>
      <c r="M76" s="14"/>
      <c r="N76" s="14"/>
      <c r="O76" s="13"/>
      <c r="P76" s="13"/>
      <c r="Q76" s="13"/>
    </row>
    <row r="77" spans="5:20" x14ac:dyDescent="0.3">
      <c r="F77" s="13"/>
      <c r="G77" s="13"/>
      <c r="K77" s="14"/>
      <c r="L77" s="14"/>
      <c r="M77" s="14"/>
      <c r="N77" s="14"/>
      <c r="O77" s="13"/>
      <c r="P77" s="13"/>
      <c r="Q77" s="13"/>
    </row>
    <row r="78" spans="5:20" x14ac:dyDescent="0.3">
      <c r="F78" s="102"/>
      <c r="G78" s="102"/>
      <c r="K78" s="100"/>
      <c r="L78" s="14"/>
      <c r="M78" s="14"/>
      <c r="N78" s="14"/>
      <c r="O78" s="13"/>
      <c r="P78" s="13"/>
      <c r="Q78" s="13"/>
    </row>
    <row r="79" spans="5:20" x14ac:dyDescent="0.3">
      <c r="F79" s="102"/>
      <c r="G79" s="102"/>
      <c r="K79" s="100"/>
      <c r="L79" s="14"/>
      <c r="M79" s="14"/>
      <c r="N79" s="14"/>
      <c r="O79" s="13"/>
      <c r="P79" s="13"/>
      <c r="Q79" s="13"/>
    </row>
    <row r="80" spans="5:20" x14ac:dyDescent="0.3">
      <c r="F80" s="102"/>
      <c r="G80" s="102"/>
      <c r="K80" s="100"/>
      <c r="L80" s="14"/>
      <c r="M80" s="14"/>
      <c r="N80" s="14"/>
      <c r="O80" s="13"/>
      <c r="P80" s="13"/>
      <c r="Q80" s="13"/>
    </row>
    <row r="81" spans="12:17" x14ac:dyDescent="0.3">
      <c r="L81" s="14"/>
      <c r="M81" s="14"/>
      <c r="N81" s="14"/>
      <c r="O81" s="13"/>
      <c r="P81" s="13"/>
      <c r="Q81" s="13"/>
    </row>
    <row r="82" spans="12:17" x14ac:dyDescent="0.3">
      <c r="L82" s="14"/>
      <c r="M82" s="14"/>
      <c r="N82" s="14"/>
      <c r="O82" s="13"/>
      <c r="P82" s="13"/>
      <c r="Q82" s="13"/>
    </row>
    <row r="83" spans="12:17" x14ac:dyDescent="0.3">
      <c r="L83" s="14"/>
      <c r="M83" s="14"/>
      <c r="N83" s="14"/>
      <c r="O83" s="13"/>
      <c r="P83" s="13"/>
      <c r="Q83" s="13"/>
    </row>
    <row r="84" spans="12:17" x14ac:dyDescent="0.3">
      <c r="L84" s="14"/>
      <c r="M84" s="14"/>
      <c r="N84" s="14"/>
      <c r="O84" s="13"/>
    </row>
  </sheetData>
  <mergeCells count="1">
    <mergeCell ref="C40:M40"/>
  </mergeCells>
  <printOptions horizontalCentered="1"/>
  <pageMargins left="0.5" right="0.5" top="1" bottom="1" header="0.5" footer="0.5"/>
  <pageSetup scale="87" orientation="landscape" blackAndWhite="1" horizontalDpi="300" verticalDpi="300" r:id="rId1"/>
  <headerFooter alignWithMargins="0"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F2B5778306625488FF150E91CAA11D7" ma:contentTypeVersion="44" ma:contentTypeDescription="" ma:contentTypeScope="" ma:versionID="97838603a98746cbc9937ac581adf1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2021-08-31T07:00:00+00:00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11CABE-8B1F-4DA8-A60B-F42A3FD5E797}"/>
</file>

<file path=customXml/itemProps2.xml><?xml version="1.0" encoding="utf-8"?>
<ds:datastoreItem xmlns:ds="http://schemas.openxmlformats.org/officeDocument/2006/customXml" ds:itemID="{6AB5A061-372A-444F-8489-10E877FB9573}"/>
</file>

<file path=customXml/itemProps3.xml><?xml version="1.0" encoding="utf-8"?>
<ds:datastoreItem xmlns:ds="http://schemas.openxmlformats.org/officeDocument/2006/customXml" ds:itemID="{56669B27-5E13-4750-B74A-ABCB5C716C7B}"/>
</file>

<file path=customXml/itemProps4.xml><?xml version="1.0" encoding="utf-8"?>
<ds:datastoreItem xmlns:ds="http://schemas.openxmlformats.org/officeDocument/2006/customXml" ds:itemID="{E73EFB15-98EB-4F9D-B997-C71AAA5A0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Rates</vt:lpstr>
      <vt:lpstr>Rate Impacts--&gt;</vt:lpstr>
      <vt:lpstr>Rate Impacts Sch129</vt:lpstr>
      <vt:lpstr>Typical Res Bill Sch129</vt:lpstr>
      <vt:lpstr>Avg Per Therm Sch129 </vt:lpstr>
      <vt:lpstr>Schedule 129</vt:lpstr>
      <vt:lpstr>Work Papers--&gt;</vt:lpstr>
      <vt:lpstr>Sch 85 87 Rate Calc</vt:lpstr>
      <vt:lpstr>Margin Revenue</vt:lpstr>
      <vt:lpstr>Revenue Req 2021-2022</vt:lpstr>
      <vt:lpstr>Data from 2019 GRC--&gt;</vt:lpstr>
      <vt:lpstr>Rate Design Res</vt:lpstr>
      <vt:lpstr>Rate Design C&amp;I</vt:lpstr>
      <vt:lpstr>Rate Design Int &amp; Trans</vt:lpstr>
      <vt:lpstr>'Avg Per Therm Sch129 '!Print_Area</vt:lpstr>
      <vt:lpstr>'Margin Revenue'!Print_Area</vt:lpstr>
      <vt:lpstr>'Rate Design C&amp;I'!Print_Area</vt:lpstr>
      <vt:lpstr>'Rate Design Int &amp; Trans'!Print_Area</vt:lpstr>
      <vt:lpstr>'Rate Design Res'!Print_Area</vt:lpstr>
      <vt:lpstr>'Rate Impacts Sch129'!Print_Area</vt:lpstr>
      <vt:lpstr>Rates!Print_Area</vt:lpstr>
      <vt:lpstr>'Sch 85 87 Rate Calc'!Print_Area</vt:lpstr>
      <vt:lpstr>'Schedule 129'!Print_Area</vt:lpstr>
      <vt:lpstr>'Typical Res Bill Sch129'!Print_Area</vt:lpstr>
      <vt:lpstr>'Rate Design C&amp;I'!Print_Titles</vt:lpstr>
      <vt:lpstr>'Rate Design Int &amp; Trans'!Print_Titles</vt:lpstr>
      <vt:lpstr>'Rate Design Res'!Print_Titles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Yakupova, Kelima </cp:lastModifiedBy>
  <cp:lastPrinted>2020-08-12T23:08:32Z</cp:lastPrinted>
  <dcterms:created xsi:type="dcterms:W3CDTF">2016-08-18T16:48:49Z</dcterms:created>
  <dcterms:modified xsi:type="dcterms:W3CDTF">2021-08-13T17:56:45Z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0x0101006E56B4D1795A2E4DB2F0B01679ED314A008F2B5778306625488FF150E91CAA11D7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