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Adjustment\2021\Filing For October\Submittal\08-12-2021\"/>
    </mc:Choice>
  </mc:AlternateContent>
  <bookViews>
    <workbookView xWindow="23880" yWindow="-120" windowWidth="24240" windowHeight="13140" tabRatio="770" activeTab="3"/>
  </bookViews>
  <sheets>
    <sheet name="Analysis" sheetId="13" r:id="rId1"/>
    <sheet name="Calcs revised method" sheetId="24" r:id="rId2"/>
    <sheet name="Multi-Family 2020-2021" sheetId="33" r:id="rId3"/>
    <sheet name="Single Family 2020-2021" sheetId="34" r:id="rId4"/>
    <sheet name="Multi-Family Oct 20" sheetId="31" r:id="rId5"/>
    <sheet name="Single Family Oct 20" sheetId="32" r:id="rId6"/>
    <sheet name="Multi-Family Apr 20" sheetId="29" r:id="rId7"/>
    <sheet name="Single Family Apr 20" sheetId="30" r:id="rId8"/>
    <sheet name="Multi-Family Oct 19" sheetId="28" r:id="rId9"/>
    <sheet name="Single Family Oct 19" sheetId="27" r:id="rId10"/>
    <sheet name="Multi-Family 2019" sheetId="25" r:id="rId11"/>
    <sheet name="Single Family 2019" sheetId="26" r:id="rId12"/>
    <sheet name="Multi-Family 2018 " sheetId="22" r:id="rId13"/>
    <sheet name="Single Family 2018 " sheetId="23" r:id="rId14"/>
    <sheet name="Multi-Family 2017" sheetId="19" r:id="rId15"/>
    <sheet name="Single Family 2017" sheetId="20" r:id="rId16"/>
    <sheet name="Multi-Family 2016" sheetId="18" r:id="rId17"/>
    <sheet name="Single Family 2016" sheetId="17" r:id="rId18"/>
    <sheet name="Multi-Family 2015" sheetId="15" r:id="rId19"/>
    <sheet name="Single Family 2015" sheetId="14" r:id="rId20"/>
    <sheet name="Multi-Family 2014" sheetId="12" r:id="rId21"/>
    <sheet name="Single Family 2014" sheetId="11" r:id="rId22"/>
    <sheet name="Multi-Family Year 2013" sheetId="1" r:id="rId23"/>
    <sheet name="Curbside Year 2013" sheetId="2" r:id="rId24"/>
    <sheet name="Tarriff Revenue Billed" sheetId="5" r:id="rId25"/>
    <sheet name="Credit Calc-Single Family 2014" sheetId="4" r:id="rId26"/>
    <sheet name="Credit Calc-Multi Family 2014" sheetId="3" r:id="rId27"/>
    <sheet name="Credit Calc-Single Family 2013" sheetId="9" r:id="rId28"/>
    <sheet name="Credit Calc Multi-Family 2013" sheetId="8" r:id="rId29"/>
  </sheets>
  <externalReferences>
    <externalReference r:id="rId30"/>
    <externalReference r:id="rId31"/>
    <externalReference r:id="rId32"/>
  </externalReferences>
  <definedNames>
    <definedName name="BREMAIR_COST_of_SERVICE_STUDY" localSheetId="0">#REF!</definedName>
    <definedName name="BREMAIR_COST_of_SERVICE_STUDY" localSheetId="14">#REF!</definedName>
    <definedName name="BREMAIR_COST_of_SERVICE_STUDY" localSheetId="12">#REF!</definedName>
    <definedName name="BREMAIR_COST_of_SERVICE_STUDY" localSheetId="2">#REF!</definedName>
    <definedName name="BREMAIR_COST_of_SERVICE_STUDY" localSheetId="15">#REF!</definedName>
    <definedName name="BREMAIR_COST_of_SERVICE_STUDY" localSheetId="13">#REF!</definedName>
    <definedName name="BREMAIR_COST_of_SERVICE_STUDY" localSheetId="3">#REF!</definedName>
    <definedName name="BREMAIR_COST_of_SERVICE_STUDY">#REF!</definedName>
    <definedName name="_xlnm.Print_Area" localSheetId="0">Analysis!$A$1:$F$57</definedName>
    <definedName name="_xlnm.Print_Area" localSheetId="1">'Calcs revised method'!$A$1:$P$62</definedName>
    <definedName name="_xlnm.Print_Area" localSheetId="28">'Credit Calc Multi-Family 2013'!$A$1:$L$49</definedName>
    <definedName name="_xlnm.Print_Area" localSheetId="26">'Credit Calc-Multi Family 2014'!$A$1:$K$49</definedName>
    <definedName name="_xlnm.Print_Area" localSheetId="25">'Credit Calc-Single Family 2014'!$A$1:$K$50</definedName>
    <definedName name="_xlnm.Print_Area" localSheetId="2">'Multi-Family 2020-2021'!$A$1:$G$34</definedName>
    <definedName name="_xlnm.Print_Area" localSheetId="8">'Multi-Family Oct 19'!$A$1:$G$29</definedName>
    <definedName name="_xlnm.Print_Area" localSheetId="4">'Multi-Family Oct 20'!$A$1:$G$29</definedName>
    <definedName name="_xlnm.Print_Area" localSheetId="3">'Single Family 2020-2021'!$A$1:$G$24</definedName>
    <definedName name="_xlnm.Print_Area" localSheetId="9">'Single Family Oct 19'!$A$1:$G$23</definedName>
    <definedName name="_xlnm.Print_Area" localSheetId="5">'Single Family Oct 20'!$A$1:$G$24</definedName>
    <definedName name="Print1" localSheetId="0">#REF!</definedName>
    <definedName name="Print1" localSheetId="16">#REF!</definedName>
    <definedName name="Print1" localSheetId="14">#REF!</definedName>
    <definedName name="Print1" localSheetId="12">#REF!</definedName>
    <definedName name="Print1" localSheetId="2">#REF!</definedName>
    <definedName name="Print1" localSheetId="17">#REF!</definedName>
    <definedName name="Print1" localSheetId="15">#REF!</definedName>
    <definedName name="Print1" localSheetId="13">#REF!</definedName>
    <definedName name="Print1" localSheetId="3">#REF!</definedName>
    <definedName name="Print1">#REF!</definedName>
    <definedName name="Print2" localSheetId="0">#REF!</definedName>
    <definedName name="Print2" localSheetId="14">#REF!</definedName>
    <definedName name="Print2" localSheetId="12">#REF!</definedName>
    <definedName name="Print2" localSheetId="2">#REF!</definedName>
    <definedName name="Print2" localSheetId="15">#REF!</definedName>
    <definedName name="Print2" localSheetId="13">#REF!</definedName>
    <definedName name="Print2" localSheetId="3">#REF!</definedName>
    <definedName name="Print2">#REF!</definedName>
  </definedNames>
  <calcPr calcId="162913" calcMode="manual"/>
  <fileRecoveryPr autoRecover="0"/>
</workbook>
</file>

<file path=xl/calcChain.xml><?xml version="1.0" encoding="utf-8"?>
<calcChain xmlns="http://schemas.openxmlformats.org/spreadsheetml/2006/main">
  <c r="D45" i="24" l="1"/>
  <c r="R25" i="13"/>
  <c r="L25" i="13" l="1"/>
  <c r="C23" i="34" l="1"/>
  <c r="E23" i="34"/>
  <c r="N74" i="33"/>
  <c r="M66" i="33"/>
  <c r="J17" i="33"/>
  <c r="J13" i="33"/>
  <c r="J14" i="33"/>
  <c r="J15" i="33"/>
  <c r="J16" i="33"/>
  <c r="J18" i="33"/>
  <c r="J19" i="33"/>
  <c r="J20" i="33"/>
  <c r="J12" i="33"/>
  <c r="F20" i="33" l="1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J11" i="33"/>
  <c r="F11" i="33" s="1"/>
  <c r="G11" i="33" s="1"/>
  <c r="D12" i="34"/>
  <c r="D13" i="34"/>
  <c r="D14" i="34"/>
  <c r="D15" i="34"/>
  <c r="D16" i="34"/>
  <c r="D17" i="34"/>
  <c r="D18" i="34"/>
  <c r="D19" i="34"/>
  <c r="D20" i="34"/>
  <c r="D21" i="34"/>
  <c r="D22" i="34"/>
  <c r="D11" i="34"/>
  <c r="D23" i="34" s="1"/>
  <c r="D29" i="33" s="1"/>
  <c r="D22" i="33"/>
  <c r="D21" i="33"/>
  <c r="D20" i="33"/>
  <c r="D19" i="33"/>
  <c r="D18" i="33"/>
  <c r="D17" i="33"/>
  <c r="D16" i="33"/>
  <c r="D15" i="33"/>
  <c r="D14" i="33"/>
  <c r="D13" i="33"/>
  <c r="D12" i="33"/>
  <c r="D11" i="33"/>
  <c r="D23" i="33" s="1"/>
  <c r="D30" i="33" s="1"/>
  <c r="A37" i="13" l="1"/>
  <c r="A38" i="13"/>
  <c r="A39" i="13"/>
  <c r="A50" i="13"/>
  <c r="L52" i="13" l="1"/>
  <c r="D39" i="13" s="1"/>
  <c r="G50" i="13"/>
  <c r="G39" i="13"/>
  <c r="I40" i="13"/>
  <c r="G38" i="13"/>
  <c r="G37" i="13"/>
  <c r="D12" i="13"/>
  <c r="I13" i="13"/>
  <c r="O13" i="13"/>
  <c r="Q19" i="13"/>
  <c r="Q24" i="13"/>
  <c r="M37" i="13"/>
  <c r="M38" i="13"/>
  <c r="M39" i="13"/>
  <c r="O40" i="13"/>
  <c r="Q46" i="13" s="1"/>
  <c r="M50" i="13"/>
  <c r="Q51" i="13"/>
  <c r="I17" i="24" l="1"/>
  <c r="O17" i="24"/>
  <c r="J17" i="24"/>
  <c r="G17" i="24"/>
  <c r="K17" i="24"/>
  <c r="L17" i="24"/>
  <c r="M17" i="24"/>
  <c r="H17" i="24"/>
  <c r="N17" i="24"/>
  <c r="J48" i="24"/>
  <c r="K48" i="24"/>
  <c r="L48" i="24"/>
  <c r="M48" i="24"/>
  <c r="H48" i="24"/>
  <c r="N48" i="24"/>
  <c r="I48" i="24"/>
  <c r="O48" i="24"/>
  <c r="G48" i="24"/>
  <c r="O41" i="24" l="1"/>
  <c r="O50" i="24" s="1"/>
  <c r="N41" i="24"/>
  <c r="N50" i="24" s="1"/>
  <c r="M41" i="24"/>
  <c r="M50" i="24" s="1"/>
  <c r="L41" i="24"/>
  <c r="L50" i="24" s="1"/>
  <c r="K41" i="24"/>
  <c r="K50" i="24" s="1"/>
  <c r="J41" i="24"/>
  <c r="J50" i="24" s="1"/>
  <c r="I41" i="24"/>
  <c r="I50" i="24" s="1"/>
  <c r="H41" i="24"/>
  <c r="H50" i="24" s="1"/>
  <c r="G41" i="24"/>
  <c r="G50" i="24" s="1"/>
  <c r="F41" i="24"/>
  <c r="F50" i="24" s="1"/>
  <c r="E41" i="24"/>
  <c r="E50" i="24" s="1"/>
  <c r="D41" i="24"/>
  <c r="O39" i="24"/>
  <c r="O43" i="24" s="1"/>
  <c r="N39" i="24"/>
  <c r="N43" i="24" s="1"/>
  <c r="M39" i="24"/>
  <c r="M43" i="24" s="1"/>
  <c r="L39" i="24"/>
  <c r="L43" i="24" s="1"/>
  <c r="K39" i="24"/>
  <c r="K43" i="24" s="1"/>
  <c r="J39" i="24"/>
  <c r="J43" i="24" s="1"/>
  <c r="I39" i="24"/>
  <c r="I43" i="24" s="1"/>
  <c r="H39" i="24"/>
  <c r="H43" i="24" s="1"/>
  <c r="G39" i="24"/>
  <c r="G43" i="24" s="1"/>
  <c r="F39" i="24"/>
  <c r="F43" i="24" s="1"/>
  <c r="E39" i="24"/>
  <c r="E43" i="24" s="1"/>
  <c r="D39" i="24"/>
  <c r="O8" i="24"/>
  <c r="N8" i="24"/>
  <c r="N12" i="24" s="1"/>
  <c r="M8" i="24"/>
  <c r="M12" i="24" s="1"/>
  <c r="L8" i="24"/>
  <c r="K8" i="24"/>
  <c r="J8" i="24"/>
  <c r="I8" i="24"/>
  <c r="H8" i="24"/>
  <c r="G8" i="24"/>
  <c r="F8" i="24"/>
  <c r="E8" i="24"/>
  <c r="D8" i="24"/>
  <c r="O10" i="24"/>
  <c r="O19" i="24" s="1"/>
  <c r="N10" i="24"/>
  <c r="N19" i="24" s="1"/>
  <c r="M10" i="24"/>
  <c r="M19" i="24" s="1"/>
  <c r="L10" i="24"/>
  <c r="L19" i="24" s="1"/>
  <c r="K10" i="24"/>
  <c r="K19" i="24" s="1"/>
  <c r="J10" i="24"/>
  <c r="J19" i="24" s="1"/>
  <c r="I10" i="24"/>
  <c r="I19" i="24" s="1"/>
  <c r="H10" i="24"/>
  <c r="H19" i="24" s="1"/>
  <c r="G10" i="24"/>
  <c r="G19" i="24" s="1"/>
  <c r="F10" i="24"/>
  <c r="E10" i="24"/>
  <c r="D10" i="24"/>
  <c r="D19" i="24" s="1"/>
  <c r="H22" i="33"/>
  <c r="H21" i="33"/>
  <c r="F13" i="34"/>
  <c r="E37" i="24"/>
  <c r="F37" i="24"/>
  <c r="G37" i="24"/>
  <c r="H37" i="24"/>
  <c r="I37" i="24"/>
  <c r="J37" i="24"/>
  <c r="K37" i="24"/>
  <c r="L37" i="24"/>
  <c r="M37" i="24"/>
  <c r="N37" i="24"/>
  <c r="O37" i="24"/>
  <c r="D37" i="24"/>
  <c r="E23" i="33"/>
  <c r="C23" i="33"/>
  <c r="D43" i="24" l="1"/>
  <c r="P39" i="24"/>
  <c r="P41" i="24"/>
  <c r="D50" i="24"/>
  <c r="P50" i="24" s="1"/>
  <c r="G13" i="34"/>
  <c r="F14" i="24"/>
  <c r="F47" i="24"/>
  <c r="K47" i="24"/>
  <c r="P8" i="24"/>
  <c r="D12" i="24"/>
  <c r="H12" i="24"/>
  <c r="L12" i="24"/>
  <c r="E12" i="24"/>
  <c r="I12" i="24"/>
  <c r="F12" i="24"/>
  <c r="J12" i="24"/>
  <c r="G12" i="24"/>
  <c r="K12" i="24"/>
  <c r="O12" i="24"/>
  <c r="E51" i="13"/>
  <c r="C38" i="13"/>
  <c r="J21" i="33"/>
  <c r="F21" i="33" s="1"/>
  <c r="G21" i="33" s="1"/>
  <c r="M67" i="33"/>
  <c r="J22" i="33"/>
  <c r="F22" i="33" s="1"/>
  <c r="G22" i="33" s="1"/>
  <c r="N75" i="33"/>
  <c r="P10" i="24"/>
  <c r="E19" i="13" s="1"/>
  <c r="E46" i="13"/>
  <c r="F16" i="24"/>
  <c r="C12" i="13"/>
  <c r="E12" i="13" s="1"/>
  <c r="C11" i="13"/>
  <c r="E24" i="13"/>
  <c r="J45" i="24"/>
  <c r="J47" i="24" s="1"/>
  <c r="F17" i="34"/>
  <c r="F14" i="34"/>
  <c r="G45" i="24"/>
  <c r="G47" i="24" s="1"/>
  <c r="F11" i="34"/>
  <c r="G11" i="34" s="1"/>
  <c r="F16" i="34"/>
  <c r="I45" i="24"/>
  <c r="I47" i="24" s="1"/>
  <c r="F20" i="34"/>
  <c r="M45" i="24"/>
  <c r="M47" i="24" s="1"/>
  <c r="K45" i="24"/>
  <c r="F18" i="34"/>
  <c r="F45" i="24"/>
  <c r="C39" i="13"/>
  <c r="E39" i="13" s="1"/>
  <c r="G20" i="34" l="1"/>
  <c r="M14" i="24"/>
  <c r="M16" i="24" s="1"/>
  <c r="I16" i="24"/>
  <c r="G18" i="34"/>
  <c r="K14" i="24"/>
  <c r="K16" i="24" s="1"/>
  <c r="G14" i="34"/>
  <c r="G14" i="24"/>
  <c r="G16" i="24" s="1"/>
  <c r="G16" i="34"/>
  <c r="I14" i="24"/>
  <c r="G17" i="34"/>
  <c r="J14" i="24"/>
  <c r="J16" i="24" s="1"/>
  <c r="P43" i="24"/>
  <c r="D47" i="24"/>
  <c r="P12" i="24"/>
  <c r="D14" i="24"/>
  <c r="D20" i="24" s="1"/>
  <c r="D21" i="24" s="1"/>
  <c r="G23" i="33"/>
  <c r="R52" i="24" s="1"/>
  <c r="C13" i="13"/>
  <c r="H45" i="24"/>
  <c r="H47" i="24" s="1"/>
  <c r="F15" i="34"/>
  <c r="D31" i="33"/>
  <c r="E29" i="33" s="1"/>
  <c r="F29" i="33" s="1"/>
  <c r="F19" i="34"/>
  <c r="L45" i="24"/>
  <c r="L47" i="24" s="1"/>
  <c r="F22" i="34"/>
  <c r="O45" i="24"/>
  <c r="O47" i="24" s="1"/>
  <c r="F12" i="34"/>
  <c r="E45" i="24"/>
  <c r="E47" i="24" s="1"/>
  <c r="N45" i="24"/>
  <c r="N47" i="24" s="1"/>
  <c r="F21" i="34"/>
  <c r="C40" i="13"/>
  <c r="G22" i="31"/>
  <c r="K22" i="31"/>
  <c r="G12" i="34" l="1"/>
  <c r="E14" i="24"/>
  <c r="E16" i="24" s="1"/>
  <c r="G19" i="34"/>
  <c r="L14" i="24"/>
  <c r="L16" i="24" s="1"/>
  <c r="G21" i="34"/>
  <c r="N14" i="24"/>
  <c r="N16" i="24" s="1"/>
  <c r="O20" i="24"/>
  <c r="G22" i="34"/>
  <c r="O14" i="24"/>
  <c r="O16" i="24" s="1"/>
  <c r="G15" i="34"/>
  <c r="G23" i="34" s="1"/>
  <c r="G25" i="34" s="1"/>
  <c r="H14" i="24"/>
  <c r="H16" i="24" s="1"/>
  <c r="D16" i="24"/>
  <c r="R20" i="24"/>
  <c r="O21" i="24"/>
  <c r="F20" i="24"/>
  <c r="I20" i="24"/>
  <c r="I21" i="24" s="1"/>
  <c r="J20" i="24"/>
  <c r="J21" i="24" s="1"/>
  <c r="G20" i="24"/>
  <c r="G21" i="24" s="1"/>
  <c r="K20" i="24"/>
  <c r="K21" i="24" s="1"/>
  <c r="H20" i="24"/>
  <c r="H21" i="24" s="1"/>
  <c r="M20" i="24"/>
  <c r="M21" i="24" s="1"/>
  <c r="N20" i="24"/>
  <c r="N21" i="24" s="1"/>
  <c r="E30" i="33"/>
  <c r="F30" i="33" s="1"/>
  <c r="G22" i="32"/>
  <c r="L20" i="24" l="1"/>
  <c r="L21" i="24" s="1"/>
  <c r="E20" i="24"/>
  <c r="P20" i="24" s="1"/>
  <c r="P23" i="24" s="1"/>
  <c r="F51" i="24"/>
  <c r="J51" i="24"/>
  <c r="J52" i="24" s="1"/>
  <c r="N51" i="24"/>
  <c r="N52" i="24" s="1"/>
  <c r="E51" i="24"/>
  <c r="G51" i="24"/>
  <c r="G52" i="24" s="1"/>
  <c r="K51" i="24"/>
  <c r="K52" i="24" s="1"/>
  <c r="O51" i="24"/>
  <c r="O52" i="24" s="1"/>
  <c r="M51" i="24"/>
  <c r="M52" i="24" s="1"/>
  <c r="H51" i="24"/>
  <c r="H52" i="24" s="1"/>
  <c r="L51" i="24"/>
  <c r="L52" i="24" s="1"/>
  <c r="D51" i="24"/>
  <c r="I51" i="24"/>
  <c r="I52" i="24" s="1"/>
  <c r="R21" i="24"/>
  <c r="R22" i="24" s="1"/>
  <c r="R51" i="24"/>
  <c r="R53" i="24" s="1"/>
  <c r="E23" i="13"/>
  <c r="F25" i="13" s="1"/>
  <c r="F31" i="33"/>
  <c r="P51" i="24" l="1"/>
  <c r="D52" i="24"/>
  <c r="E50" i="13"/>
  <c r="F52" i="13" s="1"/>
  <c r="E15" i="13"/>
  <c r="R23" i="24"/>
  <c r="R54" i="24"/>
  <c r="P54" i="24" l="1"/>
  <c r="E42" i="13"/>
  <c r="E23" i="31"/>
  <c r="C23" i="31"/>
  <c r="E23" i="32"/>
  <c r="C23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D22" i="31"/>
  <c r="K21" i="31"/>
  <c r="G21" i="31"/>
  <c r="D21" i="31"/>
  <c r="K20" i="31"/>
  <c r="G20" i="31"/>
  <c r="D20" i="31"/>
  <c r="K19" i="31"/>
  <c r="G19" i="31"/>
  <c r="D19" i="31"/>
  <c r="K18" i="31"/>
  <c r="G18" i="31"/>
  <c r="D18" i="31"/>
  <c r="K17" i="31"/>
  <c r="G17" i="31"/>
  <c r="D17" i="31"/>
  <c r="G16" i="31"/>
  <c r="D16" i="31"/>
  <c r="G15" i="31"/>
  <c r="D15" i="31"/>
  <c r="G14" i="31"/>
  <c r="D14" i="31"/>
  <c r="G13" i="31"/>
  <c r="D13" i="31"/>
  <c r="G12" i="31"/>
  <c r="D12" i="31"/>
  <c r="G11" i="31"/>
  <c r="D11" i="31"/>
  <c r="D27" i="31" l="1"/>
  <c r="M17" i="32"/>
  <c r="O18" i="31"/>
  <c r="M18" i="32" s="1"/>
  <c r="M23" i="32"/>
  <c r="D28" i="31"/>
  <c r="D23" i="31"/>
  <c r="G23" i="31"/>
  <c r="G23" i="32"/>
  <c r="D23" i="32"/>
  <c r="M19" i="32" l="1"/>
  <c r="D29" i="31"/>
  <c r="E28" i="31" s="1"/>
  <c r="F28" i="31" s="1"/>
  <c r="E27" i="31" l="1"/>
  <c r="F27" i="31" s="1"/>
  <c r="F29" i="31" l="1"/>
  <c r="G22" i="30" l="1"/>
  <c r="D22" i="30"/>
  <c r="G22" i="29"/>
  <c r="D22" i="29"/>
  <c r="K17" i="29" l="1"/>
  <c r="D17" i="30"/>
  <c r="D18" i="30"/>
  <c r="D19" i="30"/>
  <c r="D20" i="30"/>
  <c r="D21" i="30"/>
  <c r="D17" i="29"/>
  <c r="D18" i="29"/>
  <c r="D19" i="29"/>
  <c r="D20" i="29"/>
  <c r="D21" i="29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D28" i="29" s="1"/>
  <c r="G16" i="30"/>
  <c r="D16" i="30"/>
  <c r="G15" i="30"/>
  <c r="D15" i="30"/>
  <c r="G14" i="30"/>
  <c r="D14" i="30"/>
  <c r="G13" i="30"/>
  <c r="D13" i="30"/>
  <c r="G12" i="30"/>
  <c r="D12" i="30"/>
  <c r="G11" i="30"/>
  <c r="D11" i="30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S37" i="13"/>
  <c r="S38" i="13"/>
  <c r="S39" i="13"/>
  <c r="S50" i="13"/>
  <c r="M17" i="30" l="1"/>
  <c r="D23" i="30"/>
  <c r="D27" i="29"/>
  <c r="D29" i="29" s="1"/>
  <c r="E28" i="29" s="1"/>
  <c r="F28" i="29" s="1"/>
  <c r="Q50" i="13" s="1"/>
  <c r="R52" i="13" s="1"/>
  <c r="J39" i="13" s="1"/>
  <c r="O18" i="29"/>
  <c r="M18" i="30" s="1"/>
  <c r="G23" i="29"/>
  <c r="G23" i="30"/>
  <c r="D23" i="29"/>
  <c r="K39" i="13" l="1"/>
  <c r="D38" i="13"/>
  <c r="M19" i="30"/>
  <c r="E27" i="29"/>
  <c r="F27" i="29" s="1"/>
  <c r="Q23" i="13" s="1"/>
  <c r="J12" i="13" s="1"/>
  <c r="K18" i="28"/>
  <c r="E38" i="13" l="1"/>
  <c r="E40" i="13" s="1"/>
  <c r="E44" i="13" s="1"/>
  <c r="F48" i="13" s="1"/>
  <c r="F54" i="13" s="1"/>
  <c r="E48" i="24"/>
  <c r="E52" i="24" s="1"/>
  <c r="F48" i="24"/>
  <c r="F52" i="24" s="1"/>
  <c r="D48" i="24"/>
  <c r="D11" i="13"/>
  <c r="K12" i="13"/>
  <c r="F29" i="29"/>
  <c r="W24" i="13"/>
  <c r="P52" i="24" l="1"/>
  <c r="P55" i="24" s="1"/>
  <c r="P57" i="24" s="1"/>
  <c r="P62" i="24" s="1"/>
  <c r="E17" i="24"/>
  <c r="E19" i="24" s="1"/>
  <c r="F17" i="24"/>
  <c r="F19" i="24" s="1"/>
  <c r="F21" i="24" s="1"/>
  <c r="D17" i="24"/>
  <c r="E11" i="13"/>
  <c r="E13" i="13" s="1"/>
  <c r="E17" i="13" s="1"/>
  <c r="F21" i="13" s="1"/>
  <c r="F27" i="13" s="1"/>
  <c r="D17" i="28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E21" i="24" l="1"/>
  <c r="P21" i="24" s="1"/>
  <c r="P24" i="24" s="1"/>
  <c r="P26" i="24" s="1"/>
  <c r="P31" i="24" s="1"/>
  <c r="P19" i="24"/>
  <c r="D27" i="28"/>
  <c r="D28" i="28"/>
  <c r="W51" i="13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O18" i="28" l="1"/>
  <c r="M18" i="27" s="1"/>
  <c r="G23" i="27"/>
  <c r="M17" i="27"/>
  <c r="G23" i="28"/>
  <c r="U40" i="13"/>
  <c r="W46" i="13" s="1"/>
  <c r="U13" i="13"/>
  <c r="W19" i="13" s="1"/>
  <c r="M19" i="27" l="1"/>
  <c r="E28" i="28"/>
  <c r="F28" i="28" s="1"/>
  <c r="W50" i="13" s="1"/>
  <c r="X52" i="13" s="1"/>
  <c r="E27" i="28"/>
  <c r="F27" i="28" s="1"/>
  <c r="W23" i="13" s="1"/>
  <c r="K22" i="25"/>
  <c r="P39" i="13" l="1"/>
  <c r="X25" i="13"/>
  <c r="F29" i="28"/>
  <c r="AC24" i="13"/>
  <c r="E23" i="25"/>
  <c r="C23" i="25"/>
  <c r="E23" i="26"/>
  <c r="C23" i="26"/>
  <c r="AC51" i="13"/>
  <c r="P12" i="13" l="1"/>
  <c r="Q39" i="13"/>
  <c r="J38" i="13"/>
  <c r="K38" i="13" s="1"/>
  <c r="K40" i="13" s="1"/>
  <c r="L48" i="13" s="1"/>
  <c r="L54" i="13" s="1"/>
  <c r="Q12" i="13" l="1"/>
  <c r="J11" i="13"/>
  <c r="K11" i="13" s="1"/>
  <c r="K13" i="13" s="1"/>
  <c r="K17" i="13" s="1"/>
  <c r="L21" i="13" s="1"/>
  <c r="L27" i="13" s="1"/>
  <c r="AA13" i="13"/>
  <c r="AC19" i="13" s="1"/>
  <c r="Y50" i="13"/>
  <c r="Y39" i="13"/>
  <c r="Y38" i="13"/>
  <c r="Y37" i="13"/>
  <c r="K18" i="25"/>
  <c r="K19" i="25"/>
  <c r="K20" i="25"/>
  <c r="K21" i="25"/>
  <c r="K17" i="25"/>
  <c r="G22" i="25" l="1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s="1"/>
  <c r="E28" i="25" s="1"/>
  <c r="F28" i="25" s="1"/>
  <c r="AC50" i="13" l="1"/>
  <c r="E27" i="25"/>
  <c r="F27" i="25" s="1"/>
  <c r="AC23" i="13" l="1"/>
  <c r="AD25" i="13" s="1"/>
  <c r="P11" i="13" s="1"/>
  <c r="Q11" i="13" s="1"/>
  <c r="Q13" i="13" s="1"/>
  <c r="Q17" i="13" s="1"/>
  <c r="R21" i="13" s="1"/>
  <c r="R27" i="13" s="1"/>
  <c r="F29" i="25"/>
  <c r="V12" i="13" l="1"/>
  <c r="W12" i="13" s="1"/>
  <c r="AA40" i="13"/>
  <c r="AC46" i="13" s="1"/>
  <c r="AG39" i="13"/>
  <c r="AG38" i="13"/>
  <c r="K20" i="22" l="1"/>
  <c r="K18" i="22"/>
  <c r="K19" i="22"/>
  <c r="K21" i="22"/>
  <c r="K22" i="22"/>
  <c r="AI51" i="13" l="1"/>
  <c r="AI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AE50" i="13"/>
  <c r="AE39" i="13"/>
  <c r="AG40" i="13"/>
  <c r="AI46" i="13" s="1"/>
  <c r="AE38" i="13"/>
  <c r="AE37" i="13"/>
  <c r="AG13" i="13"/>
  <c r="AI19" i="13" s="1"/>
  <c r="D28" i="22" l="1"/>
  <c r="D33" i="22" s="1"/>
  <c r="D28" i="23"/>
  <c r="D34" i="22"/>
  <c r="E33" i="22" s="1"/>
  <c r="F33" i="22" s="1"/>
  <c r="G28" i="23"/>
  <c r="G28" i="22"/>
  <c r="E32" i="22" l="1"/>
  <c r="F32" i="22" s="1"/>
  <c r="AI23" i="13" s="1"/>
  <c r="AJ25" i="13" s="1"/>
  <c r="V11" i="13" s="1"/>
  <c r="I28" i="22"/>
  <c r="E26" i="20"/>
  <c r="F34" i="22" l="1"/>
  <c r="AB12" i="13"/>
  <c r="AC12" i="13" s="1"/>
  <c r="W11" i="13"/>
  <c r="W13" i="13" s="1"/>
  <c r="C26" i="20"/>
  <c r="E26" i="19"/>
  <c r="C26" i="19"/>
  <c r="G25" i="19"/>
  <c r="G24" i="19"/>
  <c r="G25" i="20"/>
  <c r="G24" i="20"/>
  <c r="W17" i="13" l="1"/>
  <c r="X21" i="13" s="1"/>
  <c r="X27" i="13" s="1"/>
  <c r="AD52" i="13"/>
  <c r="P38" i="13" s="1"/>
  <c r="Q38" i="13" s="1"/>
  <c r="Q40" i="13" s="1"/>
  <c r="Q44" i="13" s="1"/>
  <c r="R48" i="13" s="1"/>
  <c r="R54" i="13" s="1"/>
  <c r="AJ52" i="13"/>
  <c r="V38" i="13" s="1"/>
  <c r="AM39" i="13"/>
  <c r="AM38" i="13"/>
  <c r="AM12" i="13"/>
  <c r="AM11" i="13"/>
  <c r="AK50" i="13"/>
  <c r="AK39" i="13"/>
  <c r="AK38" i="13"/>
  <c r="AK37" i="13"/>
  <c r="V39" i="13" l="1"/>
  <c r="W39" i="13" s="1"/>
  <c r="AB39" i="13"/>
  <c r="AC39" i="13" s="1"/>
  <c r="W38" i="13"/>
  <c r="AM40" i="13"/>
  <c r="AO46" i="13" s="1"/>
  <c r="AO51" i="13" s="1"/>
  <c r="AM13" i="13"/>
  <c r="AO19" i="13" s="1"/>
  <c r="AO24" i="13" s="1"/>
  <c r="W40" i="13" l="1"/>
  <c r="W44" i="13" s="1"/>
  <c r="X48" i="13" s="1"/>
  <c r="X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26" i="19" l="1"/>
  <c r="D26" i="20"/>
  <c r="D31" i="19"/>
  <c r="D30" i="19"/>
  <c r="D32" i="19" s="1"/>
  <c r="E31" i="19" s="1"/>
  <c r="F31" i="19" s="1"/>
  <c r="G26" i="19"/>
  <c r="G28" i="20"/>
  <c r="G28" i="19"/>
  <c r="G26" i="20"/>
  <c r="AO42" i="13" l="1"/>
  <c r="AO50" i="13"/>
  <c r="AP52" i="13" s="1"/>
  <c r="E30" i="19"/>
  <c r="F30" i="19" s="1"/>
  <c r="AH39" i="13" l="1"/>
  <c r="AI39" i="13" s="1"/>
  <c r="AB38" i="13"/>
  <c r="AC38" i="13" s="1"/>
  <c r="AC40" i="13" s="1"/>
  <c r="AC44" i="13" s="1"/>
  <c r="AD48" i="13" s="1"/>
  <c r="AD54" i="13" s="1"/>
  <c r="AO23" i="13"/>
  <c r="AP25" i="13" s="1"/>
  <c r="AO15" i="13"/>
  <c r="F32" i="19"/>
  <c r="AH12" i="13" l="1"/>
  <c r="AI12" i="13" s="1"/>
  <c r="AB11" i="13"/>
  <c r="AC11" i="13" s="1"/>
  <c r="AC13" i="13" s="1"/>
  <c r="AC17" i="13" s="1"/>
  <c r="AD21" i="13" s="1"/>
  <c r="AD27" i="13" s="1"/>
  <c r="AS39" i="13"/>
  <c r="AS38" i="13"/>
  <c r="AS12" i="13"/>
  <c r="AS11" i="13"/>
  <c r="AQ50" i="13"/>
  <c r="AQ39" i="13"/>
  <c r="AQ38" i="13"/>
  <c r="AQ37" i="13"/>
  <c r="G23" i="18"/>
  <c r="E23" i="18"/>
  <c r="D23" i="18"/>
  <c r="D28" i="18" s="1"/>
  <c r="C23" i="18"/>
  <c r="AS40" i="13" l="1"/>
  <c r="AU46" i="13" s="1"/>
  <c r="AU51" i="13" s="1"/>
  <c r="AS13" i="13"/>
  <c r="AU19" i="13" s="1"/>
  <c r="AU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AU42" i="13" s="1"/>
  <c r="AU50" i="13" s="1"/>
  <c r="AV52" i="13" s="1"/>
  <c r="BE11" i="13"/>
  <c r="BE12" i="13"/>
  <c r="F11" i="2"/>
  <c r="G11" i="2" s="1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 s="1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BK11" i="13"/>
  <c r="BK12" i="13"/>
  <c r="AY11" i="13"/>
  <c r="AY12" i="13"/>
  <c r="BK38" i="13"/>
  <c r="BK39" i="13"/>
  <c r="AY39" i="13"/>
  <c r="AY38" i="13"/>
  <c r="BE39" i="13"/>
  <c r="AW50" i="13"/>
  <c r="AW39" i="13"/>
  <c r="AW38" i="13"/>
  <c r="AW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BO50" i="13"/>
  <c r="BI50" i="13"/>
  <c r="BC50" i="13"/>
  <c r="BS42" i="13"/>
  <c r="BS50" i="13" s="1"/>
  <c r="BG50" i="13"/>
  <c r="BE38" i="13"/>
  <c r="BQ39" i="13"/>
  <c r="BS39" i="13" s="1"/>
  <c r="BO39" i="13"/>
  <c r="BI39" i="13"/>
  <c r="BC39" i="13"/>
  <c r="BR38" i="13"/>
  <c r="BQ38" i="13"/>
  <c r="BO38" i="13"/>
  <c r="BL38" i="13"/>
  <c r="BI38" i="13"/>
  <c r="BC38" i="13"/>
  <c r="BO37" i="13"/>
  <c r="BI37" i="13"/>
  <c r="BC37" i="13"/>
  <c r="BS15" i="13"/>
  <c r="BS23" i="13" s="1"/>
  <c r="BQ12" i="13"/>
  <c r="BS12" i="13" s="1"/>
  <c r="BQ11" i="13"/>
  <c r="BL11" i="13"/>
  <c r="BG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G12" i="11" s="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F18" i="11"/>
  <c r="F19" i="11"/>
  <c r="F20" i="11"/>
  <c r="F21" i="11"/>
  <c r="F2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I12" i="3" s="1"/>
  <c r="G12" i="1"/>
  <c r="G13" i="1"/>
  <c r="D10" i="3" s="1"/>
  <c r="G14" i="1"/>
  <c r="D11" i="3" s="1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B15" i="3"/>
  <c r="I15" i="3" s="1"/>
  <c r="B16" i="3"/>
  <c r="I16" i="3" s="1"/>
  <c r="B17" i="3"/>
  <c r="I17" i="3" s="1"/>
  <c r="B18" i="3"/>
  <c r="I18" i="3" s="1"/>
  <c r="B19" i="3"/>
  <c r="I19" i="3" s="1"/>
  <c r="B9" i="5"/>
  <c r="E9" i="5" s="1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 s="1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K10" i="5" l="1"/>
  <c r="D12" i="11"/>
  <c r="F13" i="4"/>
  <c r="B21" i="5"/>
  <c r="BM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AN39" i="13"/>
  <c r="AO39" i="13" s="1"/>
  <c r="AH38" i="13"/>
  <c r="AI38" i="13" s="1"/>
  <c r="AI40" i="13" s="1"/>
  <c r="AI44" i="13" s="1"/>
  <c r="AJ48" i="13" s="1"/>
  <c r="AJ54" i="13" s="1"/>
  <c r="AJ55" i="13" s="1"/>
  <c r="F10" i="9"/>
  <c r="F19" i="9"/>
  <c r="F17" i="8"/>
  <c r="F13" i="3"/>
  <c r="G11" i="11"/>
  <c r="F10" i="3"/>
  <c r="G20" i="11"/>
  <c r="AY40" i="13"/>
  <c r="BA46" i="13" s="1"/>
  <c r="BA51" i="13" s="1"/>
  <c r="F8" i="4"/>
  <c r="G23" i="14"/>
  <c r="BA15" i="13" s="1"/>
  <c r="BA23" i="13" s="1"/>
  <c r="G15" i="11"/>
  <c r="G23" i="1"/>
  <c r="BM42" i="13" s="1"/>
  <c r="BM50" i="13" s="1"/>
  <c r="K11" i="5"/>
  <c r="D16" i="11"/>
  <c r="F14" i="4"/>
  <c r="F11" i="4"/>
  <c r="F29" i="18"/>
  <c r="AU15" i="13"/>
  <c r="AU23" i="13" s="1"/>
  <c r="AV25" i="13" s="1"/>
  <c r="BM38" i="13"/>
  <c r="BK13" i="13"/>
  <c r="BM19" i="13" s="1"/>
  <c r="BM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BQ40" i="13"/>
  <c r="BS46" i="13" s="1"/>
  <c r="BS51" i="13" s="1"/>
  <c r="BT52" i="13" s="1"/>
  <c r="BS38" i="13"/>
  <c r="BS40" i="13" s="1"/>
  <c r="BS44" i="13" s="1"/>
  <c r="BE40" i="13"/>
  <c r="BG46" i="13" s="1"/>
  <c r="BG51" i="13" s="1"/>
  <c r="BH52" i="13" s="1"/>
  <c r="AZ39" i="13" s="1"/>
  <c r="AT38" i="13" s="1"/>
  <c r="AU38" i="13" s="1"/>
  <c r="AY13" i="13"/>
  <c r="BA19" i="13" s="1"/>
  <c r="BA24" i="13" s="1"/>
  <c r="BK40" i="13"/>
  <c r="BM46" i="13" s="1"/>
  <c r="BM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BS11" i="13"/>
  <c r="BS13" i="13" s="1"/>
  <c r="BS17" i="13" s="1"/>
  <c r="BQ13" i="13"/>
  <c r="D20" i="4"/>
  <c r="D22" i="4" s="1"/>
  <c r="H21" i="5"/>
  <c r="B20" i="4"/>
  <c r="F14" i="3"/>
  <c r="F15" i="8"/>
  <c r="E23" i="11"/>
  <c r="G23" i="2"/>
  <c r="BM15" i="13" s="1"/>
  <c r="D23" i="2"/>
  <c r="E10" i="5"/>
  <c r="F11" i="3"/>
  <c r="D9" i="3"/>
  <c r="F17" i="9"/>
  <c r="I13" i="8"/>
  <c r="I22" i="8" s="1"/>
  <c r="G42" i="8" s="1"/>
  <c r="B20" i="8"/>
  <c r="G23" i="12"/>
  <c r="G23" i="15"/>
  <c r="BA42" i="13" s="1"/>
  <c r="BE13" i="13"/>
  <c r="BG19" i="13" s="1"/>
  <c r="BG24" i="13" s="1"/>
  <c r="BH25" i="13" s="1"/>
  <c r="AZ12" i="13" s="1"/>
  <c r="AT11" i="13" s="1"/>
  <c r="K16" i="5" l="1"/>
  <c r="BS19" i="13"/>
  <c r="BS24" i="13" s="1"/>
  <c r="BT25" i="13" s="1"/>
  <c r="BL12" i="13" s="1"/>
  <c r="D23" i="11"/>
  <c r="BN52" i="13"/>
  <c r="BF39" i="13" s="1"/>
  <c r="BA39" i="13"/>
  <c r="AN12" i="13"/>
  <c r="AO12" i="13" s="1"/>
  <c r="AH11" i="13"/>
  <c r="AI11" i="13" s="1"/>
  <c r="AI13" i="13" s="1"/>
  <c r="AI17" i="13" s="1"/>
  <c r="AJ21" i="13" s="1"/>
  <c r="AJ27" i="13" s="1"/>
  <c r="AJ28" i="13" s="1"/>
  <c r="G23" i="11"/>
  <c r="BB25" i="13"/>
  <c r="AT12" i="13" s="1"/>
  <c r="BA43" i="13"/>
  <c r="BA50" i="13" s="1"/>
  <c r="BB52" i="13" s="1"/>
  <c r="AT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A12" i="13"/>
  <c r="AU11" i="13"/>
  <c r="BT48" i="13"/>
  <c r="BM23" i="13"/>
  <c r="BN25" i="13" s="1"/>
  <c r="BF12" i="13" s="1"/>
  <c r="AZ11" i="13" s="1"/>
  <c r="D20" i="3"/>
  <c r="D22" i="3" s="1"/>
  <c r="F9" i="3"/>
  <c r="F31" i="4"/>
  <c r="B22" i="4"/>
  <c r="F22" i="4" s="1"/>
  <c r="G47" i="4" s="1"/>
  <c r="I47" i="4" s="1"/>
  <c r="BL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D17" i="5"/>
  <c r="E16" i="5"/>
  <c r="BT21" i="13" l="1"/>
  <c r="BF11" i="13"/>
  <c r="BG11" i="13" s="1"/>
  <c r="BM12" i="13"/>
  <c r="BM13" i="13" s="1"/>
  <c r="BM17" i="13" s="1"/>
  <c r="BN21" i="13" s="1"/>
  <c r="BT27" i="13"/>
  <c r="I49" i="9"/>
  <c r="AN38" i="13"/>
  <c r="AO38" i="13" s="1"/>
  <c r="AO40" i="13" s="1"/>
  <c r="AO44" i="13" s="1"/>
  <c r="AP48" i="13" s="1"/>
  <c r="AP54" i="13" s="1"/>
  <c r="AU39" i="13"/>
  <c r="AU40" i="13" s="1"/>
  <c r="AU44" i="13" s="1"/>
  <c r="AV48" i="13" s="1"/>
  <c r="AV54" i="13" s="1"/>
  <c r="AU12" i="13"/>
  <c r="AU13" i="13" s="1"/>
  <c r="AN11" i="13"/>
  <c r="AO11" i="13" s="1"/>
  <c r="AO13" i="13" s="1"/>
  <c r="AO17" i="13" s="1"/>
  <c r="AP21" i="13" s="1"/>
  <c r="AP27" i="13" s="1"/>
  <c r="K18" i="5"/>
  <c r="J19" i="5"/>
  <c r="BG12" i="13"/>
  <c r="BG13" i="13" s="1"/>
  <c r="BG17" i="13" s="1"/>
  <c r="BH21" i="13" s="1"/>
  <c r="BH27" i="13" s="1"/>
  <c r="BA11" i="13"/>
  <c r="BA13" i="13" s="1"/>
  <c r="BG39" i="13"/>
  <c r="AZ38" i="13"/>
  <c r="BA38" i="13" s="1"/>
  <c r="BA40" i="13" s="1"/>
  <c r="BT53" i="13"/>
  <c r="BT54" i="13" s="1"/>
  <c r="I49" i="8"/>
  <c r="BM39" i="13"/>
  <c r="BM40" i="13" s="1"/>
  <c r="BM44" i="13" s="1"/>
  <c r="BN48" i="13" s="1"/>
  <c r="BN54" i="13" s="1"/>
  <c r="BF38" i="13"/>
  <c r="BG38" i="13" s="1"/>
  <c r="F22" i="3"/>
  <c r="G47" i="3" s="1"/>
  <c r="I47" i="3" s="1"/>
  <c r="I27" i="3"/>
  <c r="D18" i="5"/>
  <c r="E17" i="5"/>
  <c r="BN27" i="13"/>
  <c r="BA44" i="13" l="1"/>
  <c r="BB48" i="13" s="1"/>
  <c r="BB54" i="13" s="1"/>
  <c r="BA17" i="13"/>
  <c r="BB21" i="13" s="1"/>
  <c r="BB27" i="13" s="1"/>
  <c r="AU17" i="13"/>
  <c r="AV21" i="13" s="1"/>
  <c r="AV27" i="13" s="1"/>
  <c r="K19" i="5"/>
  <c r="J20" i="5"/>
  <c r="K20" i="5" s="1"/>
  <c r="BG40" i="13"/>
  <c r="BG44" i="13" s="1"/>
  <c r="BH48" i="13" s="1"/>
  <c r="BH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sharedStrings.xml><?xml version="1.0" encoding="utf-8"?>
<sst xmlns="http://schemas.openxmlformats.org/spreadsheetml/2006/main" count="1336" uniqueCount="294">
  <si>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</si>
  <si>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</si>
  <si>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</si>
  <si>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</si>
  <si>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</si>
  <si>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</si>
  <si>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</si>
  <si>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</si>
  <si>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</si>
  <si>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</si>
  <si>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</si>
  <si>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</si>
  <si>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</si>
  <si>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</si>
  <si>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</si>
  <si>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</si>
  <si>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</si>
  <si>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</si>
  <si>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</si>
  <si>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</si>
  <si>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</si>
  <si>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</si>
  <si>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</si>
  <si>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</si>
  <si>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</si>
  <si>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</si>
  <si>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</si>
  <si>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</si>
  <si>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</si>
  <si>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</si>
  <si>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</si>
  <si>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</si>
  <si>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</si>
  <si>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</si>
  <si>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</si>
  <si>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</si>
  <si>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</si>
  <si>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</si>
  <si>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</si>
  <si>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</si>
  <si>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</si>
  <si>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</si>
  <si>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</si>
  <si>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</si>
  <si>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</si>
  <si>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</si>
  <si>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</si>
  <si>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</si>
  <si>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</si>
  <si>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</si>
  <si>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</si>
  <si>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</si>
  <si>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</si>
  <si>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</si>
  <si>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</si>
  <si>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</si>
  <si>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</si>
  <si>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</si>
  <si>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</si>
  <si>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</si>
  <si>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</si>
  <si>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</si>
  <si>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</si>
  <si>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</si>
  <si>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</si>
  <si>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</si>
  <si>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</si>
  <si>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</si>
  <si>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</si>
  <si>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</si>
  <si>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</si>
  <si>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</si>
  <si>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</si>
  <si>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</si>
  <si>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</si>
  <si>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</si>
  <si>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</si>
  <si>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</si>
  <si>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</si>
  <si>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</si>
  <si>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</si>
  <si>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</si>
  <si>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</si>
  <si>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</si>
  <si>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</si>
  <si>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</si>
  <si>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</si>
  <si>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</si>
  <si>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</si>
  <si>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</si>
  <si>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</si>
  <si>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</si>
  <si>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</si>
  <si>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</si>
  <si>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</si>
  <si>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</si>
  <si>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</si>
  <si>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</si>
  <si>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</si>
  <si>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</si>
  <si>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</si>
  <si>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</si>
  <si>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</si>
  <si>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</si>
  <si>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</si>
  <si>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</si>
  <si>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</si>
  <si>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</si>
  <si>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</si>
  <si>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</si>
  <si>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</si>
  <si>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</si>
  <si>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</si>
  <si>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</si>
  <si>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</si>
  <si>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</si>
  <si>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</si>
  <si>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</si>
  <si>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</si>
  <si>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</si>
  <si>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</si>
  <si>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</si>
  <si>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</si>
  <si>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</si>
  <si>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</si>
  <si>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</si>
  <si>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</si>
  <si>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</si>
  <si>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</si>
  <si>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</si>
  <si>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</si>
  <si>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</si>
  <si>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</si>
  <si>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</si>
  <si>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</si>
  <si>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</si>
  <si>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</si>
  <si>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</si>
  <si>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</si>
  <si>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</si>
  <si>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</si>
  <si>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</si>
  <si>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</si>
  <si>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</si>
  <si>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</si>
  <si>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</si>
  <si>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</si>
  <si>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</si>
  <si>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</si>
  <si>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</si>
  <si>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</si>
  <si>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</si>
  <si>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</si>
  <si>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</si>
  <si>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</si>
  <si>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</si>
  <si>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</si>
  <si>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</si>
  <si>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</si>
  <si>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</si>
  <si>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</si>
  <si>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</si>
  <si>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</si>
  <si>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</si>
  <si>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</si>
  <si>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</si>
  <si>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</si>
  <si>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</si>
  <si>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</si>
  <si>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</si>
  <si>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</si>
  <si>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</si>
  <si>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</si>
  <si>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</si>
  <si>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</si>
  <si>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</si>
  <si>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</si>
  <si>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</si>
  <si>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</si>
  <si>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</si>
  <si>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</si>
  <si>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</si>
  <si>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</si>
  <si>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</si>
  <si>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</si>
  <si>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</si>
  <si>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</si>
  <si>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</si>
  <si>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</si>
  <si>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</si>
  <si>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</si>
  <si>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</si>
  <si>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</si>
  <si>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</si>
  <si>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</si>
  <si>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</si>
  <si>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</si>
  <si>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</si>
  <si>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</si>
  <si>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</si>
  <si>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</si>
  <si>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</si>
  <si>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</si>
  <si>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</si>
  <si>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</si>
  <si>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</si>
  <si>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</si>
  <si>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</si>
  <si>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</si>
  <si>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</si>
  <si>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</si>
  <si>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</si>
  <si>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</si>
  <si>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</si>
  <si>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</si>
  <si>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</si>
  <si>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</si>
  <si>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</si>
  <si>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</si>
  <si>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</si>
  <si>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</si>
  <si>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</si>
  <si>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</si>
  <si>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</si>
  <si>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</si>
  <si>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</si>
  <si>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</si>
  <si>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</si>
  <si>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</si>
  <si>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</si>
  <si>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</si>
  <si>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</si>
  <si>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</si>
  <si>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</si>
  <si>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</si>
  <si>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</si>
  <si>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</si>
  <si>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</si>
  <si>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Annual Revenue Change (6 months)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</si>
  <si>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</si>
  <si>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</si>
  <si>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</si>
  <si>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</si>
  <si>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</si>
  <si>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</si>
  <si>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</si>
  <si>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</si>
  <si>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</si>
  <si>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</si>
  <si>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</si>
  <si>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</si>
  <si>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round up to 253,000</t>
  </si>
  <si>
    <t>for transmittal letter</t>
  </si>
  <si>
    <t xml:space="preserve">Oct 19-Dec 19 projected value </t>
  </si>
  <si>
    <t xml:space="preserve">Jul 19-Sep 19 projected value </t>
  </si>
  <si>
    <t>Jan 20</t>
  </si>
  <si>
    <t>Feb 20</t>
  </si>
  <si>
    <t>Mar 20</t>
  </si>
  <si>
    <t>Apr 20</t>
  </si>
  <si>
    <t>May 20</t>
  </si>
  <si>
    <t>Jun 20</t>
  </si>
  <si>
    <t>For the twelve months ending June 2020</t>
  </si>
  <si>
    <t>Projected Revenue Oct 20-Sep 21</t>
  </si>
  <si>
    <t>Projected Revenue Jan-Jun 2020</t>
  </si>
  <si>
    <t>Oct 2020-Sep 2021</t>
  </si>
  <si>
    <t>Apr-Jun projected value without adjustment factor</t>
  </si>
  <si>
    <t>proposed transmittal letter amount</t>
  </si>
  <si>
    <t>fixed</t>
  </si>
  <si>
    <t>round up to 509,000</t>
  </si>
  <si>
    <t>For the twelve months ending June 2021</t>
  </si>
  <si>
    <t>July 20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</si>
  <si>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</si>
  <si>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</si>
  <si>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</si>
  <si>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</si>
  <si>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</si>
  <si>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</si>
  <si>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</si>
  <si>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</si>
  <si>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</si>
  <si>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</si>
  <si>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June 21</t>
  </si>
  <si>
    <t>Qty</t>
  </si>
  <si>
    <t>Amount</t>
  </si>
  <si>
    <t>Dollars Per Ton</t>
  </si>
  <si>
    <t>Projected Revenue Jul 20 - June 21</t>
  </si>
  <si>
    <t xml:space="preserve">Oct 20 - June 21 projected value </t>
  </si>
  <si>
    <t xml:space="preserve">July 20-Sep 20 projected value </t>
  </si>
  <si>
    <t>Projected Revenue October 2021 - September 2022</t>
  </si>
  <si>
    <t>Highlighted tabs filled out by Kelly</t>
  </si>
  <si>
    <t>LBD May Dbl Chk</t>
  </si>
  <si>
    <t>LBD June Dbl Chk</t>
  </si>
  <si>
    <t>transmittal letter amount</t>
  </si>
  <si>
    <t>Invoice Tapes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</si>
</sst>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>
      <alignment vertical="top"/>
    </xf>
    <xf numFmtId="0" fontId="32" fillId="0" borderId="0" applyNumberFormat="0" applyBorder="0" applyAlignment="0"/>
    <xf numFmtId="0" fontId="35" fillId="0" borderId="0"/>
    <xf numFmtId="0" fontId="35" fillId="0" borderId="0"/>
    <xf numFmtId="43" fontId="35" fillId="0" borderId="0" applyFont="0" applyFill="0" applyBorder="0" applyAlignment="0" applyProtection="0"/>
  </cellStyleXfs>
  <cellXfs count="4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4" fillId="0" borderId="25" xfId="0" applyFont="1" applyBorder="1"/>
    <xf numFmtId="0" fontId="34" fillId="0" borderId="4" xfId="0" applyFont="1" applyBorder="1"/>
    <xf numFmtId="39" fontId="34" fillId="0" borderId="4" xfId="0" applyNumberFormat="1" applyFont="1" applyBorder="1"/>
    <xf numFmtId="170" fontId="34" fillId="0" borderId="4" xfId="11" applyNumberFormat="1" applyFont="1" applyBorder="1"/>
    <xf numFmtId="0" fontId="34" fillId="0" borderId="26" xfId="0" applyFont="1" applyBorder="1"/>
    <xf numFmtId="0" fontId="34" fillId="0" borderId="9" xfId="0" applyFont="1" applyBorder="1"/>
    <xf numFmtId="3" fontId="34" fillId="0" borderId="0" xfId="0" applyNumberFormat="1" applyFont="1" applyBorder="1"/>
    <xf numFmtId="39" fontId="34" fillId="0" borderId="0" xfId="0" applyNumberFormat="1" applyFont="1" applyBorder="1"/>
    <xf numFmtId="170" fontId="34" fillId="4" borderId="0" xfId="11" applyNumberFormat="1" applyFont="1" applyFill="1" applyBorder="1"/>
    <xf numFmtId="0" fontId="34" fillId="0" borderId="10" xfId="0" applyFont="1" applyBorder="1"/>
    <xf numFmtId="170" fontId="34" fillId="4" borderId="6" xfId="11" applyNumberFormat="1" applyFont="1" applyFill="1" applyBorder="1"/>
    <xf numFmtId="0" fontId="34" fillId="0" borderId="11" xfId="0" applyFont="1" applyBorder="1"/>
    <xf numFmtId="3" fontId="34" fillId="0" borderId="6" xfId="0" applyNumberFormat="1" applyFont="1" applyBorder="1"/>
    <xf numFmtId="39" fontId="34" fillId="0" borderId="6" xfId="0" applyNumberFormat="1" applyFont="1" applyBorder="1"/>
    <xf numFmtId="170" fontId="34" fillId="0" borderId="6" xfId="0" applyNumberFormat="1" applyFont="1" applyBorder="1"/>
    <xf numFmtId="0" fontId="34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18" fillId="0" borderId="6" xfId="11" applyNumberFormat="1" applyFont="1" applyFill="1" applyBorder="1" applyAlignment="1">
      <alignment horizontal="right"/>
    </xf>
    <xf numFmtId="174" fontId="36" fillId="0" borderId="0" xfId="0" applyNumberFormat="1" applyFont="1"/>
    <xf numFmtId="3" fontId="18" fillId="0" borderId="0" xfId="0" applyNumberFormat="1" applyFont="1" applyFill="1" applyAlignme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 applyBorder="1"/>
    <xf numFmtId="0" fontId="21" fillId="6" borderId="0" xfId="23" applyFont="1" applyFill="1" applyBorder="1"/>
    <xf numFmtId="0" fontId="2" fillId="6" borderId="0" xfId="23" applyFill="1" applyBorder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 applyBorder="1"/>
    <xf numFmtId="0" fontId="2" fillId="6" borderId="16" xfId="23" applyFill="1" applyBorder="1"/>
    <xf numFmtId="0" fontId="11" fillId="6" borderId="0" xfId="23" applyFont="1" applyFill="1" applyBorder="1" applyAlignment="1">
      <alignment horizontal="center"/>
    </xf>
    <xf numFmtId="0" fontId="24" fillId="6" borderId="0" xfId="23" applyFont="1" applyFill="1" applyBorder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 applyBorder="1"/>
    <xf numFmtId="0" fontId="2" fillId="6" borderId="0" xfId="23" applyFill="1" applyBorder="1" applyAlignment="1">
      <alignment horizontal="center"/>
    </xf>
    <xf numFmtId="41" fontId="2" fillId="6" borderId="0" xfId="23" applyNumberFormat="1" applyFill="1" applyBorder="1"/>
    <xf numFmtId="0" fontId="2" fillId="6" borderId="16" xfId="23" applyFont="1" applyFill="1" applyBorder="1"/>
    <xf numFmtId="0" fontId="7" fillId="6" borderId="0" xfId="23" applyFont="1" applyFill="1" applyBorder="1"/>
    <xf numFmtId="44" fontId="2" fillId="6" borderId="17" xfId="14" applyFont="1" applyFill="1" applyBorder="1"/>
    <xf numFmtId="44" fontId="2" fillId="6" borderId="0" xfId="23" applyNumberFormat="1" applyFill="1" applyBorder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170" fontId="34" fillId="0" borderId="4" xfId="11" applyNumberFormat="1" applyFont="1" applyFill="1" applyBorder="1"/>
    <xf numFmtId="3" fontId="34" fillId="0" borderId="0" xfId="0" applyNumberFormat="1" applyFont="1" applyFill="1" applyBorder="1"/>
    <xf numFmtId="0" fontId="25" fillId="5" borderId="0" xfId="23" applyFont="1" applyFill="1" applyBorder="1"/>
    <xf numFmtId="44" fontId="28" fillId="6" borderId="17" xfId="14" applyNumberFormat="1" applyFont="1" applyFill="1" applyBorder="1"/>
    <xf numFmtId="2" fontId="0" fillId="0" borderId="0" xfId="0" applyNumberFormat="1"/>
    <xf numFmtId="0" fontId="36" fillId="0" borderId="0" xfId="0" applyFont="1" applyFill="1"/>
    <xf numFmtId="165" fontId="36" fillId="0" borderId="0" xfId="0" applyNumberFormat="1" applyFont="1" applyFill="1"/>
    <xf numFmtId="165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right"/>
    </xf>
    <xf numFmtId="165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44" fontId="26" fillId="5" borderId="0" xfId="14" applyFont="1" applyFill="1" applyBorder="1"/>
    <xf numFmtId="3" fontId="18" fillId="0" borderId="6" xfId="0" applyNumberFormat="1" applyFont="1" applyFill="1" applyBorder="1" applyAlignment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38" fillId="0" borderId="0" xfId="0" applyFont="1"/>
    <xf numFmtId="0" fontId="20" fillId="8" borderId="13" xfId="23" applyFont="1" applyFill="1" applyBorder="1"/>
    <xf numFmtId="0" fontId="20" fillId="8" borderId="14" xfId="23" applyFont="1" applyFill="1" applyBorder="1"/>
    <xf numFmtId="0" fontId="2" fillId="8" borderId="14" xfId="23" applyFill="1" applyBorder="1"/>
    <xf numFmtId="0" fontId="2" fillId="8" borderId="15" xfId="23" applyFill="1" applyBorder="1"/>
    <xf numFmtId="0" fontId="11" fillId="8" borderId="16" xfId="23" applyFont="1" applyFill="1" applyBorder="1"/>
    <xf numFmtId="0" fontId="11" fillId="8" borderId="0" xfId="23" applyFont="1" applyFill="1" applyBorder="1"/>
    <xf numFmtId="0" fontId="21" fillId="8" borderId="0" xfId="23" applyFont="1" applyFill="1" applyBorder="1"/>
    <xf numFmtId="0" fontId="2" fillId="8" borderId="0" xfId="23" applyFill="1" applyBorder="1"/>
    <xf numFmtId="0" fontId="2" fillId="8" borderId="17" xfId="23" applyFill="1" applyBorder="1"/>
    <xf numFmtId="15" fontId="11" fillId="8" borderId="16" xfId="23" applyNumberFormat="1" applyFont="1" applyFill="1" applyBorder="1"/>
    <xf numFmtId="15" fontId="11" fillId="8" borderId="0" xfId="23" applyNumberFormat="1" applyFont="1" applyFill="1" applyBorder="1"/>
    <xf numFmtId="0" fontId="2" fillId="8" borderId="16" xfId="23" applyFill="1" applyBorder="1"/>
    <xf numFmtId="0" fontId="11" fillId="8" borderId="0" xfId="23" applyFont="1" applyFill="1" applyBorder="1" applyAlignment="1">
      <alignment horizontal="center"/>
    </xf>
    <xf numFmtId="0" fontId="24" fillId="8" borderId="0" xfId="23" applyFont="1" applyFill="1" applyBorder="1" applyAlignment="1">
      <alignment horizontal="center"/>
    </xf>
    <xf numFmtId="0" fontId="25" fillId="8" borderId="18" xfId="23" applyFont="1" applyFill="1" applyBorder="1"/>
    <xf numFmtId="0" fontId="25" fillId="8" borderId="0" xfId="23" applyFont="1" applyFill="1" applyBorder="1"/>
    <xf numFmtId="0" fontId="2" fillId="8" borderId="0" xfId="23" applyFill="1" applyBorder="1" applyAlignment="1">
      <alignment horizontal="center"/>
    </xf>
    <xf numFmtId="41" fontId="2" fillId="8" borderId="0" xfId="23" applyNumberFormat="1" applyFill="1" applyBorder="1"/>
    <xf numFmtId="41" fontId="27" fillId="8" borderId="0" xfId="23" applyNumberFormat="1" applyFont="1" applyFill="1" applyBorder="1"/>
    <xf numFmtId="44" fontId="2" fillId="8" borderId="17" xfId="14" applyFont="1" applyFill="1" applyBorder="1"/>
    <xf numFmtId="0" fontId="2" fillId="8" borderId="16" xfId="23" applyFont="1" applyFill="1" applyBorder="1"/>
    <xf numFmtId="0" fontId="7" fillId="8" borderId="0" xfId="23" applyFont="1" applyFill="1" applyBorder="1"/>
    <xf numFmtId="44" fontId="27" fillId="8" borderId="17" xfId="14" applyNumberFormat="1" applyFont="1" applyFill="1" applyBorder="1"/>
    <xf numFmtId="44" fontId="28" fillId="8" borderId="19" xfId="14" applyNumberFormat="1" applyFont="1" applyFill="1" applyBorder="1"/>
    <xf numFmtId="44" fontId="28" fillId="8" borderId="17" xfId="14" applyNumberFormat="1" applyFont="1" applyFill="1" applyBorder="1"/>
    <xf numFmtId="44" fontId="2" fillId="8" borderId="0" xfId="23" applyNumberFormat="1" applyFill="1" applyBorder="1"/>
    <xf numFmtId="44" fontId="29" fillId="8" borderId="17" xfId="23" applyNumberFormat="1" applyFont="1" applyFill="1" applyBorder="1"/>
    <xf numFmtId="0" fontId="11" fillId="8" borderId="6" xfId="23" applyFont="1" applyFill="1" applyBorder="1" applyAlignment="1">
      <alignment horizontal="center"/>
    </xf>
    <xf numFmtId="44" fontId="2" fillId="8" borderId="17" xfId="14" applyNumberFormat="1" applyFont="1" applyFill="1" applyBorder="1"/>
    <xf numFmtId="43" fontId="27" fillId="8" borderId="17" xfId="23" applyNumberFormat="1" applyFont="1" applyFill="1" applyBorder="1"/>
    <xf numFmtId="44" fontId="28" fillId="8" borderId="19" xfId="14" applyFont="1" applyFill="1" applyBorder="1"/>
    <xf numFmtId="0" fontId="2" fillId="8" borderId="20" xfId="23" applyFill="1" applyBorder="1"/>
    <xf numFmtId="0" fontId="2" fillId="8" borderId="21" xfId="23" applyFill="1" applyBorder="1"/>
    <xf numFmtId="0" fontId="2" fillId="8" borderId="22" xfId="23" applyFill="1" applyBorder="1"/>
    <xf numFmtId="41" fontId="2" fillId="5" borderId="0" xfId="23" applyNumberFormat="1" applyFill="1" applyBorder="1"/>
    <xf numFmtId="41" fontId="27" fillId="5" borderId="0" xfId="23" applyNumberFormat="1" applyFont="1" applyFill="1" applyBorder="1"/>
    <xf numFmtId="165" fontId="38" fillId="0" borderId="0" xfId="0" applyNumberFormat="1" applyFont="1"/>
    <xf numFmtId="174" fontId="36" fillId="0" borderId="0" xfId="0" applyNumberFormat="1" applyFont="1" applyFill="1"/>
    <xf numFmtId="41" fontId="27" fillId="6" borderId="0" xfId="23" applyNumberFormat="1" applyFont="1" applyFill="1" applyBorder="1"/>
    <xf numFmtId="44" fontId="27" fillId="6" borderId="17" xfId="14" applyNumberFormat="1" applyFont="1" applyFill="1" applyBorder="1"/>
    <xf numFmtId="44" fontId="28" fillId="6" borderId="19" xfId="14" applyNumberFormat="1" applyFont="1" applyFill="1" applyBorder="1"/>
    <xf numFmtId="44" fontId="2" fillId="6" borderId="17" xfId="14" applyNumberFormat="1" applyFont="1" applyFill="1" applyBorder="1"/>
    <xf numFmtId="43" fontId="27" fillId="6" borderId="17" xfId="23" applyNumberFormat="1" applyFont="1" applyFill="1" applyBorder="1"/>
    <xf numFmtId="44" fontId="28" fillId="6" borderId="19" xfId="14" applyFont="1" applyFill="1" applyBorder="1"/>
    <xf numFmtId="165" fontId="18" fillId="0" borderId="0" xfId="11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/>
    <xf numFmtId="0" fontId="18" fillId="0" borderId="0" xfId="0" quotePrefix="1" applyFont="1" applyFill="1" applyAlignment="1">
      <alignment horizontal="center"/>
    </xf>
    <xf numFmtId="43" fontId="38" fillId="0" borderId="0" xfId="3" applyFont="1"/>
    <xf numFmtId="0" fontId="38" fillId="0" borderId="0" xfId="0" applyFont="1" applyFill="1"/>
    <xf numFmtId="41" fontId="2" fillId="8" borderId="6" xfId="23" applyNumberFormat="1" applyFill="1" applyBorder="1"/>
    <xf numFmtId="165" fontId="38" fillId="0" borderId="0" xfId="0" applyNumberFormat="1" applyFont="1" applyFill="1"/>
    <xf numFmtId="43" fontId="38" fillId="0" borderId="0" xfId="3" applyFont="1" applyFill="1"/>
    <xf numFmtId="43" fontId="38" fillId="0" borderId="6" xfId="3" applyFont="1" applyFill="1" applyBorder="1"/>
    <xf numFmtId="165" fontId="40" fillId="0" borderId="0" xfId="0" applyNumberFormat="1" applyFont="1"/>
    <xf numFmtId="0" fontId="40" fillId="0" borderId="0" xfId="0" applyFont="1"/>
    <xf numFmtId="165" fontId="38" fillId="0" borderId="0" xfId="3" applyNumberFormat="1" applyFont="1" applyFill="1"/>
    <xf numFmtId="9" fontId="17" fillId="0" borderId="0" xfId="0" applyNumberFormat="1" applyFont="1" applyAlignment="1">
      <alignment horizontal="center"/>
    </xf>
    <xf numFmtId="0" fontId="11" fillId="3" borderId="0" xfId="23" applyFont="1" applyFill="1"/>
    <xf numFmtId="0" fontId="21" fillId="3" borderId="0" xfId="23" applyFont="1" applyFill="1"/>
    <xf numFmtId="0" fontId="2" fillId="3" borderId="0" xfId="23" applyFill="1"/>
    <xf numFmtId="15" fontId="11" fillId="3" borderId="0" xfId="23" applyNumberFormat="1" applyFont="1" applyFill="1"/>
    <xf numFmtId="0" fontId="11" fillId="3" borderId="0" xfId="23" applyFont="1" applyFill="1" applyAlignment="1">
      <alignment horizontal="center"/>
    </xf>
    <xf numFmtId="0" fontId="24" fillId="3" borderId="0" xfId="23" applyFont="1" applyFill="1" applyAlignment="1">
      <alignment horizontal="center"/>
    </xf>
    <xf numFmtId="0" fontId="25" fillId="3" borderId="0" xfId="23" applyFont="1" applyFill="1"/>
    <xf numFmtId="0" fontId="2" fillId="3" borderId="0" xfId="23" applyFill="1" applyAlignment="1">
      <alignment horizontal="center"/>
    </xf>
    <xf numFmtId="41" fontId="2" fillId="8" borderId="0" xfId="23" applyNumberFormat="1" applyFill="1"/>
    <xf numFmtId="41" fontId="2" fillId="3" borderId="0" xfId="23" applyNumberFormat="1" applyFill="1"/>
    <xf numFmtId="0" fontId="7" fillId="3" borderId="0" xfId="23" applyFont="1" applyFill="1"/>
    <xf numFmtId="41" fontId="27" fillId="3" borderId="0" xfId="23" applyNumberFormat="1" applyFont="1" applyFill="1"/>
    <xf numFmtId="44" fontId="27" fillId="3" borderId="17" xfId="14" applyFont="1" applyFill="1" applyBorder="1"/>
    <xf numFmtId="44" fontId="2" fillId="3" borderId="0" xfId="23" applyNumberFormat="1" applyFill="1"/>
    <xf numFmtId="41" fontId="2" fillId="6" borderId="6" xfId="23" applyNumberFormat="1" applyFill="1" applyBorder="1"/>
    <xf numFmtId="44" fontId="28" fillId="6" borderId="17" xfId="14" applyFont="1" applyFill="1" applyBorder="1"/>
    <xf numFmtId="44" fontId="28" fillId="5" borderId="19" xfId="14" applyNumberFormat="1" applyFont="1" applyFill="1" applyBorder="1"/>
    <xf numFmtId="0" fontId="2" fillId="5" borderId="0" xfId="23" applyFill="1" applyBorder="1"/>
    <xf numFmtId="0" fontId="37" fillId="0" borderId="0" xfId="0" applyFont="1" applyFill="1"/>
    <xf numFmtId="0" fontId="41" fillId="0" borderId="0" xfId="29" applyFont="1" applyFill="1"/>
    <xf numFmtId="0" fontId="37" fillId="0" borderId="0" xfId="0" applyFont="1"/>
    <xf numFmtId="171" fontId="42" fillId="0" borderId="0" xfId="29" applyNumberFormat="1" applyFont="1" applyAlignment="1">
      <alignment horizontal="center"/>
    </xf>
    <xf numFmtId="172" fontId="42" fillId="7" borderId="0" xfId="29" applyNumberFormat="1" applyFont="1" applyFill="1" applyAlignment="1">
      <alignment horizontal="center"/>
    </xf>
    <xf numFmtId="0" fontId="41" fillId="0" borderId="0" xfId="29" applyFont="1" applyAlignment="1">
      <alignment horizontal="center"/>
    </xf>
    <xf numFmtId="0" fontId="37" fillId="0" borderId="0" xfId="29" applyFont="1"/>
    <xf numFmtId="0" fontId="41" fillId="0" borderId="0" xfId="29" applyFont="1"/>
    <xf numFmtId="43" fontId="37" fillId="0" borderId="0" xfId="31" applyFont="1" applyFill="1"/>
    <xf numFmtId="0" fontId="37" fillId="0" borderId="0" xfId="29" applyFont="1" applyFill="1"/>
    <xf numFmtId="3" fontId="37" fillId="0" borderId="0" xfId="29" applyNumberFormat="1" applyFont="1" applyFill="1"/>
    <xf numFmtId="164" fontId="37" fillId="0" borderId="0" xfId="3" applyNumberFormat="1" applyFont="1" applyFill="1"/>
    <xf numFmtId="173" fontId="37" fillId="0" borderId="0" xfId="31" applyNumberFormat="1" applyFont="1" applyFill="1"/>
    <xf numFmtId="173" fontId="37" fillId="0" borderId="0" xfId="29" applyNumberFormat="1" applyFont="1" applyFill="1"/>
    <xf numFmtId="43" fontId="37" fillId="0" borderId="0" xfId="31" applyFont="1"/>
    <xf numFmtId="43" fontId="37" fillId="0" borderId="0" xfId="31" applyNumberFormat="1" applyFont="1" applyFill="1"/>
    <xf numFmtId="164" fontId="37" fillId="0" borderId="0" xfId="31" applyNumberFormat="1" applyFont="1" applyFill="1"/>
    <xf numFmtId="164" fontId="37" fillId="0" borderId="0" xfId="29" applyNumberFormat="1" applyFont="1" applyFill="1"/>
    <xf numFmtId="0" fontId="37" fillId="0" borderId="0" xfId="0" applyFont="1" applyFill="1" applyAlignment="1">
      <alignment horizontal="center"/>
    </xf>
    <xf numFmtId="43" fontId="37" fillId="0" borderId="0" xfId="3" applyFont="1" applyFill="1"/>
    <xf numFmtId="0" fontId="41" fillId="0" borderId="0" xfId="0" applyFont="1"/>
    <xf numFmtId="43" fontId="37" fillId="0" borderId="0" xfId="0" applyNumberFormat="1" applyFont="1" applyFill="1"/>
    <xf numFmtId="43" fontId="41" fillId="0" borderId="0" xfId="0" applyNumberFormat="1" applyFont="1"/>
    <xf numFmtId="43" fontId="37" fillId="0" borderId="0" xfId="0" applyNumberFormat="1" applyFont="1"/>
    <xf numFmtId="43" fontId="41" fillId="0" borderId="0" xfId="29" applyNumberFormat="1" applyFont="1"/>
    <xf numFmtId="43" fontId="37" fillId="0" borderId="0" xfId="29" applyNumberFormat="1" applyFont="1" applyFill="1"/>
    <xf numFmtId="43" fontId="37" fillId="0" borderId="0" xfId="4" applyNumberFormat="1" applyFont="1"/>
    <xf numFmtId="0" fontId="37" fillId="0" borderId="0" xfId="30" applyFont="1"/>
    <xf numFmtId="2" fontId="37" fillId="0" borderId="0" xfId="3" applyNumberFormat="1" applyFont="1" applyFill="1" applyAlignment="1">
      <alignment horizontal="right"/>
    </xf>
    <xf numFmtId="3" fontId="37" fillId="0" borderId="0" xfId="0" applyNumberFormat="1" applyFont="1" applyFill="1" applyAlignment="1"/>
    <xf numFmtId="173" fontId="37" fillId="0" borderId="0" xfId="31" applyNumberFormat="1" applyFont="1"/>
    <xf numFmtId="173" fontId="37" fillId="0" borderId="0" xfId="29" applyNumberFormat="1" applyFont="1"/>
    <xf numFmtId="164" fontId="37" fillId="0" borderId="0" xfId="31" applyNumberFormat="1" applyFont="1"/>
    <xf numFmtId="43" fontId="37" fillId="0" borderId="0" xfId="29" applyNumberFormat="1" applyFont="1"/>
    <xf numFmtId="164" fontId="37" fillId="0" borderId="0" xfId="4" applyNumberFormat="1" applyFont="1"/>
    <xf numFmtId="164" fontId="37" fillId="0" borderId="0" xfId="29" applyNumberFormat="1" applyFont="1"/>
    <xf numFmtId="0" fontId="37" fillId="0" borderId="0" xfId="0" applyFont="1" applyAlignment="1">
      <alignment horizontal="center"/>
    </xf>
    <xf numFmtId="165" fontId="37" fillId="0" borderId="0" xfId="0" applyNumberFormat="1" applyFont="1" applyFill="1"/>
    <xf numFmtId="3" fontId="17" fillId="5" borderId="0" xfId="0" applyNumberFormat="1" applyFont="1" applyFill="1"/>
    <xf numFmtId="2" fontId="17" fillId="5" borderId="0" xfId="3" applyNumberFormat="1" applyFont="1" applyFill="1" applyAlignment="1">
      <alignment horizontal="right"/>
    </xf>
    <xf numFmtId="0" fontId="43" fillId="0" borderId="0" xfId="0" applyFont="1" applyFill="1"/>
    <xf numFmtId="165" fontId="43" fillId="0" borderId="0" xfId="0" applyNumberFormat="1" applyFont="1" applyFill="1"/>
    <xf numFmtId="174" fontId="43" fillId="0" borderId="0" xfId="0" applyNumberFormat="1" applyFont="1" applyFill="1"/>
    <xf numFmtId="0" fontId="17" fillId="0" borderId="0" xfId="0" quotePrefix="1" applyFont="1" applyAlignment="1">
      <alignment horizontal="center"/>
    </xf>
    <xf numFmtId="2" fontId="17" fillId="5" borderId="0" xfId="3" applyNumberFormat="1" applyFont="1" applyFill="1" applyBorder="1" applyAlignment="1">
      <alignment horizontal="right"/>
    </xf>
    <xf numFmtId="3" fontId="17" fillId="5" borderId="0" xfId="3" applyNumberFormat="1" applyFont="1" applyFill="1" applyAlignment="1">
      <alignment horizontal="right"/>
    </xf>
    <xf numFmtId="0" fontId="43" fillId="0" borderId="0" xfId="0" applyFont="1"/>
    <xf numFmtId="165" fontId="43" fillId="0" borderId="0" xfId="0" applyNumberFormat="1" applyFont="1"/>
    <xf numFmtId="3" fontId="17" fillId="5" borderId="0" xfId="3" applyNumberFormat="1" applyFont="1" applyFill="1" applyBorder="1" applyAlignment="1">
      <alignment horizontal="right"/>
    </xf>
    <xf numFmtId="3" fontId="17" fillId="5" borderId="6" xfId="3" applyNumberFormat="1" applyFont="1" applyFill="1" applyBorder="1" applyAlignment="1">
      <alignment horizontal="right"/>
    </xf>
    <xf numFmtId="2" fontId="17" fillId="5" borderId="6" xfId="3" applyNumberFormat="1" applyFont="1" applyFill="1" applyBorder="1" applyAlignment="1">
      <alignment horizontal="right"/>
    </xf>
    <xf numFmtId="3" fontId="17" fillId="0" borderId="0" xfId="0" applyNumberFormat="1" applyFont="1"/>
    <xf numFmtId="165" fontId="37" fillId="0" borderId="0" xfId="0" applyNumberFormat="1" applyFont="1"/>
    <xf numFmtId="174" fontId="43" fillId="0" borderId="0" xfId="0" applyNumberFormat="1" applyFont="1"/>
    <xf numFmtId="2" fontId="37" fillId="0" borderId="0" xfId="0" applyNumberFormat="1" applyFont="1"/>
    <xf numFmtId="39" fontId="37" fillId="0" borderId="0" xfId="0" applyNumberFormat="1" applyFont="1"/>
    <xf numFmtId="0" fontId="37" fillId="0" borderId="25" xfId="0" applyFont="1" applyBorder="1"/>
    <xf numFmtId="0" fontId="37" fillId="0" borderId="4" xfId="0" applyFont="1" applyBorder="1"/>
    <xf numFmtId="39" fontId="37" fillId="0" borderId="4" xfId="0" applyNumberFormat="1" applyFont="1" applyBorder="1"/>
    <xf numFmtId="170" fontId="37" fillId="0" borderId="4" xfId="11" applyNumberFormat="1" applyFont="1" applyFill="1" applyBorder="1"/>
    <xf numFmtId="0" fontId="37" fillId="0" borderId="26" xfId="0" applyFont="1" applyBorder="1"/>
    <xf numFmtId="0" fontId="37" fillId="0" borderId="9" xfId="0" applyFont="1" applyBorder="1"/>
    <xf numFmtId="3" fontId="37" fillId="0" borderId="0" xfId="0" applyNumberFormat="1" applyFont="1" applyFill="1" applyBorder="1"/>
    <xf numFmtId="39" fontId="37" fillId="0" borderId="0" xfId="0" applyNumberFormat="1" applyFont="1" applyBorder="1"/>
    <xf numFmtId="170" fontId="37" fillId="4" borderId="0" xfId="11" applyNumberFormat="1" applyFont="1" applyFill="1" applyBorder="1"/>
    <xf numFmtId="0" fontId="37" fillId="0" borderId="10" xfId="0" applyFont="1" applyBorder="1"/>
    <xf numFmtId="170" fontId="37" fillId="4" borderId="6" xfId="11" applyNumberFormat="1" applyFont="1" applyFill="1" applyBorder="1"/>
    <xf numFmtId="0" fontId="37" fillId="0" borderId="11" xfId="0" applyFont="1" applyBorder="1"/>
    <xf numFmtId="3" fontId="37" fillId="0" borderId="6" xfId="0" applyNumberFormat="1" applyFont="1" applyBorder="1"/>
    <xf numFmtId="39" fontId="37" fillId="0" borderId="6" xfId="0" applyNumberFormat="1" applyFont="1" applyBorder="1"/>
    <xf numFmtId="170" fontId="37" fillId="0" borderId="6" xfId="0" applyNumberFormat="1" applyFont="1" applyBorder="1"/>
    <xf numFmtId="0" fontId="37" fillId="0" borderId="12" xfId="0" applyFont="1" applyBorder="1"/>
    <xf numFmtId="0" fontId="37" fillId="0" borderId="6" xfId="0" applyFont="1" applyBorder="1"/>
    <xf numFmtId="44" fontId="37" fillId="0" borderId="0" xfId="0" applyNumberFormat="1" applyFont="1"/>
    <xf numFmtId="165" fontId="37" fillId="0" borderId="0" xfId="3" applyNumberFormat="1" applyFont="1" applyFill="1" applyBorder="1"/>
    <xf numFmtId="43" fontId="37" fillId="0" borderId="0" xfId="3" applyFont="1" applyFill="1" applyBorder="1"/>
    <xf numFmtId="0" fontId="37" fillId="0" borderId="0" xfId="0" applyFont="1" applyBorder="1"/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2" fillId="8" borderId="16" xfId="23" applyFont="1" applyFill="1" applyBorder="1" applyAlignment="1">
      <alignment horizontal="center"/>
    </xf>
    <xf numFmtId="0" fontId="22" fillId="8" borderId="0" xfId="23" applyFont="1" applyFill="1" applyBorder="1" applyAlignment="1">
      <alignment horizontal="center"/>
    </xf>
    <xf numFmtId="0" fontId="22" fillId="8" borderId="17" xfId="23" applyFont="1" applyFill="1" applyBorder="1" applyAlignment="1">
      <alignment horizontal="center"/>
    </xf>
    <xf numFmtId="0" fontId="23" fillId="8" borderId="16" xfId="23" applyFont="1" applyFill="1" applyBorder="1" applyAlignment="1">
      <alignment horizontal="center"/>
    </xf>
    <xf numFmtId="0" fontId="23" fillId="8" borderId="0" xfId="23" applyFont="1" applyFill="1" applyBorder="1" applyAlignment="1">
      <alignment horizontal="center"/>
    </xf>
    <xf numFmtId="0" fontId="23" fillId="8" borderId="17" xfId="23" applyFont="1" applyFill="1" applyBorder="1" applyAlignment="1">
      <alignment horizontal="center"/>
    </xf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Border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Border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2" fillId="3" borderId="0" xfId="23" applyFont="1" applyFill="1" applyAlignment="1">
      <alignment horizontal="center"/>
    </xf>
    <xf numFmtId="0" fontId="23" fillId="3" borderId="0" xfId="23" applyFont="1" applyFill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165" fontId="37" fillId="0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</cellXfs>
  <cellStyles count="32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 9 3" xfId="31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13 3" xfId="29"/>
    <cellStyle name="Normal 2" xfId="21"/>
    <cellStyle name="Normal 2 2" xfId="22"/>
    <cellStyle name="Normal 2 3" xfId="23"/>
    <cellStyle name="Normal 3" xfId="24"/>
    <cellStyle name="Normal 4" xfId="30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?2BF577FA" TargetMode="External"/><Relationship Id="rId1" Type="http://schemas.openxmlformats.org/officeDocument/2006/relationships/externalLinkPath" Target="file:///\\2BF577FA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7"/>
  <sheetViews>
    <sheetView tabSelected="1" zoomScaleNormal="100" zoomScaleSheetLayoutView="70" workbookViewId="0">
      <selection sqref="A1:G1"/>
    </sheetView>
  </sheetViews>
  <sheetFormatPr defaultColWidth="8.88671875" defaultRowHeight="13.2" x14ac:dyDescent="0.25"/>
  <cols>
    <col min="1" max="1" width="40.33203125" style="115" customWidth="1"/>
    <col min="2" max="2" width="6.33203125" style="115" customWidth="1"/>
    <col min="3" max="3" width="12.44140625" style="115" customWidth="1"/>
    <col min="4" max="4" width="14.88671875" style="115" bestFit="1" customWidth="1"/>
    <col min="5" max="5" width="12.6640625" style="115" customWidth="1"/>
    <col min="6" max="6" width="10.5546875" style="115" bestFit="1" customWidth="1"/>
    <col min="7" max="7" width="40.33203125" style="115" customWidth="1"/>
    <col min="8" max="8" width="6.33203125" style="115" customWidth="1"/>
    <col min="9" max="9" width="12.44140625" style="115" customWidth="1"/>
    <col min="10" max="10" width="14.88671875" style="115" bestFit="1" customWidth="1"/>
    <col min="11" max="11" width="12.6640625" style="115" customWidth="1"/>
    <col min="12" max="12" width="10.5546875" style="115" bestFit="1" customWidth="1"/>
    <col min="13" max="13" width="40.33203125" style="115" customWidth="1"/>
    <col min="14" max="14" width="6.33203125" style="115" customWidth="1"/>
    <col min="15" max="15" width="12.44140625" style="115" customWidth="1"/>
    <col min="16" max="16" width="14.88671875" style="115" bestFit="1" customWidth="1"/>
    <col min="17" max="17" width="12.6640625" style="115" customWidth="1"/>
    <col min="18" max="18" width="10.5546875" style="115" bestFit="1" customWidth="1"/>
    <col min="19" max="19" width="40.33203125" style="115" customWidth="1"/>
    <col min="20" max="20" width="6.33203125" style="115" customWidth="1"/>
    <col min="21" max="21" width="12.44140625" style="115" customWidth="1"/>
    <col min="22" max="22" width="14.88671875" style="115" bestFit="1" customWidth="1"/>
    <col min="23" max="23" width="12.6640625" style="115" customWidth="1"/>
    <col min="24" max="24" width="10.5546875" style="115" bestFit="1" customWidth="1"/>
    <col min="25" max="25" width="40.33203125" style="115" customWidth="1"/>
    <col min="26" max="26" width="6.33203125" style="115" customWidth="1"/>
    <col min="27" max="27" width="12.44140625" style="115" customWidth="1"/>
    <col min="28" max="28" width="14.88671875" style="115" bestFit="1" customWidth="1"/>
    <col min="29" max="29" width="12.6640625" style="115" customWidth="1"/>
    <col min="30" max="30" width="10.5546875" style="115" bestFit="1" customWidth="1"/>
    <col min="31" max="31" width="40.33203125" style="115" customWidth="1"/>
    <col min="32" max="32" width="6.33203125" style="115" customWidth="1"/>
    <col min="33" max="33" width="12.44140625" style="115" customWidth="1"/>
    <col min="34" max="34" width="14.88671875" style="115" bestFit="1" customWidth="1"/>
    <col min="35" max="35" width="12.6640625" style="115" customWidth="1"/>
    <col min="36" max="36" width="10.5546875" style="115" bestFit="1" customWidth="1"/>
    <col min="37" max="37" width="40.33203125" style="115" customWidth="1"/>
    <col min="38" max="38" width="6.33203125" style="115" customWidth="1"/>
    <col min="39" max="39" width="12.44140625" style="115" customWidth="1"/>
    <col min="40" max="40" width="14.88671875" style="115" bestFit="1" customWidth="1"/>
    <col min="41" max="41" width="12.6640625" style="115" customWidth="1"/>
    <col min="42" max="42" width="10.5546875" style="115" bestFit="1" customWidth="1"/>
    <col min="43" max="43" width="40.33203125" style="115" customWidth="1"/>
    <col min="44" max="44" width="6.33203125" style="115" customWidth="1"/>
    <col min="45" max="45" width="12.44140625" style="115" customWidth="1"/>
    <col min="46" max="46" width="14.88671875" style="115" bestFit="1" customWidth="1"/>
    <col min="47" max="47" width="12.6640625" style="115" customWidth="1"/>
    <col min="48" max="48" width="10.5546875" style="115" bestFit="1" customWidth="1"/>
    <col min="49" max="49" width="40.33203125" style="115" customWidth="1"/>
    <col min="50" max="50" width="6.33203125" style="115" customWidth="1"/>
    <col min="51" max="51" width="12.44140625" style="115" customWidth="1"/>
    <col min="52" max="52" width="14.88671875" style="115" bestFit="1" customWidth="1"/>
    <col min="53" max="53" width="12.6640625" style="115" customWidth="1"/>
    <col min="54" max="54" width="10.5546875" style="115" bestFit="1" customWidth="1"/>
    <col min="55" max="55" width="40.33203125" style="115" customWidth="1"/>
    <col min="56" max="56" width="6.33203125" style="115" customWidth="1"/>
    <col min="57" max="57" width="12.44140625" style="115" customWidth="1"/>
    <col min="58" max="58" width="14.88671875" style="115" bestFit="1" customWidth="1"/>
    <col min="59" max="59" width="11.5546875" style="115" customWidth="1"/>
    <col min="60" max="60" width="10.5546875" style="115" bestFit="1" customWidth="1"/>
    <col min="61" max="61" width="40.33203125" style="115" customWidth="1"/>
    <col min="62" max="62" width="6.33203125" style="115" customWidth="1"/>
    <col min="63" max="63" width="12.44140625" style="115" customWidth="1"/>
    <col min="64" max="64" width="14.88671875" style="115" bestFit="1" customWidth="1"/>
    <col min="65" max="65" width="11.5546875" style="115" customWidth="1"/>
    <col min="66" max="66" width="10.5546875" style="115" bestFit="1" customWidth="1"/>
    <col min="67" max="67" width="51" style="115" customWidth="1"/>
    <col min="68" max="68" width="6.33203125" style="115" customWidth="1"/>
    <col min="69" max="69" width="12.44140625" style="115" customWidth="1"/>
    <col min="70" max="70" width="14.88671875" style="115" bestFit="1" customWidth="1"/>
    <col min="71" max="71" width="11.5546875" style="115" customWidth="1"/>
    <col min="72" max="72" width="10.5546875" style="115" bestFit="1" customWidth="1"/>
    <col min="73" max="73" width="11" style="159" customWidth="1"/>
    <col min="74" max="74" width="41.5546875" style="159" customWidth="1"/>
    <col min="75" max="75" width="10.44140625" style="159" bestFit="1" customWidth="1"/>
    <col min="76" max="76" width="13.44140625" style="159" customWidth="1"/>
    <col min="77" max="77" width="11" style="159" customWidth="1"/>
    <col min="78" max="78" width="11.88671875" style="159" customWidth="1"/>
    <col min="79" max="79" width="35.88671875" style="159" customWidth="1"/>
    <col min="80" max="80" width="8.88671875" style="159"/>
    <col min="81" max="81" width="24.109375" style="159" customWidth="1"/>
    <col min="82" max="82" width="11" style="159" bestFit="1" customWidth="1"/>
    <col min="83" max="83" width="10.5546875" style="159" bestFit="1" customWidth="1"/>
    <col min="84" max="84" width="10.44140625" style="159" customWidth="1"/>
    <col min="85" max="16384" width="8.88671875" style="115"/>
  </cols>
  <sheetData>
    <row r="1" spans="1:84" ht="19.5" customHeight="1" x14ac:dyDescent="0.45">
      <c r="A1" s="235" t="s">
        <v>99</v>
      </c>
      <c r="B1" s="236"/>
      <c r="C1" s="237"/>
      <c r="D1" s="237"/>
      <c r="E1" s="237"/>
      <c r="F1" s="238"/>
      <c r="G1" s="111" t="s">
        <v>99</v>
      </c>
      <c r="H1" s="112"/>
      <c r="I1" s="113"/>
      <c r="J1" s="113"/>
      <c r="K1" s="113"/>
      <c r="L1" s="114"/>
      <c r="M1" s="235" t="s">
        <v>99</v>
      </c>
      <c r="N1" s="236"/>
      <c r="O1" s="237"/>
      <c r="P1" s="237"/>
      <c r="Q1" s="237"/>
      <c r="R1" s="238"/>
      <c r="S1" s="280" t="s">
        <v>99</v>
      </c>
      <c r="T1" s="281"/>
      <c r="U1" s="282"/>
      <c r="V1" s="282"/>
      <c r="W1" s="282"/>
      <c r="X1" s="283"/>
      <c r="Y1" s="280" t="s">
        <v>99</v>
      </c>
      <c r="Z1" s="281"/>
      <c r="AA1" s="282"/>
      <c r="AB1" s="282"/>
      <c r="AC1" s="282"/>
      <c r="AD1" s="283"/>
      <c r="AE1" s="111" t="s">
        <v>99</v>
      </c>
      <c r="AF1" s="112"/>
      <c r="AG1" s="113"/>
      <c r="AH1" s="113"/>
      <c r="AI1" s="113"/>
      <c r="AJ1" s="114"/>
      <c r="AK1" s="111" t="s">
        <v>99</v>
      </c>
      <c r="AL1" s="112"/>
      <c r="AM1" s="113"/>
      <c r="AN1" s="113"/>
      <c r="AO1" s="113"/>
      <c r="AP1" s="114"/>
      <c r="AQ1" s="111" t="s">
        <v>99</v>
      </c>
      <c r="AR1" s="112"/>
      <c r="AS1" s="113"/>
      <c r="AT1" s="113"/>
      <c r="AU1" s="113"/>
      <c r="AV1" s="114"/>
      <c r="AW1" s="111" t="s">
        <v>99</v>
      </c>
      <c r="AX1" s="112"/>
      <c r="AY1" s="113"/>
      <c r="AZ1" s="113"/>
      <c r="BA1" s="113"/>
      <c r="BB1" s="114"/>
      <c r="BC1" s="111" t="s">
        <v>99</v>
      </c>
      <c r="BD1" s="112"/>
      <c r="BE1" s="113"/>
      <c r="BF1" s="113"/>
      <c r="BG1" s="113"/>
      <c r="BH1" s="114"/>
      <c r="BI1" s="111" t="s">
        <v>99</v>
      </c>
      <c r="BJ1" s="112"/>
      <c r="BK1" s="113"/>
      <c r="BL1" s="113"/>
      <c r="BM1" s="113"/>
      <c r="BN1" s="114"/>
      <c r="BO1" s="111" t="s">
        <v>99</v>
      </c>
      <c r="BP1" s="112"/>
      <c r="BQ1" s="113"/>
      <c r="BR1" s="113"/>
      <c r="BS1" s="113"/>
      <c r="BT1" s="113"/>
      <c r="BU1" s="158"/>
      <c r="BV1" s="158"/>
      <c r="CA1" s="158"/>
      <c r="CB1" s="158"/>
    </row>
    <row r="2" spans="1:84" ht="16.2" x14ac:dyDescent="0.4">
      <c r="A2" s="239" t="s">
        <v>81</v>
      </c>
      <c r="B2" s="240"/>
      <c r="C2" s="241" t="s">
        <v>82</v>
      </c>
      <c r="D2" s="242"/>
      <c r="E2" s="242"/>
      <c r="F2" s="243"/>
      <c r="G2" s="116" t="s">
        <v>81</v>
      </c>
      <c r="H2" s="337"/>
      <c r="I2" s="338" t="s">
        <v>82</v>
      </c>
      <c r="J2" s="339"/>
      <c r="K2" s="339"/>
      <c r="L2" s="120"/>
      <c r="M2" s="239" t="s">
        <v>81</v>
      </c>
      <c r="N2" s="240"/>
      <c r="O2" s="241"/>
      <c r="P2" s="242"/>
      <c r="Q2" s="242"/>
      <c r="R2" s="243"/>
      <c r="S2" s="284" t="s">
        <v>81</v>
      </c>
      <c r="T2" s="285"/>
      <c r="U2" s="286" t="s">
        <v>82</v>
      </c>
      <c r="V2" s="287"/>
      <c r="W2" s="287"/>
      <c r="X2" s="288"/>
      <c r="Y2" s="284" t="s">
        <v>81</v>
      </c>
      <c r="Z2" s="285"/>
      <c r="AA2" s="286" t="s">
        <v>82</v>
      </c>
      <c r="AB2" s="287"/>
      <c r="AC2" s="287"/>
      <c r="AD2" s="288"/>
      <c r="AE2" s="116" t="s">
        <v>81</v>
      </c>
      <c r="AF2" s="117"/>
      <c r="AG2" s="118" t="s">
        <v>82</v>
      </c>
      <c r="AH2" s="119"/>
      <c r="AI2" s="119"/>
      <c r="AJ2" s="120"/>
      <c r="AK2" s="116" t="s">
        <v>81</v>
      </c>
      <c r="AL2" s="117"/>
      <c r="AM2" s="118" t="s">
        <v>82</v>
      </c>
      <c r="AN2" s="119"/>
      <c r="AO2" s="119"/>
      <c r="AP2" s="120"/>
      <c r="AQ2" s="116" t="s">
        <v>81</v>
      </c>
      <c r="AR2" s="117"/>
      <c r="AS2" s="118" t="s">
        <v>82</v>
      </c>
      <c r="AT2" s="119"/>
      <c r="AU2" s="119"/>
      <c r="AV2" s="120"/>
      <c r="AW2" s="116" t="s">
        <v>81</v>
      </c>
      <c r="AX2" s="117"/>
      <c r="AY2" s="118" t="s">
        <v>82</v>
      </c>
      <c r="AZ2" s="119"/>
      <c r="BA2" s="119"/>
      <c r="BB2" s="120"/>
      <c r="BC2" s="116" t="s">
        <v>81</v>
      </c>
      <c r="BD2" s="117"/>
      <c r="BE2" s="118" t="s">
        <v>82</v>
      </c>
      <c r="BF2" s="119"/>
      <c r="BG2" s="119"/>
      <c r="BH2" s="120"/>
      <c r="BI2" s="116" t="s">
        <v>81</v>
      </c>
      <c r="BJ2" s="117"/>
      <c r="BK2" s="118" t="s">
        <v>82</v>
      </c>
      <c r="BL2" s="119"/>
      <c r="BM2" s="119"/>
      <c r="BN2" s="120"/>
      <c r="BO2" s="116" t="s">
        <v>81</v>
      </c>
      <c r="BP2" s="117"/>
      <c r="BQ2" s="118" t="s">
        <v>82</v>
      </c>
      <c r="BR2" s="119"/>
      <c r="BS2" s="119"/>
      <c r="BT2" s="119"/>
      <c r="BU2" s="160"/>
      <c r="BV2" s="160"/>
      <c r="BW2" s="161"/>
      <c r="CA2" s="160"/>
      <c r="CB2" s="160"/>
      <c r="CC2" s="161"/>
    </row>
    <row r="3" spans="1:84" x14ac:dyDescent="0.25">
      <c r="A3" s="244"/>
      <c r="B3" s="245"/>
      <c r="C3" s="242"/>
      <c r="D3" s="242"/>
      <c r="E3" s="242"/>
      <c r="F3" s="243"/>
      <c r="G3" s="121"/>
      <c r="H3" s="340"/>
      <c r="I3" s="339"/>
      <c r="J3" s="339"/>
      <c r="K3" s="339"/>
      <c r="L3" s="120"/>
      <c r="M3" s="244"/>
      <c r="N3" s="245"/>
      <c r="O3" s="242"/>
      <c r="P3" s="242"/>
      <c r="Q3" s="242"/>
      <c r="R3" s="243"/>
      <c r="S3" s="289"/>
      <c r="T3" s="290"/>
      <c r="U3" s="287"/>
      <c r="V3" s="287"/>
      <c r="W3" s="287"/>
      <c r="X3" s="288"/>
      <c r="Y3" s="289"/>
      <c r="Z3" s="290"/>
      <c r="AA3" s="287"/>
      <c r="AB3" s="287"/>
      <c r="AC3" s="287"/>
      <c r="AD3" s="288"/>
      <c r="AE3" s="121"/>
      <c r="AF3" s="122"/>
      <c r="AG3" s="119"/>
      <c r="AH3" s="119"/>
      <c r="AI3" s="119"/>
      <c r="AJ3" s="120"/>
      <c r="AK3" s="121"/>
      <c r="AL3" s="122"/>
      <c r="AM3" s="119"/>
      <c r="AN3" s="119"/>
      <c r="AO3" s="119"/>
      <c r="AP3" s="120"/>
      <c r="AQ3" s="121"/>
      <c r="AR3" s="122"/>
      <c r="AS3" s="119"/>
      <c r="AT3" s="119"/>
      <c r="AU3" s="119"/>
      <c r="AV3" s="120"/>
      <c r="AW3" s="121"/>
      <c r="AX3" s="122"/>
      <c r="AY3" s="119"/>
      <c r="AZ3" s="119"/>
      <c r="BA3" s="119"/>
      <c r="BB3" s="120"/>
      <c r="BC3" s="121" t="s">
        <v>128</v>
      </c>
      <c r="BD3" s="122"/>
      <c r="BE3" s="119"/>
      <c r="BF3" s="119"/>
      <c r="BG3" s="119"/>
      <c r="BH3" s="120"/>
      <c r="BI3" s="121" t="s">
        <v>100</v>
      </c>
      <c r="BJ3" s="122"/>
      <c r="BK3" s="119"/>
      <c r="BL3" s="119"/>
      <c r="BM3" s="119"/>
      <c r="BN3" s="120"/>
      <c r="BO3" s="121" t="s">
        <v>104</v>
      </c>
      <c r="BP3" s="122"/>
      <c r="BQ3" s="119"/>
      <c r="BR3" s="119"/>
      <c r="BS3" s="119"/>
      <c r="BT3" s="119"/>
      <c r="BU3" s="162"/>
      <c r="BV3" s="162"/>
      <c r="CA3" s="162"/>
      <c r="CB3" s="162"/>
    </row>
    <row r="4" spans="1:84" ht="21" x14ac:dyDescent="0.4">
      <c r="A4" s="444">
        <v>2021</v>
      </c>
      <c r="B4" s="445"/>
      <c r="C4" s="445"/>
      <c r="D4" s="445"/>
      <c r="E4" s="445"/>
      <c r="F4" s="446"/>
      <c r="G4" s="435" t="s">
        <v>264</v>
      </c>
      <c r="H4" s="450"/>
      <c r="I4" s="450"/>
      <c r="J4" s="450"/>
      <c r="K4" s="450"/>
      <c r="L4" s="437"/>
      <c r="M4" s="444" t="s">
        <v>240</v>
      </c>
      <c r="N4" s="445"/>
      <c r="O4" s="445"/>
      <c r="P4" s="445"/>
      <c r="Q4" s="445"/>
      <c r="R4" s="446"/>
      <c r="S4" s="438" t="s">
        <v>225</v>
      </c>
      <c r="T4" s="439"/>
      <c r="U4" s="439"/>
      <c r="V4" s="439"/>
      <c r="W4" s="439"/>
      <c r="X4" s="440"/>
      <c r="Y4" s="438" t="s">
        <v>220</v>
      </c>
      <c r="Z4" s="439"/>
      <c r="AA4" s="439"/>
      <c r="AB4" s="439"/>
      <c r="AC4" s="439"/>
      <c r="AD4" s="440"/>
      <c r="AE4" s="435" t="s">
        <v>179</v>
      </c>
      <c r="AF4" s="436"/>
      <c r="AG4" s="436"/>
      <c r="AH4" s="436"/>
      <c r="AI4" s="436"/>
      <c r="AJ4" s="437"/>
      <c r="AK4" s="435" t="s">
        <v>194</v>
      </c>
      <c r="AL4" s="436"/>
      <c r="AM4" s="436"/>
      <c r="AN4" s="436"/>
      <c r="AO4" s="436"/>
      <c r="AP4" s="437"/>
      <c r="AQ4" s="435" t="s">
        <v>157</v>
      </c>
      <c r="AR4" s="436"/>
      <c r="AS4" s="436"/>
      <c r="AT4" s="436"/>
      <c r="AU4" s="436"/>
      <c r="AV4" s="437"/>
      <c r="AW4" s="435" t="s">
        <v>143</v>
      </c>
      <c r="AX4" s="436"/>
      <c r="AY4" s="436"/>
      <c r="AZ4" s="436"/>
      <c r="BA4" s="436"/>
      <c r="BB4" s="437"/>
      <c r="BC4" s="435" t="s">
        <v>108</v>
      </c>
      <c r="BD4" s="436"/>
      <c r="BE4" s="436"/>
      <c r="BF4" s="436"/>
      <c r="BG4" s="436"/>
      <c r="BH4" s="437"/>
      <c r="BI4" s="435" t="s">
        <v>83</v>
      </c>
      <c r="BJ4" s="436"/>
      <c r="BK4" s="436"/>
      <c r="BL4" s="436"/>
      <c r="BM4" s="436"/>
      <c r="BN4" s="437"/>
      <c r="BO4" s="435" t="s">
        <v>84</v>
      </c>
      <c r="BP4" s="436"/>
      <c r="BQ4" s="436"/>
      <c r="BR4" s="436"/>
      <c r="BS4" s="436"/>
      <c r="BT4" s="437"/>
      <c r="BV4" s="163"/>
      <c r="BW4" s="163"/>
      <c r="BX4" s="163"/>
      <c r="BY4" s="163"/>
      <c r="CB4" s="163"/>
      <c r="CC4" s="163"/>
      <c r="CD4" s="163"/>
      <c r="CE4" s="163"/>
    </row>
    <row r="5" spans="1:84" x14ac:dyDescent="0.25">
      <c r="A5" s="246"/>
      <c r="B5" s="242"/>
      <c r="C5" s="242"/>
      <c r="D5" s="242"/>
      <c r="E5" s="242"/>
      <c r="F5" s="243"/>
      <c r="G5" s="123"/>
      <c r="H5" s="339"/>
      <c r="I5" s="339"/>
      <c r="J5" s="339"/>
      <c r="K5" s="339"/>
      <c r="L5" s="120"/>
      <c r="M5" s="246"/>
      <c r="N5" s="242"/>
      <c r="O5" s="242"/>
      <c r="P5" s="242"/>
      <c r="Q5" s="242"/>
      <c r="R5" s="243"/>
      <c r="S5" s="291"/>
      <c r="T5" s="287"/>
      <c r="U5" s="287"/>
      <c r="V5" s="287"/>
      <c r="W5" s="287"/>
      <c r="X5" s="288"/>
      <c r="Y5" s="291"/>
      <c r="Z5" s="287"/>
      <c r="AA5" s="287"/>
      <c r="AB5" s="287"/>
      <c r="AC5" s="287"/>
      <c r="AD5" s="288"/>
      <c r="AE5" s="123"/>
      <c r="AF5" s="119"/>
      <c r="AG5" s="119"/>
      <c r="AH5" s="119"/>
      <c r="AI5" s="119"/>
      <c r="AJ5" s="120"/>
      <c r="AK5" s="123"/>
      <c r="AL5" s="119"/>
      <c r="AM5" s="119"/>
      <c r="AN5" s="119"/>
      <c r="AO5" s="119"/>
      <c r="AP5" s="120"/>
      <c r="AQ5" s="123"/>
      <c r="AR5" s="119"/>
      <c r="AS5" s="119"/>
      <c r="AT5" s="119"/>
      <c r="AU5" s="119"/>
      <c r="AV5" s="120"/>
      <c r="AW5" s="123"/>
      <c r="AX5" s="119"/>
      <c r="AY5" s="119"/>
      <c r="AZ5" s="119"/>
      <c r="BA5" s="119"/>
      <c r="BB5" s="120"/>
      <c r="BC5" s="123"/>
      <c r="BD5" s="119"/>
      <c r="BE5" s="119"/>
      <c r="BF5" s="119"/>
      <c r="BG5" s="119"/>
      <c r="BH5" s="120"/>
      <c r="BI5" s="123"/>
      <c r="BJ5" s="119"/>
      <c r="BK5" s="119"/>
      <c r="BL5" s="119"/>
      <c r="BM5" s="119"/>
      <c r="BN5" s="120"/>
      <c r="BO5" s="123"/>
      <c r="BP5" s="119"/>
      <c r="BQ5" s="119"/>
      <c r="BR5" s="119"/>
      <c r="BS5" s="119"/>
      <c r="BT5" s="119"/>
    </row>
    <row r="6" spans="1:84" ht="19.8" x14ac:dyDescent="0.5">
      <c r="A6" s="447" t="s">
        <v>85</v>
      </c>
      <c r="B6" s="448"/>
      <c r="C6" s="448"/>
      <c r="D6" s="448"/>
      <c r="E6" s="448"/>
      <c r="F6" s="449"/>
      <c r="G6" s="432" t="s">
        <v>85</v>
      </c>
      <c r="H6" s="451"/>
      <c r="I6" s="451"/>
      <c r="J6" s="451"/>
      <c r="K6" s="451"/>
      <c r="L6" s="434"/>
      <c r="M6" s="447" t="s">
        <v>85</v>
      </c>
      <c r="N6" s="448"/>
      <c r="O6" s="448"/>
      <c r="P6" s="448"/>
      <c r="Q6" s="448"/>
      <c r="R6" s="449"/>
      <c r="S6" s="441" t="s">
        <v>85</v>
      </c>
      <c r="T6" s="442"/>
      <c r="U6" s="442"/>
      <c r="V6" s="442"/>
      <c r="W6" s="442"/>
      <c r="X6" s="443"/>
      <c r="Y6" s="441" t="s">
        <v>85</v>
      </c>
      <c r="Z6" s="442"/>
      <c r="AA6" s="442"/>
      <c r="AB6" s="442"/>
      <c r="AC6" s="442"/>
      <c r="AD6" s="443"/>
      <c r="AE6" s="432" t="s">
        <v>85</v>
      </c>
      <c r="AF6" s="433"/>
      <c r="AG6" s="433"/>
      <c r="AH6" s="433"/>
      <c r="AI6" s="433"/>
      <c r="AJ6" s="434"/>
      <c r="AK6" s="432" t="s">
        <v>85</v>
      </c>
      <c r="AL6" s="433"/>
      <c r="AM6" s="433"/>
      <c r="AN6" s="433"/>
      <c r="AO6" s="433"/>
      <c r="AP6" s="434"/>
      <c r="AQ6" s="432" t="s">
        <v>85</v>
      </c>
      <c r="AR6" s="433"/>
      <c r="AS6" s="433"/>
      <c r="AT6" s="433"/>
      <c r="AU6" s="433"/>
      <c r="AV6" s="434"/>
      <c r="AW6" s="432" t="s">
        <v>85</v>
      </c>
      <c r="AX6" s="433"/>
      <c r="AY6" s="433"/>
      <c r="AZ6" s="433"/>
      <c r="BA6" s="433"/>
      <c r="BB6" s="434"/>
      <c r="BC6" s="432" t="s">
        <v>85</v>
      </c>
      <c r="BD6" s="433"/>
      <c r="BE6" s="433"/>
      <c r="BF6" s="433"/>
      <c r="BG6" s="433"/>
      <c r="BH6" s="434"/>
      <c r="BI6" s="432" t="s">
        <v>85</v>
      </c>
      <c r="BJ6" s="433"/>
      <c r="BK6" s="433"/>
      <c r="BL6" s="433"/>
      <c r="BM6" s="433"/>
      <c r="BN6" s="434"/>
      <c r="BO6" s="432" t="s">
        <v>85</v>
      </c>
      <c r="BP6" s="433"/>
      <c r="BQ6" s="433"/>
      <c r="BR6" s="433"/>
      <c r="BS6" s="433"/>
      <c r="BT6" s="43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</row>
    <row r="7" spans="1:84" x14ac:dyDescent="0.25">
      <c r="A7" s="246"/>
      <c r="B7" s="242"/>
      <c r="C7" s="242"/>
      <c r="D7" s="242"/>
      <c r="E7" s="242"/>
      <c r="F7" s="243"/>
      <c r="G7" s="123"/>
      <c r="H7" s="339"/>
      <c r="I7" s="339"/>
      <c r="J7" s="339"/>
      <c r="K7" s="339"/>
      <c r="L7" s="120"/>
      <c r="M7" s="246"/>
      <c r="N7" s="242"/>
      <c r="O7" s="242"/>
      <c r="P7" s="242"/>
      <c r="Q7" s="242"/>
      <c r="R7" s="243"/>
      <c r="S7" s="291"/>
      <c r="T7" s="287"/>
      <c r="U7" s="287"/>
      <c r="V7" s="287"/>
      <c r="W7" s="287"/>
      <c r="X7" s="288"/>
      <c r="Y7" s="291"/>
      <c r="Z7" s="287"/>
      <c r="AA7" s="287"/>
      <c r="AB7" s="287"/>
      <c r="AC7" s="287"/>
      <c r="AD7" s="288"/>
      <c r="AE7" s="123"/>
      <c r="AF7" s="119"/>
      <c r="AG7" s="119"/>
      <c r="AH7" s="119"/>
      <c r="AI7" s="119"/>
      <c r="AJ7" s="120"/>
      <c r="AK7" s="123"/>
      <c r="AL7" s="119"/>
      <c r="AM7" s="119"/>
      <c r="AN7" s="119"/>
      <c r="AO7" s="119"/>
      <c r="AP7" s="120"/>
      <c r="AQ7" s="123"/>
      <c r="AR7" s="119"/>
      <c r="AS7" s="119"/>
      <c r="AT7" s="119"/>
      <c r="AU7" s="119"/>
      <c r="AV7" s="120"/>
      <c r="AW7" s="123"/>
      <c r="AX7" s="119"/>
      <c r="AY7" s="119"/>
      <c r="AZ7" s="119"/>
      <c r="BA7" s="119"/>
      <c r="BB7" s="120"/>
      <c r="BC7" s="123"/>
      <c r="BD7" s="119"/>
      <c r="BE7" s="119"/>
      <c r="BF7" s="119"/>
      <c r="BG7" s="119"/>
      <c r="BH7" s="120"/>
      <c r="BI7" s="123"/>
      <c r="BJ7" s="119"/>
      <c r="BK7" s="119"/>
      <c r="BL7" s="119"/>
      <c r="BM7" s="119"/>
      <c r="BN7" s="120"/>
      <c r="BO7" s="123"/>
      <c r="BP7" s="119"/>
      <c r="BQ7" s="119"/>
      <c r="BR7" s="119"/>
      <c r="BS7" s="119"/>
      <c r="BT7" s="119"/>
    </row>
    <row r="8" spans="1:84" x14ac:dyDescent="0.25">
      <c r="A8" s="246"/>
      <c r="B8" s="242"/>
      <c r="C8" s="247"/>
      <c r="D8" s="247" t="s">
        <v>86</v>
      </c>
      <c r="E8" s="247" t="s">
        <v>87</v>
      </c>
      <c r="F8" s="243"/>
      <c r="G8" s="123"/>
      <c r="H8" s="339"/>
      <c r="I8" s="341"/>
      <c r="J8" s="341" t="s">
        <v>86</v>
      </c>
      <c r="K8" s="341" t="s">
        <v>87</v>
      </c>
      <c r="L8" s="120"/>
      <c r="M8" s="246"/>
      <c r="N8" s="242"/>
      <c r="O8" s="247"/>
      <c r="P8" s="247" t="s">
        <v>86</v>
      </c>
      <c r="Q8" s="247" t="s">
        <v>87</v>
      </c>
      <c r="R8" s="243"/>
      <c r="S8" s="291"/>
      <c r="T8" s="287"/>
      <c r="U8" s="292"/>
      <c r="V8" s="292" t="s">
        <v>86</v>
      </c>
      <c r="W8" s="292" t="s">
        <v>87</v>
      </c>
      <c r="X8" s="288"/>
      <c r="Y8" s="291"/>
      <c r="Z8" s="287"/>
      <c r="AA8" s="292"/>
      <c r="AB8" s="292" t="s">
        <v>86</v>
      </c>
      <c r="AC8" s="292" t="s">
        <v>87</v>
      </c>
      <c r="AD8" s="288"/>
      <c r="AE8" s="123"/>
      <c r="AF8" s="119"/>
      <c r="AG8" s="124"/>
      <c r="AH8" s="124" t="s">
        <v>86</v>
      </c>
      <c r="AI8" s="124" t="s">
        <v>87</v>
      </c>
      <c r="AJ8" s="120"/>
      <c r="AK8" s="123"/>
      <c r="AL8" s="119"/>
      <c r="AM8" s="124"/>
      <c r="AN8" s="124" t="s">
        <v>86</v>
      </c>
      <c r="AO8" s="124" t="s">
        <v>87</v>
      </c>
      <c r="AP8" s="120"/>
      <c r="AQ8" s="123"/>
      <c r="AR8" s="119"/>
      <c r="AS8" s="124"/>
      <c r="AT8" s="124" t="s">
        <v>86</v>
      </c>
      <c r="AU8" s="124" t="s">
        <v>87</v>
      </c>
      <c r="AV8" s="120"/>
      <c r="AW8" s="123"/>
      <c r="AX8" s="119"/>
      <c r="AY8" s="124"/>
      <c r="AZ8" s="124" t="s">
        <v>86</v>
      </c>
      <c r="BA8" s="124" t="s">
        <v>87</v>
      </c>
      <c r="BB8" s="120"/>
      <c r="BC8" s="123"/>
      <c r="BD8" s="119"/>
      <c r="BE8" s="124"/>
      <c r="BF8" s="124" t="s">
        <v>86</v>
      </c>
      <c r="BG8" s="124" t="s">
        <v>87</v>
      </c>
      <c r="BH8" s="120"/>
      <c r="BI8" s="123"/>
      <c r="BJ8" s="119"/>
      <c r="BK8" s="124"/>
      <c r="BL8" s="124" t="s">
        <v>86</v>
      </c>
      <c r="BM8" s="124" t="s">
        <v>87</v>
      </c>
      <c r="BN8" s="120"/>
      <c r="BO8" s="123"/>
      <c r="BP8" s="119"/>
      <c r="BQ8" s="124"/>
      <c r="BR8" s="124" t="s">
        <v>86</v>
      </c>
      <c r="BS8" s="124" t="s">
        <v>87</v>
      </c>
      <c r="BT8" s="119"/>
      <c r="BW8" s="165"/>
      <c r="BX8" s="165"/>
      <c r="BY8" s="165"/>
      <c r="CC8" s="165"/>
      <c r="CD8" s="165"/>
      <c r="CE8" s="165"/>
    </row>
    <row r="9" spans="1:84" x14ac:dyDescent="0.25">
      <c r="A9" s="246"/>
      <c r="B9" s="242"/>
      <c r="C9" s="248" t="s">
        <v>19</v>
      </c>
      <c r="D9" s="248" t="s">
        <v>88</v>
      </c>
      <c r="E9" s="248" t="s">
        <v>89</v>
      </c>
      <c r="F9" s="243"/>
      <c r="G9" s="123"/>
      <c r="H9" s="339"/>
      <c r="I9" s="342" t="s">
        <v>19</v>
      </c>
      <c r="J9" s="342" t="s">
        <v>88</v>
      </c>
      <c r="K9" s="342" t="s">
        <v>89</v>
      </c>
      <c r="L9" s="120"/>
      <c r="M9" s="246"/>
      <c r="N9" s="242"/>
      <c r="O9" s="248" t="s">
        <v>19</v>
      </c>
      <c r="P9" s="248" t="s">
        <v>88</v>
      </c>
      <c r="Q9" s="248" t="s">
        <v>89</v>
      </c>
      <c r="R9" s="243"/>
      <c r="S9" s="291"/>
      <c r="T9" s="287"/>
      <c r="U9" s="293" t="s">
        <v>19</v>
      </c>
      <c r="V9" s="293" t="s">
        <v>88</v>
      </c>
      <c r="W9" s="293" t="s">
        <v>89</v>
      </c>
      <c r="X9" s="288"/>
      <c r="Y9" s="291"/>
      <c r="Z9" s="287"/>
      <c r="AA9" s="293" t="s">
        <v>19</v>
      </c>
      <c r="AB9" s="293" t="s">
        <v>88</v>
      </c>
      <c r="AC9" s="293" t="s">
        <v>89</v>
      </c>
      <c r="AD9" s="288"/>
      <c r="AE9" s="123"/>
      <c r="AF9" s="119"/>
      <c r="AG9" s="125" t="s">
        <v>19</v>
      </c>
      <c r="AH9" s="125" t="s">
        <v>88</v>
      </c>
      <c r="AI9" s="125" t="s">
        <v>89</v>
      </c>
      <c r="AJ9" s="120"/>
      <c r="AK9" s="123"/>
      <c r="AL9" s="119"/>
      <c r="AM9" s="125" t="s">
        <v>19</v>
      </c>
      <c r="AN9" s="125" t="s">
        <v>88</v>
      </c>
      <c r="AO9" s="125" t="s">
        <v>89</v>
      </c>
      <c r="AP9" s="120"/>
      <c r="AQ9" s="123"/>
      <c r="AR9" s="119"/>
      <c r="AS9" s="125" t="s">
        <v>19</v>
      </c>
      <c r="AT9" s="125" t="s">
        <v>88</v>
      </c>
      <c r="AU9" s="125" t="s">
        <v>89</v>
      </c>
      <c r="AV9" s="120"/>
      <c r="AW9" s="123"/>
      <c r="AX9" s="119"/>
      <c r="AY9" s="125" t="s">
        <v>19</v>
      </c>
      <c r="AZ9" s="125" t="s">
        <v>88</v>
      </c>
      <c r="BA9" s="125" t="s">
        <v>89</v>
      </c>
      <c r="BB9" s="120"/>
      <c r="BC9" s="123"/>
      <c r="BD9" s="119"/>
      <c r="BE9" s="125" t="s">
        <v>19</v>
      </c>
      <c r="BF9" s="125" t="s">
        <v>88</v>
      </c>
      <c r="BG9" s="125" t="s">
        <v>89</v>
      </c>
      <c r="BH9" s="120"/>
      <c r="BI9" s="123"/>
      <c r="BJ9" s="119"/>
      <c r="BK9" s="125" t="s">
        <v>19</v>
      </c>
      <c r="BL9" s="125" t="s">
        <v>88</v>
      </c>
      <c r="BM9" s="125" t="s">
        <v>89</v>
      </c>
      <c r="BN9" s="120"/>
      <c r="BO9" s="123"/>
      <c r="BP9" s="119"/>
      <c r="BQ9" s="125" t="s">
        <v>19</v>
      </c>
      <c r="BR9" s="125" t="s">
        <v>88</v>
      </c>
      <c r="BS9" s="125" t="s">
        <v>89</v>
      </c>
      <c r="BT9" s="119"/>
      <c r="BW9" s="166"/>
      <c r="BX9" s="166"/>
      <c r="BY9" s="166"/>
      <c r="CC9" s="166"/>
      <c r="CD9" s="166"/>
      <c r="CE9" s="166"/>
    </row>
    <row r="10" spans="1:84" ht="16.8" x14ac:dyDescent="0.45">
      <c r="A10" s="249" t="s">
        <v>285</v>
      </c>
      <c r="B10" s="250"/>
      <c r="C10" s="251"/>
      <c r="D10" s="251"/>
      <c r="E10" s="251"/>
      <c r="F10" s="243"/>
      <c r="G10" s="126" t="s">
        <v>263</v>
      </c>
      <c r="H10" s="343"/>
      <c r="I10" s="344"/>
      <c r="J10" s="344"/>
      <c r="K10" s="344"/>
      <c r="L10" s="120"/>
      <c r="M10" s="249" t="s">
        <v>241</v>
      </c>
      <c r="N10" s="250"/>
      <c r="O10" s="251"/>
      <c r="P10" s="251"/>
      <c r="Q10" s="251"/>
      <c r="R10" s="243"/>
      <c r="S10" s="294" t="s">
        <v>236</v>
      </c>
      <c r="T10" s="295"/>
      <c r="U10" s="296"/>
      <c r="V10" s="296"/>
      <c r="W10" s="296"/>
      <c r="X10" s="288"/>
      <c r="Y10" s="294" t="s">
        <v>221</v>
      </c>
      <c r="Z10" s="295"/>
      <c r="AA10" s="296"/>
      <c r="AB10" s="296"/>
      <c r="AC10" s="296"/>
      <c r="AD10" s="288"/>
      <c r="AE10" s="126" t="s">
        <v>213</v>
      </c>
      <c r="AF10" s="127"/>
      <c r="AG10" s="128"/>
      <c r="AH10" s="128"/>
      <c r="AI10" s="128"/>
      <c r="AJ10" s="120"/>
      <c r="AK10" s="126" t="s">
        <v>103</v>
      </c>
      <c r="AL10" s="127"/>
      <c r="AM10" s="128"/>
      <c r="AN10" s="128"/>
      <c r="AO10" s="128"/>
      <c r="AP10" s="120"/>
      <c r="AQ10" s="126" t="s">
        <v>158</v>
      </c>
      <c r="AR10" s="127"/>
      <c r="AS10" s="128"/>
      <c r="AT10" s="128"/>
      <c r="AU10" s="128"/>
      <c r="AV10" s="120"/>
      <c r="AW10" s="126" t="s">
        <v>142</v>
      </c>
      <c r="AX10" s="127"/>
      <c r="AY10" s="128"/>
      <c r="AZ10" s="128"/>
      <c r="BA10" s="128"/>
      <c r="BB10" s="120"/>
      <c r="BC10" s="126" t="s">
        <v>106</v>
      </c>
      <c r="BD10" s="127"/>
      <c r="BE10" s="128"/>
      <c r="BF10" s="128"/>
      <c r="BG10" s="128"/>
      <c r="BH10" s="120"/>
      <c r="BI10" s="126" t="s">
        <v>101</v>
      </c>
      <c r="BJ10" s="127"/>
      <c r="BK10" s="128"/>
      <c r="BL10" s="128"/>
      <c r="BM10" s="128"/>
      <c r="BN10" s="120"/>
      <c r="BO10" s="126" t="s">
        <v>105</v>
      </c>
      <c r="BP10" s="127"/>
      <c r="BQ10" s="128"/>
      <c r="BR10" s="128"/>
      <c r="BS10" s="128"/>
      <c r="BT10" s="119"/>
      <c r="BU10" s="167"/>
      <c r="BV10" s="167"/>
      <c r="BW10" s="168"/>
      <c r="BX10" s="168"/>
      <c r="BY10" s="168"/>
      <c r="CA10" s="167"/>
      <c r="CB10" s="167"/>
      <c r="CC10" s="168"/>
      <c r="CD10" s="168"/>
      <c r="CE10" s="168"/>
    </row>
    <row r="11" spans="1:84" x14ac:dyDescent="0.25">
      <c r="A11" s="246" t="s">
        <v>287</v>
      </c>
      <c r="B11" s="242"/>
      <c r="C11" s="252">
        <f>SUM('Calcs revised method'!D10:F10)</f>
        <v>20594</v>
      </c>
      <c r="D11" s="274">
        <f>+J12</f>
        <v>-5.34</v>
      </c>
      <c r="E11" s="252">
        <f>C11*D11</f>
        <v>-109971.95999999999</v>
      </c>
      <c r="F11" s="243"/>
      <c r="G11" s="123" t="s">
        <v>102</v>
      </c>
      <c r="H11" s="339"/>
      <c r="I11" s="345">
        <v>20265</v>
      </c>
      <c r="J11" s="274">
        <f>+P12</f>
        <v>-4.46</v>
      </c>
      <c r="K11" s="346">
        <f>I11*J11</f>
        <v>-90381.9</v>
      </c>
      <c r="L11" s="120"/>
      <c r="M11" s="246" t="s">
        <v>254</v>
      </c>
      <c r="N11" s="242"/>
      <c r="O11" s="252">
        <v>20171</v>
      </c>
      <c r="P11" s="274">
        <f>ROUND(AD25,2)</f>
        <v>-4.47</v>
      </c>
      <c r="Q11" s="252">
        <f>O11*P11</f>
        <v>-90164.37</v>
      </c>
      <c r="R11" s="243"/>
      <c r="S11" s="291" t="s">
        <v>226</v>
      </c>
      <c r="T11" s="287"/>
      <c r="U11" s="297">
        <v>19906</v>
      </c>
      <c r="V11" s="274">
        <f>ROUND(AJ25,2)</f>
        <v>-3.73</v>
      </c>
      <c r="W11" s="297">
        <f>U11*V11</f>
        <v>-74249.38</v>
      </c>
      <c r="X11" s="288"/>
      <c r="Y11" s="291" t="s">
        <v>223</v>
      </c>
      <c r="Z11" s="287"/>
      <c r="AA11" s="297">
        <v>19699</v>
      </c>
      <c r="AB11" s="274">
        <f>+AP25</f>
        <v>-0.99213520252657161</v>
      </c>
      <c r="AC11" s="297">
        <f>AA11*AB11</f>
        <v>-19544.071354570933</v>
      </c>
      <c r="AD11" s="288"/>
      <c r="AE11" s="123" t="s">
        <v>214</v>
      </c>
      <c r="AF11" s="119"/>
      <c r="AG11" s="314">
        <v>51809</v>
      </c>
      <c r="AH11" s="130">
        <f>+AV25</f>
        <v>-0.34148278588060693</v>
      </c>
      <c r="AI11" s="129">
        <f>AG11*AH11</f>
        <v>-17691.881653688364</v>
      </c>
      <c r="AJ11" s="120"/>
      <c r="AK11" s="123" t="s">
        <v>102</v>
      </c>
      <c r="AL11" s="119"/>
      <c r="AM11" s="314">
        <f>SUM('Single Family 2017'!C11:C14)</f>
        <v>19133</v>
      </c>
      <c r="AN11" s="130">
        <f>+AT12</f>
        <v>3.2608111015529669E-6</v>
      </c>
      <c r="AO11" s="129">
        <f>AM11*AN11</f>
        <v>6.2389098806012913E-2</v>
      </c>
      <c r="AP11" s="120"/>
      <c r="AQ11" s="123" t="s">
        <v>102</v>
      </c>
      <c r="AR11" s="119"/>
      <c r="AS11" s="148">
        <f>SUM('Single Family 2016'!C11:C13)</f>
        <v>18732</v>
      </c>
      <c r="AT11" s="130">
        <f>+AZ12</f>
        <v>0</v>
      </c>
      <c r="AU11" s="129">
        <f>AS11*AT11</f>
        <v>0</v>
      </c>
      <c r="AV11" s="120"/>
      <c r="AW11" s="123" t="s">
        <v>102</v>
      </c>
      <c r="AX11" s="119"/>
      <c r="AY11" s="148">
        <f>SUM('Single Family 2015'!C11:C13)</f>
        <v>18436</v>
      </c>
      <c r="AZ11" s="130">
        <f>+BF12</f>
        <v>0.21338643626955908</v>
      </c>
      <c r="BA11" s="129">
        <f>AY11*AZ11</f>
        <v>3933.9923390655913</v>
      </c>
      <c r="BB11" s="120"/>
      <c r="BC11" s="123" t="s">
        <v>102</v>
      </c>
      <c r="BD11" s="119"/>
      <c r="BE11" s="148">
        <f>SUM('Single Family 2014'!C11:C13)</f>
        <v>18251</v>
      </c>
      <c r="BF11" s="130">
        <f>BL12</f>
        <v>0.61139122054777306</v>
      </c>
      <c r="BG11" s="129">
        <f>BE11*BF11</f>
        <v>11158.501166217406</v>
      </c>
      <c r="BH11" s="120"/>
      <c r="BI11" s="123" t="s">
        <v>102</v>
      </c>
      <c r="BJ11" s="119"/>
      <c r="BK11" s="129">
        <f>SUM('Curbside Year 2013'!C11:C13)</f>
        <v>17773</v>
      </c>
      <c r="BL11" s="130">
        <f>BR12</f>
        <v>0.95499999999999996</v>
      </c>
      <c r="BM11" s="129">
        <f>BK11*BL11</f>
        <v>16973.215</v>
      </c>
      <c r="BN11" s="120"/>
      <c r="BO11" s="123" t="s">
        <v>102</v>
      </c>
      <c r="BP11" s="119"/>
      <c r="BQ11" s="129">
        <f>SUM('[1]BI Curbside 2012'!$C$11:$C$13)</f>
        <v>17844</v>
      </c>
      <c r="BR11" s="130">
        <v>0.84399999999999997</v>
      </c>
      <c r="BS11" s="129">
        <f>BQ11*BR11</f>
        <v>15060.335999999999</v>
      </c>
      <c r="BT11" s="119"/>
      <c r="BW11" s="169"/>
      <c r="BX11" s="170"/>
      <c r="BY11" s="169"/>
      <c r="CC11" s="169"/>
      <c r="CD11" s="170"/>
      <c r="CE11" s="169"/>
    </row>
    <row r="12" spans="1:84" ht="15" x14ac:dyDescent="0.4">
      <c r="A12" s="253" t="s">
        <v>286</v>
      </c>
      <c r="B12" s="254"/>
      <c r="C12" s="351">
        <f>SUM('Calcs revised method'!G10:O10)</f>
        <v>62702</v>
      </c>
      <c r="D12" s="274">
        <f>L25</f>
        <v>-5.37</v>
      </c>
      <c r="E12" s="318">
        <f>C12*D12</f>
        <v>-336709.74</v>
      </c>
      <c r="F12" s="243"/>
      <c r="G12" s="123" t="s">
        <v>265</v>
      </c>
      <c r="H12" s="347"/>
      <c r="I12" s="329">
        <v>20371</v>
      </c>
      <c r="J12" s="274">
        <f>+R25</f>
        <v>-5.34</v>
      </c>
      <c r="K12" s="348">
        <f>I12*J12</f>
        <v>-108781.14</v>
      </c>
      <c r="L12" s="120"/>
      <c r="M12" s="253" t="s">
        <v>253</v>
      </c>
      <c r="N12" s="254"/>
      <c r="O12" s="318">
        <v>20240</v>
      </c>
      <c r="P12" s="274">
        <f>ROUND(X25,2)</f>
        <v>-4.46</v>
      </c>
      <c r="Q12" s="318">
        <f>O12*P12</f>
        <v>-90270.399999999994</v>
      </c>
      <c r="R12" s="243"/>
      <c r="S12" s="300" t="s">
        <v>227</v>
      </c>
      <c r="T12" s="301"/>
      <c r="U12" s="298">
        <v>20013</v>
      </c>
      <c r="V12" s="274">
        <f>ROUND(AD25,2)</f>
        <v>-4.47</v>
      </c>
      <c r="W12" s="298">
        <f>U12*V12</f>
        <v>-89458.11</v>
      </c>
      <c r="X12" s="288"/>
      <c r="Y12" s="300" t="s">
        <v>224</v>
      </c>
      <c r="Z12" s="301"/>
      <c r="AA12" s="298">
        <v>19803</v>
      </c>
      <c r="AB12" s="274">
        <f>+AJ25</f>
        <v>-3.7317107937059992</v>
      </c>
      <c r="AC12" s="298">
        <f>AA12*AB12</f>
        <v>-73899.068847759903</v>
      </c>
      <c r="AD12" s="288"/>
      <c r="AE12" s="131" t="s">
        <v>215</v>
      </c>
      <c r="AF12" s="132"/>
      <c r="AG12" s="315">
        <v>26143</v>
      </c>
      <c r="AH12" s="130">
        <f>+AP25</f>
        <v>-0.99213520252657161</v>
      </c>
      <c r="AI12" s="133">
        <f>AG12*AH12</f>
        <v>-25937.390599652161</v>
      </c>
      <c r="AJ12" s="120"/>
      <c r="AK12" s="131" t="s">
        <v>103</v>
      </c>
      <c r="AL12" s="132"/>
      <c r="AM12" s="315">
        <f>SUM('Single Family 2017'!C15:C23)</f>
        <v>57833</v>
      </c>
      <c r="AN12" s="130">
        <f>+AV25</f>
        <v>-0.34148278588060693</v>
      </c>
      <c r="AO12" s="133">
        <f>AM12*AN12</f>
        <v>-19748.973955833142</v>
      </c>
      <c r="AP12" s="120"/>
      <c r="AQ12" s="131" t="s">
        <v>103</v>
      </c>
      <c r="AR12" s="132"/>
      <c r="AS12" s="149">
        <f>SUM('Single Family 2016'!C14:C22)</f>
        <v>56854</v>
      </c>
      <c r="AT12" s="130">
        <f>+BB25</f>
        <v>3.2608111015529669E-6</v>
      </c>
      <c r="AU12" s="133">
        <f>AS12*AT12</f>
        <v>0.18539015436769238</v>
      </c>
      <c r="AV12" s="120"/>
      <c r="AW12" s="131" t="s">
        <v>103</v>
      </c>
      <c r="AX12" s="132"/>
      <c r="AY12" s="149">
        <f>SUM('Single Family 2015'!C14:C22)</f>
        <v>55932</v>
      </c>
      <c r="AZ12" s="130">
        <f>+BH25</f>
        <v>0</v>
      </c>
      <c r="BA12" s="133">
        <f>AY12*AZ12</f>
        <v>0</v>
      </c>
      <c r="BB12" s="120"/>
      <c r="BC12" s="131" t="s">
        <v>103</v>
      </c>
      <c r="BD12" s="132"/>
      <c r="BE12" s="149">
        <f>SUM('Single Family 2014'!C14:C22)</f>
        <v>55202</v>
      </c>
      <c r="BF12" s="130">
        <f>BN25</f>
        <v>0.21338643626955908</v>
      </c>
      <c r="BG12" s="133">
        <f>BE12*BF12</f>
        <v>11779.358054952201</v>
      </c>
      <c r="BH12" s="120"/>
      <c r="BI12" s="131" t="s">
        <v>103</v>
      </c>
      <c r="BJ12" s="132"/>
      <c r="BK12" s="133">
        <f>SUM('Curbside Year 2013'!C14:C22)</f>
        <v>54508</v>
      </c>
      <c r="BL12" s="130">
        <f>BT25</f>
        <v>0.61139122054777306</v>
      </c>
      <c r="BM12" s="133">
        <f>BK12*BL12</f>
        <v>33325.712649618014</v>
      </c>
      <c r="BN12" s="120"/>
      <c r="BO12" s="131" t="s">
        <v>103</v>
      </c>
      <c r="BP12" s="132"/>
      <c r="BQ12" s="133">
        <f>SUM('[1]BI Curbside 2012'!$C$14:$C$22)</f>
        <v>53755</v>
      </c>
      <c r="BR12" s="130">
        <v>0.95499999999999996</v>
      </c>
      <c r="BS12" s="133">
        <f>BQ12*BR12</f>
        <v>51336.025000000001</v>
      </c>
      <c r="BT12" s="119"/>
      <c r="BU12" s="171"/>
      <c r="BV12" s="172"/>
      <c r="BW12" s="173"/>
      <c r="BX12" s="170"/>
      <c r="BY12" s="173"/>
      <c r="CA12" s="171"/>
      <c r="CB12" s="172"/>
      <c r="CC12" s="173"/>
      <c r="CD12" s="170"/>
      <c r="CE12" s="173"/>
    </row>
    <row r="13" spans="1:84" x14ac:dyDescent="0.25">
      <c r="A13" s="246" t="s">
        <v>87</v>
      </c>
      <c r="B13" s="242"/>
      <c r="C13" s="252">
        <f>SUM(C11:C12)</f>
        <v>83296</v>
      </c>
      <c r="D13" s="242"/>
      <c r="E13" s="252">
        <f>SUM(E11:E12)</f>
        <v>-446681.69999999995</v>
      </c>
      <c r="F13" s="243"/>
      <c r="G13" s="123" t="s">
        <v>87</v>
      </c>
      <c r="H13" s="339"/>
      <c r="I13" s="346">
        <f>SUM(I11:I12)</f>
        <v>40636</v>
      </c>
      <c r="J13" s="339"/>
      <c r="K13" s="346">
        <f>SUM(K11:K12)</f>
        <v>-199163.03999999998</v>
      </c>
      <c r="L13" s="120"/>
      <c r="M13" s="246" t="s">
        <v>87</v>
      </c>
      <c r="N13" s="242"/>
      <c r="O13" s="252">
        <f>SUM(O11:O12)</f>
        <v>40411</v>
      </c>
      <c r="P13" s="242"/>
      <c r="Q13" s="252">
        <f>SUM(Q11:Q12)</f>
        <v>-180434.77</v>
      </c>
      <c r="R13" s="243"/>
      <c r="S13" s="291" t="s">
        <v>87</v>
      </c>
      <c r="T13" s="287"/>
      <c r="U13" s="297">
        <f>SUM(U11:U12)</f>
        <v>39919</v>
      </c>
      <c r="V13" s="287"/>
      <c r="W13" s="297">
        <f>SUM(W11:W12)</f>
        <v>-163707.49</v>
      </c>
      <c r="X13" s="288"/>
      <c r="Y13" s="291" t="s">
        <v>87</v>
      </c>
      <c r="Z13" s="287"/>
      <c r="AA13" s="297">
        <f>SUM(AA11:AA12)</f>
        <v>39502</v>
      </c>
      <c r="AB13" s="287"/>
      <c r="AC13" s="297">
        <f>SUM(AC11:AC12)</f>
        <v>-93443.140202330833</v>
      </c>
      <c r="AD13" s="288"/>
      <c r="AE13" s="123" t="s">
        <v>87</v>
      </c>
      <c r="AF13" s="119"/>
      <c r="AG13" s="129">
        <f>SUM(AG11:AG12)</f>
        <v>77952</v>
      </c>
      <c r="AH13" s="119"/>
      <c r="AI13" s="129">
        <f>SUM(AI11:AI12)</f>
        <v>-43629.272253340525</v>
      </c>
      <c r="AJ13" s="120"/>
      <c r="AK13" s="123" t="s">
        <v>87</v>
      </c>
      <c r="AL13" s="119"/>
      <c r="AM13" s="129">
        <f>SUM(AM11:AM12)</f>
        <v>76966</v>
      </c>
      <c r="AN13" s="119"/>
      <c r="AO13" s="129">
        <f>SUM(AO11:AO12)</f>
        <v>-19748.911566734336</v>
      </c>
      <c r="AP13" s="120"/>
      <c r="AQ13" s="123" t="s">
        <v>87</v>
      </c>
      <c r="AR13" s="119"/>
      <c r="AS13" s="129">
        <f>SUM(AS11:AS12)</f>
        <v>75586</v>
      </c>
      <c r="AT13" s="119"/>
      <c r="AU13" s="129">
        <f>SUM(AU11:AU12)</f>
        <v>0.18539015436769238</v>
      </c>
      <c r="AV13" s="120"/>
      <c r="AW13" s="123" t="s">
        <v>87</v>
      </c>
      <c r="AX13" s="119"/>
      <c r="AY13" s="129">
        <f>SUM(AY11:AY12)</f>
        <v>74368</v>
      </c>
      <c r="AZ13" s="119"/>
      <c r="BA13" s="129">
        <f>SUM(BA11:BA12)</f>
        <v>3933.9923390655913</v>
      </c>
      <c r="BB13" s="120"/>
      <c r="BC13" s="123" t="s">
        <v>87</v>
      </c>
      <c r="BD13" s="119"/>
      <c r="BE13" s="129">
        <f>SUM(BE11:BE12)</f>
        <v>73453</v>
      </c>
      <c r="BF13" s="119"/>
      <c r="BG13" s="129">
        <f>SUM(BG11:BG12)</f>
        <v>22937.859221169609</v>
      </c>
      <c r="BH13" s="120"/>
      <c r="BI13" s="123" t="s">
        <v>87</v>
      </c>
      <c r="BJ13" s="119"/>
      <c r="BK13" s="129">
        <f>SUM(BK11:BK12)</f>
        <v>72281</v>
      </c>
      <c r="BL13" s="119"/>
      <c r="BM13" s="129">
        <f>SUM(BM11:BM12)</f>
        <v>50298.92764961801</v>
      </c>
      <c r="BN13" s="120"/>
      <c r="BO13" s="123" t="s">
        <v>87</v>
      </c>
      <c r="BP13" s="119"/>
      <c r="BQ13" s="129">
        <f>SUM(BQ11:BQ12)</f>
        <v>71599</v>
      </c>
      <c r="BR13" s="119"/>
      <c r="BS13" s="129">
        <f>SUM(BS11:BS12)</f>
        <v>66396.361000000004</v>
      </c>
      <c r="BT13" s="119"/>
      <c r="BW13" s="169"/>
      <c r="BY13" s="169"/>
      <c r="CC13" s="169"/>
      <c r="CE13" s="169"/>
    </row>
    <row r="14" spans="1:84" x14ac:dyDescent="0.25">
      <c r="A14" s="246"/>
      <c r="B14" s="242"/>
      <c r="C14" s="242"/>
      <c r="D14" s="242"/>
      <c r="E14" s="242"/>
      <c r="F14" s="243"/>
      <c r="G14" s="123"/>
      <c r="H14" s="339"/>
      <c r="I14" s="339"/>
      <c r="J14" s="339"/>
      <c r="K14" s="339"/>
      <c r="L14" s="120"/>
      <c r="M14" s="246"/>
      <c r="N14" s="242"/>
      <c r="O14" s="242"/>
      <c r="P14" s="242"/>
      <c r="Q14" s="242"/>
      <c r="R14" s="243"/>
      <c r="S14" s="291"/>
      <c r="T14" s="287"/>
      <c r="U14" s="287"/>
      <c r="V14" s="287"/>
      <c r="W14" s="287"/>
      <c r="X14" s="288"/>
      <c r="Y14" s="291"/>
      <c r="Z14" s="287"/>
      <c r="AA14" s="287"/>
      <c r="AB14" s="287"/>
      <c r="AC14" s="287"/>
      <c r="AD14" s="288"/>
      <c r="AE14" s="123"/>
      <c r="AF14" s="119"/>
      <c r="AG14" s="119"/>
      <c r="AH14" s="119"/>
      <c r="AI14" s="119"/>
      <c r="AJ14" s="120"/>
      <c r="AK14" s="123"/>
      <c r="AL14" s="119"/>
      <c r="AM14" s="119"/>
      <c r="AN14" s="119"/>
      <c r="AO14" s="119"/>
      <c r="AP14" s="120"/>
      <c r="AQ14" s="123"/>
      <c r="AR14" s="119"/>
      <c r="AS14" s="119"/>
      <c r="AT14" s="119"/>
      <c r="AU14" s="119"/>
      <c r="AV14" s="120"/>
      <c r="AW14" s="123"/>
      <c r="AX14" s="119"/>
      <c r="AY14" s="119"/>
      <c r="AZ14" s="119"/>
      <c r="BA14" s="119"/>
      <c r="BB14" s="120"/>
      <c r="BC14" s="123"/>
      <c r="BD14" s="119"/>
      <c r="BE14" s="119"/>
      <c r="BF14" s="119"/>
      <c r="BG14" s="119"/>
      <c r="BH14" s="120"/>
      <c r="BI14" s="123"/>
      <c r="BJ14" s="119"/>
      <c r="BK14" s="119"/>
      <c r="BL14" s="119"/>
      <c r="BM14" s="119"/>
      <c r="BN14" s="120"/>
      <c r="BO14" s="123"/>
      <c r="BP14" s="119"/>
      <c r="BQ14" s="119"/>
      <c r="BR14" s="119"/>
      <c r="BS14" s="119"/>
      <c r="BT14" s="119"/>
    </row>
    <row r="15" spans="1:84" x14ac:dyDescent="0.25">
      <c r="A15" s="246" t="s">
        <v>90</v>
      </c>
      <c r="B15" s="242"/>
      <c r="C15" s="242"/>
      <c r="D15" s="242"/>
      <c r="E15" s="252">
        <f>SUM('Calcs revised method'!P20)</f>
        <v>-382521.34983489139</v>
      </c>
      <c r="F15" s="243"/>
      <c r="G15" s="123" t="s">
        <v>90</v>
      </c>
      <c r="H15" s="339"/>
      <c r="I15" s="339"/>
      <c r="J15" s="339"/>
      <c r="K15" s="345">
        <v>-219451</v>
      </c>
      <c r="L15" s="120"/>
      <c r="M15" s="246" t="s">
        <v>90</v>
      </c>
      <c r="N15" s="242"/>
      <c r="O15" s="242"/>
      <c r="P15" s="242"/>
      <c r="Q15" s="252">
        <v>-215824</v>
      </c>
      <c r="R15" s="243"/>
      <c r="S15" s="291" t="s">
        <v>90</v>
      </c>
      <c r="T15" s="287"/>
      <c r="U15" s="287"/>
      <c r="V15" s="287"/>
      <c r="W15" s="297">
        <v>-178027</v>
      </c>
      <c r="X15" s="288"/>
      <c r="Y15" s="291" t="s">
        <v>90</v>
      </c>
      <c r="Z15" s="287"/>
      <c r="AA15" s="287"/>
      <c r="AB15" s="287"/>
      <c r="AC15" s="297">
        <v>-176639</v>
      </c>
      <c r="AD15" s="288"/>
      <c r="AE15" s="123" t="s">
        <v>90</v>
      </c>
      <c r="AF15" s="119"/>
      <c r="AG15" s="119"/>
      <c r="AH15" s="119"/>
      <c r="AI15" s="314">
        <v>-208839</v>
      </c>
      <c r="AJ15" s="120"/>
      <c r="AK15" s="123" t="s">
        <v>90</v>
      </c>
      <c r="AL15" s="119"/>
      <c r="AM15" s="119"/>
      <c r="AN15" s="119"/>
      <c r="AO15" s="314">
        <f>+'Single Family 2017'!G28+'Multi-Family 2017'!F30</f>
        <v>-43594.848195320221</v>
      </c>
      <c r="AP15" s="120"/>
      <c r="AQ15" s="123" t="s">
        <v>90</v>
      </c>
      <c r="AR15" s="119"/>
      <c r="AS15" s="119"/>
      <c r="AT15" s="119"/>
      <c r="AU15" s="148">
        <f>+'Single Family 2016'!G23+'Multi-Family 2016'!F27</f>
        <v>-25811.317853571556</v>
      </c>
      <c r="AV15" s="120"/>
      <c r="AW15" s="123" t="s">
        <v>90</v>
      </c>
      <c r="AX15" s="119"/>
      <c r="AY15" s="119"/>
      <c r="AZ15" s="119"/>
      <c r="BA15" s="148">
        <f>+'Single Family 2015'!G23</f>
        <v>-36701.7575</v>
      </c>
      <c r="BB15" s="120"/>
      <c r="BC15" s="123" t="s">
        <v>90</v>
      </c>
      <c r="BD15" s="119"/>
      <c r="BE15" s="119"/>
      <c r="BF15" s="119"/>
      <c r="BG15" s="148">
        <v>0</v>
      </c>
      <c r="BH15" s="120"/>
      <c r="BI15" s="123" t="s">
        <v>90</v>
      </c>
      <c r="BJ15" s="119"/>
      <c r="BK15" s="119"/>
      <c r="BL15" s="119"/>
      <c r="BM15" s="129">
        <f>'Curbside Year 2013'!G23</f>
        <v>15423.785</v>
      </c>
      <c r="BN15" s="120"/>
      <c r="BO15" s="123" t="s">
        <v>90</v>
      </c>
      <c r="BP15" s="119"/>
      <c r="BQ15" s="119"/>
      <c r="BR15" s="119"/>
      <c r="BS15" s="129">
        <f>'[1]BI Curbside 2012'!$G$23</f>
        <v>43775</v>
      </c>
      <c r="BT15" s="119"/>
      <c r="BU15" s="160"/>
      <c r="BY15" s="169"/>
      <c r="CA15" s="160"/>
      <c r="CE15" s="169"/>
    </row>
    <row r="16" spans="1:84" x14ac:dyDescent="0.25">
      <c r="A16" s="246"/>
      <c r="B16" s="242"/>
      <c r="C16" s="242"/>
      <c r="D16" s="242"/>
      <c r="E16" s="242"/>
      <c r="F16" s="243"/>
      <c r="G16" s="123"/>
      <c r="H16" s="339"/>
      <c r="I16" s="339"/>
      <c r="J16" s="339"/>
      <c r="K16" s="339"/>
      <c r="L16" s="120"/>
      <c r="M16" s="246"/>
      <c r="N16" s="242"/>
      <c r="O16" s="242"/>
      <c r="P16" s="242"/>
      <c r="Q16" s="242"/>
      <c r="R16" s="243"/>
      <c r="S16" s="291"/>
      <c r="T16" s="287"/>
      <c r="U16" s="287"/>
      <c r="V16" s="287"/>
      <c r="W16" s="287"/>
      <c r="X16" s="288"/>
      <c r="Y16" s="291"/>
      <c r="Z16" s="287"/>
      <c r="AA16" s="287"/>
      <c r="AB16" s="287"/>
      <c r="AC16" s="287"/>
      <c r="AD16" s="288"/>
      <c r="AE16" s="123"/>
      <c r="AF16" s="119"/>
      <c r="AG16" s="119"/>
      <c r="AH16" s="119"/>
      <c r="AI16" s="119"/>
      <c r="AJ16" s="120"/>
      <c r="AK16" s="123"/>
      <c r="AL16" s="119"/>
      <c r="AM16" s="119"/>
      <c r="AN16" s="119"/>
      <c r="AO16" s="119"/>
      <c r="AP16" s="120"/>
      <c r="AQ16" s="123"/>
      <c r="AR16" s="119"/>
      <c r="AS16" s="119"/>
      <c r="AT16" s="119"/>
      <c r="AU16" s="119"/>
      <c r="AV16" s="120"/>
      <c r="AW16" s="123" t="s">
        <v>162</v>
      </c>
      <c r="AX16" s="119"/>
      <c r="AY16" s="119"/>
      <c r="AZ16" s="119"/>
      <c r="BA16" s="148">
        <v>36702</v>
      </c>
      <c r="BB16" s="120"/>
      <c r="BC16" s="123"/>
      <c r="BD16" s="119"/>
      <c r="BE16" s="119"/>
      <c r="BF16" s="119"/>
      <c r="BG16" s="119"/>
      <c r="BH16" s="120"/>
      <c r="BI16" s="123"/>
      <c r="BJ16" s="119"/>
      <c r="BK16" s="119"/>
      <c r="BL16" s="119"/>
      <c r="BM16" s="119"/>
      <c r="BN16" s="120"/>
      <c r="BO16" s="123"/>
      <c r="BP16" s="119"/>
      <c r="BQ16" s="119"/>
      <c r="BR16" s="119"/>
      <c r="BS16" s="119"/>
      <c r="BT16" s="119"/>
    </row>
    <row r="17" spans="1:84" x14ac:dyDescent="0.25">
      <c r="A17" s="246" t="s">
        <v>91</v>
      </c>
      <c r="B17" s="242"/>
      <c r="C17" s="242"/>
      <c r="D17" s="242"/>
      <c r="E17" s="252">
        <f>E15-E13</f>
        <v>64160.350165108568</v>
      </c>
      <c r="F17" s="243"/>
      <c r="G17" s="123" t="s">
        <v>91</v>
      </c>
      <c r="H17" s="339"/>
      <c r="I17" s="339"/>
      <c r="J17" s="339"/>
      <c r="K17" s="346">
        <f>K15-K13</f>
        <v>-20287.960000000021</v>
      </c>
      <c r="L17" s="120"/>
      <c r="M17" s="246" t="s">
        <v>91</v>
      </c>
      <c r="N17" s="242"/>
      <c r="O17" s="242"/>
      <c r="P17" s="242"/>
      <c r="Q17" s="252">
        <f>Q15-Q13</f>
        <v>-35389.23000000001</v>
      </c>
      <c r="R17" s="243"/>
      <c r="S17" s="291" t="s">
        <v>91</v>
      </c>
      <c r="T17" s="287"/>
      <c r="U17" s="287"/>
      <c r="V17" s="287"/>
      <c r="W17" s="297">
        <f>W15-W13</f>
        <v>-14319.510000000009</v>
      </c>
      <c r="X17" s="288"/>
      <c r="Y17" s="291" t="s">
        <v>91</v>
      </c>
      <c r="Z17" s="287"/>
      <c r="AA17" s="287"/>
      <c r="AB17" s="287"/>
      <c r="AC17" s="297">
        <f>AC15-AC13</f>
        <v>-83195.859797669167</v>
      </c>
      <c r="AD17" s="288"/>
      <c r="AE17" s="123" t="s">
        <v>91</v>
      </c>
      <c r="AF17" s="119"/>
      <c r="AG17" s="119"/>
      <c r="AH17" s="119"/>
      <c r="AI17" s="129">
        <f>AI15-AI13</f>
        <v>-165209.72774665948</v>
      </c>
      <c r="AJ17" s="120"/>
      <c r="AK17" s="123" t="s">
        <v>91</v>
      </c>
      <c r="AL17" s="119"/>
      <c r="AM17" s="119"/>
      <c r="AN17" s="119"/>
      <c r="AO17" s="129">
        <f>AO15-AO13</f>
        <v>-23845.936628585885</v>
      </c>
      <c r="AP17" s="120"/>
      <c r="AQ17" s="123" t="s">
        <v>91</v>
      </c>
      <c r="AR17" s="119"/>
      <c r="AS17" s="119"/>
      <c r="AT17" s="119"/>
      <c r="AU17" s="129">
        <f>AU15-AU13</f>
        <v>-25811.503243725925</v>
      </c>
      <c r="AV17" s="120"/>
      <c r="AW17" s="123" t="s">
        <v>91</v>
      </c>
      <c r="AX17" s="119"/>
      <c r="AY17" s="119"/>
      <c r="AZ17" s="119"/>
      <c r="BA17" s="129">
        <f>BA15-BA13+BA16</f>
        <v>-3933.7498390655892</v>
      </c>
      <c r="BB17" s="120"/>
      <c r="BC17" s="123" t="s">
        <v>91</v>
      </c>
      <c r="BD17" s="119"/>
      <c r="BE17" s="119"/>
      <c r="BF17" s="119"/>
      <c r="BG17" s="129">
        <f>BG15-BG13</f>
        <v>-22937.859221169609</v>
      </c>
      <c r="BH17" s="120"/>
      <c r="BI17" s="123" t="s">
        <v>91</v>
      </c>
      <c r="BJ17" s="119"/>
      <c r="BK17" s="119"/>
      <c r="BL17" s="119"/>
      <c r="BM17" s="129">
        <f>BM15-BM13</f>
        <v>-34875.142649618007</v>
      </c>
      <c r="BN17" s="120"/>
      <c r="BO17" s="123" t="s">
        <v>91</v>
      </c>
      <c r="BP17" s="119"/>
      <c r="BQ17" s="119"/>
      <c r="BR17" s="119"/>
      <c r="BS17" s="129">
        <f>BS15-BS13</f>
        <v>-22621.361000000004</v>
      </c>
      <c r="BT17" s="119"/>
      <c r="BY17" s="169"/>
      <c r="CE17" s="169"/>
    </row>
    <row r="18" spans="1:84" x14ac:dyDescent="0.25">
      <c r="A18" s="246"/>
      <c r="B18" s="242"/>
      <c r="C18" s="242"/>
      <c r="D18" s="242"/>
      <c r="E18" s="242"/>
      <c r="F18" s="243"/>
      <c r="G18" s="123"/>
      <c r="H18" s="339"/>
      <c r="I18" s="339"/>
      <c r="J18" s="339"/>
      <c r="K18" s="339"/>
      <c r="L18" s="120"/>
      <c r="M18" s="246"/>
      <c r="N18" s="242"/>
      <c r="O18" s="242"/>
      <c r="P18" s="242"/>
      <c r="Q18" s="242"/>
      <c r="R18" s="243"/>
      <c r="S18" s="291"/>
      <c r="T18" s="287"/>
      <c r="U18" s="287"/>
      <c r="V18" s="287"/>
      <c r="W18" s="287"/>
      <c r="X18" s="288"/>
      <c r="Y18" s="291"/>
      <c r="Z18" s="287"/>
      <c r="AA18" s="287"/>
      <c r="AB18" s="287"/>
      <c r="AC18" s="287"/>
      <c r="AD18" s="288"/>
      <c r="AE18" s="123"/>
      <c r="AF18" s="119"/>
      <c r="AG18" s="119"/>
      <c r="AH18" s="119"/>
      <c r="AI18" s="119"/>
      <c r="AJ18" s="120"/>
      <c r="AK18" s="123"/>
      <c r="AL18" s="119"/>
      <c r="AM18" s="119"/>
      <c r="AN18" s="119"/>
      <c r="AO18" s="119"/>
      <c r="AP18" s="120"/>
      <c r="AQ18" s="123"/>
      <c r="AR18" s="119"/>
      <c r="AS18" s="119"/>
      <c r="AT18" s="119"/>
      <c r="AU18" s="119"/>
      <c r="AV18" s="120"/>
      <c r="AW18" s="123"/>
      <c r="AX18" s="119"/>
      <c r="AY18" s="119"/>
      <c r="AZ18" s="119"/>
      <c r="BA18" s="119"/>
      <c r="BB18" s="120"/>
      <c r="BC18" s="123"/>
      <c r="BD18" s="119"/>
      <c r="BE18" s="119"/>
      <c r="BF18" s="119"/>
      <c r="BG18" s="119"/>
      <c r="BH18" s="120"/>
      <c r="BI18" s="123"/>
      <c r="BJ18" s="119"/>
      <c r="BK18" s="119"/>
      <c r="BL18" s="119"/>
      <c r="BM18" s="119"/>
      <c r="BN18" s="120"/>
      <c r="BO18" s="123"/>
      <c r="BP18" s="119"/>
      <c r="BQ18" s="119"/>
      <c r="BR18" s="119"/>
      <c r="BS18" s="119"/>
      <c r="BT18" s="119"/>
    </row>
    <row r="19" spans="1:84" x14ac:dyDescent="0.25">
      <c r="A19" s="246" t="s">
        <v>92</v>
      </c>
      <c r="B19" s="242"/>
      <c r="C19" s="242"/>
      <c r="D19" s="242"/>
      <c r="E19" s="252">
        <f>+'Calcs revised method'!P10</f>
        <v>83296</v>
      </c>
      <c r="F19" s="243"/>
      <c r="G19" s="123" t="s">
        <v>92</v>
      </c>
      <c r="H19" s="339"/>
      <c r="I19" s="339"/>
      <c r="J19" s="339"/>
      <c r="K19" s="346">
        <v>81047</v>
      </c>
      <c r="L19" s="120"/>
      <c r="M19" s="246" t="s">
        <v>92</v>
      </c>
      <c r="N19" s="242"/>
      <c r="O19" s="242"/>
      <c r="P19" s="242"/>
      <c r="Q19" s="252">
        <f>+O13</f>
        <v>40411</v>
      </c>
      <c r="R19" s="243"/>
      <c r="S19" s="291" t="s">
        <v>92</v>
      </c>
      <c r="T19" s="287"/>
      <c r="U19" s="287"/>
      <c r="V19" s="287"/>
      <c r="W19" s="297">
        <f>+U13</f>
        <v>39919</v>
      </c>
      <c r="X19" s="288"/>
      <c r="Y19" s="291" t="s">
        <v>92</v>
      </c>
      <c r="Z19" s="287"/>
      <c r="AA19" s="287"/>
      <c r="AB19" s="287"/>
      <c r="AC19" s="297">
        <f>+AA13</f>
        <v>39502</v>
      </c>
      <c r="AD19" s="288"/>
      <c r="AE19" s="123" t="s">
        <v>92</v>
      </c>
      <c r="AF19" s="119"/>
      <c r="AG19" s="119"/>
      <c r="AH19" s="119"/>
      <c r="AI19" s="129">
        <f>+AG13</f>
        <v>77952</v>
      </c>
      <c r="AJ19" s="120"/>
      <c r="AK19" s="123" t="s">
        <v>92</v>
      </c>
      <c r="AL19" s="119"/>
      <c r="AM19" s="119"/>
      <c r="AN19" s="119"/>
      <c r="AO19" s="129">
        <f>+AM13</f>
        <v>76966</v>
      </c>
      <c r="AP19" s="120"/>
      <c r="AQ19" s="123" t="s">
        <v>92</v>
      </c>
      <c r="AR19" s="119"/>
      <c r="AS19" s="119"/>
      <c r="AT19" s="119"/>
      <c r="AU19" s="129">
        <f>+AS13</f>
        <v>75586</v>
      </c>
      <c r="AV19" s="120"/>
      <c r="AW19" s="123" t="s">
        <v>92</v>
      </c>
      <c r="AX19" s="119"/>
      <c r="AY19" s="119"/>
      <c r="AZ19" s="119"/>
      <c r="BA19" s="129">
        <f>+AY13</f>
        <v>74368</v>
      </c>
      <c r="BB19" s="120"/>
      <c r="BC19" s="123" t="s">
        <v>92</v>
      </c>
      <c r="BD19" s="119"/>
      <c r="BE19" s="119"/>
      <c r="BF19" s="119"/>
      <c r="BG19" s="129">
        <f>+BE13</f>
        <v>73453</v>
      </c>
      <c r="BH19" s="120"/>
      <c r="BI19" s="123" t="s">
        <v>92</v>
      </c>
      <c r="BJ19" s="119"/>
      <c r="BK19" s="119"/>
      <c r="BL19" s="119"/>
      <c r="BM19" s="129">
        <f>+BK13</f>
        <v>72281</v>
      </c>
      <c r="BN19" s="120"/>
      <c r="BO19" s="123" t="s">
        <v>92</v>
      </c>
      <c r="BP19" s="119"/>
      <c r="BQ19" s="119"/>
      <c r="BR19" s="119"/>
      <c r="BS19" s="129">
        <f>+BQ13</f>
        <v>71599</v>
      </c>
      <c r="BT19" s="119"/>
      <c r="BU19" s="171"/>
      <c r="BY19" s="169"/>
      <c r="CA19" s="171"/>
      <c r="CE19" s="169"/>
    </row>
    <row r="20" spans="1:84" x14ac:dyDescent="0.25">
      <c r="A20" s="246"/>
      <c r="B20" s="242"/>
      <c r="C20" s="242"/>
      <c r="D20" s="242"/>
      <c r="E20" s="242"/>
      <c r="F20" s="243"/>
      <c r="G20" s="123"/>
      <c r="H20" s="339"/>
      <c r="I20" s="339"/>
      <c r="J20" s="339"/>
      <c r="K20" s="339"/>
      <c r="L20" s="120"/>
      <c r="M20" s="246"/>
      <c r="N20" s="242"/>
      <c r="O20" s="242"/>
      <c r="P20" s="242"/>
      <c r="Q20" s="242"/>
      <c r="R20" s="243"/>
      <c r="S20" s="291"/>
      <c r="T20" s="287"/>
      <c r="U20" s="287"/>
      <c r="V20" s="287"/>
      <c r="W20" s="287"/>
      <c r="X20" s="288"/>
      <c r="Y20" s="291"/>
      <c r="Z20" s="287"/>
      <c r="AA20" s="287"/>
      <c r="AB20" s="287"/>
      <c r="AC20" s="287"/>
      <c r="AD20" s="288"/>
      <c r="AE20" s="123"/>
      <c r="AF20" s="119"/>
      <c r="AG20" s="119"/>
      <c r="AH20" s="119"/>
      <c r="AI20" s="119"/>
      <c r="AJ20" s="120"/>
      <c r="AK20" s="123"/>
      <c r="AL20" s="119"/>
      <c r="AM20" s="119"/>
      <c r="AN20" s="119"/>
      <c r="AO20" s="119"/>
      <c r="AP20" s="120"/>
      <c r="AQ20" s="123"/>
      <c r="AR20" s="119"/>
      <c r="AS20" s="119"/>
      <c r="AT20" s="119"/>
      <c r="AU20" s="119"/>
      <c r="AV20" s="120"/>
      <c r="AW20" s="123"/>
      <c r="AX20" s="119"/>
      <c r="AY20" s="119"/>
      <c r="AZ20" s="119"/>
      <c r="BA20" s="119"/>
      <c r="BB20" s="120"/>
      <c r="BC20" s="123"/>
      <c r="BD20" s="119"/>
      <c r="BE20" s="119"/>
      <c r="BF20" s="119"/>
      <c r="BG20" s="119"/>
      <c r="BH20" s="120"/>
      <c r="BI20" s="123"/>
      <c r="BJ20" s="119"/>
      <c r="BK20" s="119"/>
      <c r="BL20" s="119"/>
      <c r="BM20" s="119"/>
      <c r="BN20" s="120"/>
      <c r="BO20" s="123"/>
      <c r="BP20" s="119"/>
      <c r="BQ20" s="119"/>
      <c r="BR20" s="119"/>
      <c r="BS20" s="119"/>
      <c r="BT20" s="119"/>
    </row>
    <row r="21" spans="1:84" x14ac:dyDescent="0.25">
      <c r="A21" s="246" t="s">
        <v>93</v>
      </c>
      <c r="B21" s="242"/>
      <c r="C21" s="242"/>
      <c r="D21" s="242"/>
      <c r="E21" s="242"/>
      <c r="F21" s="255">
        <f>ROUND((E17/E19),2)</f>
        <v>0.77</v>
      </c>
      <c r="G21" s="123" t="s">
        <v>93</v>
      </c>
      <c r="H21" s="339"/>
      <c r="I21" s="339"/>
      <c r="J21" s="339"/>
      <c r="K21" s="339"/>
      <c r="L21" s="134">
        <f>ROUND((K17/K19),2)</f>
        <v>-0.25</v>
      </c>
      <c r="M21" s="246" t="s">
        <v>93</v>
      </c>
      <c r="N21" s="242"/>
      <c r="O21" s="242"/>
      <c r="P21" s="242"/>
      <c r="Q21" s="242"/>
      <c r="R21" s="255">
        <f>ROUND((Q17/Q19),2)</f>
        <v>-0.88</v>
      </c>
      <c r="S21" s="291" t="s">
        <v>93</v>
      </c>
      <c r="T21" s="287"/>
      <c r="U21" s="287"/>
      <c r="V21" s="287"/>
      <c r="W21" s="287"/>
      <c r="X21" s="299">
        <f>ROUND((W17/W19),2)</f>
        <v>-0.36</v>
      </c>
      <c r="Y21" s="291" t="s">
        <v>93</v>
      </c>
      <c r="Z21" s="287"/>
      <c r="AA21" s="287"/>
      <c r="AB21" s="287"/>
      <c r="AC21" s="287"/>
      <c r="AD21" s="299">
        <f>ROUND((AC17/AC19),2)</f>
        <v>-2.11</v>
      </c>
      <c r="AE21" s="123" t="s">
        <v>93</v>
      </c>
      <c r="AF21" s="119"/>
      <c r="AG21" s="119"/>
      <c r="AH21" s="119"/>
      <c r="AI21" s="119"/>
      <c r="AJ21" s="134">
        <f>ROUND((AI17/AI19),2)</f>
        <v>-2.12</v>
      </c>
      <c r="AK21" s="123" t="s">
        <v>93</v>
      </c>
      <c r="AL21" s="119"/>
      <c r="AM21" s="119"/>
      <c r="AN21" s="119"/>
      <c r="AO21" s="119"/>
      <c r="AP21" s="134">
        <f>ROUND((AO17/AO19),2)</f>
        <v>-0.31</v>
      </c>
      <c r="AQ21" s="123" t="s">
        <v>93</v>
      </c>
      <c r="AR21" s="119"/>
      <c r="AS21" s="119"/>
      <c r="AT21" s="119"/>
      <c r="AU21" s="119"/>
      <c r="AV21" s="134">
        <f>ROUND((AU17/AU19),2)</f>
        <v>-0.34</v>
      </c>
      <c r="AW21" s="123" t="s">
        <v>93</v>
      </c>
      <c r="AX21" s="119"/>
      <c r="AY21" s="119"/>
      <c r="AZ21" s="119"/>
      <c r="BA21" s="119"/>
      <c r="BB21" s="134">
        <f>ROUND((BA17/BA19),2)</f>
        <v>-0.05</v>
      </c>
      <c r="BC21" s="123" t="s">
        <v>93</v>
      </c>
      <c r="BD21" s="119"/>
      <c r="BE21" s="119"/>
      <c r="BF21" s="119"/>
      <c r="BG21" s="119"/>
      <c r="BH21" s="134">
        <f>ROUND((BG17/BG19),2)</f>
        <v>-0.31</v>
      </c>
      <c r="BI21" s="123" t="s">
        <v>93</v>
      </c>
      <c r="BJ21" s="119"/>
      <c r="BK21" s="119"/>
      <c r="BL21" s="119"/>
      <c r="BM21" s="119"/>
      <c r="BN21" s="134">
        <f>ROUND((BM17/BM19),2)</f>
        <v>-0.48</v>
      </c>
      <c r="BO21" s="123" t="s">
        <v>93</v>
      </c>
      <c r="BP21" s="119"/>
      <c r="BQ21" s="119"/>
      <c r="BR21" s="119"/>
      <c r="BS21" s="119"/>
      <c r="BT21" s="150">
        <f>(BS17/BS19)</f>
        <v>-0.31594520873196558</v>
      </c>
      <c r="BZ21" s="174"/>
      <c r="CF21" s="174"/>
    </row>
    <row r="22" spans="1:84" x14ac:dyDescent="0.25">
      <c r="A22" s="246"/>
      <c r="B22" s="242"/>
      <c r="C22" s="242"/>
      <c r="D22" s="242"/>
      <c r="E22" s="242"/>
      <c r="F22" s="255"/>
      <c r="G22" s="123"/>
      <c r="H22" s="339"/>
      <c r="I22" s="339"/>
      <c r="J22" s="339"/>
      <c r="K22" s="339"/>
      <c r="L22" s="134"/>
      <c r="M22" s="246"/>
      <c r="N22" s="242"/>
      <c r="O22" s="242"/>
      <c r="P22" s="242"/>
      <c r="Q22" s="242"/>
      <c r="R22" s="255"/>
      <c r="S22" s="291"/>
      <c r="T22" s="287"/>
      <c r="U22" s="287"/>
      <c r="V22" s="287"/>
      <c r="W22" s="287"/>
      <c r="X22" s="299"/>
      <c r="Y22" s="291"/>
      <c r="Z22" s="287"/>
      <c r="AA22" s="287"/>
      <c r="AB22" s="287"/>
      <c r="AC22" s="287"/>
      <c r="AD22" s="299"/>
      <c r="AE22" s="123"/>
      <c r="AF22" s="119"/>
      <c r="AG22" s="119"/>
      <c r="AH22" s="119"/>
      <c r="AI22" s="119"/>
      <c r="AJ22" s="134"/>
      <c r="AK22" s="123"/>
      <c r="AL22" s="119"/>
      <c r="AM22" s="119"/>
      <c r="AN22" s="119"/>
      <c r="AO22" s="119"/>
      <c r="AP22" s="134"/>
      <c r="AQ22" s="123"/>
      <c r="AR22" s="119"/>
      <c r="AS22" s="119"/>
      <c r="AT22" s="119"/>
      <c r="AU22" s="119"/>
      <c r="AV22" s="134"/>
      <c r="AW22" s="123"/>
      <c r="AX22" s="119"/>
      <c r="AY22" s="119"/>
      <c r="AZ22" s="119"/>
      <c r="BA22" s="119"/>
      <c r="BB22" s="134"/>
      <c r="BC22" s="123"/>
      <c r="BD22" s="119"/>
      <c r="BE22" s="119"/>
      <c r="BF22" s="119"/>
      <c r="BG22" s="119"/>
      <c r="BH22" s="134"/>
      <c r="BI22" s="123"/>
      <c r="BJ22" s="119"/>
      <c r="BK22" s="119"/>
      <c r="BL22" s="119"/>
      <c r="BM22" s="119"/>
      <c r="BN22" s="134"/>
      <c r="BO22" s="123"/>
      <c r="BP22" s="119"/>
      <c r="BQ22" s="119"/>
      <c r="BR22" s="119"/>
      <c r="BS22" s="119"/>
      <c r="BT22" s="150"/>
      <c r="BZ22" s="174"/>
      <c r="CF22" s="174"/>
    </row>
    <row r="23" spans="1:84" ht="16.8" x14ac:dyDescent="0.45">
      <c r="A23" s="215" t="s">
        <v>288</v>
      </c>
      <c r="B23" s="264"/>
      <c r="C23" s="354"/>
      <c r="D23" s="242"/>
      <c r="E23" s="214">
        <f>SUM('Calcs revised method'!D20:O20)</f>
        <v>-382521.34983489139</v>
      </c>
      <c r="F23" s="255"/>
      <c r="G23" s="215" t="s">
        <v>262</v>
      </c>
      <c r="H23" s="343"/>
      <c r="I23" s="339"/>
      <c r="J23" s="339"/>
      <c r="K23" s="214">
        <v>-435527</v>
      </c>
      <c r="L23" s="134"/>
      <c r="M23" s="215" t="s">
        <v>242</v>
      </c>
      <c r="N23" s="250"/>
      <c r="O23" s="242"/>
      <c r="P23" s="242"/>
      <c r="Q23" s="214">
        <f>SUM('Single Family Apr 20'!G17:G22)+'Multi-Family Apr 20'!F27/2</f>
        <v>-215823.93911812417</v>
      </c>
      <c r="R23" s="255"/>
      <c r="S23" s="215" t="s">
        <v>237</v>
      </c>
      <c r="T23" s="295"/>
      <c r="U23" s="287"/>
      <c r="V23" s="287"/>
      <c r="W23" s="214">
        <f>SUM('Single Family Oct 19'!G17:G22)+'Multi-Family Oct 19'!F27/2</f>
        <v>-178027.23086228466</v>
      </c>
      <c r="X23" s="299"/>
      <c r="Y23" s="215" t="s">
        <v>234</v>
      </c>
      <c r="Z23" s="295"/>
      <c r="AA23" s="287"/>
      <c r="AB23" s="287"/>
      <c r="AC23" s="214">
        <f>SUM('Single Family 2019'!G17:G22)+'Multi-Family 2019'!F27/2</f>
        <v>-176640.52173325678</v>
      </c>
      <c r="AD23" s="299"/>
      <c r="AE23" s="215" t="s">
        <v>195</v>
      </c>
      <c r="AF23" s="264"/>
      <c r="AG23" s="119"/>
      <c r="AH23" s="119"/>
      <c r="AI23" s="214">
        <f>SUM('Single Family 2018 '!G17:G22)+'Multi-Family 2018 '!F32/2</f>
        <v>-146133.79468152692</v>
      </c>
      <c r="AJ23" s="134"/>
      <c r="AK23" s="215" t="s">
        <v>177</v>
      </c>
      <c r="AL23" s="127"/>
      <c r="AM23" s="119"/>
      <c r="AN23" s="119"/>
      <c r="AO23" s="214">
        <f>SUM('Single Family 2017'!G20:G25)+('Multi-Family 2017'!F30/2)</f>
        <v>-76360.67799766011</v>
      </c>
      <c r="AP23" s="134"/>
      <c r="AQ23" s="126" t="s">
        <v>158</v>
      </c>
      <c r="AR23" s="127"/>
      <c r="AS23" s="119"/>
      <c r="AT23" s="119"/>
      <c r="AU23" s="135">
        <f>+AU15+AU16</f>
        <v>-25811.317853571556</v>
      </c>
      <c r="AV23" s="134"/>
      <c r="AW23" s="126" t="s">
        <v>142</v>
      </c>
      <c r="AX23" s="127"/>
      <c r="AY23" s="119"/>
      <c r="AZ23" s="119"/>
      <c r="BA23" s="135">
        <f>+BA15+BA16</f>
        <v>0.24250000000029104</v>
      </c>
      <c r="BB23" s="134"/>
      <c r="BC23" s="126" t="s">
        <v>106</v>
      </c>
      <c r="BD23" s="127"/>
      <c r="BE23" s="119"/>
      <c r="BF23" s="119"/>
      <c r="BG23" s="135">
        <f>+BG15</f>
        <v>0</v>
      </c>
      <c r="BH23" s="134"/>
      <c r="BI23" s="126" t="s">
        <v>106</v>
      </c>
      <c r="BJ23" s="127"/>
      <c r="BK23" s="119"/>
      <c r="BL23" s="119"/>
      <c r="BM23" s="135">
        <f>+BM15</f>
        <v>15423.785</v>
      </c>
      <c r="BN23" s="134"/>
      <c r="BO23" s="126" t="s">
        <v>101</v>
      </c>
      <c r="BP23" s="127"/>
      <c r="BQ23" s="119"/>
      <c r="BR23" s="119"/>
      <c r="BS23" s="135">
        <f>+BS15</f>
        <v>43775</v>
      </c>
      <c r="BT23" s="150"/>
      <c r="BU23" s="167"/>
      <c r="BV23" s="167"/>
      <c r="BY23" s="175"/>
      <c r="BZ23" s="174"/>
      <c r="CA23" s="167"/>
      <c r="CB23" s="167"/>
      <c r="CE23" s="176"/>
      <c r="CF23" s="174"/>
    </row>
    <row r="24" spans="1:84" x14ac:dyDescent="0.25">
      <c r="A24" s="246" t="s">
        <v>92</v>
      </c>
      <c r="B24" s="242"/>
      <c r="C24" s="242"/>
      <c r="D24" s="242"/>
      <c r="E24" s="252">
        <f>SUM('Calcs revised method'!D10:O10)</f>
        <v>83296</v>
      </c>
      <c r="F24" s="255"/>
      <c r="G24" s="123" t="s">
        <v>92</v>
      </c>
      <c r="H24" s="339"/>
      <c r="I24" s="339"/>
      <c r="J24" s="339"/>
      <c r="K24" s="346">
        <v>81047</v>
      </c>
      <c r="L24" s="134"/>
      <c r="M24" s="246" t="s">
        <v>92</v>
      </c>
      <c r="N24" s="242"/>
      <c r="O24" s="242"/>
      <c r="P24" s="242"/>
      <c r="Q24" s="252">
        <f>SUM('Single Family Apr 20'!C17:C22)</f>
        <v>40411</v>
      </c>
      <c r="R24" s="255"/>
      <c r="S24" s="291" t="s">
        <v>92</v>
      </c>
      <c r="T24" s="287"/>
      <c r="U24" s="287"/>
      <c r="V24" s="287"/>
      <c r="W24" s="297">
        <f>SUM('Single Family Oct 19'!C17:C22)</f>
        <v>39919</v>
      </c>
      <c r="X24" s="299"/>
      <c r="Y24" s="291" t="s">
        <v>92</v>
      </c>
      <c r="Z24" s="287"/>
      <c r="AA24" s="287"/>
      <c r="AB24" s="287"/>
      <c r="AC24" s="297">
        <f>SUM('Single Family 2019'!C17:C22)</f>
        <v>39502</v>
      </c>
      <c r="AD24" s="299"/>
      <c r="AE24" s="123" t="s">
        <v>92</v>
      </c>
      <c r="AF24" s="119"/>
      <c r="AG24" s="119"/>
      <c r="AH24" s="119"/>
      <c r="AI24" s="129">
        <f>SUM('Single Family 2018 '!C17:C22)</f>
        <v>39160</v>
      </c>
      <c r="AJ24" s="134"/>
      <c r="AK24" s="123" t="s">
        <v>92</v>
      </c>
      <c r="AL24" s="119"/>
      <c r="AM24" s="119"/>
      <c r="AN24" s="119"/>
      <c r="AO24" s="129">
        <f>AO19</f>
        <v>76966</v>
      </c>
      <c r="AP24" s="134"/>
      <c r="AQ24" s="123" t="s">
        <v>92</v>
      </c>
      <c r="AR24" s="119"/>
      <c r="AS24" s="119"/>
      <c r="AT24" s="119"/>
      <c r="AU24" s="129">
        <f>AU19</f>
        <v>75586</v>
      </c>
      <c r="AV24" s="134"/>
      <c r="AW24" s="123" t="s">
        <v>92</v>
      </c>
      <c r="AX24" s="119"/>
      <c r="AY24" s="119"/>
      <c r="AZ24" s="119"/>
      <c r="BA24" s="129">
        <f>BA19</f>
        <v>74368</v>
      </c>
      <c r="BB24" s="134"/>
      <c r="BC24" s="123" t="s">
        <v>92</v>
      </c>
      <c r="BD24" s="119"/>
      <c r="BE24" s="119"/>
      <c r="BF24" s="119"/>
      <c r="BG24" s="129">
        <f>BG19</f>
        <v>73453</v>
      </c>
      <c r="BH24" s="134"/>
      <c r="BI24" s="123" t="s">
        <v>92</v>
      </c>
      <c r="BJ24" s="119"/>
      <c r="BK24" s="119"/>
      <c r="BL24" s="119"/>
      <c r="BM24" s="129">
        <f>BM19</f>
        <v>72281</v>
      </c>
      <c r="BN24" s="134"/>
      <c r="BO24" s="123" t="s">
        <v>92</v>
      </c>
      <c r="BP24" s="119"/>
      <c r="BQ24" s="119"/>
      <c r="BR24" s="119"/>
      <c r="BS24" s="129">
        <f>BS19</f>
        <v>71599</v>
      </c>
      <c r="BT24" s="150"/>
      <c r="BY24" s="169"/>
      <c r="BZ24" s="174"/>
      <c r="CE24" s="169"/>
      <c r="CF24" s="174"/>
    </row>
    <row r="25" spans="1:84" ht="15" x14ac:dyDescent="0.4">
      <c r="A25" s="246" t="s">
        <v>94</v>
      </c>
      <c r="B25" s="242"/>
      <c r="C25" s="242"/>
      <c r="D25" s="242"/>
      <c r="E25" s="242"/>
      <c r="F25" s="319">
        <f>ROUND((E23/E24),2)</f>
        <v>-4.59</v>
      </c>
      <c r="G25" s="123" t="s">
        <v>94</v>
      </c>
      <c r="H25" s="339"/>
      <c r="I25" s="339"/>
      <c r="J25" s="339"/>
      <c r="K25" s="339"/>
      <c r="L25" s="349">
        <f>ROUND((K23/K24),2)</f>
        <v>-5.37</v>
      </c>
      <c r="M25" s="246" t="s">
        <v>94</v>
      </c>
      <c r="N25" s="242"/>
      <c r="O25" s="242"/>
      <c r="P25" s="242"/>
      <c r="Q25" s="242"/>
      <c r="R25" s="349">
        <f>ROUND((Q23/Q24),2)</f>
        <v>-5.34</v>
      </c>
      <c r="S25" s="291" t="s">
        <v>94</v>
      </c>
      <c r="T25" s="287"/>
      <c r="U25" s="287"/>
      <c r="V25" s="287"/>
      <c r="W25" s="287"/>
      <c r="X25" s="302">
        <f>(W23/W24)</f>
        <v>-4.4597116877247593</v>
      </c>
      <c r="Y25" s="291" t="s">
        <v>94</v>
      </c>
      <c r="Z25" s="287"/>
      <c r="AA25" s="287"/>
      <c r="AB25" s="287"/>
      <c r="AC25" s="287"/>
      <c r="AD25" s="302">
        <f>(AC23/AC24)</f>
        <v>-4.4716855281569741</v>
      </c>
      <c r="AE25" s="123" t="s">
        <v>94</v>
      </c>
      <c r="AF25" s="119"/>
      <c r="AG25" s="119"/>
      <c r="AH25" s="119"/>
      <c r="AI25" s="119"/>
      <c r="AJ25" s="136">
        <f>(AI23/AI24)</f>
        <v>-3.7317107937059992</v>
      </c>
      <c r="AK25" s="123" t="s">
        <v>94</v>
      </c>
      <c r="AL25" s="119"/>
      <c r="AM25" s="119"/>
      <c r="AN25" s="119"/>
      <c r="AO25" s="119"/>
      <c r="AP25" s="136">
        <f>(AO23/AO24)</f>
        <v>-0.99213520252657161</v>
      </c>
      <c r="AQ25" s="123" t="s">
        <v>94</v>
      </c>
      <c r="AR25" s="119"/>
      <c r="AS25" s="119"/>
      <c r="AT25" s="119"/>
      <c r="AU25" s="119"/>
      <c r="AV25" s="136">
        <f>(AU23/AU24)</f>
        <v>-0.34148278588060693</v>
      </c>
      <c r="AW25" s="123" t="s">
        <v>94</v>
      </c>
      <c r="AX25" s="119"/>
      <c r="AY25" s="119"/>
      <c r="AZ25" s="119"/>
      <c r="BA25" s="119"/>
      <c r="BB25" s="136">
        <f>(BA23/BA24)</f>
        <v>3.2608111015529669E-6</v>
      </c>
      <c r="BC25" s="123" t="s">
        <v>94</v>
      </c>
      <c r="BD25" s="119"/>
      <c r="BE25" s="119"/>
      <c r="BF25" s="119"/>
      <c r="BG25" s="119"/>
      <c r="BH25" s="136">
        <f>(BG23/BG24)</f>
        <v>0</v>
      </c>
      <c r="BI25" s="123" t="s">
        <v>94</v>
      </c>
      <c r="BJ25" s="119"/>
      <c r="BK25" s="119"/>
      <c r="BL25" s="119"/>
      <c r="BM25" s="119"/>
      <c r="BN25" s="136">
        <f>(BM23/BM24)</f>
        <v>0.21338643626955908</v>
      </c>
      <c r="BO25" s="123" t="s">
        <v>94</v>
      </c>
      <c r="BP25" s="119"/>
      <c r="BQ25" s="119"/>
      <c r="BR25" s="119"/>
      <c r="BS25" s="119"/>
      <c r="BT25" s="151">
        <f>(BS23/BS24)</f>
        <v>0.61139122054777306</v>
      </c>
      <c r="BZ25" s="177"/>
      <c r="CF25" s="177"/>
    </row>
    <row r="26" spans="1:84" x14ac:dyDescent="0.25">
      <c r="A26" s="246"/>
      <c r="B26" s="242"/>
      <c r="C26" s="242"/>
      <c r="D26" s="242"/>
      <c r="E26" s="242"/>
      <c r="F26" s="255"/>
      <c r="G26" s="123"/>
      <c r="H26" s="339"/>
      <c r="I26" s="339"/>
      <c r="J26" s="339"/>
      <c r="K26" s="339"/>
      <c r="L26" s="134"/>
      <c r="M26" s="246"/>
      <c r="N26" s="242"/>
      <c r="O26" s="242"/>
      <c r="P26" s="242"/>
      <c r="Q26" s="242"/>
      <c r="R26" s="255"/>
      <c r="S26" s="291"/>
      <c r="T26" s="287"/>
      <c r="U26" s="287"/>
      <c r="V26" s="287"/>
      <c r="W26" s="287"/>
      <c r="X26" s="299"/>
      <c r="Y26" s="291"/>
      <c r="Z26" s="287"/>
      <c r="AA26" s="287"/>
      <c r="AB26" s="287"/>
      <c r="AC26" s="287"/>
      <c r="AD26" s="299"/>
      <c r="AE26" s="123"/>
      <c r="AF26" s="119"/>
      <c r="AG26" s="119"/>
      <c r="AH26" s="119"/>
      <c r="AI26" s="119"/>
      <c r="AJ26" s="134"/>
      <c r="AK26" s="123"/>
      <c r="AL26" s="119"/>
      <c r="AM26" s="119"/>
      <c r="AN26" s="119"/>
      <c r="AO26" s="119"/>
      <c r="AP26" s="134"/>
      <c r="AQ26" s="123"/>
      <c r="AR26" s="119"/>
      <c r="AS26" s="119"/>
      <c r="AT26" s="119"/>
      <c r="AU26" s="119"/>
      <c r="AV26" s="134"/>
      <c r="AW26" s="123"/>
      <c r="AX26" s="119"/>
      <c r="AY26" s="119"/>
      <c r="AZ26" s="119"/>
      <c r="BA26" s="119"/>
      <c r="BB26" s="134"/>
      <c r="BC26" s="123"/>
      <c r="BD26" s="119"/>
      <c r="BE26" s="119"/>
      <c r="BF26" s="119"/>
      <c r="BG26" s="119"/>
      <c r="BH26" s="134"/>
      <c r="BI26" s="123"/>
      <c r="BJ26" s="119"/>
      <c r="BK26" s="119"/>
      <c r="BL26" s="119"/>
      <c r="BM26" s="119"/>
      <c r="BN26" s="134"/>
      <c r="BO26" s="123"/>
      <c r="BP26" s="119"/>
      <c r="BQ26" s="119"/>
      <c r="BR26" s="119"/>
      <c r="BS26" s="119"/>
      <c r="BT26" s="150"/>
      <c r="BZ26" s="174"/>
      <c r="CF26" s="174"/>
    </row>
    <row r="27" spans="1:84" ht="16.8" thickBot="1" x14ac:dyDescent="0.45">
      <c r="A27" s="239" t="s">
        <v>95</v>
      </c>
      <c r="B27" s="240"/>
      <c r="C27" s="242"/>
      <c r="D27" s="242"/>
      <c r="E27" s="242"/>
      <c r="F27" s="353">
        <f>+F21+F25</f>
        <v>-3.82</v>
      </c>
      <c r="G27" s="116" t="s">
        <v>95</v>
      </c>
      <c r="H27" s="337"/>
      <c r="I27" s="339"/>
      <c r="J27" s="339"/>
      <c r="K27" s="339"/>
      <c r="L27" s="138">
        <f>+L21+L25</f>
        <v>-5.62</v>
      </c>
      <c r="M27" s="239" t="s">
        <v>95</v>
      </c>
      <c r="N27" s="240"/>
      <c r="O27" s="242"/>
      <c r="P27" s="242"/>
      <c r="Q27" s="242"/>
      <c r="R27" s="320">
        <f>+R21+R25</f>
        <v>-6.22</v>
      </c>
      <c r="S27" s="284" t="s">
        <v>95</v>
      </c>
      <c r="T27" s="285"/>
      <c r="U27" s="287"/>
      <c r="V27" s="287"/>
      <c r="W27" s="287"/>
      <c r="X27" s="303">
        <f>+X21+X25</f>
        <v>-4.8197116877247597</v>
      </c>
      <c r="Y27" s="284" t="s">
        <v>95</v>
      </c>
      <c r="Z27" s="285"/>
      <c r="AA27" s="287"/>
      <c r="AB27" s="287"/>
      <c r="AC27" s="287"/>
      <c r="AD27" s="303">
        <f>+AD21+AD25</f>
        <v>-6.5816855281569744</v>
      </c>
      <c r="AE27" s="116" t="s">
        <v>95</v>
      </c>
      <c r="AF27" s="117"/>
      <c r="AG27" s="119"/>
      <c r="AH27" s="119"/>
      <c r="AI27" s="119"/>
      <c r="AJ27" s="137">
        <f>+AJ21+AJ25</f>
        <v>-5.8517107937059993</v>
      </c>
      <c r="AK27" s="116" t="s">
        <v>95</v>
      </c>
      <c r="AL27" s="117"/>
      <c r="AM27" s="119"/>
      <c r="AN27" s="119"/>
      <c r="AO27" s="119"/>
      <c r="AP27" s="137">
        <f>+AP21+AP25</f>
        <v>-1.3021352025265716</v>
      </c>
      <c r="AQ27" s="116" t="s">
        <v>95</v>
      </c>
      <c r="AR27" s="117"/>
      <c r="AS27" s="119"/>
      <c r="AT27" s="119"/>
      <c r="AU27" s="119"/>
      <c r="AV27" s="137">
        <f>+AV21+AV25</f>
        <v>-0.68148278588060696</v>
      </c>
      <c r="AW27" s="116" t="s">
        <v>95</v>
      </c>
      <c r="AX27" s="117"/>
      <c r="AY27" s="119"/>
      <c r="AZ27" s="119"/>
      <c r="BA27" s="119"/>
      <c r="BB27" s="137">
        <f>+BB21+BB25</f>
        <v>-4.9996739188898451E-2</v>
      </c>
      <c r="BC27" s="116" t="s">
        <v>95</v>
      </c>
      <c r="BD27" s="117"/>
      <c r="BE27" s="119"/>
      <c r="BF27" s="119"/>
      <c r="BG27" s="119"/>
      <c r="BH27" s="137">
        <f>+BH21+BH25</f>
        <v>-0.31</v>
      </c>
      <c r="BI27" s="116" t="s">
        <v>95</v>
      </c>
      <c r="BJ27" s="117"/>
      <c r="BK27" s="119"/>
      <c r="BL27" s="119"/>
      <c r="BM27" s="119"/>
      <c r="BN27" s="137">
        <f>+BN21+BN25</f>
        <v>-0.26661356373044087</v>
      </c>
      <c r="BO27" s="116" t="s">
        <v>95</v>
      </c>
      <c r="BP27" s="117"/>
      <c r="BQ27" s="119"/>
      <c r="BR27" s="119"/>
      <c r="BS27" s="119"/>
      <c r="BT27" s="152">
        <f>+BT21+BT25</f>
        <v>0.29544601181580749</v>
      </c>
      <c r="BU27" s="160"/>
      <c r="BV27" s="160"/>
      <c r="BZ27" s="178"/>
      <c r="CA27" s="160"/>
      <c r="CB27" s="160"/>
      <c r="CF27" s="178"/>
    </row>
    <row r="28" spans="1:84" ht="17.399999999999999" thickTop="1" thickBot="1" x14ac:dyDescent="0.45">
      <c r="A28" s="246"/>
      <c r="B28" s="242"/>
      <c r="C28" s="242"/>
      <c r="D28" s="242"/>
      <c r="E28" s="242"/>
      <c r="F28" s="255"/>
      <c r="G28" s="123"/>
      <c r="H28" s="339"/>
      <c r="I28" s="339"/>
      <c r="J28" s="339"/>
      <c r="K28" s="339"/>
      <c r="L28" s="134"/>
      <c r="M28" s="239"/>
      <c r="N28" s="242"/>
      <c r="O28" s="242"/>
      <c r="P28" s="242"/>
      <c r="Q28" s="242"/>
      <c r="R28" s="265"/>
      <c r="S28" s="284"/>
      <c r="T28" s="287"/>
      <c r="U28" s="287"/>
      <c r="V28" s="287"/>
      <c r="W28" s="287"/>
      <c r="X28" s="304"/>
      <c r="Y28" s="284"/>
      <c r="Z28" s="287"/>
      <c r="AA28" s="287"/>
      <c r="AB28" s="287"/>
      <c r="AC28" s="287"/>
      <c r="AD28" s="304"/>
      <c r="AE28" s="116" t="s">
        <v>218</v>
      </c>
      <c r="AF28" s="119"/>
      <c r="AG28" s="119"/>
      <c r="AH28" s="119"/>
      <c r="AI28" s="119"/>
      <c r="AJ28" s="137">
        <f>+AJ27/5*6</f>
        <v>-7.0220529524471997</v>
      </c>
      <c r="AK28" s="123"/>
      <c r="AL28" s="119"/>
      <c r="AM28" s="119"/>
      <c r="AN28" s="119"/>
      <c r="AO28" s="119"/>
      <c r="AP28" s="134"/>
      <c r="AQ28" s="123"/>
      <c r="AR28" s="119"/>
      <c r="AS28" s="119"/>
      <c r="AT28" s="119"/>
      <c r="AU28" s="119"/>
      <c r="AV28" s="134"/>
      <c r="AW28" s="123"/>
      <c r="AX28" s="119"/>
      <c r="AY28" s="119"/>
      <c r="AZ28" s="119"/>
      <c r="BA28" s="119"/>
      <c r="BB28" s="134"/>
      <c r="BC28" s="123"/>
      <c r="BD28" s="119"/>
      <c r="BE28" s="119"/>
      <c r="BF28" s="119"/>
      <c r="BG28" s="119"/>
      <c r="BH28" s="134"/>
      <c r="BI28" s="123"/>
      <c r="BJ28" s="119"/>
      <c r="BK28" s="119"/>
      <c r="BL28" s="119"/>
      <c r="BM28" s="119"/>
      <c r="BN28" s="134"/>
      <c r="BO28" s="123"/>
      <c r="BP28" s="119"/>
      <c r="BQ28" s="119"/>
      <c r="BR28" s="119"/>
      <c r="BS28" s="119"/>
      <c r="BT28" s="150"/>
      <c r="BZ28" s="174"/>
      <c r="CF28" s="174"/>
    </row>
    <row r="29" spans="1:84" ht="13.8" thickTop="1" x14ac:dyDescent="0.25">
      <c r="A29" s="246"/>
      <c r="B29" s="242"/>
      <c r="C29" s="242"/>
      <c r="D29" s="242"/>
      <c r="E29" s="242"/>
      <c r="F29" s="243"/>
      <c r="G29" s="123"/>
      <c r="H29" s="339"/>
      <c r="I29" s="339"/>
      <c r="J29" s="339"/>
      <c r="K29" s="339"/>
      <c r="L29" s="120"/>
      <c r="M29" s="246"/>
      <c r="N29" s="242"/>
      <c r="O29" s="242"/>
      <c r="P29" s="242"/>
      <c r="Q29" s="242"/>
      <c r="R29" s="243"/>
      <c r="S29" s="291"/>
      <c r="T29" s="287"/>
      <c r="U29" s="287"/>
      <c r="V29" s="287"/>
      <c r="W29" s="287"/>
      <c r="X29" s="288"/>
      <c r="Y29" s="291"/>
      <c r="Z29" s="287"/>
      <c r="AA29" s="287"/>
      <c r="AB29" s="287"/>
      <c r="AC29" s="287"/>
      <c r="AD29" s="288"/>
      <c r="AE29" s="123"/>
      <c r="AF29" s="119"/>
      <c r="AG29" s="119"/>
      <c r="AH29" s="119"/>
      <c r="AI29" s="119"/>
      <c r="AJ29" s="120"/>
      <c r="AK29" s="123"/>
      <c r="AL29" s="119"/>
      <c r="AM29" s="119"/>
      <c r="AN29" s="119"/>
      <c r="AO29" s="119"/>
      <c r="AP29" s="120"/>
      <c r="AQ29" s="123"/>
      <c r="AR29" s="119"/>
      <c r="AS29" s="119"/>
      <c r="AT29" s="119"/>
      <c r="AU29" s="119"/>
      <c r="AV29" s="120"/>
      <c r="AW29" s="123"/>
      <c r="AX29" s="119"/>
      <c r="AY29" s="119"/>
      <c r="AZ29" s="119"/>
      <c r="BA29" s="119"/>
      <c r="BB29" s="120"/>
      <c r="BC29" s="123"/>
      <c r="BD29" s="119"/>
      <c r="BE29" s="119"/>
      <c r="BF29" s="119"/>
      <c r="BG29" s="119"/>
      <c r="BH29" s="120"/>
      <c r="BI29" s="123"/>
      <c r="BJ29" s="119"/>
      <c r="BK29" s="119"/>
      <c r="BL29" s="119"/>
      <c r="BM29" s="119"/>
      <c r="BN29" s="120"/>
      <c r="BO29" s="123"/>
      <c r="BP29" s="119"/>
      <c r="BQ29" s="119"/>
      <c r="BR29" s="119"/>
      <c r="BS29" s="119"/>
      <c r="BT29" s="119"/>
      <c r="CE29" s="179"/>
    </row>
    <row r="30" spans="1:84" ht="15" x14ac:dyDescent="0.4">
      <c r="A30" s="253"/>
      <c r="B30" s="242"/>
      <c r="C30" s="242"/>
      <c r="D30" s="256"/>
      <c r="E30" s="242"/>
      <c r="F30" s="257"/>
      <c r="G30" s="123"/>
      <c r="H30" s="339"/>
      <c r="I30" s="339"/>
      <c r="J30" s="350"/>
      <c r="K30" s="339"/>
      <c r="L30" s="140"/>
      <c r="M30" s="253"/>
      <c r="N30" s="242"/>
      <c r="O30" s="242"/>
      <c r="P30" s="256"/>
      <c r="Q30" s="242"/>
      <c r="R30" s="257"/>
      <c r="S30" s="300"/>
      <c r="T30" s="287"/>
      <c r="U30" s="287"/>
      <c r="V30" s="305"/>
      <c r="W30" s="287"/>
      <c r="X30" s="306"/>
      <c r="Y30" s="300"/>
      <c r="Z30" s="287"/>
      <c r="AA30" s="287"/>
      <c r="AB30" s="305"/>
      <c r="AC30" s="287"/>
      <c r="AD30" s="306"/>
      <c r="AE30" s="131"/>
      <c r="AF30" s="119"/>
      <c r="AG30" s="119"/>
      <c r="AH30" s="139"/>
      <c r="AI30" s="119"/>
      <c r="AJ30" s="140"/>
      <c r="AK30" s="131"/>
      <c r="AL30" s="119"/>
      <c r="AM30" s="119"/>
      <c r="AN30" s="139"/>
      <c r="AO30" s="119"/>
      <c r="AP30" s="140"/>
      <c r="AQ30" s="131"/>
      <c r="AR30" s="119"/>
      <c r="AS30" s="119"/>
      <c r="AT30" s="139"/>
      <c r="AU30" s="119"/>
      <c r="AV30" s="140"/>
      <c r="AW30" s="131"/>
      <c r="AX30" s="119"/>
      <c r="AY30" s="119"/>
      <c r="AZ30" s="139"/>
      <c r="BA30" s="119"/>
      <c r="BB30" s="140"/>
      <c r="BC30" s="131"/>
      <c r="BD30" s="119"/>
      <c r="BE30" s="119"/>
      <c r="BF30" s="139"/>
      <c r="BG30" s="119"/>
      <c r="BH30" s="140"/>
      <c r="BI30" s="131"/>
      <c r="BJ30" s="119"/>
      <c r="BK30" s="119"/>
      <c r="BL30" s="139"/>
      <c r="BM30" s="119"/>
      <c r="BN30" s="140"/>
      <c r="BO30" s="131"/>
      <c r="BP30" s="119"/>
      <c r="BQ30" s="119"/>
      <c r="BR30" s="139"/>
      <c r="BS30" s="119"/>
      <c r="BT30" s="153"/>
    </row>
    <row r="31" spans="1:84" x14ac:dyDescent="0.25">
      <c r="A31" s="246"/>
      <c r="B31" s="242"/>
      <c r="C31" s="242"/>
      <c r="D31" s="256"/>
      <c r="E31" s="242"/>
      <c r="F31" s="243"/>
      <c r="G31" s="123"/>
      <c r="H31" s="339"/>
      <c r="I31" s="339"/>
      <c r="J31" s="350"/>
      <c r="K31" s="339"/>
      <c r="L31" s="120"/>
      <c r="M31" s="246"/>
      <c r="N31" s="242"/>
      <c r="O31" s="242"/>
      <c r="P31" s="256"/>
      <c r="Q31" s="242"/>
      <c r="R31" s="243"/>
      <c r="S31" s="291"/>
      <c r="T31" s="287"/>
      <c r="U31" s="287"/>
      <c r="V31" s="305"/>
      <c r="W31" s="287"/>
      <c r="X31" s="288"/>
      <c r="Y31" s="291"/>
      <c r="Z31" s="287"/>
      <c r="AA31" s="287"/>
      <c r="AB31" s="305"/>
      <c r="AC31" s="287"/>
      <c r="AD31" s="288"/>
      <c r="AE31" s="123"/>
      <c r="AF31" s="119"/>
      <c r="AG31" s="119"/>
      <c r="AH31" s="139"/>
      <c r="AI31" s="119"/>
      <c r="AJ31" s="120"/>
      <c r="AK31" s="123"/>
      <c r="AL31" s="119"/>
      <c r="AM31" s="119"/>
      <c r="AN31" s="139"/>
      <c r="AO31" s="119"/>
      <c r="AP31" s="120"/>
      <c r="AQ31" s="123"/>
      <c r="AR31" s="119"/>
      <c r="AS31" s="119"/>
      <c r="AT31" s="139"/>
      <c r="AU31" s="119"/>
      <c r="AV31" s="120"/>
      <c r="AW31" s="123"/>
      <c r="AX31" s="119"/>
      <c r="AY31" s="119"/>
      <c r="AZ31" s="139"/>
      <c r="BA31" s="119"/>
      <c r="BB31" s="120"/>
      <c r="BC31" s="123"/>
      <c r="BD31" s="119"/>
      <c r="BE31" s="119"/>
      <c r="BF31" s="139"/>
      <c r="BG31" s="119"/>
      <c r="BH31" s="120"/>
      <c r="BI31" s="123"/>
      <c r="BJ31" s="119"/>
      <c r="BK31" s="119"/>
      <c r="BL31" s="139"/>
      <c r="BM31" s="119"/>
      <c r="BN31" s="120"/>
      <c r="BO31" s="123"/>
      <c r="BP31" s="119"/>
      <c r="BQ31" s="119"/>
      <c r="BR31" s="139"/>
      <c r="BS31" s="119"/>
      <c r="BT31" s="119"/>
      <c r="BY31" s="171"/>
      <c r="CE31" s="179"/>
      <c r="CF31" s="180"/>
    </row>
    <row r="32" spans="1:84" x14ac:dyDescent="0.25">
      <c r="A32" s="246"/>
      <c r="B32" s="242"/>
      <c r="C32" s="242"/>
      <c r="D32" s="242"/>
      <c r="E32" s="242"/>
      <c r="F32" s="243"/>
      <c r="G32" s="123"/>
      <c r="H32" s="339"/>
      <c r="I32" s="339"/>
      <c r="J32" s="339"/>
      <c r="K32" s="339"/>
      <c r="L32" s="120"/>
      <c r="M32" s="246"/>
      <c r="N32" s="242"/>
      <c r="O32" s="242"/>
      <c r="P32" s="242"/>
      <c r="Q32" s="242"/>
      <c r="R32" s="243"/>
      <c r="S32" s="291"/>
      <c r="T32" s="287"/>
      <c r="U32" s="287"/>
      <c r="V32" s="287"/>
      <c r="W32" s="287"/>
      <c r="X32" s="288"/>
      <c r="Y32" s="291"/>
      <c r="Z32" s="287"/>
      <c r="AA32" s="287"/>
      <c r="AB32" s="287"/>
      <c r="AC32" s="287"/>
      <c r="AD32" s="288"/>
      <c r="AE32" s="123"/>
      <c r="AF32" s="119"/>
      <c r="AG32" s="119"/>
      <c r="AH32" s="119"/>
      <c r="AI32" s="119"/>
      <c r="AJ32" s="120"/>
      <c r="AK32" s="123"/>
      <c r="AL32" s="119"/>
      <c r="AM32" s="119"/>
      <c r="AN32" s="119"/>
      <c r="AO32" s="119"/>
      <c r="AP32" s="120"/>
      <c r="AQ32" s="123"/>
      <c r="AR32" s="119"/>
      <c r="AS32" s="119"/>
      <c r="AT32" s="119"/>
      <c r="AU32" s="119"/>
      <c r="AV32" s="120"/>
      <c r="AW32" s="123"/>
      <c r="AX32" s="119"/>
      <c r="AY32" s="119"/>
      <c r="AZ32" s="119"/>
      <c r="BA32" s="119"/>
      <c r="BB32" s="120"/>
      <c r="BC32" s="123"/>
      <c r="BD32" s="119"/>
      <c r="BE32" s="119"/>
      <c r="BF32" s="119"/>
      <c r="BG32" s="119"/>
      <c r="BH32" s="120"/>
      <c r="BI32" s="123"/>
      <c r="BJ32" s="119"/>
      <c r="BK32" s="119"/>
      <c r="BL32" s="119"/>
      <c r="BM32" s="119"/>
      <c r="BN32" s="120"/>
      <c r="BO32" s="123"/>
      <c r="BP32" s="119"/>
      <c r="BQ32" s="119"/>
      <c r="BR32" s="119"/>
      <c r="BS32" s="119"/>
      <c r="BT32" s="119"/>
    </row>
    <row r="33" spans="1:84" ht="19.8" x14ac:dyDescent="0.5">
      <c r="A33" s="447" t="s">
        <v>96</v>
      </c>
      <c r="B33" s="448"/>
      <c r="C33" s="448"/>
      <c r="D33" s="448"/>
      <c r="E33" s="448"/>
      <c r="F33" s="449"/>
      <c r="G33" s="432" t="s">
        <v>96</v>
      </c>
      <c r="H33" s="451"/>
      <c r="I33" s="451"/>
      <c r="J33" s="451"/>
      <c r="K33" s="451"/>
      <c r="L33" s="434"/>
      <c r="M33" s="447" t="s">
        <v>96</v>
      </c>
      <c r="N33" s="448"/>
      <c r="O33" s="448"/>
      <c r="P33" s="448"/>
      <c r="Q33" s="448"/>
      <c r="R33" s="449"/>
      <c r="S33" s="441" t="s">
        <v>96</v>
      </c>
      <c r="T33" s="442"/>
      <c r="U33" s="442"/>
      <c r="V33" s="442"/>
      <c r="W33" s="442"/>
      <c r="X33" s="443"/>
      <c r="Y33" s="441" t="s">
        <v>96</v>
      </c>
      <c r="Z33" s="442"/>
      <c r="AA33" s="442"/>
      <c r="AB33" s="442"/>
      <c r="AC33" s="442"/>
      <c r="AD33" s="443"/>
      <c r="AE33" s="432" t="s">
        <v>96</v>
      </c>
      <c r="AF33" s="433"/>
      <c r="AG33" s="433"/>
      <c r="AH33" s="433"/>
      <c r="AI33" s="433"/>
      <c r="AJ33" s="434"/>
      <c r="AK33" s="432" t="s">
        <v>96</v>
      </c>
      <c r="AL33" s="433"/>
      <c r="AM33" s="433"/>
      <c r="AN33" s="433"/>
      <c r="AO33" s="433"/>
      <c r="AP33" s="434"/>
      <c r="AQ33" s="432" t="s">
        <v>96</v>
      </c>
      <c r="AR33" s="433"/>
      <c r="AS33" s="433"/>
      <c r="AT33" s="433"/>
      <c r="AU33" s="433"/>
      <c r="AV33" s="434"/>
      <c r="AW33" s="432" t="s">
        <v>96</v>
      </c>
      <c r="AX33" s="433"/>
      <c r="AY33" s="433"/>
      <c r="AZ33" s="433"/>
      <c r="BA33" s="433"/>
      <c r="BB33" s="434"/>
      <c r="BC33" s="432" t="s">
        <v>96</v>
      </c>
      <c r="BD33" s="433"/>
      <c r="BE33" s="433"/>
      <c r="BF33" s="433"/>
      <c r="BG33" s="433"/>
      <c r="BH33" s="434"/>
      <c r="BI33" s="432" t="s">
        <v>96</v>
      </c>
      <c r="BJ33" s="433"/>
      <c r="BK33" s="433"/>
      <c r="BL33" s="433"/>
      <c r="BM33" s="433"/>
      <c r="BN33" s="434"/>
      <c r="BO33" s="432" t="s">
        <v>96</v>
      </c>
      <c r="BP33" s="433"/>
      <c r="BQ33" s="433"/>
      <c r="BR33" s="433"/>
      <c r="BS33" s="433"/>
      <c r="BT33" s="43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5">
      <c r="A34" s="239"/>
      <c r="B34" s="242"/>
      <c r="C34" s="242"/>
      <c r="D34" s="242"/>
      <c r="E34" s="242"/>
      <c r="F34" s="243"/>
      <c r="G34" s="116"/>
      <c r="H34" s="339"/>
      <c r="I34" s="339"/>
      <c r="J34" s="339"/>
      <c r="K34" s="339"/>
      <c r="L34" s="120"/>
      <c r="M34" s="239"/>
      <c r="N34" s="242"/>
      <c r="O34" s="242"/>
      <c r="P34" s="242"/>
      <c r="Q34" s="242"/>
      <c r="R34" s="243"/>
      <c r="S34" s="284"/>
      <c r="T34" s="287"/>
      <c r="U34" s="287"/>
      <c r="V34" s="287"/>
      <c r="W34" s="287"/>
      <c r="X34" s="288"/>
      <c r="Y34" s="284"/>
      <c r="Z34" s="287"/>
      <c r="AA34" s="287"/>
      <c r="AB34" s="287"/>
      <c r="AC34" s="287"/>
      <c r="AD34" s="288"/>
      <c r="AE34" s="116"/>
      <c r="AF34" s="119"/>
      <c r="AG34" s="119"/>
      <c r="AH34" s="119"/>
      <c r="AI34" s="119"/>
      <c r="AJ34" s="120"/>
      <c r="AK34" s="116"/>
      <c r="AL34" s="119"/>
      <c r="AM34" s="119"/>
      <c r="AN34" s="119"/>
      <c r="AO34" s="119"/>
      <c r="AP34" s="120"/>
      <c r="AQ34" s="116"/>
      <c r="AR34" s="119"/>
      <c r="AS34" s="119"/>
      <c r="AT34" s="119"/>
      <c r="AU34" s="119"/>
      <c r="AV34" s="120"/>
      <c r="AW34" s="116"/>
      <c r="AX34" s="119"/>
      <c r="AY34" s="119"/>
      <c r="AZ34" s="119"/>
      <c r="BA34" s="119"/>
      <c r="BB34" s="120"/>
      <c r="BC34" s="116"/>
      <c r="BD34" s="119"/>
      <c r="BE34" s="119"/>
      <c r="BF34" s="119"/>
      <c r="BG34" s="119"/>
      <c r="BH34" s="120"/>
      <c r="BI34" s="116"/>
      <c r="BJ34" s="119"/>
      <c r="BK34" s="119"/>
      <c r="BL34" s="119"/>
      <c r="BM34" s="119"/>
      <c r="BN34" s="120"/>
      <c r="BO34" s="123"/>
      <c r="BP34" s="119"/>
      <c r="BQ34" s="119"/>
      <c r="BR34" s="119"/>
      <c r="BS34" s="119"/>
      <c r="BT34" s="119"/>
    </row>
    <row r="35" spans="1:84" x14ac:dyDescent="0.25">
      <c r="A35" s="244"/>
      <c r="B35" s="242"/>
      <c r="C35" s="247"/>
      <c r="D35" s="247" t="s">
        <v>86</v>
      </c>
      <c r="E35" s="247" t="s">
        <v>87</v>
      </c>
      <c r="F35" s="243"/>
      <c r="G35" s="121"/>
      <c r="H35" s="339"/>
      <c r="I35" s="341"/>
      <c r="J35" s="341" t="s">
        <v>86</v>
      </c>
      <c r="K35" s="341" t="s">
        <v>87</v>
      </c>
      <c r="L35" s="120"/>
      <c r="M35" s="244"/>
      <c r="N35" s="242"/>
      <c r="O35" s="247"/>
      <c r="P35" s="247" t="s">
        <v>86</v>
      </c>
      <c r="Q35" s="247" t="s">
        <v>87</v>
      </c>
      <c r="R35" s="243"/>
      <c r="S35" s="289"/>
      <c r="T35" s="287"/>
      <c r="U35" s="292"/>
      <c r="V35" s="292" t="s">
        <v>86</v>
      </c>
      <c r="W35" s="292" t="s">
        <v>87</v>
      </c>
      <c r="X35" s="288"/>
      <c r="Y35" s="289"/>
      <c r="Z35" s="287"/>
      <c r="AA35" s="292"/>
      <c r="AB35" s="292" t="s">
        <v>86</v>
      </c>
      <c r="AC35" s="292" t="s">
        <v>87</v>
      </c>
      <c r="AD35" s="288"/>
      <c r="AE35" s="121"/>
      <c r="AF35" s="119"/>
      <c r="AG35" s="124"/>
      <c r="AH35" s="124" t="s">
        <v>86</v>
      </c>
      <c r="AI35" s="124" t="s">
        <v>87</v>
      </c>
      <c r="AJ35" s="120"/>
      <c r="AK35" s="121"/>
      <c r="AL35" s="119"/>
      <c r="AM35" s="124"/>
      <c r="AN35" s="124" t="s">
        <v>86</v>
      </c>
      <c r="AO35" s="124" t="s">
        <v>87</v>
      </c>
      <c r="AP35" s="120"/>
      <c r="AQ35" s="121"/>
      <c r="AR35" s="119"/>
      <c r="AS35" s="124"/>
      <c r="AT35" s="124" t="s">
        <v>86</v>
      </c>
      <c r="AU35" s="124" t="s">
        <v>87</v>
      </c>
      <c r="AV35" s="120"/>
      <c r="AW35" s="121"/>
      <c r="AX35" s="119"/>
      <c r="AY35" s="124"/>
      <c r="AZ35" s="124" t="s">
        <v>86</v>
      </c>
      <c r="BA35" s="124" t="s">
        <v>87</v>
      </c>
      <c r="BB35" s="120"/>
      <c r="BC35" s="121"/>
      <c r="BD35" s="119"/>
      <c r="BE35" s="124"/>
      <c r="BF35" s="124" t="s">
        <v>86</v>
      </c>
      <c r="BG35" s="124" t="s">
        <v>87</v>
      </c>
      <c r="BH35" s="120"/>
      <c r="BI35" s="121"/>
      <c r="BJ35" s="119"/>
      <c r="BK35" s="124"/>
      <c r="BL35" s="124" t="s">
        <v>86</v>
      </c>
      <c r="BM35" s="124" t="s">
        <v>87</v>
      </c>
      <c r="BN35" s="120"/>
      <c r="BO35" s="123"/>
      <c r="BP35" s="119"/>
      <c r="BQ35" s="124"/>
      <c r="BR35" s="124" t="s">
        <v>86</v>
      </c>
      <c r="BS35" s="124" t="s">
        <v>87</v>
      </c>
      <c r="BT35" s="119"/>
      <c r="BW35" s="165"/>
      <c r="BX35" s="165"/>
      <c r="BY35" s="165"/>
      <c r="CC35" s="165"/>
      <c r="CD35" s="165"/>
      <c r="CE35" s="165"/>
    </row>
    <row r="36" spans="1:84" x14ac:dyDescent="0.25">
      <c r="A36" s="246"/>
      <c r="B36" s="242"/>
      <c r="C36" s="258" t="s">
        <v>19</v>
      </c>
      <c r="D36" s="258" t="s">
        <v>88</v>
      </c>
      <c r="E36" s="258" t="s">
        <v>89</v>
      </c>
      <c r="F36" s="243"/>
      <c r="G36" s="123"/>
      <c r="H36" s="339"/>
      <c r="I36" s="141" t="s">
        <v>19</v>
      </c>
      <c r="J36" s="141" t="s">
        <v>88</v>
      </c>
      <c r="K36" s="141" t="s">
        <v>89</v>
      </c>
      <c r="L36" s="120"/>
      <c r="M36" s="246"/>
      <c r="N36" s="242"/>
      <c r="O36" s="258" t="s">
        <v>19</v>
      </c>
      <c r="P36" s="258" t="s">
        <v>88</v>
      </c>
      <c r="Q36" s="258" t="s">
        <v>89</v>
      </c>
      <c r="R36" s="243"/>
      <c r="S36" s="291"/>
      <c r="T36" s="287"/>
      <c r="U36" s="307" t="s">
        <v>19</v>
      </c>
      <c r="V36" s="307" t="s">
        <v>88</v>
      </c>
      <c r="W36" s="307" t="s">
        <v>89</v>
      </c>
      <c r="X36" s="288"/>
      <c r="Y36" s="291"/>
      <c r="Z36" s="287"/>
      <c r="AA36" s="307" t="s">
        <v>19</v>
      </c>
      <c r="AB36" s="307" t="s">
        <v>88</v>
      </c>
      <c r="AC36" s="307" t="s">
        <v>89</v>
      </c>
      <c r="AD36" s="288"/>
      <c r="AE36" s="123"/>
      <c r="AF36" s="119"/>
      <c r="AG36" s="141" t="s">
        <v>19</v>
      </c>
      <c r="AH36" s="141" t="s">
        <v>88</v>
      </c>
      <c r="AI36" s="141" t="s">
        <v>89</v>
      </c>
      <c r="AJ36" s="120"/>
      <c r="AK36" s="123"/>
      <c r="AL36" s="119"/>
      <c r="AM36" s="141" t="s">
        <v>19</v>
      </c>
      <c r="AN36" s="141" t="s">
        <v>88</v>
      </c>
      <c r="AO36" s="141" t="s">
        <v>89</v>
      </c>
      <c r="AP36" s="120"/>
      <c r="AQ36" s="123"/>
      <c r="AR36" s="119"/>
      <c r="AS36" s="141" t="s">
        <v>19</v>
      </c>
      <c r="AT36" s="141" t="s">
        <v>88</v>
      </c>
      <c r="AU36" s="141" t="s">
        <v>89</v>
      </c>
      <c r="AV36" s="120"/>
      <c r="AW36" s="123"/>
      <c r="AX36" s="119"/>
      <c r="AY36" s="141" t="s">
        <v>19</v>
      </c>
      <c r="AZ36" s="141" t="s">
        <v>88</v>
      </c>
      <c r="BA36" s="141" t="s">
        <v>89</v>
      </c>
      <c r="BB36" s="120"/>
      <c r="BC36" s="123"/>
      <c r="BD36" s="119"/>
      <c r="BE36" s="141" t="s">
        <v>19</v>
      </c>
      <c r="BF36" s="141" t="s">
        <v>88</v>
      </c>
      <c r="BG36" s="141" t="s">
        <v>89</v>
      </c>
      <c r="BH36" s="120"/>
      <c r="BI36" s="123"/>
      <c r="BJ36" s="119"/>
      <c r="BK36" s="141" t="s">
        <v>19</v>
      </c>
      <c r="BL36" s="141" t="s">
        <v>88</v>
      </c>
      <c r="BM36" s="141" t="s">
        <v>89</v>
      </c>
      <c r="BN36" s="120"/>
      <c r="BO36" s="123"/>
      <c r="BP36" s="119"/>
      <c r="BQ36" s="141" t="s">
        <v>19</v>
      </c>
      <c r="BR36" s="141" t="s">
        <v>88</v>
      </c>
      <c r="BS36" s="141" t="s">
        <v>89</v>
      </c>
      <c r="BT36" s="119"/>
      <c r="BW36" s="165"/>
      <c r="BX36" s="165"/>
      <c r="BY36" s="165"/>
      <c r="CC36" s="165"/>
      <c r="CD36" s="165"/>
      <c r="CE36" s="165"/>
    </row>
    <row r="37" spans="1:84" ht="16.8" x14ac:dyDescent="0.45">
      <c r="A37" s="249" t="str">
        <f>A10</f>
        <v>Projected Revenue Jul 20 - June 21</v>
      </c>
      <c r="B37" s="250"/>
      <c r="C37" s="251"/>
      <c r="D37" s="251"/>
      <c r="E37" s="251"/>
      <c r="F37" s="243"/>
      <c r="G37" s="126" t="str">
        <f>G10</f>
        <v>Projected Revenue Jan-Jun 2020</v>
      </c>
      <c r="H37" s="343"/>
      <c r="I37" s="344"/>
      <c r="J37" s="344"/>
      <c r="K37" s="344"/>
      <c r="L37" s="120"/>
      <c r="M37" s="249" t="str">
        <f>M10</f>
        <v>Projected Revenue Jul 19-Dec 19</v>
      </c>
      <c r="N37" s="250"/>
      <c r="O37" s="251"/>
      <c r="P37" s="251"/>
      <c r="Q37" s="251"/>
      <c r="R37" s="243"/>
      <c r="S37" s="294" t="str">
        <f>S10</f>
        <v>Projected Revenue Jan 19-Jun 19</v>
      </c>
      <c r="T37" s="295"/>
      <c r="U37" s="296"/>
      <c r="V37" s="296"/>
      <c r="W37" s="296"/>
      <c r="X37" s="288"/>
      <c r="Y37" s="294" t="str">
        <f>Y10</f>
        <v>Projected Revenue Jul 18-Dec 18</v>
      </c>
      <c r="Z37" s="295"/>
      <c r="AA37" s="296"/>
      <c r="AB37" s="296"/>
      <c r="AC37" s="296"/>
      <c r="AD37" s="288"/>
      <c r="AE37" s="126" t="str">
        <f>AE10</f>
        <v>Projected Revenue Aug 17-Jul 18</v>
      </c>
      <c r="AF37" s="127"/>
      <c r="AG37" s="128"/>
      <c r="AH37" s="128"/>
      <c r="AI37" s="128"/>
      <c r="AJ37" s="120"/>
      <c r="AK37" s="126" t="str">
        <f>AK10</f>
        <v>Apr-Dec projected value without adjustment factor</v>
      </c>
      <c r="AL37" s="127"/>
      <c r="AM37" s="128"/>
      <c r="AN37" s="128"/>
      <c r="AO37" s="128"/>
      <c r="AP37" s="120"/>
      <c r="AQ37" s="126" t="str">
        <f>AQ10</f>
        <v>Projected Revenue Jan-Dec 2016</v>
      </c>
      <c r="AR37" s="127"/>
      <c r="AS37" s="128"/>
      <c r="AT37" s="128"/>
      <c r="AU37" s="128"/>
      <c r="AV37" s="120"/>
      <c r="AW37" s="126" t="str">
        <f>AW10</f>
        <v>Projected Revenue Jan-Dec 2015</v>
      </c>
      <c r="AX37" s="127"/>
      <c r="AY37" s="128"/>
      <c r="AZ37" s="128"/>
      <c r="BA37" s="128"/>
      <c r="BB37" s="120"/>
      <c r="BC37" s="126" t="str">
        <f>BC10</f>
        <v>Projected Revenue Jan-Dec 2014</v>
      </c>
      <c r="BD37" s="127"/>
      <c r="BE37" s="128"/>
      <c r="BF37" s="128"/>
      <c r="BG37" s="128"/>
      <c r="BH37" s="120"/>
      <c r="BI37" s="126" t="str">
        <f>BI10</f>
        <v>Projected Revenue Jan-Dec 2013</v>
      </c>
      <c r="BJ37" s="127"/>
      <c r="BK37" s="128"/>
      <c r="BL37" s="128"/>
      <c r="BM37" s="128"/>
      <c r="BN37" s="120"/>
      <c r="BO37" s="126" t="str">
        <f>BO10</f>
        <v>Projected Revenue Jan-Dec 2012</v>
      </c>
      <c r="BP37" s="127"/>
      <c r="BQ37" s="128"/>
      <c r="BR37" s="128"/>
      <c r="BS37" s="128"/>
      <c r="BT37" s="119"/>
      <c r="BU37" s="167"/>
      <c r="BV37" s="167"/>
      <c r="BW37" s="168"/>
      <c r="BX37" s="168"/>
      <c r="BY37" s="168"/>
      <c r="CA37" s="167"/>
      <c r="CB37" s="167"/>
      <c r="CC37" s="168"/>
      <c r="CD37" s="168"/>
      <c r="CE37" s="168"/>
    </row>
    <row r="38" spans="1:84" x14ac:dyDescent="0.25">
      <c r="A38" s="246" t="str">
        <f>A11</f>
        <v xml:space="preserve">July 20-Sep 20 projected value </v>
      </c>
      <c r="B38" s="254"/>
      <c r="C38" s="252">
        <f>SUM('Calcs revised method'!D41:F41)</f>
        <v>5011</v>
      </c>
      <c r="D38" s="274">
        <f>J39</f>
        <v>-1.94</v>
      </c>
      <c r="E38" s="252">
        <f>D38*C38</f>
        <v>-9721.34</v>
      </c>
      <c r="F38" s="243"/>
      <c r="G38" s="123" t="str">
        <f>G11</f>
        <v>Jan-Mar projected value without adjustment factor</v>
      </c>
      <c r="H38" s="347"/>
      <c r="I38" s="345">
        <v>5013</v>
      </c>
      <c r="J38" s="274">
        <f>+P39</f>
        <v>-1.1100000000000001</v>
      </c>
      <c r="K38" s="346">
        <f>J38*I38</f>
        <v>-5564.43</v>
      </c>
      <c r="L38" s="120"/>
      <c r="M38" s="246" t="str">
        <f>M11</f>
        <v xml:space="preserve">Jul 19-Sep 19 projected value </v>
      </c>
      <c r="N38" s="254"/>
      <c r="O38" s="252">
        <v>5013</v>
      </c>
      <c r="P38" s="274">
        <f>+ROUND(AD52,2)</f>
        <v>-1.55</v>
      </c>
      <c r="Q38" s="252">
        <f>P38*O38</f>
        <v>-7770.1500000000005</v>
      </c>
      <c r="R38" s="243"/>
      <c r="S38" s="291" t="str">
        <f>S11</f>
        <v>Jan 19-Mar 19 projected value without adjustment factor</v>
      </c>
      <c r="T38" s="301"/>
      <c r="U38" s="297">
        <v>4701</v>
      </c>
      <c r="V38" s="274">
        <f>+ROUND(AJ52,2)</f>
        <v>-1.02</v>
      </c>
      <c r="W38" s="297">
        <f>V38*U38</f>
        <v>-4795.0200000000004</v>
      </c>
      <c r="X38" s="288"/>
      <c r="Y38" s="291" t="str">
        <f>Y11</f>
        <v>July 18-Sept 18 projected value without adjustment factor</v>
      </c>
      <c r="Z38" s="301"/>
      <c r="AA38" s="297">
        <v>4683</v>
      </c>
      <c r="AB38" s="274">
        <f>+AP52</f>
        <v>-0.28000000000000003</v>
      </c>
      <c r="AC38" s="297">
        <f>AB38*AA38</f>
        <v>-1311.2400000000002</v>
      </c>
      <c r="AD38" s="288"/>
      <c r="AE38" s="123" t="str">
        <f>AE11</f>
        <v>Aug 17- Mar 18 projected value without adjustment factor</v>
      </c>
      <c r="AF38" s="132"/>
      <c r="AG38" s="314">
        <f>SUM('Calcs revised method'!D41:K41)</f>
        <v>13356</v>
      </c>
      <c r="AH38" s="130">
        <f>+AV52</f>
        <v>-0.16</v>
      </c>
      <c r="AI38" s="129">
        <f>AH38*AG38</f>
        <v>-2136.96</v>
      </c>
      <c r="AJ38" s="120"/>
      <c r="AK38" s="123" t="str">
        <f>AK11</f>
        <v>Jan-Mar projected value without adjustment factor</v>
      </c>
      <c r="AL38" s="132"/>
      <c r="AM38" s="314">
        <f>SUM('Multi-Family 2017'!C11:C14)</f>
        <v>4587</v>
      </c>
      <c r="AN38" s="130">
        <f>+AT39</f>
        <v>0</v>
      </c>
      <c r="AO38" s="129">
        <f>AN38*AM38</f>
        <v>0</v>
      </c>
      <c r="AP38" s="120"/>
      <c r="AQ38" s="123" t="str">
        <f>AQ11</f>
        <v>Jan-Mar projected value without adjustment factor</v>
      </c>
      <c r="AR38" s="132"/>
      <c r="AS38" s="148">
        <f>SUM('Multi-Family 2016'!C11:C13)</f>
        <v>4047</v>
      </c>
      <c r="AT38" s="130">
        <f>+AZ39</f>
        <v>0</v>
      </c>
      <c r="AU38" s="129">
        <f>AT38*AS38</f>
        <v>0</v>
      </c>
      <c r="AV38" s="120"/>
      <c r="AW38" s="123" t="str">
        <f>AW11</f>
        <v>Jan-Mar projected value without adjustment factor</v>
      </c>
      <c r="AX38" s="132"/>
      <c r="AY38" s="148">
        <f>SUM('Multi-Family 2015'!C11:C13)</f>
        <v>4047</v>
      </c>
      <c r="AZ38" s="130">
        <f>+BF39</f>
        <v>0.1</v>
      </c>
      <c r="BA38" s="129">
        <f>AZ38*AY38</f>
        <v>404.70000000000005</v>
      </c>
      <c r="BB38" s="120"/>
      <c r="BC38" s="123" t="str">
        <f>BC11</f>
        <v>Jan-Mar projected value without adjustment factor</v>
      </c>
      <c r="BD38" s="132"/>
      <c r="BE38" s="148">
        <f>SUM('Multi-Family 2014'!C11:C13)</f>
        <v>4047</v>
      </c>
      <c r="BF38" s="130">
        <f>BL39</f>
        <v>1.8001613104135528</v>
      </c>
      <c r="BG38" s="129">
        <f>BF38*BE38</f>
        <v>7285.252823243648</v>
      </c>
      <c r="BH38" s="120"/>
      <c r="BI38" s="123" t="str">
        <f>BI11</f>
        <v>Jan-Mar projected value without adjustment factor</v>
      </c>
      <c r="BJ38" s="132"/>
      <c r="BK38" s="129">
        <f>SUM('Multi-Family Year 2013'!C11:C13)</f>
        <v>4047</v>
      </c>
      <c r="BL38" s="130">
        <f>BR39</f>
        <v>3.407</v>
      </c>
      <c r="BM38" s="129">
        <f>BL38*BK38</f>
        <v>13788.129000000001</v>
      </c>
      <c r="BN38" s="120"/>
      <c r="BO38" s="123" t="str">
        <f>BO11</f>
        <v>Jan-Mar projected value without adjustment factor</v>
      </c>
      <c r="BP38" s="132"/>
      <c r="BQ38" s="129">
        <f>SUM('[1]BI Multi-Family 2012'!$C$11:$C$13)</f>
        <v>4011</v>
      </c>
      <c r="BR38" s="130">
        <f>'[1]Credit Calc-Multi Family 2013'!$I$47</f>
        <v>1.8</v>
      </c>
      <c r="BS38" s="129">
        <f>BR38*BQ38</f>
        <v>7219.8</v>
      </c>
      <c r="BT38" s="119"/>
      <c r="BV38" s="172"/>
      <c r="BW38" s="169"/>
      <c r="BX38" s="170"/>
      <c r="BY38" s="169"/>
      <c r="CB38" s="172"/>
      <c r="CC38" s="169"/>
      <c r="CD38" s="170"/>
      <c r="CE38" s="169"/>
    </row>
    <row r="39" spans="1:84" ht="15" x14ac:dyDescent="0.4">
      <c r="A39" s="253" t="str">
        <f>A12</f>
        <v xml:space="preserve">Oct 20 - June 21 projected value </v>
      </c>
      <c r="B39" s="254"/>
      <c r="C39" s="351">
        <f>SUM('Calcs revised method'!G41:O41)</f>
        <v>15021</v>
      </c>
      <c r="D39" s="274">
        <f>L52</f>
        <v>-2</v>
      </c>
      <c r="E39" s="318">
        <f>D39*C39</f>
        <v>-30042</v>
      </c>
      <c r="F39" s="243"/>
      <c r="G39" s="123" t="str">
        <f>G12</f>
        <v>Apr-Jun projected value without adjustment factor</v>
      </c>
      <c r="H39" s="347"/>
      <c r="I39" s="329">
        <v>5013</v>
      </c>
      <c r="J39" s="274">
        <f>R52</f>
        <v>-1.94</v>
      </c>
      <c r="K39" s="348">
        <f>J39*I39</f>
        <v>-9725.2199999999993</v>
      </c>
      <c r="L39" s="120"/>
      <c r="M39" s="253" t="str">
        <f>M12</f>
        <v xml:space="preserve">Oct 19-Dec 19 projected value </v>
      </c>
      <c r="N39" s="254"/>
      <c r="O39" s="318">
        <v>5013</v>
      </c>
      <c r="P39" s="274">
        <f>ROUND(X52,2)</f>
        <v>-1.1100000000000001</v>
      </c>
      <c r="Q39" s="318">
        <f>P39*O39</f>
        <v>-5564.43</v>
      </c>
      <c r="R39" s="243"/>
      <c r="S39" s="300" t="str">
        <f>S12</f>
        <v>Apr 19-Jun 19 projected value without adjustment factor</v>
      </c>
      <c r="T39" s="301"/>
      <c r="U39" s="298">
        <v>4695</v>
      </c>
      <c r="V39" s="274">
        <f>ROUND(AD52,2)</f>
        <v>-1.55</v>
      </c>
      <c r="W39" s="298">
        <f>V39*U39</f>
        <v>-7277.25</v>
      </c>
      <c r="X39" s="288"/>
      <c r="Y39" s="300" t="str">
        <f>Y12</f>
        <v>Oct 18- Dec 18 projected value without adjustment factor</v>
      </c>
      <c r="Z39" s="301"/>
      <c r="AA39" s="298">
        <v>4683</v>
      </c>
      <c r="AB39" s="274">
        <f>+AJ52</f>
        <v>-1.02</v>
      </c>
      <c r="AC39" s="298">
        <f>AB39*AA39</f>
        <v>-4776.66</v>
      </c>
      <c r="AD39" s="288"/>
      <c r="AE39" s="131" t="str">
        <f>AE12</f>
        <v>Apr 18- July 18 projected value without adjustment factor</v>
      </c>
      <c r="AF39" s="132"/>
      <c r="AG39" s="315">
        <f>SUM('Calcs revised method'!L41:O41)</f>
        <v>6676</v>
      </c>
      <c r="AH39" s="130">
        <f>+AP52</f>
        <v>-0.28000000000000003</v>
      </c>
      <c r="AI39" s="133">
        <f>AH39*AG39</f>
        <v>-1869.2800000000002</v>
      </c>
      <c r="AJ39" s="120"/>
      <c r="AK39" s="131" t="str">
        <f>AK12</f>
        <v>Apr-Dec projected value without adjustment factor</v>
      </c>
      <c r="AL39" s="132"/>
      <c r="AM39" s="315">
        <f>SUM('Multi-Family 2017'!C15:C23)</f>
        <v>13985</v>
      </c>
      <c r="AN39" s="130">
        <f>AV52</f>
        <v>-0.16</v>
      </c>
      <c r="AO39" s="133">
        <f>AN39*AM39</f>
        <v>-2237.6</v>
      </c>
      <c r="AP39" s="120"/>
      <c r="AQ39" s="131" t="str">
        <f>AQ12</f>
        <v>Apr-Dec projected value without adjustment factor</v>
      </c>
      <c r="AR39" s="132"/>
      <c r="AS39" s="149">
        <f>SUM('Multi-Family 2016'!C14:C22)</f>
        <v>12141</v>
      </c>
      <c r="AT39" s="130">
        <f>BB52</f>
        <v>0</v>
      </c>
      <c r="AU39" s="133">
        <f>AT39*AS39</f>
        <v>0</v>
      </c>
      <c r="AV39" s="120"/>
      <c r="AW39" s="131" t="str">
        <f>AW12</f>
        <v>Apr-Dec projected value without adjustment factor</v>
      </c>
      <c r="AX39" s="132"/>
      <c r="AY39" s="149">
        <f>SUM('Multi-Family 2015'!C14:C22)</f>
        <v>12141</v>
      </c>
      <c r="AZ39" s="130">
        <f>BH52</f>
        <v>0</v>
      </c>
      <c r="BA39" s="133">
        <f>AZ39*AY39</f>
        <v>0</v>
      </c>
      <c r="BB39" s="120"/>
      <c r="BC39" s="131" t="str">
        <f>BC12</f>
        <v>Apr-Dec projected value without adjustment factor</v>
      </c>
      <c r="BD39" s="132"/>
      <c r="BE39" s="149">
        <f>SUM('Multi-Family 2014'!C14:C22)</f>
        <v>12141</v>
      </c>
      <c r="BF39" s="130">
        <f>BN52</f>
        <v>0.1</v>
      </c>
      <c r="BG39" s="133">
        <f>BF39*BE39</f>
        <v>1214.1000000000001</v>
      </c>
      <c r="BH39" s="120"/>
      <c r="BI39" s="131" t="str">
        <f>BI12</f>
        <v>Apr-Dec projected value without adjustment factor</v>
      </c>
      <c r="BJ39" s="132"/>
      <c r="BK39" s="133">
        <f>SUM('Multi-Family Year 2013'!C14:C22)</f>
        <v>12141</v>
      </c>
      <c r="BL39" s="130">
        <f>BT52</f>
        <v>1.8001613104135528</v>
      </c>
      <c r="BM39" s="133">
        <f>BL39*BK39</f>
        <v>21855.758469730943</v>
      </c>
      <c r="BN39" s="120"/>
      <c r="BO39" s="131" t="str">
        <f>BO12</f>
        <v>Apr-Dec projected value without adjustment factor</v>
      </c>
      <c r="BP39" s="132"/>
      <c r="BQ39" s="133">
        <f>SUM('[1]BI Multi-Family 2012'!$C$14:$C$22)</f>
        <v>12045</v>
      </c>
      <c r="BR39" s="130">
        <v>3.407</v>
      </c>
      <c r="BS39" s="133">
        <f>BR39*BQ39</f>
        <v>41037.315000000002</v>
      </c>
      <c r="BT39" s="119"/>
      <c r="BU39" s="171"/>
      <c r="BV39" s="172"/>
      <c r="BW39" s="173"/>
      <c r="BX39" s="170"/>
      <c r="BY39" s="173"/>
      <c r="CA39" s="171"/>
      <c r="CB39" s="172"/>
      <c r="CC39" s="173"/>
      <c r="CD39" s="170"/>
      <c r="CE39" s="173"/>
    </row>
    <row r="40" spans="1:84" x14ac:dyDescent="0.25">
      <c r="A40" s="246" t="s">
        <v>87</v>
      </c>
      <c r="B40" s="242"/>
      <c r="C40" s="252">
        <f>SUM(C38:C39)</f>
        <v>20032</v>
      </c>
      <c r="D40" s="242"/>
      <c r="E40" s="252">
        <f>SUM(E38:E39)</f>
        <v>-39763.339999999997</v>
      </c>
      <c r="F40" s="243"/>
      <c r="G40" s="123" t="s">
        <v>87</v>
      </c>
      <c r="H40" s="339"/>
      <c r="I40" s="346">
        <f>SUM(I38:I39)</f>
        <v>10026</v>
      </c>
      <c r="J40" s="339"/>
      <c r="K40" s="346">
        <f>SUM(K38:K39)</f>
        <v>-15289.65</v>
      </c>
      <c r="L40" s="120"/>
      <c r="M40" s="246" t="s">
        <v>87</v>
      </c>
      <c r="N40" s="242"/>
      <c r="O40" s="252">
        <f>SUM(O38:O39)</f>
        <v>10026</v>
      </c>
      <c r="P40" s="242"/>
      <c r="Q40" s="252">
        <f>SUM(Q38:Q39)</f>
        <v>-13334.580000000002</v>
      </c>
      <c r="R40" s="243"/>
      <c r="S40" s="291" t="s">
        <v>87</v>
      </c>
      <c r="T40" s="287"/>
      <c r="U40" s="297">
        <f>SUM(U38:U39)</f>
        <v>9396</v>
      </c>
      <c r="V40" s="287"/>
      <c r="W40" s="297">
        <f>SUM(W38:W39)</f>
        <v>-12072.27</v>
      </c>
      <c r="X40" s="288"/>
      <c r="Y40" s="291" t="s">
        <v>87</v>
      </c>
      <c r="Z40" s="287"/>
      <c r="AA40" s="297">
        <f>SUM(AA38:AA39)</f>
        <v>9366</v>
      </c>
      <c r="AB40" s="287"/>
      <c r="AC40" s="297">
        <f>SUM(AC38:AC39)</f>
        <v>-6087.9</v>
      </c>
      <c r="AD40" s="288"/>
      <c r="AE40" s="123" t="s">
        <v>87</v>
      </c>
      <c r="AF40" s="119"/>
      <c r="AG40" s="129">
        <f>SUM(AG38:AG39)</f>
        <v>20032</v>
      </c>
      <c r="AH40" s="119"/>
      <c r="AI40" s="129">
        <f>SUM(AI38:AI39)</f>
        <v>-4006.2400000000002</v>
      </c>
      <c r="AJ40" s="120"/>
      <c r="AK40" s="123" t="s">
        <v>87</v>
      </c>
      <c r="AL40" s="119"/>
      <c r="AM40" s="129">
        <f>SUM(AM38:AM39)</f>
        <v>18572</v>
      </c>
      <c r="AN40" s="119"/>
      <c r="AO40" s="129">
        <f>SUM(AO38:AO39)</f>
        <v>-2237.6</v>
      </c>
      <c r="AP40" s="120"/>
      <c r="AQ40" s="123" t="s">
        <v>87</v>
      </c>
      <c r="AR40" s="119"/>
      <c r="AS40" s="129">
        <f>SUM(AS38:AS39)</f>
        <v>16188</v>
      </c>
      <c r="AT40" s="119"/>
      <c r="AU40" s="129">
        <f>SUM(AU38:AU39)</f>
        <v>0</v>
      </c>
      <c r="AV40" s="120"/>
      <c r="AW40" s="123" t="s">
        <v>87</v>
      </c>
      <c r="AX40" s="119"/>
      <c r="AY40" s="129">
        <f>SUM(AY38:AY39)</f>
        <v>16188</v>
      </c>
      <c r="AZ40" s="119"/>
      <c r="BA40" s="129">
        <f>SUM(BA38:BA39)</f>
        <v>404.70000000000005</v>
      </c>
      <c r="BB40" s="120"/>
      <c r="BC40" s="123" t="s">
        <v>87</v>
      </c>
      <c r="BD40" s="119"/>
      <c r="BE40" s="129">
        <f>SUM(BE38:BE39)</f>
        <v>16188</v>
      </c>
      <c r="BF40" s="119"/>
      <c r="BG40" s="129">
        <f>SUM(BG38:BG39)</f>
        <v>8499.3528232436474</v>
      </c>
      <c r="BH40" s="120"/>
      <c r="BI40" s="123" t="s">
        <v>87</v>
      </c>
      <c r="BJ40" s="119"/>
      <c r="BK40" s="129">
        <f>SUM(BK38:BK39)</f>
        <v>16188</v>
      </c>
      <c r="BL40" s="119"/>
      <c r="BM40" s="129">
        <f>SUM(BM38:BM39)</f>
        <v>35643.887469730944</v>
      </c>
      <c r="BN40" s="120"/>
      <c r="BO40" s="123" t="s">
        <v>87</v>
      </c>
      <c r="BP40" s="119"/>
      <c r="BQ40" s="129">
        <f>SUM(BQ38:BQ39)</f>
        <v>16056</v>
      </c>
      <c r="BR40" s="119"/>
      <c r="BS40" s="129">
        <f>SUM(BS38:BS39)</f>
        <v>48257.115000000005</v>
      </c>
      <c r="BT40" s="119"/>
      <c r="BW40" s="169"/>
      <c r="BY40" s="169"/>
      <c r="CC40" s="169"/>
      <c r="CE40" s="169"/>
    </row>
    <row r="41" spans="1:84" x14ac:dyDescent="0.25">
      <c r="A41" s="246"/>
      <c r="B41" s="242"/>
      <c r="C41" s="242"/>
      <c r="D41" s="242"/>
      <c r="E41" s="242"/>
      <c r="F41" s="243"/>
      <c r="G41" s="123"/>
      <c r="H41" s="339"/>
      <c r="I41" s="339"/>
      <c r="J41" s="339"/>
      <c r="K41" s="339"/>
      <c r="L41" s="120"/>
      <c r="M41" s="246"/>
      <c r="N41" s="242"/>
      <c r="O41" s="242"/>
      <c r="P41" s="242"/>
      <c r="Q41" s="242"/>
      <c r="R41" s="243"/>
      <c r="S41" s="291"/>
      <c r="T41" s="287"/>
      <c r="U41" s="287"/>
      <c r="V41" s="287"/>
      <c r="W41" s="287"/>
      <c r="X41" s="288"/>
      <c r="Y41" s="291"/>
      <c r="Z41" s="287"/>
      <c r="AA41" s="287"/>
      <c r="AB41" s="287"/>
      <c r="AC41" s="287"/>
      <c r="AD41" s="288"/>
      <c r="AE41" s="123"/>
      <c r="AF41" s="119"/>
      <c r="AG41" s="119"/>
      <c r="AH41" s="119"/>
      <c r="AI41" s="119"/>
      <c r="AJ41" s="120"/>
      <c r="AK41" s="123"/>
      <c r="AL41" s="119"/>
      <c r="AM41" s="119"/>
      <c r="AN41" s="119"/>
      <c r="AO41" s="119"/>
      <c r="AP41" s="120"/>
      <c r="AQ41" s="123"/>
      <c r="AR41" s="119"/>
      <c r="AS41" s="119"/>
      <c r="AT41" s="119"/>
      <c r="AU41" s="119"/>
      <c r="AV41" s="120"/>
      <c r="AW41" s="123"/>
      <c r="AX41" s="119"/>
      <c r="AY41" s="119"/>
      <c r="AZ41" s="119"/>
      <c r="BA41" s="119"/>
      <c r="BB41" s="120"/>
      <c r="BC41" s="123"/>
      <c r="BD41" s="119"/>
      <c r="BE41" s="119"/>
      <c r="BF41" s="119"/>
      <c r="BG41" s="119"/>
      <c r="BH41" s="120"/>
      <c r="BI41" s="123"/>
      <c r="BJ41" s="119"/>
      <c r="BK41" s="119"/>
      <c r="BL41" s="119"/>
      <c r="BM41" s="119"/>
      <c r="BN41" s="120"/>
      <c r="BO41" s="123"/>
      <c r="BP41" s="119"/>
      <c r="BQ41" s="119"/>
      <c r="BR41" s="119"/>
      <c r="BS41" s="119"/>
      <c r="BT41" s="119"/>
    </row>
    <row r="42" spans="1:84" x14ac:dyDescent="0.25">
      <c r="A42" s="246" t="s">
        <v>90</v>
      </c>
      <c r="B42" s="242"/>
      <c r="C42" s="242"/>
      <c r="D42" s="242"/>
      <c r="E42" s="252">
        <f>+'Calcs revised method'!P51</f>
        <v>-25343.52116510853</v>
      </c>
      <c r="F42" s="243"/>
      <c r="G42" s="123" t="s">
        <v>90</v>
      </c>
      <c r="H42" s="339"/>
      <c r="I42" s="339"/>
      <c r="J42" s="339"/>
      <c r="K42" s="345">
        <v>-20890</v>
      </c>
      <c r="L42" s="120"/>
      <c r="M42" s="246" t="s">
        <v>90</v>
      </c>
      <c r="N42" s="242"/>
      <c r="O42" s="242"/>
      <c r="P42" s="242"/>
      <c r="Q42" s="252">
        <v>-19462</v>
      </c>
      <c r="R42" s="243"/>
      <c r="S42" s="291" t="s">
        <v>90</v>
      </c>
      <c r="T42" s="287"/>
      <c r="U42" s="287"/>
      <c r="V42" s="287"/>
      <c r="W42" s="297">
        <v>-10447</v>
      </c>
      <c r="X42" s="288"/>
      <c r="Y42" s="291" t="s">
        <v>90</v>
      </c>
      <c r="Z42" s="287"/>
      <c r="AA42" s="287"/>
      <c r="AB42" s="287"/>
      <c r="AC42" s="297">
        <v>-14486</v>
      </c>
      <c r="AD42" s="288"/>
      <c r="AE42" s="123" t="s">
        <v>90</v>
      </c>
      <c r="AF42" s="119"/>
      <c r="AG42" s="119"/>
      <c r="AH42" s="119"/>
      <c r="AI42" s="314">
        <v>-14539</v>
      </c>
      <c r="AJ42" s="120"/>
      <c r="AK42" s="123" t="s">
        <v>90</v>
      </c>
      <c r="AL42" s="119"/>
      <c r="AM42" s="119"/>
      <c r="AN42" s="119"/>
      <c r="AO42" s="314">
        <f>+'Multi-Family 2017'!G28+'Multi-Family 2017'!F31</f>
        <v>-3650.4661046797742</v>
      </c>
      <c r="AP42" s="120"/>
      <c r="AQ42" s="123" t="s">
        <v>90</v>
      </c>
      <c r="AR42" s="119"/>
      <c r="AS42" s="119"/>
      <c r="AT42" s="119"/>
      <c r="AU42" s="148">
        <f>+'Multi-Family 2016'!G23+'Multi-Family 2016'!F28</f>
        <v>-2619.003846428448</v>
      </c>
      <c r="AV42" s="120"/>
      <c r="AW42" s="123" t="s">
        <v>90</v>
      </c>
      <c r="AX42" s="119"/>
      <c r="AY42" s="119"/>
      <c r="AZ42" s="119"/>
      <c r="BA42" s="148">
        <f>+'Multi-Family 2015'!G23</f>
        <v>-4055.5025000000005</v>
      </c>
      <c r="BB42" s="120"/>
      <c r="BC42" s="123" t="s">
        <v>90</v>
      </c>
      <c r="BD42" s="119"/>
      <c r="BE42" s="119"/>
      <c r="BF42" s="119"/>
      <c r="BG42" s="148">
        <v>0</v>
      </c>
      <c r="BH42" s="120"/>
      <c r="BI42" s="123" t="s">
        <v>90</v>
      </c>
      <c r="BJ42" s="119"/>
      <c r="BK42" s="119"/>
      <c r="BL42" s="119"/>
      <c r="BM42" s="148">
        <f>'Multi-Family Year 2013'!G23</f>
        <v>1570.7950000000001</v>
      </c>
      <c r="BN42" s="120"/>
      <c r="BO42" s="123" t="s">
        <v>90</v>
      </c>
      <c r="BP42" s="119"/>
      <c r="BQ42" s="119"/>
      <c r="BR42" s="119"/>
      <c r="BS42" s="129">
        <f>'[1]BI Multi-Family 2012'!$G$23</f>
        <v>28903.390000000003</v>
      </c>
      <c r="BT42" s="119"/>
      <c r="BY42" s="169"/>
      <c r="CE42" s="169"/>
    </row>
    <row r="43" spans="1:84" x14ac:dyDescent="0.25">
      <c r="A43" s="246"/>
      <c r="B43" s="242"/>
      <c r="C43" s="242"/>
      <c r="D43" s="242"/>
      <c r="E43" s="242"/>
      <c r="F43" s="243"/>
      <c r="G43" s="123"/>
      <c r="H43" s="339"/>
      <c r="I43" s="339"/>
      <c r="J43" s="339"/>
      <c r="K43" s="339"/>
      <c r="L43" s="120"/>
      <c r="M43" s="246"/>
      <c r="N43" s="242"/>
      <c r="O43" s="242"/>
      <c r="P43" s="242"/>
      <c r="Q43" s="242"/>
      <c r="R43" s="243"/>
      <c r="S43" s="291"/>
      <c r="T43" s="287"/>
      <c r="U43" s="287"/>
      <c r="V43" s="287"/>
      <c r="W43" s="287"/>
      <c r="X43" s="288"/>
      <c r="Y43" s="291"/>
      <c r="Z43" s="287"/>
      <c r="AA43" s="287"/>
      <c r="AB43" s="287"/>
      <c r="AC43" s="287"/>
      <c r="AD43" s="288"/>
      <c r="AE43" s="123"/>
      <c r="AF43" s="119"/>
      <c r="AG43" s="119"/>
      <c r="AH43" s="119"/>
      <c r="AI43" s="119"/>
      <c r="AJ43" s="120"/>
      <c r="AK43" s="123"/>
      <c r="AL43" s="119"/>
      <c r="AM43" s="119"/>
      <c r="AN43" s="119"/>
      <c r="AO43" s="119"/>
      <c r="AP43" s="120"/>
      <c r="AQ43" s="123"/>
      <c r="AR43" s="119"/>
      <c r="AS43" s="119"/>
      <c r="AT43" s="119"/>
      <c r="AU43" s="119"/>
      <c r="AV43" s="120"/>
      <c r="AW43" s="123" t="s">
        <v>162</v>
      </c>
      <c r="AX43" s="119"/>
      <c r="AY43" s="119"/>
      <c r="AZ43" s="119"/>
      <c r="BA43" s="148">
        <f>-BA42</f>
        <v>4055.5025000000005</v>
      </c>
      <c r="BB43" s="120"/>
      <c r="BC43" s="123"/>
      <c r="BD43" s="119"/>
      <c r="BE43" s="119"/>
      <c r="BF43" s="119"/>
      <c r="BG43" s="119"/>
      <c r="BH43" s="120"/>
      <c r="BI43" s="123"/>
      <c r="BJ43" s="119"/>
      <c r="BK43" s="119"/>
      <c r="BL43" s="119"/>
      <c r="BM43" s="119"/>
      <c r="BN43" s="120"/>
      <c r="BO43" s="123"/>
      <c r="BP43" s="119"/>
      <c r="BQ43" s="119"/>
      <c r="BR43" s="119"/>
      <c r="BS43" s="119"/>
      <c r="BT43" s="119"/>
    </row>
    <row r="44" spans="1:84" x14ac:dyDescent="0.25">
      <c r="A44" s="246" t="s">
        <v>91</v>
      </c>
      <c r="B44" s="242"/>
      <c r="C44" s="242"/>
      <c r="D44" s="242"/>
      <c r="E44" s="252">
        <f>E42-E40</f>
        <v>14419.818834891466</v>
      </c>
      <c r="F44" s="243"/>
      <c r="G44" s="123" t="s">
        <v>91</v>
      </c>
      <c r="H44" s="339"/>
      <c r="I44" s="339"/>
      <c r="J44" s="339"/>
      <c r="K44" s="346">
        <v>-5601</v>
      </c>
      <c r="L44" s="120"/>
      <c r="M44" s="246" t="s">
        <v>91</v>
      </c>
      <c r="N44" s="242"/>
      <c r="O44" s="242"/>
      <c r="P44" s="242"/>
      <c r="Q44" s="252">
        <f>Q42-Q40</f>
        <v>-6127.4199999999983</v>
      </c>
      <c r="R44" s="243"/>
      <c r="S44" s="291" t="s">
        <v>91</v>
      </c>
      <c r="T44" s="287"/>
      <c r="U44" s="287"/>
      <c r="V44" s="287"/>
      <c r="W44" s="297">
        <f>W42-W40</f>
        <v>1625.2700000000004</v>
      </c>
      <c r="X44" s="288"/>
      <c r="Y44" s="291" t="s">
        <v>91</v>
      </c>
      <c r="Z44" s="287"/>
      <c r="AA44" s="287"/>
      <c r="AB44" s="287"/>
      <c r="AC44" s="297">
        <f>AC42-AC40</f>
        <v>-8398.1</v>
      </c>
      <c r="AD44" s="288"/>
      <c r="AE44" s="123" t="s">
        <v>91</v>
      </c>
      <c r="AF44" s="119"/>
      <c r="AG44" s="119"/>
      <c r="AH44" s="119"/>
      <c r="AI44" s="129">
        <f>AI42-AI40</f>
        <v>-10532.76</v>
      </c>
      <c r="AJ44" s="120"/>
      <c r="AK44" s="123" t="s">
        <v>91</v>
      </c>
      <c r="AL44" s="119"/>
      <c r="AM44" s="119"/>
      <c r="AN44" s="119"/>
      <c r="AO44" s="129">
        <f>AO42-AO40</f>
        <v>-1412.8661046797743</v>
      </c>
      <c r="AP44" s="120"/>
      <c r="AQ44" s="123" t="s">
        <v>91</v>
      </c>
      <c r="AR44" s="119"/>
      <c r="AS44" s="119"/>
      <c r="AT44" s="119"/>
      <c r="AU44" s="129">
        <f>AU42-AU40</f>
        <v>-2619.003846428448</v>
      </c>
      <c r="AV44" s="120"/>
      <c r="AW44" s="123" t="s">
        <v>91</v>
      </c>
      <c r="AX44" s="119"/>
      <c r="AY44" s="119"/>
      <c r="AZ44" s="119"/>
      <c r="BA44" s="129">
        <f>BA42-BA40+BA43</f>
        <v>-404.69999999999982</v>
      </c>
      <c r="BB44" s="120"/>
      <c r="BC44" s="123" t="s">
        <v>91</v>
      </c>
      <c r="BD44" s="119"/>
      <c r="BE44" s="119"/>
      <c r="BF44" s="119"/>
      <c r="BG44" s="129">
        <f>BG42-BG40</f>
        <v>-8499.3528232436474</v>
      </c>
      <c r="BH44" s="120"/>
      <c r="BI44" s="123" t="s">
        <v>91</v>
      </c>
      <c r="BJ44" s="119"/>
      <c r="BK44" s="119"/>
      <c r="BL44" s="119"/>
      <c r="BM44" s="129">
        <f>BM42-BM40</f>
        <v>-34073.092469730946</v>
      </c>
      <c r="BN44" s="120"/>
      <c r="BO44" s="123" t="s">
        <v>91</v>
      </c>
      <c r="BP44" s="119"/>
      <c r="BQ44" s="119"/>
      <c r="BR44" s="119"/>
      <c r="BS44" s="129">
        <f>BS42-BS40</f>
        <v>-19353.725000000002</v>
      </c>
      <c r="BT44" s="119"/>
      <c r="BY44" s="169"/>
      <c r="CE44" s="169"/>
    </row>
    <row r="45" spans="1:84" x14ac:dyDescent="0.25">
      <c r="A45" s="246"/>
      <c r="B45" s="242"/>
      <c r="C45" s="242"/>
      <c r="D45" s="242"/>
      <c r="E45" s="242"/>
      <c r="F45" s="243"/>
      <c r="G45" s="123"/>
      <c r="H45" s="339"/>
      <c r="I45" s="339"/>
      <c r="J45" s="339"/>
      <c r="K45" s="339"/>
      <c r="L45" s="120"/>
      <c r="M45" s="246"/>
      <c r="N45" s="242"/>
      <c r="O45" s="242"/>
      <c r="P45" s="242"/>
      <c r="Q45" s="242"/>
      <c r="R45" s="243"/>
      <c r="S45" s="291"/>
      <c r="T45" s="287"/>
      <c r="U45" s="287"/>
      <c r="V45" s="287"/>
      <c r="W45" s="287"/>
      <c r="X45" s="288"/>
      <c r="Y45" s="291"/>
      <c r="Z45" s="287"/>
      <c r="AA45" s="287"/>
      <c r="AB45" s="287"/>
      <c r="AC45" s="287"/>
      <c r="AD45" s="288"/>
      <c r="AE45" s="123"/>
      <c r="AF45" s="119"/>
      <c r="AG45" s="119"/>
      <c r="AH45" s="119"/>
      <c r="AI45" s="119"/>
      <c r="AJ45" s="120"/>
      <c r="AK45" s="123"/>
      <c r="AL45" s="119"/>
      <c r="AM45" s="119"/>
      <c r="AN45" s="119"/>
      <c r="AO45" s="119"/>
      <c r="AP45" s="120"/>
      <c r="AQ45" s="123"/>
      <c r="AR45" s="119"/>
      <c r="AS45" s="119"/>
      <c r="AT45" s="119"/>
      <c r="AU45" s="119"/>
      <c r="AV45" s="120"/>
      <c r="AW45" s="123"/>
      <c r="AX45" s="119"/>
      <c r="AY45" s="119"/>
      <c r="AZ45" s="119"/>
      <c r="BA45" s="119"/>
      <c r="BB45" s="120"/>
      <c r="BC45" s="123"/>
      <c r="BD45" s="119"/>
      <c r="BE45" s="119"/>
      <c r="BF45" s="119"/>
      <c r="BG45" s="119"/>
      <c r="BH45" s="120"/>
      <c r="BI45" s="123"/>
      <c r="BJ45" s="119"/>
      <c r="BK45" s="119"/>
      <c r="BL45" s="119"/>
      <c r="BM45" s="119"/>
      <c r="BN45" s="120"/>
      <c r="BO45" s="123"/>
      <c r="BP45" s="119"/>
      <c r="BQ45" s="119"/>
      <c r="BR45" s="119"/>
      <c r="BS45" s="119"/>
      <c r="BT45" s="119"/>
    </row>
    <row r="46" spans="1:84" x14ac:dyDescent="0.25">
      <c r="A46" s="246" t="s">
        <v>92</v>
      </c>
      <c r="B46" s="242"/>
      <c r="C46" s="242"/>
      <c r="D46" s="242"/>
      <c r="E46" s="252">
        <f>+'Calcs revised method'!P41</f>
        <v>20032</v>
      </c>
      <c r="F46" s="243"/>
      <c r="G46" s="123" t="s">
        <v>92</v>
      </c>
      <c r="H46" s="339"/>
      <c r="I46" s="339"/>
      <c r="J46" s="339"/>
      <c r="K46" s="346">
        <v>20052</v>
      </c>
      <c r="L46" s="120"/>
      <c r="M46" s="246" t="s">
        <v>92</v>
      </c>
      <c r="N46" s="242"/>
      <c r="O46" s="242"/>
      <c r="P46" s="242"/>
      <c r="Q46" s="252">
        <f>+O40</f>
        <v>10026</v>
      </c>
      <c r="R46" s="243"/>
      <c r="S46" s="291" t="s">
        <v>92</v>
      </c>
      <c r="T46" s="287"/>
      <c r="U46" s="287"/>
      <c r="V46" s="287"/>
      <c r="W46" s="297">
        <f>+U40</f>
        <v>9396</v>
      </c>
      <c r="X46" s="288"/>
      <c r="Y46" s="291" t="s">
        <v>92</v>
      </c>
      <c r="Z46" s="287"/>
      <c r="AA46" s="287"/>
      <c r="AB46" s="287"/>
      <c r="AC46" s="297">
        <f>+AA40</f>
        <v>9366</v>
      </c>
      <c r="AD46" s="288"/>
      <c r="AE46" s="123" t="s">
        <v>92</v>
      </c>
      <c r="AF46" s="119"/>
      <c r="AG46" s="119"/>
      <c r="AH46" s="119"/>
      <c r="AI46" s="129">
        <f>+AG40</f>
        <v>20032</v>
      </c>
      <c r="AJ46" s="120"/>
      <c r="AK46" s="123" t="s">
        <v>92</v>
      </c>
      <c r="AL46" s="119"/>
      <c r="AM46" s="119"/>
      <c r="AN46" s="119"/>
      <c r="AO46" s="129">
        <f>+AM40</f>
        <v>18572</v>
      </c>
      <c r="AP46" s="120"/>
      <c r="AQ46" s="123" t="s">
        <v>92</v>
      </c>
      <c r="AR46" s="119"/>
      <c r="AS46" s="119"/>
      <c r="AT46" s="119"/>
      <c r="AU46" s="129">
        <f>+AS40</f>
        <v>16188</v>
      </c>
      <c r="AV46" s="120"/>
      <c r="AW46" s="123" t="s">
        <v>92</v>
      </c>
      <c r="AX46" s="119"/>
      <c r="AY46" s="119"/>
      <c r="AZ46" s="119"/>
      <c r="BA46" s="129">
        <f>+AY40</f>
        <v>16188</v>
      </c>
      <c r="BB46" s="120"/>
      <c r="BC46" s="123" t="s">
        <v>92</v>
      </c>
      <c r="BD46" s="119"/>
      <c r="BE46" s="119"/>
      <c r="BF46" s="119"/>
      <c r="BG46" s="129">
        <f>+BE40</f>
        <v>16188</v>
      </c>
      <c r="BH46" s="120"/>
      <c r="BI46" s="123" t="s">
        <v>92</v>
      </c>
      <c r="BJ46" s="119"/>
      <c r="BK46" s="119"/>
      <c r="BL46" s="119"/>
      <c r="BM46" s="129">
        <f>+BK40</f>
        <v>16188</v>
      </c>
      <c r="BN46" s="120"/>
      <c r="BO46" s="123" t="s">
        <v>92</v>
      </c>
      <c r="BP46" s="119"/>
      <c r="BQ46" s="119"/>
      <c r="BR46" s="119"/>
      <c r="BS46" s="129">
        <f>BQ40</f>
        <v>16056</v>
      </c>
      <c r="BT46" s="119"/>
      <c r="BY46" s="169"/>
      <c r="CE46" s="169"/>
    </row>
    <row r="47" spans="1:84" x14ac:dyDescent="0.25">
      <c r="A47" s="246"/>
      <c r="B47" s="242"/>
      <c r="C47" s="242"/>
      <c r="D47" s="242"/>
      <c r="E47" s="242"/>
      <c r="F47" s="243"/>
      <c r="G47" s="123"/>
      <c r="H47" s="339"/>
      <c r="I47" s="339"/>
      <c r="J47" s="339"/>
      <c r="K47" s="339"/>
      <c r="L47" s="120"/>
      <c r="M47" s="246"/>
      <c r="N47" s="242"/>
      <c r="O47" s="242"/>
      <c r="P47" s="242"/>
      <c r="Q47" s="242"/>
      <c r="R47" s="243"/>
      <c r="S47" s="291"/>
      <c r="T47" s="287"/>
      <c r="U47" s="287"/>
      <c r="V47" s="287"/>
      <c r="W47" s="287"/>
      <c r="X47" s="288"/>
      <c r="Y47" s="291"/>
      <c r="Z47" s="287"/>
      <c r="AA47" s="287"/>
      <c r="AB47" s="287"/>
      <c r="AC47" s="287"/>
      <c r="AD47" s="288"/>
      <c r="AE47" s="123"/>
      <c r="AF47" s="119"/>
      <c r="AG47" s="119"/>
      <c r="AH47" s="119"/>
      <c r="AI47" s="119"/>
      <c r="AJ47" s="120"/>
      <c r="AK47" s="123"/>
      <c r="AL47" s="119"/>
      <c r="AM47" s="119"/>
      <c r="AN47" s="119"/>
      <c r="AO47" s="119"/>
      <c r="AP47" s="120"/>
      <c r="AQ47" s="123"/>
      <c r="AR47" s="119"/>
      <c r="AS47" s="119"/>
      <c r="AT47" s="119"/>
      <c r="AU47" s="119"/>
      <c r="AV47" s="120"/>
      <c r="AW47" s="123"/>
      <c r="AX47" s="119"/>
      <c r="AY47" s="119"/>
      <c r="AZ47" s="119"/>
      <c r="BA47" s="119"/>
      <c r="BB47" s="120"/>
      <c r="BC47" s="123"/>
      <c r="BD47" s="119"/>
      <c r="BE47" s="119"/>
      <c r="BF47" s="119"/>
      <c r="BG47" s="119"/>
      <c r="BH47" s="120"/>
      <c r="BI47" s="123"/>
      <c r="BJ47" s="119"/>
      <c r="BK47" s="119"/>
      <c r="BL47" s="119"/>
      <c r="BM47" s="119"/>
      <c r="BN47" s="120"/>
      <c r="BO47" s="123"/>
      <c r="BP47" s="119"/>
      <c r="BQ47" s="119"/>
      <c r="BR47" s="119"/>
      <c r="BS47" s="119"/>
      <c r="BT47" s="119"/>
    </row>
    <row r="48" spans="1:84" x14ac:dyDescent="0.25">
      <c r="A48" s="246" t="s">
        <v>93</v>
      </c>
      <c r="B48" s="242"/>
      <c r="C48" s="242"/>
      <c r="D48" s="242"/>
      <c r="E48" s="242"/>
      <c r="F48" s="321">
        <f>ROUND((E44/E46),2)</f>
        <v>0.72</v>
      </c>
      <c r="G48" s="123" t="s">
        <v>93</v>
      </c>
      <c r="H48" s="339"/>
      <c r="I48" s="339"/>
      <c r="J48" s="339"/>
      <c r="K48" s="339"/>
      <c r="L48" s="134">
        <f>ROUND((K44/K46),2)</f>
        <v>-0.28000000000000003</v>
      </c>
      <c r="M48" s="246" t="s">
        <v>93</v>
      </c>
      <c r="N48" s="242"/>
      <c r="O48" s="242"/>
      <c r="P48" s="242"/>
      <c r="Q48" s="242"/>
      <c r="R48" s="321">
        <f>ROUND((Q44/Q46),2)</f>
        <v>-0.61</v>
      </c>
      <c r="S48" s="291" t="s">
        <v>93</v>
      </c>
      <c r="T48" s="287"/>
      <c r="U48" s="287"/>
      <c r="V48" s="287"/>
      <c r="W48" s="287"/>
      <c r="X48" s="308">
        <f>ROUND((W44/W46),2)</f>
        <v>0.17</v>
      </c>
      <c r="Y48" s="291" t="s">
        <v>93</v>
      </c>
      <c r="Z48" s="287"/>
      <c r="AA48" s="287"/>
      <c r="AB48" s="287"/>
      <c r="AC48" s="287"/>
      <c r="AD48" s="308">
        <f>ROUND((AC44/AC46),2)</f>
        <v>-0.9</v>
      </c>
      <c r="AE48" s="123" t="s">
        <v>93</v>
      </c>
      <c r="AF48" s="119"/>
      <c r="AG48" s="119"/>
      <c r="AH48" s="119"/>
      <c r="AI48" s="119"/>
      <c r="AJ48" s="142">
        <f>ROUND((AI44/AI46),2)</f>
        <v>-0.53</v>
      </c>
      <c r="AK48" s="123" t="s">
        <v>93</v>
      </c>
      <c r="AL48" s="119"/>
      <c r="AM48" s="119"/>
      <c r="AN48" s="119"/>
      <c r="AO48" s="119"/>
      <c r="AP48" s="142">
        <f>ROUND((AO44/AO46),2)</f>
        <v>-0.08</v>
      </c>
      <c r="AQ48" s="123" t="s">
        <v>93</v>
      </c>
      <c r="AR48" s="119"/>
      <c r="AS48" s="119"/>
      <c r="AT48" s="119"/>
      <c r="AU48" s="119"/>
      <c r="AV48" s="142">
        <f>ROUND((AU44/AU46),2)</f>
        <v>-0.16</v>
      </c>
      <c r="AW48" s="123" t="s">
        <v>93</v>
      </c>
      <c r="AX48" s="119"/>
      <c r="AY48" s="119"/>
      <c r="AZ48" s="119"/>
      <c r="BA48" s="119"/>
      <c r="BB48" s="142">
        <f>ROUND((BA44/BA46),2)</f>
        <v>-0.03</v>
      </c>
      <c r="BC48" s="123" t="s">
        <v>93</v>
      </c>
      <c r="BD48" s="119"/>
      <c r="BE48" s="119"/>
      <c r="BF48" s="119"/>
      <c r="BG48" s="119"/>
      <c r="BH48" s="142">
        <f>ROUND((BG44/BG46),2)</f>
        <v>-0.53</v>
      </c>
      <c r="BI48" s="123" t="s">
        <v>93</v>
      </c>
      <c r="BJ48" s="119"/>
      <c r="BK48" s="119"/>
      <c r="BL48" s="119"/>
      <c r="BM48" s="119"/>
      <c r="BN48" s="142">
        <f>ROUND((BM44/BM46),2)</f>
        <v>-2.1</v>
      </c>
      <c r="BO48" s="123" t="s">
        <v>93</v>
      </c>
      <c r="BP48" s="119"/>
      <c r="BQ48" s="119"/>
      <c r="BR48" s="119"/>
      <c r="BS48" s="119"/>
      <c r="BT48" s="154">
        <f>(BS44/BS46)</f>
        <v>-1.2053889511709019</v>
      </c>
      <c r="BZ48" s="181"/>
      <c r="CF48" s="181"/>
    </row>
    <row r="49" spans="1:84" x14ac:dyDescent="0.25">
      <c r="A49" s="246"/>
      <c r="B49" s="242"/>
      <c r="C49" s="242"/>
      <c r="D49" s="242"/>
      <c r="E49" s="252"/>
      <c r="F49" s="243"/>
      <c r="G49" s="123"/>
      <c r="H49" s="339"/>
      <c r="I49" s="339"/>
      <c r="J49" s="339"/>
      <c r="K49" s="346"/>
      <c r="L49" s="120"/>
      <c r="M49" s="246"/>
      <c r="N49" s="242"/>
      <c r="O49" s="242"/>
      <c r="P49" s="242"/>
      <c r="Q49" s="252"/>
      <c r="R49" s="243"/>
      <c r="S49" s="291"/>
      <c r="T49" s="287"/>
      <c r="U49" s="287"/>
      <c r="V49" s="287"/>
      <c r="W49" s="297"/>
      <c r="X49" s="288"/>
      <c r="Y49" s="291"/>
      <c r="Z49" s="287"/>
      <c r="AA49" s="287"/>
      <c r="AB49" s="287"/>
      <c r="AC49" s="297"/>
      <c r="AD49" s="288"/>
      <c r="AE49" s="123"/>
      <c r="AF49" s="119"/>
      <c r="AG49" s="119"/>
      <c r="AH49" s="119"/>
      <c r="AI49" s="129"/>
      <c r="AJ49" s="120"/>
      <c r="AK49" s="123"/>
      <c r="AL49" s="119"/>
      <c r="AM49" s="119"/>
      <c r="AN49" s="119"/>
      <c r="AO49" s="129"/>
      <c r="AP49" s="120"/>
      <c r="AQ49" s="123"/>
      <c r="AR49" s="119"/>
      <c r="AS49" s="119"/>
      <c r="AT49" s="119"/>
      <c r="AU49" s="129"/>
      <c r="AV49" s="120"/>
      <c r="AW49" s="123"/>
      <c r="AX49" s="119"/>
      <c r="AY49" s="119"/>
      <c r="AZ49" s="119"/>
      <c r="BA49" s="129"/>
      <c r="BB49" s="120"/>
      <c r="BC49" s="123"/>
      <c r="BD49" s="119"/>
      <c r="BE49" s="119"/>
      <c r="BF49" s="119"/>
      <c r="BG49" s="129"/>
      <c r="BH49" s="120"/>
      <c r="BI49" s="123"/>
      <c r="BJ49" s="119"/>
      <c r="BK49" s="119"/>
      <c r="BL49" s="119"/>
      <c r="BM49" s="129"/>
      <c r="BN49" s="120"/>
      <c r="BO49" s="123"/>
      <c r="BP49" s="119"/>
      <c r="BQ49" s="119"/>
      <c r="BR49" s="119"/>
      <c r="BS49" s="129"/>
      <c r="BT49" s="119"/>
      <c r="BY49" s="169"/>
      <c r="CE49" s="169"/>
    </row>
    <row r="50" spans="1:84" ht="16.8" x14ac:dyDescent="0.45">
      <c r="A50" s="215" t="str">
        <f>A23</f>
        <v>Projected Revenue October 2021 - September 2022</v>
      </c>
      <c r="B50" s="264"/>
      <c r="C50" s="354"/>
      <c r="D50" s="242"/>
      <c r="E50" s="214">
        <f>SUM('Calcs revised method'!D51:O51)</f>
        <v>-25343.52116510853</v>
      </c>
      <c r="F50" s="243"/>
      <c r="G50" s="215" t="str">
        <f>G23</f>
        <v>Projected Revenue Oct 20-Sep 21</v>
      </c>
      <c r="H50" s="343"/>
      <c r="I50" s="339"/>
      <c r="J50" s="339"/>
      <c r="K50" s="214">
        <v>-40100</v>
      </c>
      <c r="L50" s="120"/>
      <c r="M50" s="215" t="str">
        <f>M23</f>
        <v>Projected Revenue Apr 20-Sep 20</v>
      </c>
      <c r="N50" s="250"/>
      <c r="O50" s="242"/>
      <c r="P50" s="242"/>
      <c r="Q50" s="214">
        <f>SUM('Multi-Family Apr 20'!G17:G22)+'Multi-Family Apr 20'!F28/2</f>
        <v>-19461.65838187583</v>
      </c>
      <c r="R50" s="243"/>
      <c r="S50" s="215" t="str">
        <f>S23</f>
        <v>Projected Revenue Oct 19-Mar 20</v>
      </c>
      <c r="T50" s="295"/>
      <c r="U50" s="287"/>
      <c r="V50" s="287"/>
      <c r="W50" s="214">
        <f>SUM('Multi-Family Oct 19'!G17:G22)+'Multi-Family Oct 19'!F28/2</f>
        <v>-10447.462637715365</v>
      </c>
      <c r="X50" s="288"/>
      <c r="Y50" s="215" t="str">
        <f>Y23</f>
        <v>Projected Revenue April 19-Oct 19</v>
      </c>
      <c r="Z50" s="295"/>
      <c r="AA50" s="287"/>
      <c r="AB50" s="287"/>
      <c r="AC50" s="214">
        <f>SUM('Multi-Family 2019'!G17:G22)+'Multi-Family 2019'!F28/2</f>
        <v>-14483.85346674321</v>
      </c>
      <c r="AD50" s="288"/>
      <c r="AE50" s="215" t="str">
        <f>AE23</f>
        <v>Projected Revenue October 2018 - March 2019</v>
      </c>
      <c r="AF50" s="264"/>
      <c r="AG50" s="119"/>
      <c r="AH50" s="119"/>
      <c r="AI50" s="214">
        <v>-9586</v>
      </c>
      <c r="AJ50" s="120"/>
      <c r="AK50" s="215" t="str">
        <f>AK23</f>
        <v>Projected Revenue April - September 2018</v>
      </c>
      <c r="AL50" s="127"/>
      <c r="AM50" s="119"/>
      <c r="AN50" s="119"/>
      <c r="AO50" s="214">
        <f>SUM('Multi-Family 2017'!G20:G25)+('Multi-Family 2017'!F31/2)</f>
        <v>-5136.4741023398865</v>
      </c>
      <c r="AP50" s="120"/>
      <c r="AQ50" s="126" t="str">
        <f>AQ23</f>
        <v>Projected Revenue Jan-Dec 2016</v>
      </c>
      <c r="AR50" s="127"/>
      <c r="AS50" s="119"/>
      <c r="AT50" s="119"/>
      <c r="AU50" s="135">
        <f>+AU42+AU43</f>
        <v>-2619.003846428448</v>
      </c>
      <c r="AV50" s="120"/>
      <c r="AW50" s="126" t="str">
        <f>AW23</f>
        <v>Projected Revenue Jan-Dec 2015</v>
      </c>
      <c r="AX50" s="127"/>
      <c r="AY50" s="119"/>
      <c r="AZ50" s="119"/>
      <c r="BA50" s="135">
        <f>+BA42+BA43</f>
        <v>0</v>
      </c>
      <c r="BB50" s="120"/>
      <c r="BC50" s="126" t="str">
        <f>BC23</f>
        <v>Projected Revenue Jan-Dec 2014</v>
      </c>
      <c r="BD50" s="127"/>
      <c r="BE50" s="119"/>
      <c r="BF50" s="119"/>
      <c r="BG50" s="135">
        <f>+BG42</f>
        <v>0</v>
      </c>
      <c r="BH50" s="120"/>
      <c r="BI50" s="126" t="str">
        <f>BI23</f>
        <v>Projected Revenue Jan-Dec 2014</v>
      </c>
      <c r="BJ50" s="127"/>
      <c r="BK50" s="119"/>
      <c r="BL50" s="119"/>
      <c r="BM50" s="135">
        <f>+BM42</f>
        <v>1570.7950000000001</v>
      </c>
      <c r="BN50" s="120"/>
      <c r="BO50" s="126" t="str">
        <f>BO23</f>
        <v>Projected Revenue Jan-Dec 2013</v>
      </c>
      <c r="BP50" s="127"/>
      <c r="BQ50" s="119"/>
      <c r="BR50" s="119"/>
      <c r="BS50" s="135">
        <f>BS42</f>
        <v>28903.390000000003</v>
      </c>
      <c r="BT50" s="119"/>
      <c r="BU50" s="167"/>
      <c r="BV50" s="167"/>
      <c r="BY50" s="175"/>
      <c r="CA50" s="167"/>
      <c r="CB50" s="167"/>
      <c r="CE50" s="175"/>
    </row>
    <row r="51" spans="1:84" x14ac:dyDescent="0.25">
      <c r="A51" s="246" t="s">
        <v>92</v>
      </c>
      <c r="B51" s="242"/>
      <c r="C51" s="242"/>
      <c r="D51" s="242"/>
      <c r="E51" s="252">
        <f>SUM('Calcs revised method'!D41:O41)</f>
        <v>20032</v>
      </c>
      <c r="F51" s="243"/>
      <c r="G51" s="123" t="s">
        <v>92</v>
      </c>
      <c r="H51" s="339"/>
      <c r="I51" s="339"/>
      <c r="J51" s="339"/>
      <c r="K51" s="346">
        <v>20052</v>
      </c>
      <c r="L51" s="120"/>
      <c r="M51" s="246" t="s">
        <v>92</v>
      </c>
      <c r="N51" s="242"/>
      <c r="O51" s="242"/>
      <c r="P51" s="242"/>
      <c r="Q51" s="252">
        <f>SUM('Multi-Family Apr 20'!C17:C22)</f>
        <v>10026</v>
      </c>
      <c r="R51" s="243"/>
      <c r="S51" s="291" t="s">
        <v>92</v>
      </c>
      <c r="T51" s="287"/>
      <c r="U51" s="287"/>
      <c r="V51" s="287"/>
      <c r="W51" s="297">
        <f>SUM('Multi-Family Oct 19'!C17:C22)</f>
        <v>9396</v>
      </c>
      <c r="X51" s="288"/>
      <c r="Y51" s="291" t="s">
        <v>92</v>
      </c>
      <c r="Z51" s="287"/>
      <c r="AA51" s="287"/>
      <c r="AB51" s="287"/>
      <c r="AC51" s="297">
        <f>SUM('Multi-Family 2019'!C17:C22)</f>
        <v>9366</v>
      </c>
      <c r="AD51" s="288"/>
      <c r="AE51" s="123" t="s">
        <v>92</v>
      </c>
      <c r="AF51" s="119"/>
      <c r="AG51" s="119"/>
      <c r="AH51" s="119"/>
      <c r="AI51" s="129">
        <f>SUM('Multi-Family 2018 '!C17:C22)</f>
        <v>9366</v>
      </c>
      <c r="AJ51" s="120"/>
      <c r="AK51" s="123" t="s">
        <v>92</v>
      </c>
      <c r="AL51" s="119"/>
      <c r="AM51" s="119"/>
      <c r="AN51" s="119"/>
      <c r="AO51" s="129">
        <f>AO46</f>
        <v>18572</v>
      </c>
      <c r="AP51" s="120"/>
      <c r="AQ51" s="123" t="s">
        <v>92</v>
      </c>
      <c r="AR51" s="119"/>
      <c r="AS51" s="119"/>
      <c r="AT51" s="119"/>
      <c r="AU51" s="129">
        <f>AU46</f>
        <v>16188</v>
      </c>
      <c r="AV51" s="120"/>
      <c r="AW51" s="123" t="s">
        <v>92</v>
      </c>
      <c r="AX51" s="119"/>
      <c r="AY51" s="119"/>
      <c r="AZ51" s="119"/>
      <c r="BA51" s="129">
        <f>BA46</f>
        <v>16188</v>
      </c>
      <c r="BB51" s="120"/>
      <c r="BC51" s="123" t="s">
        <v>92</v>
      </c>
      <c r="BD51" s="119"/>
      <c r="BE51" s="119"/>
      <c r="BF51" s="119"/>
      <c r="BG51" s="129">
        <f>BG46</f>
        <v>16188</v>
      </c>
      <c r="BH51" s="120"/>
      <c r="BI51" s="123" t="s">
        <v>92</v>
      </c>
      <c r="BJ51" s="119"/>
      <c r="BK51" s="119"/>
      <c r="BL51" s="119"/>
      <c r="BM51" s="129">
        <f>BM46</f>
        <v>16188</v>
      </c>
      <c r="BN51" s="120"/>
      <c r="BO51" s="123" t="s">
        <v>97</v>
      </c>
      <c r="BP51" s="119"/>
      <c r="BQ51" s="119"/>
      <c r="BR51" s="119"/>
      <c r="BS51" s="129">
        <f>BS46</f>
        <v>16056</v>
      </c>
      <c r="BT51" s="119"/>
      <c r="BY51" s="169"/>
      <c r="CE51" s="169"/>
    </row>
    <row r="52" spans="1:84" ht="15" x14ac:dyDescent="0.4">
      <c r="A52" s="246" t="s">
        <v>94</v>
      </c>
      <c r="B52" s="242"/>
      <c r="C52" s="242"/>
      <c r="D52" s="242"/>
      <c r="E52" s="242"/>
      <c r="F52" s="322">
        <f>ROUND((E50/E51),2)</f>
        <v>-1.27</v>
      </c>
      <c r="G52" s="123" t="s">
        <v>94</v>
      </c>
      <c r="H52" s="339"/>
      <c r="I52" s="339"/>
      <c r="J52" s="339"/>
      <c r="K52" s="339"/>
      <c r="L52" s="143">
        <f>ROUND((K50/K51),2)</f>
        <v>-2</v>
      </c>
      <c r="M52" s="246" t="s">
        <v>94</v>
      </c>
      <c r="N52" s="242"/>
      <c r="O52" s="242"/>
      <c r="P52" s="242"/>
      <c r="Q52" s="242"/>
      <c r="R52" s="322">
        <f>ROUND((Q50/Q51),2)</f>
        <v>-1.94</v>
      </c>
      <c r="S52" s="291" t="s">
        <v>94</v>
      </c>
      <c r="T52" s="287"/>
      <c r="U52" s="287"/>
      <c r="V52" s="287"/>
      <c r="W52" s="287"/>
      <c r="X52" s="309">
        <f>ROUND((W50/W51),2)</f>
        <v>-1.1100000000000001</v>
      </c>
      <c r="Y52" s="291" t="s">
        <v>94</v>
      </c>
      <c r="Z52" s="287"/>
      <c r="AA52" s="287"/>
      <c r="AB52" s="287"/>
      <c r="AC52" s="287"/>
      <c r="AD52" s="309">
        <f>ROUND((AC50/AC51),2)</f>
        <v>-1.55</v>
      </c>
      <c r="AE52" s="123" t="s">
        <v>94</v>
      </c>
      <c r="AF52" s="119"/>
      <c r="AG52" s="119"/>
      <c r="AH52" s="119"/>
      <c r="AI52" s="119"/>
      <c r="AJ52" s="143">
        <f>ROUND((AI50/AI51),2)</f>
        <v>-1.02</v>
      </c>
      <c r="AK52" s="123" t="s">
        <v>94</v>
      </c>
      <c r="AL52" s="119"/>
      <c r="AM52" s="119"/>
      <c r="AN52" s="119"/>
      <c r="AO52" s="119"/>
      <c r="AP52" s="143">
        <f>ROUND((AO50/AO51),2)</f>
        <v>-0.28000000000000003</v>
      </c>
      <c r="AQ52" s="123" t="s">
        <v>94</v>
      </c>
      <c r="AR52" s="119"/>
      <c r="AS52" s="119"/>
      <c r="AT52" s="119"/>
      <c r="AU52" s="119"/>
      <c r="AV52" s="143">
        <f>ROUND((AU50/AU51),2)</f>
        <v>-0.16</v>
      </c>
      <c r="AW52" s="123" t="s">
        <v>94</v>
      </c>
      <c r="AX52" s="119"/>
      <c r="AY52" s="119"/>
      <c r="AZ52" s="119"/>
      <c r="BA52" s="119"/>
      <c r="BB52" s="143">
        <f>ROUND((BA50/BA51),2)</f>
        <v>0</v>
      </c>
      <c r="BC52" s="123" t="s">
        <v>94</v>
      </c>
      <c r="BD52" s="119"/>
      <c r="BE52" s="119"/>
      <c r="BF52" s="119"/>
      <c r="BG52" s="119"/>
      <c r="BH52" s="143">
        <f>ROUND((BG50/BG51),2)</f>
        <v>0</v>
      </c>
      <c r="BI52" s="123" t="s">
        <v>94</v>
      </c>
      <c r="BJ52" s="119"/>
      <c r="BK52" s="119"/>
      <c r="BL52" s="119"/>
      <c r="BM52" s="119"/>
      <c r="BN52" s="143">
        <f>ROUND((BM50/BM51),2)</f>
        <v>0.1</v>
      </c>
      <c r="BO52" s="123" t="s">
        <v>94</v>
      </c>
      <c r="BP52" s="119"/>
      <c r="BQ52" s="119"/>
      <c r="BR52" s="119"/>
      <c r="BS52" s="119"/>
      <c r="BT52" s="155">
        <f>(BS50/BS51)</f>
        <v>1.8001613104135528</v>
      </c>
      <c r="BZ52" s="177"/>
      <c r="CF52" s="177"/>
    </row>
    <row r="53" spans="1:84" x14ac:dyDescent="0.25">
      <c r="A53" s="246"/>
      <c r="B53" s="242"/>
      <c r="C53" s="242"/>
      <c r="D53" s="242"/>
      <c r="E53" s="242"/>
      <c r="F53" s="243"/>
      <c r="G53" s="123"/>
      <c r="H53" s="339"/>
      <c r="I53" s="339"/>
      <c r="J53" s="339"/>
      <c r="K53" s="339"/>
      <c r="L53" s="120"/>
      <c r="M53" s="246"/>
      <c r="N53" s="242"/>
      <c r="O53" s="242"/>
      <c r="P53" s="242"/>
      <c r="Q53" s="242"/>
      <c r="R53" s="243"/>
      <c r="S53" s="291"/>
      <c r="T53" s="287"/>
      <c r="U53" s="287"/>
      <c r="V53" s="287"/>
      <c r="W53" s="287"/>
      <c r="X53" s="288"/>
      <c r="Y53" s="291"/>
      <c r="Z53" s="287"/>
      <c r="AA53" s="287"/>
      <c r="AB53" s="287"/>
      <c r="AC53" s="287"/>
      <c r="AD53" s="288"/>
      <c r="AE53" s="123"/>
      <c r="AF53" s="119"/>
      <c r="AG53" s="119"/>
      <c r="AH53" s="119"/>
      <c r="AI53" s="119"/>
      <c r="AJ53" s="120"/>
      <c r="AK53" s="123"/>
      <c r="AL53" s="119"/>
      <c r="AM53" s="119"/>
      <c r="AN53" s="119"/>
      <c r="AO53" s="119"/>
      <c r="AP53" s="120"/>
      <c r="AQ53" s="123"/>
      <c r="AR53" s="119"/>
      <c r="AS53" s="119"/>
      <c r="AT53" s="119"/>
      <c r="AU53" s="119"/>
      <c r="AV53" s="120"/>
      <c r="AW53" s="123"/>
      <c r="AX53" s="119"/>
      <c r="AY53" s="119"/>
      <c r="AZ53" s="119"/>
      <c r="BA53" s="119"/>
      <c r="BB53" s="120"/>
      <c r="BC53" s="123"/>
      <c r="BD53" s="119"/>
      <c r="BE53" s="119"/>
      <c r="BF53" s="119"/>
      <c r="BG53" s="119"/>
      <c r="BH53" s="120"/>
      <c r="BI53" s="123"/>
      <c r="BJ53" s="119"/>
      <c r="BK53" s="119"/>
      <c r="BL53" s="119"/>
      <c r="BM53" s="119"/>
      <c r="BN53" s="120"/>
      <c r="BO53" s="116" t="s">
        <v>107</v>
      </c>
      <c r="BP53" s="119"/>
      <c r="BQ53" s="119"/>
      <c r="BR53" s="119"/>
      <c r="BS53" s="119"/>
      <c r="BT53" s="139">
        <f>'Credit Calc Multi-Family 2013'!I44-BT48</f>
        <v>-6.1611048829097959E-2</v>
      </c>
    </row>
    <row r="54" spans="1:84" ht="16.8" thickBot="1" x14ac:dyDescent="0.45">
      <c r="A54" s="239" t="s">
        <v>98</v>
      </c>
      <c r="B54" s="240"/>
      <c r="C54" s="242"/>
      <c r="D54" s="242"/>
      <c r="E54" s="242"/>
      <c r="F54" s="323">
        <f>+F52+F48</f>
        <v>-0.55000000000000004</v>
      </c>
      <c r="G54" s="116" t="s">
        <v>98</v>
      </c>
      <c r="H54" s="337"/>
      <c r="I54" s="339"/>
      <c r="J54" s="339"/>
      <c r="K54" s="339"/>
      <c r="L54" s="138">
        <f>+L52+L48</f>
        <v>-2.2800000000000002</v>
      </c>
      <c r="M54" s="239" t="s">
        <v>98</v>
      </c>
      <c r="N54" s="240"/>
      <c r="O54" s="242"/>
      <c r="P54" s="242"/>
      <c r="Q54" s="242"/>
      <c r="R54" s="323">
        <f>+R52+R48</f>
        <v>-2.5499999999999998</v>
      </c>
      <c r="S54" s="284" t="s">
        <v>98</v>
      </c>
      <c r="T54" s="285"/>
      <c r="U54" s="287"/>
      <c r="V54" s="287"/>
      <c r="W54" s="287"/>
      <c r="X54" s="310">
        <f>+X52+X48</f>
        <v>-0.94000000000000006</v>
      </c>
      <c r="Y54" s="284" t="s">
        <v>98</v>
      </c>
      <c r="Z54" s="285"/>
      <c r="AA54" s="287"/>
      <c r="AB54" s="287"/>
      <c r="AC54" s="287"/>
      <c r="AD54" s="310">
        <f>+AD52+AD48</f>
        <v>-2.4500000000000002</v>
      </c>
      <c r="AE54" s="116" t="s">
        <v>98</v>
      </c>
      <c r="AF54" s="117"/>
      <c r="AG54" s="119"/>
      <c r="AH54" s="119"/>
      <c r="AI54" s="119"/>
      <c r="AJ54" s="138">
        <f>+AJ52+AJ48</f>
        <v>-1.55</v>
      </c>
      <c r="AK54" s="116" t="s">
        <v>98</v>
      </c>
      <c r="AL54" s="117"/>
      <c r="AM54" s="119"/>
      <c r="AN54" s="119"/>
      <c r="AO54" s="119"/>
      <c r="AP54" s="138">
        <f>+AP52+AP48</f>
        <v>-0.36000000000000004</v>
      </c>
      <c r="AQ54" s="116" t="s">
        <v>98</v>
      </c>
      <c r="AR54" s="117"/>
      <c r="AS54" s="119"/>
      <c r="AT54" s="119"/>
      <c r="AU54" s="119"/>
      <c r="AV54" s="138">
        <f>+AV52+AV48</f>
        <v>-0.32</v>
      </c>
      <c r="AW54" s="116" t="s">
        <v>98</v>
      </c>
      <c r="AX54" s="117"/>
      <c r="AY54" s="119"/>
      <c r="AZ54" s="119"/>
      <c r="BA54" s="119"/>
      <c r="BB54" s="138">
        <f>+BB52+BB48</f>
        <v>-0.03</v>
      </c>
      <c r="BC54" s="116" t="s">
        <v>98</v>
      </c>
      <c r="BD54" s="117"/>
      <c r="BE54" s="119"/>
      <c r="BF54" s="119"/>
      <c r="BG54" s="119"/>
      <c r="BH54" s="138">
        <f>+BH52+BH48</f>
        <v>-0.53</v>
      </c>
      <c r="BI54" s="116" t="s">
        <v>98</v>
      </c>
      <c r="BJ54" s="117"/>
      <c r="BK54" s="119"/>
      <c r="BL54" s="119"/>
      <c r="BM54" s="119"/>
      <c r="BN54" s="138">
        <f>+BN52+BN48</f>
        <v>-2</v>
      </c>
      <c r="BO54" s="116" t="s">
        <v>98</v>
      </c>
      <c r="BP54" s="117"/>
      <c r="BQ54" s="119"/>
      <c r="BR54" s="119"/>
      <c r="BS54" s="119"/>
      <c r="BT54" s="156">
        <f>+BT52+BT48+BT53</f>
        <v>0.53316131041355286</v>
      </c>
      <c r="BU54" s="160"/>
      <c r="BV54" s="160"/>
      <c r="BZ54" s="178"/>
      <c r="CA54" s="160"/>
      <c r="CB54" s="160"/>
      <c r="CF54" s="178"/>
    </row>
    <row r="55" spans="1:84" ht="17.399999999999999" thickTop="1" thickBot="1" x14ac:dyDescent="0.45">
      <c r="A55" s="239"/>
      <c r="B55" s="240"/>
      <c r="C55" s="242"/>
      <c r="D55" s="242"/>
      <c r="E55" s="242"/>
      <c r="F55" s="352"/>
      <c r="G55" s="116"/>
      <c r="H55" s="337"/>
      <c r="I55" s="339"/>
      <c r="J55" s="339"/>
      <c r="K55" s="339"/>
      <c r="L55" s="144"/>
      <c r="M55" s="239"/>
      <c r="N55" s="242"/>
      <c r="O55" s="242"/>
      <c r="P55" s="242"/>
      <c r="Q55" s="242"/>
      <c r="R55" s="265"/>
      <c r="S55" s="284"/>
      <c r="T55" s="287"/>
      <c r="U55" s="287"/>
      <c r="V55" s="287"/>
      <c r="W55" s="287"/>
      <c r="X55" s="304"/>
      <c r="Y55" s="284"/>
      <c r="Z55" s="287"/>
      <c r="AA55" s="287"/>
      <c r="AB55" s="287"/>
      <c r="AC55" s="287"/>
      <c r="AD55" s="304"/>
      <c r="AE55" s="116" t="s">
        <v>218</v>
      </c>
      <c r="AF55" s="119"/>
      <c r="AG55" s="119"/>
      <c r="AH55" s="119"/>
      <c r="AI55" s="119"/>
      <c r="AJ55" s="137">
        <f>+AJ54/5*6</f>
        <v>-1.8599999999999999</v>
      </c>
      <c r="AK55" s="116"/>
      <c r="AL55" s="117"/>
      <c r="AM55" s="119"/>
      <c r="AN55" s="119"/>
      <c r="AO55" s="119"/>
      <c r="AP55" s="144"/>
      <c r="AQ55" s="116"/>
      <c r="AR55" s="117"/>
      <c r="AS55" s="119"/>
      <c r="AT55" s="119"/>
      <c r="AU55" s="119"/>
      <c r="AV55" s="144"/>
      <c r="AW55" s="116"/>
      <c r="AX55" s="117"/>
      <c r="AY55" s="119"/>
      <c r="AZ55" s="119"/>
      <c r="BA55" s="119"/>
      <c r="BB55" s="144"/>
      <c r="BC55" s="116"/>
      <c r="BD55" s="117"/>
      <c r="BE55" s="119"/>
      <c r="BF55" s="119"/>
      <c r="BG55" s="119"/>
      <c r="BH55" s="144"/>
      <c r="BI55" s="116"/>
      <c r="BJ55" s="117"/>
      <c r="BK55" s="119"/>
      <c r="BL55" s="119"/>
      <c r="BM55" s="119"/>
      <c r="BN55" s="144"/>
      <c r="BO55" s="116"/>
      <c r="BP55" s="117"/>
      <c r="BQ55" s="119"/>
      <c r="BR55" s="119"/>
      <c r="BS55" s="119"/>
      <c r="BT55" s="157"/>
      <c r="BU55" s="160"/>
      <c r="BV55" s="160"/>
      <c r="BZ55" s="178"/>
      <c r="CA55" s="160"/>
      <c r="CB55" s="160"/>
      <c r="CD55" s="179"/>
      <c r="CF55" s="178"/>
    </row>
    <row r="56" spans="1:84" ht="15.6" thickTop="1" x14ac:dyDescent="0.4">
      <c r="A56" s="253"/>
      <c r="B56" s="242"/>
      <c r="C56" s="242"/>
      <c r="D56" s="242"/>
      <c r="E56" s="242"/>
      <c r="F56" s="257"/>
      <c r="G56" s="123"/>
      <c r="H56" s="339"/>
      <c r="I56" s="339"/>
      <c r="J56" s="339"/>
      <c r="K56" s="339"/>
      <c r="L56" s="140"/>
      <c r="M56" s="253"/>
      <c r="N56" s="242"/>
      <c r="O56" s="242"/>
      <c r="P56" s="242"/>
      <c r="Q56" s="242"/>
      <c r="R56" s="257"/>
      <c r="S56" s="300"/>
      <c r="T56" s="287"/>
      <c r="U56" s="287"/>
      <c r="V56" s="287"/>
      <c r="W56" s="287"/>
      <c r="X56" s="306"/>
      <c r="Y56" s="300"/>
      <c r="Z56" s="287"/>
      <c r="AA56" s="287"/>
      <c r="AB56" s="287"/>
      <c r="AC56" s="287"/>
      <c r="AD56" s="306"/>
      <c r="AE56" s="131"/>
      <c r="AF56" s="119"/>
      <c r="AG56" s="119"/>
      <c r="AH56" s="119"/>
      <c r="AI56" s="119"/>
      <c r="AJ56" s="140"/>
      <c r="AK56" s="131"/>
      <c r="AL56" s="119"/>
      <c r="AM56" s="119"/>
      <c r="AN56" s="119"/>
      <c r="AO56" s="119"/>
      <c r="AP56" s="140"/>
      <c r="AQ56" s="131"/>
      <c r="AR56" s="119"/>
      <c r="AS56" s="119"/>
      <c r="AT56" s="119"/>
      <c r="AU56" s="119"/>
      <c r="AV56" s="140"/>
      <c r="AW56" s="131"/>
      <c r="AX56" s="119"/>
      <c r="AY56" s="119"/>
      <c r="AZ56" s="119"/>
      <c r="BA56" s="119"/>
      <c r="BB56" s="140"/>
      <c r="BC56" s="131"/>
      <c r="BD56" s="119"/>
      <c r="BE56" s="119"/>
      <c r="BF56" s="119"/>
      <c r="BG56" s="119"/>
      <c r="BH56" s="140"/>
      <c r="BI56" s="131"/>
      <c r="BJ56" s="119"/>
      <c r="BK56" s="119"/>
      <c r="BL56" s="119"/>
      <c r="BM56" s="119"/>
      <c r="BN56" s="140"/>
      <c r="BO56" s="131"/>
      <c r="BP56" s="119"/>
      <c r="BQ56" s="119"/>
      <c r="BR56" s="119"/>
      <c r="BS56" s="119"/>
      <c r="BT56" s="153"/>
    </row>
    <row r="57" spans="1:84" ht="13.8" thickBot="1" x14ac:dyDescent="0.3">
      <c r="A57" s="259"/>
      <c r="B57" s="260"/>
      <c r="C57" s="260"/>
      <c r="D57" s="260"/>
      <c r="E57" s="260"/>
      <c r="F57" s="261"/>
      <c r="G57" s="145"/>
      <c r="H57" s="146"/>
      <c r="I57" s="146"/>
      <c r="J57" s="146"/>
      <c r="K57" s="146"/>
      <c r="L57" s="147"/>
      <c r="M57" s="259"/>
      <c r="N57" s="260"/>
      <c r="O57" s="260"/>
      <c r="P57" s="260"/>
      <c r="Q57" s="260"/>
      <c r="R57" s="261"/>
      <c r="S57" s="311"/>
      <c r="T57" s="312"/>
      <c r="U57" s="312"/>
      <c r="V57" s="312"/>
      <c r="W57" s="312"/>
      <c r="X57" s="313"/>
      <c r="Y57" s="311"/>
      <c r="Z57" s="312"/>
      <c r="AA57" s="312"/>
      <c r="AB57" s="312"/>
      <c r="AC57" s="312"/>
      <c r="AD57" s="313"/>
      <c r="AE57" s="145"/>
      <c r="AF57" s="146"/>
      <c r="AG57" s="146"/>
      <c r="AH57" s="146"/>
      <c r="AI57" s="146"/>
      <c r="AJ57" s="147"/>
      <c r="AK57" s="145"/>
      <c r="AL57" s="146"/>
      <c r="AM57" s="146"/>
      <c r="AN57" s="146"/>
      <c r="AO57" s="146"/>
      <c r="AP57" s="147"/>
      <c r="AQ57" s="145"/>
      <c r="AR57" s="146"/>
      <c r="AS57" s="146"/>
      <c r="AT57" s="146"/>
      <c r="AU57" s="146"/>
      <c r="AV57" s="147"/>
      <c r="AW57" s="145"/>
      <c r="AX57" s="146"/>
      <c r="AY57" s="146"/>
      <c r="AZ57" s="146"/>
      <c r="BA57" s="146"/>
      <c r="BB57" s="147"/>
      <c r="BC57" s="145"/>
      <c r="BD57" s="146"/>
      <c r="BE57" s="146"/>
      <c r="BF57" s="146"/>
      <c r="BG57" s="146"/>
      <c r="BH57" s="147"/>
      <c r="BI57" s="145"/>
      <c r="BJ57" s="146"/>
      <c r="BK57" s="146"/>
      <c r="BL57" s="146"/>
      <c r="BM57" s="146"/>
      <c r="BN57" s="147"/>
      <c r="BO57" s="145"/>
      <c r="BP57" s="146"/>
      <c r="BQ57" s="146"/>
      <c r="BR57" s="146"/>
      <c r="BS57" s="146"/>
      <c r="BT57" s="146"/>
      <c r="CD57" s="179"/>
      <c r="CF57" s="182"/>
    </row>
  </sheetData>
  <mergeCells count="36">
    <mergeCell ref="A4:F4"/>
    <mergeCell ref="A6:F6"/>
    <mergeCell ref="A33:F33"/>
    <mergeCell ref="M4:R4"/>
    <mergeCell ref="M6:R6"/>
    <mergeCell ref="M33:R33"/>
    <mergeCell ref="G4:L4"/>
    <mergeCell ref="G6:L6"/>
    <mergeCell ref="G33:L33"/>
    <mergeCell ref="S4:X4"/>
    <mergeCell ref="S6:X6"/>
    <mergeCell ref="S33:X33"/>
    <mergeCell ref="Y4:AD4"/>
    <mergeCell ref="Y6:AD6"/>
    <mergeCell ref="Y33:AD33"/>
    <mergeCell ref="AQ4:AV4"/>
    <mergeCell ref="AQ6:AV6"/>
    <mergeCell ref="AQ33:AV33"/>
    <mergeCell ref="AE33:AJ33"/>
    <mergeCell ref="AE4:AJ4"/>
    <mergeCell ref="AE6:AJ6"/>
    <mergeCell ref="AK4:AP4"/>
    <mergeCell ref="AK6:AP6"/>
    <mergeCell ref="AK33:AP33"/>
    <mergeCell ref="BI6:BN6"/>
    <mergeCell ref="BO6:BT6"/>
    <mergeCell ref="AW4:BB4"/>
    <mergeCell ref="AW6:BB6"/>
    <mergeCell ref="AW33:BB33"/>
    <mergeCell ref="BC33:BH33"/>
    <mergeCell ref="BI33:BN33"/>
    <mergeCell ref="BO33:BT33"/>
    <mergeCell ref="BC4:BH4"/>
    <mergeCell ref="BI4:BN4"/>
    <mergeCell ref="BO4:BT4"/>
    <mergeCell ref="BC6:BH6"/>
  </mergeCells>
  <phoneticPr fontId="9" type="noConversion"/>
  <printOptions horizontalCentered="1"/>
  <pageMargins left="0.7" right="0.7" top="0.75" bottom="0.75" header="0.3" footer="0.3"/>
  <pageSetup scale="83" fitToWidth="0" orientation="portrait" horizontalDpi="300" verticalDpi="300" r:id="rId1"/>
  <rowBreaks count="1" manualBreakCount="1">
    <brk id="56" max="5" man="1"/>
  </rowBreaks>
  <colBreaks count="1" manualBreakCount="1">
    <brk id="7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10.88671875" bestFit="1" customWidth="1"/>
    <col min="10" max="10" width="12.33203125" customWidth="1"/>
    <col min="11" max="11" width="9.5546875" bestFit="1" customWidth="1"/>
    <col min="13" max="13" width="11.88671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239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28"/>
      <c r="D4" s="3"/>
      <c r="E4" s="228"/>
      <c r="F4" s="228"/>
    </row>
    <row r="5" spans="1:10" x14ac:dyDescent="0.3">
      <c r="A5" s="228"/>
      <c r="B5" s="228"/>
      <c r="C5" s="228"/>
      <c r="D5" s="3"/>
      <c r="E5" s="228"/>
      <c r="F5" s="228"/>
    </row>
    <row r="6" spans="1:10" x14ac:dyDescent="0.3">
      <c r="A6" s="228"/>
      <c r="B6" s="228"/>
      <c r="C6" s="228"/>
      <c r="D6" s="3"/>
      <c r="E6" s="228"/>
      <c r="F6" s="228"/>
    </row>
    <row r="7" spans="1:10" x14ac:dyDescent="0.3">
      <c r="A7" s="228"/>
      <c r="B7" s="2"/>
      <c r="C7" s="228"/>
      <c r="D7" s="228"/>
      <c r="E7" s="3"/>
      <c r="F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187</v>
      </c>
      <c r="C11" s="66">
        <v>6554</v>
      </c>
      <c r="D11" s="67">
        <f>SUM(E11*2000)</f>
        <v>453260</v>
      </c>
      <c r="E11" s="68">
        <v>226.63</v>
      </c>
      <c r="F11" s="190">
        <v>-140.19999999999999</v>
      </c>
      <c r="G11" s="69">
        <f t="shared" ref="G11" si="0">SUM(E11*F11)</f>
        <v>-31773.525999999998</v>
      </c>
      <c r="J11" s="279"/>
    </row>
    <row r="12" spans="1:10" ht="15.6" x14ac:dyDescent="0.3">
      <c r="B12" s="85" t="s">
        <v>188</v>
      </c>
      <c r="C12" s="66">
        <v>6565</v>
      </c>
      <c r="D12" s="67">
        <f t="shared" ref="D12:D22" si="1">SUM(E12*2000)</f>
        <v>483160</v>
      </c>
      <c r="E12" s="68">
        <v>241.58</v>
      </c>
      <c r="F12" s="190">
        <v>-138.68</v>
      </c>
      <c r="G12" s="69">
        <f t="shared" ref="G12:G22" si="2">SUM(E12*F12)</f>
        <v>-33502.314400000003</v>
      </c>
      <c r="I12" s="211"/>
      <c r="J12" s="213"/>
    </row>
    <row r="13" spans="1:10" ht="15.6" x14ac:dyDescent="0.3">
      <c r="B13" s="86" t="s">
        <v>189</v>
      </c>
      <c r="C13" s="67">
        <v>6580</v>
      </c>
      <c r="D13" s="67">
        <f t="shared" si="1"/>
        <v>381780</v>
      </c>
      <c r="E13" s="71">
        <v>190.89</v>
      </c>
      <c r="F13" s="191">
        <v>-141.75</v>
      </c>
      <c r="G13" s="69">
        <f t="shared" si="2"/>
        <v>-27058.657499999998</v>
      </c>
      <c r="I13" s="211"/>
      <c r="J13" s="213"/>
    </row>
    <row r="14" spans="1:10" ht="15.6" x14ac:dyDescent="0.3">
      <c r="B14" s="86" t="s">
        <v>190</v>
      </c>
      <c r="C14" s="67">
        <v>6589</v>
      </c>
      <c r="D14" s="67">
        <f t="shared" si="1"/>
        <v>523380</v>
      </c>
      <c r="E14" s="71">
        <v>261.69</v>
      </c>
      <c r="F14" s="191">
        <v>-141.75</v>
      </c>
      <c r="G14" s="69">
        <f t="shared" si="2"/>
        <v>-37094.557500000003</v>
      </c>
      <c r="I14" s="211"/>
      <c r="J14" s="213"/>
    </row>
    <row r="15" spans="1:10" ht="15.6" x14ac:dyDescent="0.3">
      <c r="B15" s="86" t="s">
        <v>191</v>
      </c>
      <c r="C15" s="67">
        <v>6595</v>
      </c>
      <c r="D15" s="67">
        <f t="shared" si="1"/>
        <v>427180</v>
      </c>
      <c r="E15" s="71">
        <v>213.59</v>
      </c>
      <c r="F15" s="191">
        <v>-140.30000000000001</v>
      </c>
      <c r="G15" s="69">
        <f t="shared" si="2"/>
        <v>-29966.677000000003</v>
      </c>
      <c r="I15" s="211"/>
      <c r="J15" s="213"/>
    </row>
    <row r="16" spans="1:10" ht="15.6" x14ac:dyDescent="0.3">
      <c r="B16" s="86" t="s">
        <v>192</v>
      </c>
      <c r="C16" s="232">
        <v>6619</v>
      </c>
      <c r="D16" s="232">
        <f t="shared" si="1"/>
        <v>462280</v>
      </c>
      <c r="E16" s="233">
        <v>231.14</v>
      </c>
      <c r="F16" s="191">
        <v>-143.1</v>
      </c>
      <c r="G16" s="190">
        <f t="shared" si="2"/>
        <v>-33076.133999999998</v>
      </c>
      <c r="I16" s="211"/>
      <c r="J16" s="213"/>
    </row>
    <row r="17" spans="1:13" ht="15.6" x14ac:dyDescent="0.3">
      <c r="B17" s="87" t="s">
        <v>233</v>
      </c>
      <c r="C17" s="232">
        <v>6624</v>
      </c>
      <c r="D17" s="232">
        <f t="shared" si="1"/>
        <v>569420</v>
      </c>
      <c r="E17" s="233">
        <v>284.70999999999998</v>
      </c>
      <c r="F17" s="191">
        <v>-144.55000000000001</v>
      </c>
      <c r="G17" s="190">
        <f t="shared" si="2"/>
        <v>-41154.830500000004</v>
      </c>
      <c r="H17" s="189"/>
      <c r="I17" s="211"/>
      <c r="J17" s="213"/>
      <c r="M17" s="316">
        <f>+G17+G18+G19+G20+G21+G22</f>
        <v>-193843.16050000003</v>
      </c>
    </row>
    <row r="18" spans="1:13" ht="15.6" x14ac:dyDescent="0.3">
      <c r="B18" s="87" t="s">
        <v>232</v>
      </c>
      <c r="C18" s="232">
        <v>6636</v>
      </c>
      <c r="D18" s="232">
        <f t="shared" si="1"/>
        <v>332460</v>
      </c>
      <c r="E18" s="233">
        <v>166.23</v>
      </c>
      <c r="F18" s="191">
        <v>-163.1</v>
      </c>
      <c r="G18" s="190">
        <f t="shared" si="2"/>
        <v>-27112.112999999998</v>
      </c>
      <c r="I18" s="211">
        <f>+G18+'Multi-Family 2019'!G17</f>
        <v>-29226.328999999998</v>
      </c>
      <c r="J18" s="213"/>
      <c r="M18" s="279">
        <f>+'Multi-Family Oct 19'!O18</f>
        <v>-11563.533000000001</v>
      </c>
    </row>
    <row r="19" spans="1:13" ht="15.6" x14ac:dyDescent="0.3">
      <c r="B19" s="87" t="s">
        <v>231</v>
      </c>
      <c r="C19" s="277">
        <v>6646</v>
      </c>
      <c r="D19" s="232">
        <f t="shared" si="1"/>
        <v>398360</v>
      </c>
      <c r="E19" s="278">
        <v>199.18</v>
      </c>
      <c r="F19" s="191">
        <v>-170.3</v>
      </c>
      <c r="G19" s="190">
        <f t="shared" si="2"/>
        <v>-33920.354000000007</v>
      </c>
      <c r="I19" s="211"/>
      <c r="J19" s="213"/>
      <c r="M19" s="316">
        <f>+M17+M18</f>
        <v>-205406.69350000002</v>
      </c>
    </row>
    <row r="20" spans="1:13" ht="15.6" x14ac:dyDescent="0.3">
      <c r="B20" s="87" t="s">
        <v>230</v>
      </c>
      <c r="C20" s="277">
        <v>6638</v>
      </c>
      <c r="D20" s="232">
        <f t="shared" si="1"/>
        <v>312880</v>
      </c>
      <c r="E20" s="278">
        <v>156.44</v>
      </c>
      <c r="F20" s="191">
        <v>-176.1</v>
      </c>
      <c r="G20" s="190">
        <f t="shared" si="2"/>
        <v>-27549.083999999999</v>
      </c>
      <c r="I20" s="211"/>
      <c r="J20" s="213"/>
      <c r="M20" s="279" t="s">
        <v>235</v>
      </c>
    </row>
    <row r="21" spans="1:13" ht="15.6" x14ac:dyDescent="0.3">
      <c r="B21" s="87" t="s">
        <v>229</v>
      </c>
      <c r="C21" s="277">
        <v>6674</v>
      </c>
      <c r="D21" s="232">
        <f t="shared" si="1"/>
        <v>360000</v>
      </c>
      <c r="E21" s="278">
        <v>180</v>
      </c>
      <c r="F21" s="191">
        <v>-177.65</v>
      </c>
      <c r="G21" s="190">
        <f t="shared" si="2"/>
        <v>-31977</v>
      </c>
      <c r="I21" s="211"/>
      <c r="J21" s="213"/>
    </row>
    <row r="22" spans="1:13" ht="15.6" x14ac:dyDescent="0.3">
      <c r="B22" s="87" t="s">
        <v>228</v>
      </c>
      <c r="C22" s="234">
        <v>6701</v>
      </c>
      <c r="D22" s="234">
        <f t="shared" si="1"/>
        <v>361720</v>
      </c>
      <c r="E22" s="276">
        <v>180.86</v>
      </c>
      <c r="F22" s="191">
        <v>-177.65</v>
      </c>
      <c r="G22" s="229">
        <f t="shared" si="2"/>
        <v>-32129.779000000002</v>
      </c>
    </row>
    <row r="23" spans="1:13" ht="15.6" x14ac:dyDescent="0.3">
      <c r="A23" t="s">
        <v>41</v>
      </c>
      <c r="B23" s="58"/>
      <c r="C23" s="186">
        <f>SUM(C11:C22)</f>
        <v>79421</v>
      </c>
      <c r="D23" s="88">
        <f>SUM(D11:D22)</f>
        <v>5065880</v>
      </c>
      <c r="E23" s="107">
        <f>SUM(E11:E22)</f>
        <v>2532.94</v>
      </c>
      <c r="F23" s="192"/>
      <c r="G23" s="80">
        <f>SUM(G11:G22)</f>
        <v>-386315.02689999994</v>
      </c>
    </row>
    <row r="24" spans="1:13" x14ac:dyDescent="0.3">
      <c r="E24" s="185"/>
      <c r="F24" s="194"/>
      <c r="I24" s="279" t="s">
        <v>222</v>
      </c>
    </row>
    <row r="25" spans="1:13" x14ac:dyDescent="0.3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  <col min="9" max="9" width="11.88671875" bestFit="1" customWidth="1"/>
    <col min="10" max="10" width="10.88671875" bestFit="1" customWidth="1"/>
    <col min="11" max="11" width="9.5546875" bestFit="1" customWidth="1"/>
    <col min="13" max="13" width="10.88671875" bestFit="1" customWidth="1"/>
    <col min="14" max="14" width="10.1093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219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"/>
      <c r="D4" s="228"/>
      <c r="E4" s="228"/>
      <c r="F4" s="3"/>
      <c r="G4" s="228"/>
    </row>
    <row r="5" spans="1:10" x14ac:dyDescent="0.3">
      <c r="A5" s="228"/>
      <c r="B5" s="228"/>
      <c r="C5" s="2"/>
      <c r="D5" s="228"/>
      <c r="E5" s="228"/>
      <c r="F5" s="3"/>
      <c r="G5" s="228"/>
    </row>
    <row r="6" spans="1:10" x14ac:dyDescent="0.3">
      <c r="A6" s="228"/>
      <c r="B6" s="228"/>
      <c r="C6" s="2"/>
      <c r="D6" s="228"/>
      <c r="E6" s="228"/>
      <c r="F6" s="3"/>
      <c r="G6" s="228"/>
    </row>
    <row r="7" spans="1:10" x14ac:dyDescent="0.3">
      <c r="A7" s="228"/>
      <c r="B7" s="228"/>
      <c r="C7" s="2"/>
      <c r="D7" s="228"/>
      <c r="E7" s="228"/>
      <c r="F7" s="3"/>
      <c r="G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181</v>
      </c>
      <c r="C11" s="186">
        <v>1561</v>
      </c>
      <c r="D11" s="67">
        <f t="shared" ref="D11:D22" si="0">SUM(E11*2000)</f>
        <v>14080</v>
      </c>
      <c r="E11" s="68">
        <v>7.04</v>
      </c>
      <c r="F11" s="190">
        <v>-70.27</v>
      </c>
      <c r="G11" s="69">
        <f t="shared" ref="G11:G22" si="1">SUM(E11*F11)</f>
        <v>-494.70079999999996</v>
      </c>
      <c r="I11" s="211"/>
      <c r="J11" s="211"/>
    </row>
    <row r="12" spans="1:10" ht="15.6" x14ac:dyDescent="0.3">
      <c r="B12" s="86" t="s">
        <v>182</v>
      </c>
      <c r="C12" s="186">
        <v>1561</v>
      </c>
      <c r="D12" s="67">
        <f t="shared" si="0"/>
        <v>17260</v>
      </c>
      <c r="E12" s="71">
        <v>8.6300000000000008</v>
      </c>
      <c r="F12" s="191">
        <v>-98.77</v>
      </c>
      <c r="G12" s="69">
        <f t="shared" si="1"/>
        <v>-852.38510000000008</v>
      </c>
      <c r="I12" s="211"/>
      <c r="J12" s="211"/>
    </row>
    <row r="13" spans="1:10" ht="15.6" x14ac:dyDescent="0.3">
      <c r="B13" s="86" t="s">
        <v>183</v>
      </c>
      <c r="C13" s="186">
        <v>1561</v>
      </c>
      <c r="D13" s="67">
        <f t="shared" si="0"/>
        <v>30100</v>
      </c>
      <c r="E13" s="71">
        <v>15.05</v>
      </c>
      <c r="F13" s="191">
        <v>-133.27000000000001</v>
      </c>
      <c r="G13" s="69">
        <f t="shared" si="1"/>
        <v>-2005.7135000000003</v>
      </c>
      <c r="I13" s="211"/>
      <c r="J13" s="211"/>
    </row>
    <row r="14" spans="1:10" ht="15.6" x14ac:dyDescent="0.3">
      <c r="B14" s="86" t="s">
        <v>184</v>
      </c>
      <c r="C14" s="186">
        <v>1561</v>
      </c>
      <c r="D14" s="67">
        <f t="shared" si="0"/>
        <v>20940</v>
      </c>
      <c r="E14" s="71">
        <v>10.47</v>
      </c>
      <c r="F14" s="191">
        <v>-137.30000000000001</v>
      </c>
      <c r="G14" s="69">
        <f t="shared" si="1"/>
        <v>-1437.5310000000002</v>
      </c>
      <c r="I14" s="211"/>
      <c r="J14" s="211"/>
    </row>
    <row r="15" spans="1:10" ht="15.6" x14ac:dyDescent="0.3">
      <c r="B15" s="86" t="s">
        <v>185</v>
      </c>
      <c r="C15" s="186">
        <v>1561</v>
      </c>
      <c r="D15" s="67">
        <f t="shared" si="0"/>
        <v>33300</v>
      </c>
      <c r="E15" s="71">
        <v>16.649999999999999</v>
      </c>
      <c r="F15" s="191">
        <v>-147.35</v>
      </c>
      <c r="G15" s="69">
        <f t="shared" si="1"/>
        <v>-2453.3774999999996</v>
      </c>
      <c r="I15" s="211"/>
      <c r="J15" s="211"/>
    </row>
    <row r="16" spans="1:10" ht="15.6" x14ac:dyDescent="0.3">
      <c r="B16" s="87" t="s">
        <v>186</v>
      </c>
      <c r="C16" s="186">
        <v>1561</v>
      </c>
      <c r="D16" s="67">
        <f t="shared" si="0"/>
        <v>25580</v>
      </c>
      <c r="E16" s="71">
        <v>12.79</v>
      </c>
      <c r="F16" s="191">
        <v>-141.75</v>
      </c>
      <c r="G16" s="69">
        <f t="shared" si="1"/>
        <v>-1812.9824999999998</v>
      </c>
      <c r="I16" s="211" t="s">
        <v>196</v>
      </c>
      <c r="J16" s="211"/>
    </row>
    <row r="17" spans="1:14" ht="15.6" x14ac:dyDescent="0.3">
      <c r="B17" s="87" t="s">
        <v>187</v>
      </c>
      <c r="C17" s="231">
        <v>1561</v>
      </c>
      <c r="D17" s="232">
        <f t="shared" si="0"/>
        <v>30160</v>
      </c>
      <c r="E17" s="233">
        <v>15.08</v>
      </c>
      <c r="F17" s="191">
        <v>-140.19999999999999</v>
      </c>
      <c r="G17" s="190">
        <f t="shared" si="1"/>
        <v>-2114.2159999999999</v>
      </c>
      <c r="H17" s="267">
        <v>446.02</v>
      </c>
      <c r="I17" s="268">
        <v>62531.01</v>
      </c>
      <c r="J17" s="269"/>
      <c r="K17" s="230">
        <f>I17/H17</f>
        <v>140.19777140038565</v>
      </c>
    </row>
    <row r="18" spans="1:14" ht="15.6" x14ac:dyDescent="0.3">
      <c r="B18" s="87" t="s">
        <v>188</v>
      </c>
      <c r="C18" s="231">
        <v>1561</v>
      </c>
      <c r="D18" s="232">
        <f t="shared" si="0"/>
        <v>41720</v>
      </c>
      <c r="E18" s="233">
        <v>20.86</v>
      </c>
      <c r="F18" s="191">
        <v>-138.68</v>
      </c>
      <c r="G18" s="190">
        <f t="shared" si="1"/>
        <v>-2892.8648000000003</v>
      </c>
      <c r="H18" s="267">
        <v>461.41</v>
      </c>
      <c r="I18" s="268">
        <v>63990.57</v>
      </c>
      <c r="J18" s="269"/>
      <c r="K18" s="230">
        <f t="shared" ref="K18:K22" si="2">I18/H18</f>
        <v>138.68483561257884</v>
      </c>
      <c r="M18" s="266"/>
      <c r="N18" s="211"/>
    </row>
    <row r="19" spans="1:14" ht="15.6" x14ac:dyDescent="0.3">
      <c r="B19" s="87" t="s">
        <v>189</v>
      </c>
      <c r="C19" s="231">
        <v>1561</v>
      </c>
      <c r="D19" s="232">
        <f t="shared" si="0"/>
        <v>40240</v>
      </c>
      <c r="E19" s="233">
        <v>20.12</v>
      </c>
      <c r="F19" s="191">
        <v>-141.75</v>
      </c>
      <c r="G19" s="190">
        <f t="shared" si="1"/>
        <v>-2852.01</v>
      </c>
      <c r="H19" s="267">
        <v>397.19</v>
      </c>
      <c r="I19" s="268">
        <v>56302.03</v>
      </c>
      <c r="J19" s="269"/>
      <c r="K19" s="230">
        <f t="shared" si="2"/>
        <v>141.75087489614543</v>
      </c>
      <c r="M19" s="211"/>
    </row>
    <row r="20" spans="1:14" ht="15.6" x14ac:dyDescent="0.3">
      <c r="B20" s="87" t="s">
        <v>190</v>
      </c>
      <c r="C20" s="231">
        <v>1561</v>
      </c>
      <c r="D20" s="232">
        <f t="shared" si="0"/>
        <v>28080</v>
      </c>
      <c r="E20" s="233">
        <v>14.04</v>
      </c>
      <c r="F20" s="191">
        <v>-141.75</v>
      </c>
      <c r="G20" s="190">
        <f t="shared" si="1"/>
        <v>-1990.1699999999998</v>
      </c>
      <c r="H20" s="267">
        <v>376.99</v>
      </c>
      <c r="I20" s="268">
        <v>53438.66</v>
      </c>
      <c r="J20" s="269"/>
      <c r="K20" s="230">
        <f t="shared" si="2"/>
        <v>141.75086872330832</v>
      </c>
    </row>
    <row r="21" spans="1:14" ht="15.6" x14ac:dyDescent="0.3">
      <c r="B21" s="87" t="s">
        <v>191</v>
      </c>
      <c r="C21" s="231">
        <v>1561</v>
      </c>
      <c r="D21" s="232">
        <f t="shared" si="0"/>
        <v>36940</v>
      </c>
      <c r="E21" s="233">
        <v>18.47</v>
      </c>
      <c r="F21" s="191">
        <v>-140.30000000000001</v>
      </c>
      <c r="G21" s="190">
        <f t="shared" si="1"/>
        <v>-2591.3409999999999</v>
      </c>
      <c r="H21" s="267">
        <v>420.16</v>
      </c>
      <c r="I21" s="268">
        <v>58948.58</v>
      </c>
      <c r="J21" s="194"/>
      <c r="K21" s="230">
        <f t="shared" si="2"/>
        <v>140.300314166032</v>
      </c>
    </row>
    <row r="22" spans="1:14" ht="15.6" x14ac:dyDescent="0.3">
      <c r="B22" s="87" t="s">
        <v>192</v>
      </c>
      <c r="C22" s="275">
        <v>1561</v>
      </c>
      <c r="D22" s="234">
        <f t="shared" si="0"/>
        <v>43940</v>
      </c>
      <c r="E22" s="276">
        <v>21.97</v>
      </c>
      <c r="F22" s="191">
        <v>-143.1</v>
      </c>
      <c r="G22" s="229">
        <f t="shared" si="1"/>
        <v>-3143.9069999999997</v>
      </c>
      <c r="H22" s="267">
        <v>450.41</v>
      </c>
      <c r="I22" s="268">
        <v>64453.93</v>
      </c>
      <c r="J22" s="194"/>
      <c r="K22" s="230">
        <f t="shared" si="2"/>
        <v>143.10057503163785</v>
      </c>
    </row>
    <row r="23" spans="1:14" ht="15.6" x14ac:dyDescent="0.3">
      <c r="A23" t="s">
        <v>41</v>
      </c>
      <c r="B23" s="76"/>
      <c r="C23" s="231">
        <f>SUM(C11:C22)</f>
        <v>18732</v>
      </c>
      <c r="D23" s="270">
        <f>SUM(D11:D22)</f>
        <v>362340</v>
      </c>
      <c r="E23" s="271">
        <f>SUM(E11:E22)</f>
        <v>181.17</v>
      </c>
      <c r="F23" s="192"/>
      <c r="G23" s="272">
        <f>SUM(G11:G22)</f>
        <v>-24641.199199999995</v>
      </c>
      <c r="H23" s="194"/>
      <c r="I23" s="269"/>
      <c r="J23" s="194"/>
    </row>
    <row r="24" spans="1:14" ht="15.6" x14ac:dyDescent="0.3">
      <c r="B24" s="63"/>
      <c r="C24" s="81"/>
      <c r="D24" s="82"/>
      <c r="E24" s="83"/>
      <c r="F24" s="273" t="s">
        <v>0</v>
      </c>
      <c r="G24" s="194"/>
      <c r="H24" s="194"/>
      <c r="I24" t="s">
        <v>222</v>
      </c>
      <c r="J24" s="194"/>
    </row>
    <row r="25" spans="1:14" ht="15.6" x14ac:dyDescent="0.3">
      <c r="C25" s="81"/>
      <c r="D25" s="82"/>
      <c r="E25" s="83"/>
      <c r="F25" s="84" t="s">
        <v>0</v>
      </c>
    </row>
    <row r="26" spans="1:14" x14ac:dyDescent="0.3">
      <c r="C26" s="195"/>
      <c r="D26" s="196"/>
      <c r="E26" s="197"/>
      <c r="F26" s="262">
        <v>33864</v>
      </c>
      <c r="G26" s="199"/>
    </row>
    <row r="27" spans="1:14" x14ac:dyDescent="0.3">
      <c r="C27" s="200" t="s">
        <v>159</v>
      </c>
      <c r="D27" s="263">
        <f>'Single Family 2019'!D23</f>
        <v>5211740</v>
      </c>
      <c r="E27" s="202">
        <f>D27/$D$29</f>
        <v>0.93499555083529484</v>
      </c>
      <c r="F27" s="203">
        <f>E27*F26</f>
        <v>31662.689333486425</v>
      </c>
      <c r="G27" s="204"/>
    </row>
    <row r="28" spans="1:14" x14ac:dyDescent="0.3">
      <c r="C28" s="200" t="s">
        <v>160</v>
      </c>
      <c r="D28" s="263">
        <f>+D23</f>
        <v>362340</v>
      </c>
      <c r="E28" s="202">
        <f>D28/$D$29</f>
        <v>6.5004449164705214E-2</v>
      </c>
      <c r="F28" s="205">
        <f>E28*F26</f>
        <v>2201.3106665135774</v>
      </c>
      <c r="G28" s="204"/>
    </row>
    <row r="29" spans="1:14" x14ac:dyDescent="0.3">
      <c r="C29" s="206" t="s">
        <v>87</v>
      </c>
      <c r="D29" s="207">
        <f>SUM(D27:D28)</f>
        <v>5574080</v>
      </c>
      <c r="E29" s="208"/>
      <c r="F29" s="209">
        <f>F26-F27-F28</f>
        <v>0</v>
      </c>
      <c r="G29" s="210" t="s">
        <v>161</v>
      </c>
    </row>
    <row r="34" spans="5:5" x14ac:dyDescent="0.3">
      <c r="E34" s="185"/>
    </row>
    <row r="35" spans="5:5" x14ac:dyDescent="0.3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10.88671875" bestFit="1" customWidth="1"/>
    <col min="10" max="10" width="12.33203125" customWidth="1"/>
    <col min="11" max="11" width="9.5546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193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28"/>
      <c r="D4" s="3"/>
      <c r="E4" s="228"/>
      <c r="F4" s="228"/>
    </row>
    <row r="5" spans="1:10" x14ac:dyDescent="0.3">
      <c r="A5" s="228"/>
      <c r="B5" s="228"/>
      <c r="C5" s="228"/>
      <c r="D5" s="3"/>
      <c r="E5" s="228"/>
      <c r="F5" s="228"/>
    </row>
    <row r="6" spans="1:10" x14ac:dyDescent="0.3">
      <c r="A6" s="228"/>
      <c r="B6" s="228"/>
      <c r="C6" s="228"/>
      <c r="D6" s="3"/>
      <c r="E6" s="228"/>
      <c r="F6" s="228"/>
    </row>
    <row r="7" spans="1:10" x14ac:dyDescent="0.3">
      <c r="A7" s="228"/>
      <c r="B7" s="2"/>
      <c r="C7" s="228"/>
      <c r="D7" s="228"/>
      <c r="E7" s="3"/>
      <c r="F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181</v>
      </c>
      <c r="C11" s="66">
        <v>6496</v>
      </c>
      <c r="D11" s="67">
        <f t="shared" ref="D11:D22" si="0">SUM(E11*2000)</f>
        <v>509660</v>
      </c>
      <c r="E11" s="68">
        <v>254.83</v>
      </c>
      <c r="F11" s="190">
        <v>-70.27</v>
      </c>
      <c r="G11" s="69">
        <f t="shared" ref="G11:G22" si="1">SUM(E11*F11)</f>
        <v>-17906.9041</v>
      </c>
      <c r="I11" s="211"/>
      <c r="J11" s="213"/>
    </row>
    <row r="12" spans="1:10" ht="15.6" x14ac:dyDescent="0.3">
      <c r="B12" s="86" t="s">
        <v>182</v>
      </c>
      <c r="C12" s="67">
        <v>6508</v>
      </c>
      <c r="D12" s="67">
        <f t="shared" si="0"/>
        <v>356820</v>
      </c>
      <c r="E12" s="71">
        <v>178.41</v>
      </c>
      <c r="F12" s="191">
        <v>-98.77</v>
      </c>
      <c r="G12" s="69">
        <f t="shared" si="1"/>
        <v>-17621.555699999997</v>
      </c>
      <c r="I12" s="211"/>
      <c r="J12" s="213"/>
    </row>
    <row r="13" spans="1:10" ht="15.6" x14ac:dyDescent="0.3">
      <c r="B13" s="86" t="s">
        <v>183</v>
      </c>
      <c r="C13" s="67">
        <v>6509</v>
      </c>
      <c r="D13" s="67">
        <f t="shared" si="0"/>
        <v>467680</v>
      </c>
      <c r="E13" s="71">
        <v>233.84</v>
      </c>
      <c r="F13" s="191">
        <v>-133.27000000000001</v>
      </c>
      <c r="G13" s="69">
        <f t="shared" si="1"/>
        <v>-31163.856800000001</v>
      </c>
      <c r="I13" s="211"/>
      <c r="J13" s="213"/>
    </row>
    <row r="14" spans="1:10" ht="15.6" x14ac:dyDescent="0.3">
      <c r="B14" s="86" t="s">
        <v>184</v>
      </c>
      <c r="C14" s="67">
        <v>6508</v>
      </c>
      <c r="D14" s="67">
        <f t="shared" si="0"/>
        <v>382300</v>
      </c>
      <c r="E14" s="71">
        <v>191.15</v>
      </c>
      <c r="F14" s="191">
        <v>-137.30000000000001</v>
      </c>
      <c r="G14" s="69">
        <f t="shared" si="1"/>
        <v>-26244.895000000004</v>
      </c>
      <c r="I14" s="211"/>
      <c r="J14" s="213"/>
    </row>
    <row r="15" spans="1:10" ht="15.6" x14ac:dyDescent="0.3">
      <c r="B15" s="86" t="s">
        <v>185</v>
      </c>
      <c r="C15" s="67">
        <v>6529</v>
      </c>
      <c r="D15" s="67">
        <f t="shared" si="0"/>
        <v>359380</v>
      </c>
      <c r="E15" s="71">
        <v>179.69</v>
      </c>
      <c r="F15" s="191">
        <v>-147.35</v>
      </c>
      <c r="G15" s="69">
        <f t="shared" si="1"/>
        <v>-26477.321499999998</v>
      </c>
      <c r="I15" s="211"/>
      <c r="J15" s="213"/>
    </row>
    <row r="16" spans="1:10" ht="15.6" x14ac:dyDescent="0.3">
      <c r="B16" s="87" t="s">
        <v>186</v>
      </c>
      <c r="C16" s="67">
        <v>6552</v>
      </c>
      <c r="D16" s="67">
        <f t="shared" si="0"/>
        <v>404860</v>
      </c>
      <c r="E16" s="71">
        <v>202.43</v>
      </c>
      <c r="F16" s="191">
        <v>-141.75</v>
      </c>
      <c r="G16" s="69">
        <f t="shared" si="1"/>
        <v>-28694.452499999999</v>
      </c>
      <c r="H16" s="189"/>
      <c r="I16" s="211"/>
      <c r="J16" s="213"/>
    </row>
    <row r="17" spans="1:10" ht="15.6" x14ac:dyDescent="0.3">
      <c r="B17" s="87" t="s">
        <v>187</v>
      </c>
      <c r="C17" s="67">
        <v>6554</v>
      </c>
      <c r="D17" s="67">
        <f t="shared" si="0"/>
        <v>453260</v>
      </c>
      <c r="E17" s="71">
        <v>226.63</v>
      </c>
      <c r="F17" s="191">
        <v>-140.19999999999999</v>
      </c>
      <c r="G17" s="69">
        <f t="shared" si="1"/>
        <v>-31773.525999999998</v>
      </c>
      <c r="I17" s="211">
        <f>+G17+'Multi-Family 2019'!G17</f>
        <v>-33887.741999999998</v>
      </c>
      <c r="J17" s="213"/>
    </row>
    <row r="18" spans="1:10" ht="15.6" x14ac:dyDescent="0.3">
      <c r="B18" s="87" t="s">
        <v>188</v>
      </c>
      <c r="C18" s="277">
        <v>6565</v>
      </c>
      <c r="D18" s="277">
        <f t="shared" si="0"/>
        <v>483160</v>
      </c>
      <c r="E18" s="278">
        <v>241.58</v>
      </c>
      <c r="F18" s="191">
        <v>-138.68</v>
      </c>
      <c r="G18" s="190">
        <f t="shared" si="1"/>
        <v>-33502.314400000003</v>
      </c>
      <c r="I18" s="211"/>
      <c r="J18" s="213"/>
    </row>
    <row r="19" spans="1:10" ht="15.6" x14ac:dyDescent="0.3">
      <c r="B19" s="87" t="s">
        <v>189</v>
      </c>
      <c r="C19" s="277">
        <v>6580</v>
      </c>
      <c r="D19" s="277">
        <f t="shared" si="0"/>
        <v>381780</v>
      </c>
      <c r="E19" s="278">
        <v>190.89</v>
      </c>
      <c r="F19" s="191">
        <v>-141.75</v>
      </c>
      <c r="G19" s="190">
        <f t="shared" si="1"/>
        <v>-27058.657499999998</v>
      </c>
      <c r="I19" s="211"/>
      <c r="J19" s="213"/>
    </row>
    <row r="20" spans="1:10" ht="15.6" x14ac:dyDescent="0.3">
      <c r="B20" s="87" t="s">
        <v>190</v>
      </c>
      <c r="C20" s="277">
        <v>6589</v>
      </c>
      <c r="D20" s="277">
        <f t="shared" si="0"/>
        <v>523380</v>
      </c>
      <c r="E20" s="278">
        <v>261.69</v>
      </c>
      <c r="F20" s="191">
        <v>-141.75</v>
      </c>
      <c r="G20" s="190">
        <f t="shared" si="1"/>
        <v>-37094.557500000003</v>
      </c>
      <c r="I20" s="211"/>
      <c r="J20" s="213"/>
    </row>
    <row r="21" spans="1:10" ht="15.6" x14ac:dyDescent="0.3">
      <c r="B21" s="87" t="s">
        <v>191</v>
      </c>
      <c r="C21" s="277">
        <v>6595</v>
      </c>
      <c r="D21" s="277">
        <f t="shared" si="0"/>
        <v>427180</v>
      </c>
      <c r="E21" s="278">
        <v>213.59</v>
      </c>
      <c r="F21" s="191">
        <v>-140.30000000000001</v>
      </c>
      <c r="G21" s="190">
        <f t="shared" si="1"/>
        <v>-29966.677000000003</v>
      </c>
    </row>
    <row r="22" spans="1:10" ht="15.6" x14ac:dyDescent="0.3">
      <c r="B22" s="87" t="s">
        <v>192</v>
      </c>
      <c r="C22" s="234">
        <v>6619</v>
      </c>
      <c r="D22" s="234">
        <f t="shared" si="0"/>
        <v>462280</v>
      </c>
      <c r="E22" s="276">
        <v>231.14</v>
      </c>
      <c r="F22" s="191">
        <v>-143.1</v>
      </c>
      <c r="G22" s="229">
        <f t="shared" si="1"/>
        <v>-33076.133999999998</v>
      </c>
    </row>
    <row r="23" spans="1:10" ht="15.6" x14ac:dyDescent="0.3">
      <c r="A23" t="s">
        <v>41</v>
      </c>
      <c r="B23" s="58"/>
      <c r="C23" s="186">
        <f>SUM(C11:C22)</f>
        <v>78604</v>
      </c>
      <c r="D23" s="88">
        <f>SUM(D11:D22)</f>
        <v>5211740</v>
      </c>
      <c r="E23" s="107">
        <f>SUM(E11:E22)</f>
        <v>2605.87</v>
      </c>
      <c r="F23" s="192"/>
      <c r="G23" s="80">
        <f>SUM(G11:G22)</f>
        <v>-340580.85200000007</v>
      </c>
    </row>
    <row r="24" spans="1:10" x14ac:dyDescent="0.3">
      <c r="E24" s="185"/>
      <c r="F24" s="194"/>
    </row>
    <row r="25" spans="1:10" x14ac:dyDescent="0.3">
      <c r="C25" t="s">
        <v>222</v>
      </c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7" zoomScale="85" zoomScaleNormal="85" workbookViewId="0">
      <selection activeCell="M36" sqref="M36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  <col min="9" max="9" width="11.88671875" bestFit="1" customWidth="1"/>
    <col min="10" max="10" width="10.88671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180</v>
      </c>
      <c r="B3" s="459"/>
      <c r="C3" s="459"/>
      <c r="D3" s="459"/>
      <c r="E3" s="459"/>
      <c r="F3" s="459"/>
      <c r="G3" s="459"/>
    </row>
    <row r="4" spans="1:10" x14ac:dyDescent="0.3">
      <c r="A4" s="1"/>
      <c r="B4" s="1"/>
      <c r="C4" s="2"/>
      <c r="D4" s="1"/>
      <c r="E4" s="1"/>
      <c r="F4" s="3"/>
      <c r="G4" s="1"/>
    </row>
    <row r="5" spans="1:10" x14ac:dyDescent="0.3">
      <c r="A5" s="1"/>
      <c r="B5" s="1"/>
      <c r="C5" s="2"/>
      <c r="D5" s="1"/>
      <c r="E5" s="1"/>
      <c r="F5" s="3"/>
      <c r="G5" s="1"/>
    </row>
    <row r="6" spans="1:10" x14ac:dyDescent="0.3">
      <c r="A6" s="1"/>
      <c r="B6" s="1"/>
      <c r="C6" s="2"/>
      <c r="D6" s="1"/>
      <c r="E6" s="1"/>
      <c r="F6" s="3"/>
      <c r="G6" s="1"/>
    </row>
    <row r="7" spans="1:10" x14ac:dyDescent="0.3">
      <c r="A7" s="1"/>
      <c r="B7" s="1"/>
      <c r="C7" s="2"/>
      <c r="D7" s="1"/>
      <c r="E7" s="1"/>
      <c r="F7" s="3"/>
      <c r="G7" s="1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7" t="s">
        <v>171</v>
      </c>
      <c r="C11" s="186">
        <v>1561</v>
      </c>
      <c r="D11" s="67">
        <f t="shared" ref="D11:D15" si="0">SUM(E11*2000)</f>
        <v>18380</v>
      </c>
      <c r="E11" s="71">
        <v>9.19</v>
      </c>
      <c r="F11" s="191">
        <v>-19.47</v>
      </c>
      <c r="G11" s="69">
        <f t="shared" ref="G11:G27" si="1">SUM(E11*F11)</f>
        <v>-178.92929999999998</v>
      </c>
      <c r="I11" s="211"/>
      <c r="J11" s="211"/>
    </row>
    <row r="12" spans="1:10" ht="15.6" x14ac:dyDescent="0.3">
      <c r="B12" s="87" t="s">
        <v>172</v>
      </c>
      <c r="C12" s="186">
        <v>1561</v>
      </c>
      <c r="D12" s="67">
        <f t="shared" si="0"/>
        <v>35820</v>
      </c>
      <c r="E12" s="71">
        <v>17.91</v>
      </c>
      <c r="F12" s="191">
        <v>-45.47</v>
      </c>
      <c r="G12" s="69">
        <f t="shared" si="1"/>
        <v>-814.36770000000001</v>
      </c>
      <c r="I12" s="211"/>
      <c r="J12" s="211"/>
    </row>
    <row r="13" spans="1:10" ht="15.6" x14ac:dyDescent="0.3">
      <c r="B13" s="87" t="s">
        <v>173</v>
      </c>
      <c r="C13" s="186">
        <v>1561</v>
      </c>
      <c r="D13" s="67">
        <f t="shared" si="0"/>
        <v>30780</v>
      </c>
      <c r="E13" s="71">
        <v>15.39</v>
      </c>
      <c r="F13" s="191">
        <v>-84.97</v>
      </c>
      <c r="G13" s="69">
        <f t="shared" si="1"/>
        <v>-1307.6883</v>
      </c>
      <c r="I13" s="211"/>
      <c r="J13" s="211"/>
    </row>
    <row r="14" spans="1:10" ht="15.6" x14ac:dyDescent="0.3">
      <c r="B14" s="87" t="s">
        <v>174</v>
      </c>
      <c r="C14" s="186">
        <v>1561</v>
      </c>
      <c r="D14" s="67">
        <f t="shared" si="0"/>
        <v>57160</v>
      </c>
      <c r="E14" s="71">
        <v>28.58</v>
      </c>
      <c r="F14" s="191">
        <v>-61.97</v>
      </c>
      <c r="G14" s="69">
        <f t="shared" si="1"/>
        <v>-1771.1025999999999</v>
      </c>
      <c r="I14" s="211"/>
      <c r="J14" s="211"/>
    </row>
    <row r="15" spans="1:10" ht="15.6" x14ac:dyDescent="0.3">
      <c r="B15" s="87" t="s">
        <v>175</v>
      </c>
      <c r="C15" s="225">
        <v>1561</v>
      </c>
      <c r="D15" s="218">
        <f t="shared" si="0"/>
        <v>45800</v>
      </c>
      <c r="E15" s="219">
        <v>22.9</v>
      </c>
      <c r="F15" s="222">
        <v>-64.47</v>
      </c>
      <c r="G15" s="227">
        <f t="shared" si="1"/>
        <v>-1476.3629999999998</v>
      </c>
      <c r="I15" s="211"/>
      <c r="J15" s="211"/>
    </row>
    <row r="16" spans="1:10" ht="15.6" x14ac:dyDescent="0.3">
      <c r="B16" s="85" t="s">
        <v>181</v>
      </c>
      <c r="C16" s="186">
        <v>1561</v>
      </c>
      <c r="D16" s="67">
        <f t="shared" ref="D16:D27" si="2">SUM(E16*2000)</f>
        <v>14080</v>
      </c>
      <c r="E16" s="68">
        <v>7.04</v>
      </c>
      <c r="F16" s="190">
        <v>-70.27</v>
      </c>
      <c r="G16" s="69">
        <f t="shared" si="1"/>
        <v>-494.70079999999996</v>
      </c>
      <c r="I16" s="211"/>
      <c r="J16" s="211"/>
    </row>
    <row r="17" spans="1:11" ht="15.6" x14ac:dyDescent="0.3">
      <c r="B17" s="86" t="s">
        <v>182</v>
      </c>
      <c r="C17" s="186">
        <v>1561</v>
      </c>
      <c r="D17" s="67">
        <f t="shared" si="2"/>
        <v>17260</v>
      </c>
      <c r="E17" s="71">
        <v>8.6300000000000008</v>
      </c>
      <c r="F17" s="191">
        <v>-98.77</v>
      </c>
      <c r="G17" s="69">
        <f t="shared" si="1"/>
        <v>-852.38510000000008</v>
      </c>
      <c r="I17" s="211" t="s">
        <v>196</v>
      </c>
      <c r="J17" s="211"/>
    </row>
    <row r="18" spans="1:11" ht="15.6" x14ac:dyDescent="0.3">
      <c r="B18" s="86" t="s">
        <v>183</v>
      </c>
      <c r="C18" s="186">
        <v>1561</v>
      </c>
      <c r="D18" s="67">
        <f t="shared" si="2"/>
        <v>30100</v>
      </c>
      <c r="E18" s="71">
        <v>15.05</v>
      </c>
      <c r="F18" s="191">
        <v>-133.27000000000001</v>
      </c>
      <c r="G18" s="69">
        <f t="shared" si="1"/>
        <v>-2005.7135000000003</v>
      </c>
      <c r="H18">
        <v>436.97</v>
      </c>
      <c r="I18" s="211">
        <v>58235.06</v>
      </c>
      <c r="J18" s="211"/>
      <c r="K18">
        <f>+I18/H18</f>
        <v>133.27015584593906</v>
      </c>
    </row>
    <row r="19" spans="1:11" ht="15.6" x14ac:dyDescent="0.3">
      <c r="B19" s="86" t="s">
        <v>184</v>
      </c>
      <c r="C19" s="186">
        <v>1561</v>
      </c>
      <c r="D19" s="67">
        <f t="shared" si="2"/>
        <v>20940</v>
      </c>
      <c r="E19" s="71">
        <v>10.47</v>
      </c>
      <c r="F19" s="191">
        <v>-137.30000000000001</v>
      </c>
      <c r="G19" s="69">
        <f t="shared" si="1"/>
        <v>-1437.5310000000002</v>
      </c>
      <c r="H19">
        <v>370.46</v>
      </c>
      <c r="I19" s="211">
        <v>50864.18</v>
      </c>
      <c r="J19" s="211"/>
      <c r="K19">
        <f>+I19/H19</f>
        <v>137.30005938562869</v>
      </c>
    </row>
    <row r="20" spans="1:11" ht="15.6" x14ac:dyDescent="0.3">
      <c r="B20" s="86" t="s">
        <v>185</v>
      </c>
      <c r="C20" s="186">
        <v>1561</v>
      </c>
      <c r="D20" s="67">
        <f t="shared" si="2"/>
        <v>33300</v>
      </c>
      <c r="E20" s="71">
        <v>16.649999999999999</v>
      </c>
      <c r="F20" s="191">
        <v>-147.35</v>
      </c>
      <c r="G20" s="69">
        <f t="shared" si="1"/>
        <v>-2453.3774999999996</v>
      </c>
      <c r="H20">
        <v>415.62</v>
      </c>
      <c r="I20" s="211">
        <v>61241.84</v>
      </c>
      <c r="J20" s="211"/>
      <c r="K20">
        <f>+I20/H20</f>
        <v>147.35056060824792</v>
      </c>
    </row>
    <row r="21" spans="1:11" ht="15.6" x14ac:dyDescent="0.3">
      <c r="B21" s="87" t="s">
        <v>186</v>
      </c>
      <c r="C21" s="186">
        <v>1561</v>
      </c>
      <c r="D21" s="67">
        <f t="shared" si="2"/>
        <v>25580</v>
      </c>
      <c r="E21" s="71">
        <v>12.79</v>
      </c>
      <c r="F21" s="191">
        <v>-141.75</v>
      </c>
      <c r="G21" s="69">
        <f t="shared" si="1"/>
        <v>-1812.9824999999998</v>
      </c>
      <c r="H21">
        <v>379.66</v>
      </c>
      <c r="I21" s="211">
        <v>53817.09</v>
      </c>
      <c r="J21" s="211"/>
      <c r="K21">
        <f>+I21/H21</f>
        <v>141.75075067165358</v>
      </c>
    </row>
    <row r="22" spans="1:11" ht="15.6" x14ac:dyDescent="0.3">
      <c r="B22" s="87" t="s">
        <v>187</v>
      </c>
      <c r="C22" s="186">
        <v>1561</v>
      </c>
      <c r="D22" s="67">
        <f t="shared" si="2"/>
        <v>30160</v>
      </c>
      <c r="E22" s="71">
        <v>15.08</v>
      </c>
      <c r="F22" s="191">
        <v>-140.19999999999999</v>
      </c>
      <c r="G22" s="69">
        <f t="shared" si="1"/>
        <v>-2114.2159999999999</v>
      </c>
      <c r="H22">
        <v>446.02</v>
      </c>
      <c r="I22" s="211">
        <v>62531.01</v>
      </c>
      <c r="J22" s="211"/>
      <c r="K22">
        <f>+I22/H22</f>
        <v>140.19777140038565</v>
      </c>
    </row>
    <row r="23" spans="1:11" ht="15.6" x14ac:dyDescent="0.3">
      <c r="B23" s="87" t="s">
        <v>188</v>
      </c>
      <c r="C23" s="186">
        <v>1561</v>
      </c>
      <c r="D23" s="67">
        <f t="shared" si="2"/>
        <v>41720</v>
      </c>
      <c r="E23" s="71">
        <v>20.86</v>
      </c>
      <c r="F23" s="191"/>
      <c r="G23" s="69">
        <f t="shared" si="1"/>
        <v>0</v>
      </c>
      <c r="I23" s="211"/>
      <c r="J23" s="211"/>
    </row>
    <row r="24" spans="1:11" ht="15.6" x14ac:dyDescent="0.3">
      <c r="B24" s="87" t="s">
        <v>189</v>
      </c>
      <c r="C24" s="186"/>
      <c r="D24" s="67">
        <f t="shared" si="2"/>
        <v>0</v>
      </c>
      <c r="E24" s="71"/>
      <c r="F24" s="191"/>
      <c r="G24" s="69">
        <f t="shared" si="1"/>
        <v>0</v>
      </c>
      <c r="I24" s="211"/>
      <c r="J24" s="211"/>
    </row>
    <row r="25" spans="1:11" ht="15.6" x14ac:dyDescent="0.3">
      <c r="B25" s="87" t="s">
        <v>190</v>
      </c>
      <c r="C25" s="186"/>
      <c r="D25" s="67">
        <f t="shared" si="2"/>
        <v>0</v>
      </c>
      <c r="E25" s="71"/>
      <c r="F25" s="191"/>
      <c r="G25" s="69">
        <f t="shared" si="1"/>
        <v>0</v>
      </c>
      <c r="I25" s="211"/>
      <c r="J25" s="211"/>
    </row>
    <row r="26" spans="1:11" ht="15.6" x14ac:dyDescent="0.3">
      <c r="B26" s="87" t="s">
        <v>191</v>
      </c>
      <c r="C26" s="186"/>
      <c r="D26" s="67">
        <f t="shared" si="2"/>
        <v>0</v>
      </c>
      <c r="E26" s="71"/>
      <c r="F26" s="191"/>
      <c r="G26" s="69">
        <f t="shared" si="1"/>
        <v>0</v>
      </c>
    </row>
    <row r="27" spans="1:11" ht="15.6" x14ac:dyDescent="0.3">
      <c r="B27" s="87" t="s">
        <v>192</v>
      </c>
      <c r="C27" s="187"/>
      <c r="D27" s="74">
        <f t="shared" si="2"/>
        <v>0</v>
      </c>
      <c r="E27" s="109"/>
      <c r="F27" s="191"/>
      <c r="G27" s="188">
        <f t="shared" si="1"/>
        <v>0</v>
      </c>
    </row>
    <row r="28" spans="1:11" ht="15.6" x14ac:dyDescent="0.3">
      <c r="A28" t="s">
        <v>41</v>
      </c>
      <c r="B28" s="76"/>
      <c r="C28" s="186">
        <f>SUM(C11:C22)</f>
        <v>18732</v>
      </c>
      <c r="D28" s="88">
        <f>SUM(D11:D22)</f>
        <v>359360</v>
      </c>
      <c r="E28" s="107">
        <f>SUM(E11:E22)</f>
        <v>179.68</v>
      </c>
      <c r="F28" s="192"/>
      <c r="G28" s="80">
        <f>SUM(G11:G22)</f>
        <v>-16719.3573</v>
      </c>
      <c r="I28" s="211">
        <f>+G28+'Single Family 2018 '!G28</f>
        <v>-257242.24730000002</v>
      </c>
    </row>
    <row r="29" spans="1:11" ht="15.6" x14ac:dyDescent="0.3">
      <c r="B29" s="63"/>
      <c r="C29" s="81"/>
      <c r="D29" s="82"/>
      <c r="E29" s="83"/>
      <c r="F29" s="84" t="s">
        <v>0</v>
      </c>
    </row>
    <row r="30" spans="1:11" ht="15.6" x14ac:dyDescent="0.3">
      <c r="C30" s="81"/>
      <c r="D30" s="82"/>
      <c r="E30" s="83"/>
      <c r="F30" s="84" t="s">
        <v>0</v>
      </c>
    </row>
    <row r="31" spans="1:11" x14ac:dyDescent="0.3">
      <c r="C31" s="195"/>
      <c r="D31" s="196"/>
      <c r="E31" s="197"/>
      <c r="F31" s="198">
        <v>33864</v>
      </c>
      <c r="G31" s="199"/>
    </row>
    <row r="32" spans="1:11" x14ac:dyDescent="0.3">
      <c r="C32" s="200" t="s">
        <v>159</v>
      </c>
      <c r="D32" s="201">
        <f>+'[2]Single Family 2016'!D23</f>
        <v>5221960</v>
      </c>
      <c r="E32" s="202">
        <f>D32/$D$34</f>
        <v>0.93561379745293227</v>
      </c>
      <c r="F32" s="203">
        <f>E32*F31</f>
        <v>31683.625636946097</v>
      </c>
      <c r="G32" s="204"/>
    </row>
    <row r="33" spans="2:7" x14ac:dyDescent="0.3">
      <c r="C33" s="200" t="s">
        <v>160</v>
      </c>
      <c r="D33" s="201">
        <f>+D28</f>
        <v>359360</v>
      </c>
      <c r="E33" s="202">
        <f>D33/$D$34</f>
        <v>6.4386202547067714E-2</v>
      </c>
      <c r="F33" s="205">
        <f>E33*F31</f>
        <v>2180.3743630539011</v>
      </c>
      <c r="G33" s="204"/>
    </row>
    <row r="34" spans="2:7" x14ac:dyDescent="0.3">
      <c r="C34" s="206" t="s">
        <v>87</v>
      </c>
      <c r="D34" s="207">
        <f>SUM(D32:D33)</f>
        <v>5581320</v>
      </c>
      <c r="E34" s="208"/>
      <c r="F34" s="209">
        <f>F31-F32-F33</f>
        <v>0</v>
      </c>
      <c r="G34" s="210" t="s">
        <v>161</v>
      </c>
    </row>
    <row r="39" spans="2:7" x14ac:dyDescent="0.3">
      <c r="B39" t="s">
        <v>199</v>
      </c>
      <c r="E39" s="185">
        <v>2016</v>
      </c>
    </row>
    <row r="40" spans="2:7" x14ac:dyDescent="0.3">
      <c r="B40" t="s">
        <v>197</v>
      </c>
      <c r="E40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9.88671875" bestFit="1" customWidth="1"/>
    <col min="10" max="10" width="12.33203125" customWidth="1"/>
    <col min="11" max="11" width="9.5546875" bestFit="1" customWidth="1"/>
  </cols>
  <sheetData>
    <row r="1" spans="1:11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1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1" ht="15.6" x14ac:dyDescent="0.3">
      <c r="A3" s="459" t="s">
        <v>193</v>
      </c>
      <c r="B3" s="459"/>
      <c r="C3" s="459"/>
      <c r="D3" s="459"/>
      <c r="E3" s="459"/>
      <c r="F3" s="459"/>
      <c r="G3" s="459"/>
    </row>
    <row r="4" spans="1:11" x14ac:dyDescent="0.3">
      <c r="A4" s="1"/>
      <c r="B4" s="1"/>
      <c r="C4" s="1"/>
      <c r="D4" s="3"/>
      <c r="E4" s="1"/>
      <c r="F4" s="1"/>
    </row>
    <row r="5" spans="1:11" x14ac:dyDescent="0.3">
      <c r="A5" s="1"/>
      <c r="B5" s="1"/>
      <c r="C5" s="1"/>
      <c r="D5" s="3"/>
      <c r="E5" s="1"/>
      <c r="F5" s="1"/>
    </row>
    <row r="6" spans="1:11" x14ac:dyDescent="0.3">
      <c r="A6" s="1"/>
      <c r="B6" s="1"/>
      <c r="C6" s="1"/>
      <c r="D6" s="3"/>
      <c r="E6" s="1"/>
      <c r="F6" s="1"/>
    </row>
    <row r="7" spans="1:11" x14ac:dyDescent="0.3">
      <c r="A7" s="1"/>
      <c r="B7" s="2"/>
      <c r="C7" s="1"/>
      <c r="D7" s="1"/>
      <c r="E7" s="3"/>
      <c r="F7" s="1"/>
    </row>
    <row r="8" spans="1:11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2" thickBot="1" x14ac:dyDescent="0.35">
      <c r="B9" s="60"/>
      <c r="C9" s="61"/>
      <c r="D9" s="60"/>
      <c r="E9" s="62"/>
      <c r="F9" s="60" t="s">
        <v>8</v>
      </c>
      <c r="G9" s="60"/>
    </row>
    <row r="10" spans="1:11" ht="16.2" thickTop="1" x14ac:dyDescent="0.3">
      <c r="B10" s="63"/>
      <c r="C10" s="64"/>
      <c r="D10" s="64"/>
      <c r="E10" s="63"/>
      <c r="F10" s="65"/>
      <c r="G10" s="63"/>
    </row>
    <row r="11" spans="1:11" ht="15.6" x14ac:dyDescent="0.3">
      <c r="B11" s="87" t="s">
        <v>171</v>
      </c>
      <c r="C11" s="67">
        <v>6443</v>
      </c>
      <c r="D11" s="67">
        <f t="shared" ref="D11:D27" si="0">SUM(E11*2000)</f>
        <v>457760</v>
      </c>
      <c r="E11" s="71">
        <v>228.88</v>
      </c>
      <c r="F11" s="191">
        <v>-19.47</v>
      </c>
      <c r="G11" s="69">
        <f t="shared" ref="G11:G27" si="1">SUM(E11*F11)</f>
        <v>-4456.2936</v>
      </c>
      <c r="I11" s="211"/>
      <c r="J11" s="213"/>
      <c r="K11" s="212"/>
    </row>
    <row r="12" spans="1:11" ht="15.6" x14ac:dyDescent="0.3">
      <c r="B12" s="87" t="s">
        <v>172</v>
      </c>
      <c r="C12" s="67">
        <v>6446</v>
      </c>
      <c r="D12" s="67">
        <f t="shared" si="0"/>
        <v>428020</v>
      </c>
      <c r="E12" s="71">
        <v>214.01</v>
      </c>
      <c r="F12" s="191">
        <v>-45.47</v>
      </c>
      <c r="G12" s="69">
        <f t="shared" si="1"/>
        <v>-9731.0347000000002</v>
      </c>
      <c r="I12" s="211"/>
      <c r="J12" s="213"/>
      <c r="K12" s="212"/>
    </row>
    <row r="13" spans="1:11" ht="15.6" x14ac:dyDescent="0.3">
      <c r="B13" s="87" t="s">
        <v>173</v>
      </c>
      <c r="C13" s="67">
        <v>6460</v>
      </c>
      <c r="D13" s="67">
        <f t="shared" si="0"/>
        <v>424320</v>
      </c>
      <c r="E13" s="71">
        <v>212.16</v>
      </c>
      <c r="F13" s="191">
        <v>-84.97</v>
      </c>
      <c r="G13" s="69">
        <f t="shared" si="1"/>
        <v>-18027.235199999999</v>
      </c>
      <c r="I13" s="211"/>
      <c r="J13" s="213"/>
      <c r="K13" s="212"/>
    </row>
    <row r="14" spans="1:11" ht="15.6" x14ac:dyDescent="0.3">
      <c r="B14" s="87" t="s">
        <v>174</v>
      </c>
      <c r="C14" s="67">
        <v>6467</v>
      </c>
      <c r="D14" s="67">
        <f t="shared" si="0"/>
        <v>425740</v>
      </c>
      <c r="E14" s="71">
        <v>212.87</v>
      </c>
      <c r="F14" s="191">
        <v>-61.97</v>
      </c>
      <c r="G14" s="69">
        <f t="shared" si="1"/>
        <v>-13191.553900000001</v>
      </c>
      <c r="I14" s="211"/>
      <c r="J14" s="213"/>
    </row>
    <row r="15" spans="1:11" ht="15.6" x14ac:dyDescent="0.3">
      <c r="B15" s="87" t="s">
        <v>175</v>
      </c>
      <c r="C15" s="218">
        <v>6480</v>
      </c>
      <c r="D15" s="218">
        <f t="shared" si="0"/>
        <v>472600</v>
      </c>
      <c r="E15" s="219">
        <v>236.3</v>
      </c>
      <c r="F15" s="222">
        <v>-64.47</v>
      </c>
      <c r="G15" s="227">
        <f t="shared" si="1"/>
        <v>-15234.261</v>
      </c>
      <c r="I15" s="211"/>
      <c r="J15" s="213"/>
    </row>
    <row r="16" spans="1:11" ht="15.6" x14ac:dyDescent="0.3">
      <c r="B16" s="85" t="s">
        <v>181</v>
      </c>
      <c r="C16" s="66">
        <v>6496</v>
      </c>
      <c r="D16" s="67">
        <f t="shared" si="0"/>
        <v>509660</v>
      </c>
      <c r="E16" s="68">
        <v>254.83</v>
      </c>
      <c r="F16" s="190">
        <v>-70.27</v>
      </c>
      <c r="G16" s="69">
        <f t="shared" si="1"/>
        <v>-17906.9041</v>
      </c>
      <c r="I16" s="211"/>
      <c r="J16" s="213"/>
    </row>
    <row r="17" spans="1:10" ht="15.6" x14ac:dyDescent="0.3">
      <c r="B17" s="86" t="s">
        <v>182</v>
      </c>
      <c r="C17" s="67">
        <v>6508</v>
      </c>
      <c r="D17" s="67">
        <f t="shared" si="0"/>
        <v>356820</v>
      </c>
      <c r="E17" s="71">
        <v>178.41</v>
      </c>
      <c r="F17" s="191">
        <v>-98.77</v>
      </c>
      <c r="G17" s="69">
        <f t="shared" si="1"/>
        <v>-17621.555699999997</v>
      </c>
      <c r="I17" s="211"/>
      <c r="J17" s="213"/>
    </row>
    <row r="18" spans="1:10" ht="15.6" x14ac:dyDescent="0.3">
      <c r="B18" s="86" t="s">
        <v>183</v>
      </c>
      <c r="C18" s="67">
        <v>6509</v>
      </c>
      <c r="D18" s="67">
        <f t="shared" si="0"/>
        <v>467680</v>
      </c>
      <c r="E18" s="71">
        <v>233.84</v>
      </c>
      <c r="F18" s="191">
        <v>-133.27000000000001</v>
      </c>
      <c r="G18" s="69">
        <f t="shared" si="1"/>
        <v>-31163.856800000001</v>
      </c>
      <c r="I18" s="211"/>
      <c r="J18" s="213"/>
    </row>
    <row r="19" spans="1:10" ht="15.6" x14ac:dyDescent="0.3">
      <c r="B19" s="86" t="s">
        <v>184</v>
      </c>
      <c r="C19" s="67">
        <v>6508</v>
      </c>
      <c r="D19" s="67">
        <f t="shared" si="0"/>
        <v>382300</v>
      </c>
      <c r="E19" s="71">
        <v>191.15</v>
      </c>
      <c r="F19" s="191">
        <v>-137.30000000000001</v>
      </c>
      <c r="G19" s="69">
        <f t="shared" si="1"/>
        <v>-26244.895000000004</v>
      </c>
      <c r="I19" s="211"/>
      <c r="J19" s="213"/>
    </row>
    <row r="20" spans="1:10" ht="15.6" x14ac:dyDescent="0.3">
      <c r="B20" s="86" t="s">
        <v>185</v>
      </c>
      <c r="C20" s="67">
        <v>6529</v>
      </c>
      <c r="D20" s="67">
        <f t="shared" si="0"/>
        <v>359380</v>
      </c>
      <c r="E20" s="71">
        <v>179.69</v>
      </c>
      <c r="F20" s="191">
        <v>-147.35</v>
      </c>
      <c r="G20" s="69">
        <f t="shared" si="1"/>
        <v>-26477.321499999998</v>
      </c>
      <c r="I20" s="211"/>
      <c r="J20" s="213"/>
    </row>
    <row r="21" spans="1:10" ht="15.6" x14ac:dyDescent="0.3">
      <c r="B21" s="87" t="s">
        <v>186</v>
      </c>
      <c r="C21" s="67">
        <v>6552</v>
      </c>
      <c r="D21" s="67">
        <f t="shared" si="0"/>
        <v>404860</v>
      </c>
      <c r="E21" s="71">
        <v>202.43</v>
      </c>
      <c r="F21" s="191">
        <v>-141.75</v>
      </c>
      <c r="G21" s="69">
        <f t="shared" si="1"/>
        <v>-28694.452499999999</v>
      </c>
      <c r="H21" s="189"/>
      <c r="I21" s="211"/>
      <c r="J21" s="213"/>
    </row>
    <row r="22" spans="1:10" ht="15.6" x14ac:dyDescent="0.3">
      <c r="B22" s="87" t="s">
        <v>187</v>
      </c>
      <c r="C22" s="67">
        <v>6554</v>
      </c>
      <c r="D22" s="67">
        <f t="shared" si="0"/>
        <v>453260</v>
      </c>
      <c r="E22" s="71">
        <v>226.63</v>
      </c>
      <c r="F22" s="191">
        <v>-140.19999999999999</v>
      </c>
      <c r="G22" s="69">
        <f t="shared" si="1"/>
        <v>-31773.525999999998</v>
      </c>
      <c r="I22" s="211"/>
      <c r="J22" s="213"/>
    </row>
    <row r="23" spans="1:10" ht="15.6" x14ac:dyDescent="0.3">
      <c r="B23" s="87" t="s">
        <v>188</v>
      </c>
      <c r="C23" s="67">
        <v>6565</v>
      </c>
      <c r="D23" s="67">
        <f t="shared" si="0"/>
        <v>0</v>
      </c>
      <c r="E23" s="71"/>
      <c r="F23" s="191"/>
      <c r="G23" s="69">
        <f t="shared" si="1"/>
        <v>0</v>
      </c>
      <c r="I23" s="211"/>
      <c r="J23" s="213"/>
    </row>
    <row r="24" spans="1:10" ht="15.6" x14ac:dyDescent="0.3">
      <c r="B24" s="87" t="s">
        <v>189</v>
      </c>
      <c r="C24" s="67"/>
      <c r="D24" s="67">
        <f t="shared" si="0"/>
        <v>0</v>
      </c>
      <c r="E24" s="71"/>
      <c r="F24" s="191"/>
      <c r="G24" s="69">
        <f t="shared" si="1"/>
        <v>0</v>
      </c>
      <c r="I24" s="211"/>
      <c r="J24" s="213"/>
    </row>
    <row r="25" spans="1:10" ht="15.6" x14ac:dyDescent="0.3">
      <c r="B25" s="87" t="s">
        <v>190</v>
      </c>
      <c r="C25" s="67"/>
      <c r="D25" s="67">
        <f t="shared" si="0"/>
        <v>0</v>
      </c>
      <c r="E25" s="71"/>
      <c r="F25" s="191"/>
      <c r="G25" s="69">
        <f t="shared" si="1"/>
        <v>0</v>
      </c>
      <c r="I25" s="211"/>
      <c r="J25" s="213"/>
    </row>
    <row r="26" spans="1:10" ht="15.6" x14ac:dyDescent="0.3">
      <c r="B26" s="87" t="s">
        <v>191</v>
      </c>
      <c r="C26" s="67"/>
      <c r="D26" s="67">
        <f t="shared" si="0"/>
        <v>0</v>
      </c>
      <c r="E26" s="71"/>
      <c r="F26" s="191"/>
      <c r="G26" s="69">
        <f t="shared" si="1"/>
        <v>0</v>
      </c>
    </row>
    <row r="27" spans="1:10" ht="15.6" x14ac:dyDescent="0.3">
      <c r="B27" s="87" t="s">
        <v>192</v>
      </c>
      <c r="C27" s="74"/>
      <c r="D27" s="74">
        <f t="shared" si="0"/>
        <v>0</v>
      </c>
      <c r="E27" s="109"/>
      <c r="F27" s="191"/>
      <c r="G27" s="188">
        <f t="shared" si="1"/>
        <v>0</v>
      </c>
    </row>
    <row r="28" spans="1:10" ht="15.6" x14ac:dyDescent="0.3">
      <c r="A28" t="s">
        <v>41</v>
      </c>
      <c r="B28" s="58"/>
      <c r="C28" s="186">
        <f>SUM(C11:C22)</f>
        <v>77952</v>
      </c>
      <c r="D28" s="88">
        <f>SUM(D11:D22)</f>
        <v>5142400</v>
      </c>
      <c r="E28" s="107">
        <f>SUM(E11:E22)</f>
        <v>2571.1999999999998</v>
      </c>
      <c r="F28" s="192"/>
      <c r="G28" s="80">
        <f>SUM(G11:G22)</f>
        <v>-240522.89</v>
      </c>
    </row>
    <row r="29" spans="1:10" x14ac:dyDescent="0.3">
      <c r="E29" s="185"/>
      <c r="F29" s="194"/>
    </row>
    <row r="30" spans="1:10" x14ac:dyDescent="0.3">
      <c r="E30" s="185"/>
      <c r="F30" s="194"/>
    </row>
    <row r="31" spans="1:10" x14ac:dyDescent="0.3">
      <c r="E31" s="185"/>
      <c r="F31" s="194"/>
    </row>
    <row r="32" spans="1:10" x14ac:dyDescent="0.3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163</v>
      </c>
      <c r="B3" s="459"/>
      <c r="C3" s="459"/>
      <c r="D3" s="459"/>
      <c r="E3" s="459"/>
      <c r="F3" s="459"/>
      <c r="G3" s="459"/>
    </row>
    <row r="4" spans="1:10" x14ac:dyDescent="0.3">
      <c r="A4" s="1"/>
      <c r="B4" s="1"/>
      <c r="C4" s="2"/>
      <c r="D4" s="1"/>
      <c r="E4" s="1"/>
      <c r="F4" s="3"/>
      <c r="G4" s="1"/>
    </row>
    <row r="5" spans="1:10" x14ac:dyDescent="0.3">
      <c r="A5" s="1"/>
      <c r="B5" s="1"/>
      <c r="C5" s="2"/>
      <c r="D5" s="1"/>
      <c r="E5" s="1"/>
      <c r="F5" s="3"/>
      <c r="G5" s="1"/>
    </row>
    <row r="6" spans="1:10" x14ac:dyDescent="0.3">
      <c r="A6" s="1"/>
      <c r="B6" s="1"/>
      <c r="C6" s="2"/>
      <c r="D6" s="1"/>
      <c r="E6" s="1"/>
      <c r="F6" s="3"/>
      <c r="G6" s="1"/>
    </row>
    <row r="7" spans="1:10" x14ac:dyDescent="0.3">
      <c r="A7" s="1"/>
      <c r="B7" s="1"/>
      <c r="C7" s="2"/>
      <c r="D7" s="1"/>
      <c r="E7" s="1"/>
      <c r="F7" s="3"/>
      <c r="G7" s="1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6" x14ac:dyDescent="0.3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6" x14ac:dyDescent="0.3">
      <c r="B13" s="86"/>
      <c r="C13" s="186"/>
      <c r="D13" s="67"/>
      <c r="E13" s="71"/>
      <c r="F13" s="191"/>
      <c r="G13" s="69"/>
      <c r="I13" s="211"/>
      <c r="J13" s="211"/>
    </row>
    <row r="14" spans="1:10" ht="15.6" x14ac:dyDescent="0.3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6" x14ac:dyDescent="0.3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6" x14ac:dyDescent="0.3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6" x14ac:dyDescent="0.3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6" x14ac:dyDescent="0.3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6" x14ac:dyDescent="0.3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6" x14ac:dyDescent="0.3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6">
        <f t="shared" si="1"/>
        <v>-814.36770000000001</v>
      </c>
      <c r="I20" s="211"/>
      <c r="J20" s="211"/>
    </row>
    <row r="21" spans="1:10" ht="15.6" x14ac:dyDescent="0.3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6">
        <f t="shared" si="1"/>
        <v>-1307.6883</v>
      </c>
      <c r="I21" s="211"/>
      <c r="J21" s="211"/>
    </row>
    <row r="22" spans="1:10" ht="15.6" x14ac:dyDescent="0.3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6">
        <f t="shared" si="1"/>
        <v>-1771.1025999999999</v>
      </c>
      <c r="I22" s="211"/>
      <c r="J22" s="211"/>
    </row>
    <row r="23" spans="1:10" ht="15.6" x14ac:dyDescent="0.3">
      <c r="B23" s="87" t="s">
        <v>175</v>
      </c>
      <c r="C23" s="225">
        <v>1561</v>
      </c>
      <c r="D23" s="218">
        <f t="shared" si="0"/>
        <v>45800</v>
      </c>
      <c r="E23" s="219">
        <v>22.9</v>
      </c>
      <c r="F23" s="222">
        <v>-64.47</v>
      </c>
      <c r="G23" s="220">
        <f t="shared" si="1"/>
        <v>-1476.3629999999998</v>
      </c>
      <c r="I23" s="211"/>
      <c r="J23" s="211"/>
    </row>
    <row r="24" spans="1:10" ht="15.6" x14ac:dyDescent="0.3">
      <c r="B24" s="86">
        <v>43118</v>
      </c>
      <c r="C24" s="225">
        <v>1561</v>
      </c>
      <c r="D24" s="218">
        <v>14080</v>
      </c>
      <c r="E24" s="219">
        <v>7.04</v>
      </c>
      <c r="F24" s="191">
        <v>-70.27</v>
      </c>
      <c r="G24" s="220">
        <f t="shared" si="1"/>
        <v>-494.70079999999996</v>
      </c>
      <c r="I24" s="211"/>
      <c r="J24" s="211"/>
    </row>
    <row r="25" spans="1:10" ht="15.6" x14ac:dyDescent="0.3">
      <c r="B25" s="86">
        <v>43149</v>
      </c>
      <c r="C25" s="187">
        <v>1561</v>
      </c>
      <c r="D25" s="74">
        <v>17260</v>
      </c>
      <c r="E25" s="109">
        <v>8.6300000000000008</v>
      </c>
      <c r="F25" s="224">
        <v>-98.77</v>
      </c>
      <c r="G25" s="217">
        <f t="shared" si="1"/>
        <v>-852.38510000000008</v>
      </c>
      <c r="I25" s="211"/>
      <c r="J25" s="211"/>
    </row>
    <row r="26" spans="1:10" ht="15.6" x14ac:dyDescent="0.3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6" x14ac:dyDescent="0.3">
      <c r="B27" s="63"/>
      <c r="C27" s="81"/>
      <c r="D27" s="82"/>
      <c r="E27" s="83"/>
      <c r="F27" s="84" t="s">
        <v>0</v>
      </c>
    </row>
    <row r="28" spans="1:10" ht="15.6" x14ac:dyDescent="0.3">
      <c r="C28" s="81"/>
      <c r="D28" s="82"/>
      <c r="E28" s="226">
        <v>2017</v>
      </c>
      <c r="F28" s="84" t="s">
        <v>0</v>
      </c>
      <c r="G28" s="211">
        <f>SUM(G11:G23)</f>
        <v>-6810.7329000000009</v>
      </c>
    </row>
    <row r="29" spans="1:10" x14ac:dyDescent="0.3">
      <c r="C29" s="195" t="s">
        <v>176</v>
      </c>
      <c r="D29" s="196"/>
      <c r="E29" s="197"/>
      <c r="F29" s="198">
        <v>33864</v>
      </c>
      <c r="G29" s="199"/>
    </row>
    <row r="30" spans="1:10" x14ac:dyDescent="0.3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3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3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6" x14ac:dyDescent="0.3">
      <c r="C33" s="81"/>
      <c r="D33" s="82"/>
      <c r="E33" s="83"/>
      <c r="F33" s="84" t="s">
        <v>0</v>
      </c>
    </row>
    <row r="34" spans="3:6" ht="15.6" x14ac:dyDescent="0.3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9.88671875" bestFit="1" customWidth="1"/>
    <col min="10" max="10" width="12.33203125" customWidth="1"/>
    <col min="11" max="11" width="9.5546875" bestFit="1" customWidth="1"/>
  </cols>
  <sheetData>
    <row r="1" spans="1:11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1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1" ht="15.6" x14ac:dyDescent="0.3">
      <c r="A3" s="459" t="s">
        <v>163</v>
      </c>
      <c r="B3" s="459"/>
      <c r="C3" s="459"/>
      <c r="D3" s="459"/>
      <c r="E3" s="459"/>
      <c r="F3" s="459"/>
      <c r="G3" s="459"/>
    </row>
    <row r="4" spans="1:11" x14ac:dyDescent="0.3">
      <c r="A4" s="1"/>
      <c r="B4" s="1"/>
      <c r="C4" s="1"/>
      <c r="D4" s="3"/>
      <c r="E4" s="1"/>
      <c r="F4" s="1"/>
    </row>
    <row r="5" spans="1:11" x14ac:dyDescent="0.3">
      <c r="A5" s="1"/>
      <c r="B5" s="1"/>
      <c r="C5" s="1"/>
      <c r="D5" s="3"/>
      <c r="E5" s="1"/>
      <c r="F5" s="1"/>
    </row>
    <row r="6" spans="1:11" x14ac:dyDescent="0.3">
      <c r="A6" s="1"/>
      <c r="B6" s="1"/>
      <c r="C6" s="1"/>
      <c r="D6" s="3"/>
      <c r="E6" s="1"/>
      <c r="F6" s="1"/>
    </row>
    <row r="7" spans="1:11" x14ac:dyDescent="0.3">
      <c r="A7" s="1"/>
      <c r="B7" s="2"/>
      <c r="C7" s="1"/>
      <c r="D7" s="1"/>
      <c r="E7" s="3"/>
      <c r="F7" s="1"/>
    </row>
    <row r="8" spans="1:11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2" thickBot="1" x14ac:dyDescent="0.35">
      <c r="B9" s="60"/>
      <c r="C9" s="61"/>
      <c r="D9" s="60"/>
      <c r="E9" s="62"/>
      <c r="F9" s="60" t="s">
        <v>8</v>
      </c>
      <c r="G9" s="60"/>
    </row>
    <row r="10" spans="1:11" ht="16.2" thickTop="1" x14ac:dyDescent="0.3">
      <c r="B10" s="63"/>
      <c r="C10" s="64"/>
      <c r="D10" s="64"/>
      <c r="E10" s="63"/>
      <c r="F10" s="65"/>
      <c r="G10" s="63"/>
    </row>
    <row r="11" spans="1:11" ht="15.6" x14ac:dyDescent="0.3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6" x14ac:dyDescent="0.3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6" x14ac:dyDescent="0.3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6" x14ac:dyDescent="0.3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6" x14ac:dyDescent="0.3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6" x14ac:dyDescent="0.3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6" x14ac:dyDescent="0.3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6" x14ac:dyDescent="0.3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6" x14ac:dyDescent="0.3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6" x14ac:dyDescent="0.3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6">
        <f t="shared" si="1"/>
        <v>-9731.0347000000002</v>
      </c>
      <c r="I20" s="211"/>
      <c r="J20" s="213"/>
    </row>
    <row r="21" spans="1:10" ht="15.6" x14ac:dyDescent="0.3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6">
        <f t="shared" si="1"/>
        <v>-18027.235199999999</v>
      </c>
      <c r="H21" s="189"/>
      <c r="I21" s="211"/>
      <c r="J21" s="213"/>
    </row>
    <row r="22" spans="1:10" ht="15.6" x14ac:dyDescent="0.3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6">
        <f t="shared" si="1"/>
        <v>-13191.553900000001</v>
      </c>
      <c r="I22" s="211"/>
      <c r="J22" s="213"/>
    </row>
    <row r="23" spans="1:10" ht="15.6" x14ac:dyDescent="0.3">
      <c r="B23" s="221" t="s">
        <v>175</v>
      </c>
      <c r="C23" s="218">
        <v>6480</v>
      </c>
      <c r="D23" s="218">
        <f t="shared" si="0"/>
        <v>472600</v>
      </c>
      <c r="E23" s="219">
        <v>236.3</v>
      </c>
      <c r="F23" s="222">
        <v>-64.47</v>
      </c>
      <c r="G23" s="220">
        <f t="shared" si="1"/>
        <v>-15234.261</v>
      </c>
      <c r="I23" s="211"/>
      <c r="J23" s="213"/>
    </row>
    <row r="24" spans="1:10" ht="15.6" x14ac:dyDescent="0.3">
      <c r="B24" s="223">
        <v>43118</v>
      </c>
      <c r="C24" s="218">
        <v>6496</v>
      </c>
      <c r="D24" s="218">
        <v>509660</v>
      </c>
      <c r="E24" s="219">
        <v>254.83</v>
      </c>
      <c r="F24" s="222">
        <v>-70.27</v>
      </c>
      <c r="G24" s="220">
        <f t="shared" si="1"/>
        <v>-17906.9041</v>
      </c>
      <c r="I24" s="211"/>
      <c r="J24" s="213"/>
    </row>
    <row r="25" spans="1:10" ht="15.6" x14ac:dyDescent="0.3">
      <c r="B25" s="86">
        <v>43149</v>
      </c>
      <c r="C25" s="74">
        <v>6508</v>
      </c>
      <c r="D25" s="74">
        <v>356820</v>
      </c>
      <c r="E25" s="109">
        <v>178.41</v>
      </c>
      <c r="F25" s="224">
        <v>-98.77</v>
      </c>
      <c r="G25" s="217">
        <f t="shared" si="1"/>
        <v>-17621.555699999997</v>
      </c>
      <c r="I25" s="211"/>
      <c r="J25" s="213"/>
    </row>
    <row r="26" spans="1:10" ht="15.6" x14ac:dyDescent="0.3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6" x14ac:dyDescent="0.3">
      <c r="B27" s="81"/>
      <c r="C27" s="82"/>
      <c r="D27" s="83"/>
      <c r="E27" s="84" t="s">
        <v>0</v>
      </c>
      <c r="F27" s="193"/>
      <c r="G27" s="79"/>
    </row>
    <row r="28" spans="1:10" ht="15.6" x14ac:dyDescent="0.3">
      <c r="B28" s="184" t="s">
        <v>178</v>
      </c>
      <c r="C28" s="183"/>
      <c r="E28" s="185"/>
      <c r="F28" s="194"/>
      <c r="G28" s="211">
        <f>SUM(G11:G23)</f>
        <v>-74298.581399999995</v>
      </c>
    </row>
    <row r="29" spans="1:10" x14ac:dyDescent="0.3">
      <c r="E29" s="185"/>
      <c r="F29" s="194"/>
    </row>
    <row r="30" spans="1:10" x14ac:dyDescent="0.3">
      <c r="E30" s="185"/>
      <c r="F30" s="194"/>
    </row>
    <row r="31" spans="1:10" x14ac:dyDescent="0.3">
      <c r="B31" t="s">
        <v>199</v>
      </c>
      <c r="E31" s="185"/>
      <c r="F31" s="194"/>
    </row>
    <row r="32" spans="1:10" x14ac:dyDescent="0.3">
      <c r="B32" t="s">
        <v>197</v>
      </c>
      <c r="E32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156</v>
      </c>
      <c r="B3" s="459"/>
      <c r="C3" s="459"/>
      <c r="D3" s="459"/>
      <c r="E3" s="459"/>
      <c r="F3" s="459"/>
      <c r="G3" s="459"/>
    </row>
    <row r="4" spans="1:10" x14ac:dyDescent="0.3">
      <c r="A4" s="1"/>
      <c r="B4" s="1"/>
      <c r="C4" s="2"/>
      <c r="D4" s="1"/>
      <c r="E4" s="1"/>
      <c r="F4" s="3"/>
      <c r="G4" s="1"/>
    </row>
    <row r="5" spans="1:10" x14ac:dyDescent="0.3">
      <c r="A5" s="1"/>
      <c r="B5" s="1"/>
      <c r="C5" s="2"/>
      <c r="D5" s="1"/>
      <c r="E5" s="1"/>
      <c r="F5" s="3"/>
      <c r="G5" s="1"/>
    </row>
    <row r="6" spans="1:10" x14ac:dyDescent="0.3">
      <c r="A6" s="1"/>
      <c r="B6" s="1"/>
      <c r="C6" s="2"/>
      <c r="D6" s="1"/>
      <c r="E6" s="1"/>
      <c r="F6" s="3"/>
      <c r="G6" s="1"/>
    </row>
    <row r="7" spans="1:10" x14ac:dyDescent="0.3">
      <c r="A7" s="1"/>
      <c r="B7" s="1"/>
      <c r="C7" s="2"/>
      <c r="D7" s="1"/>
      <c r="E7" s="1"/>
      <c r="F7" s="3"/>
      <c r="G7" s="1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6" x14ac:dyDescent="0.3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6" x14ac:dyDescent="0.3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6" x14ac:dyDescent="0.3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6" x14ac:dyDescent="0.3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6" x14ac:dyDescent="0.3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6" x14ac:dyDescent="0.3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6" x14ac:dyDescent="0.3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6" x14ac:dyDescent="0.3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6" x14ac:dyDescent="0.3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6" x14ac:dyDescent="0.3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6" x14ac:dyDescent="0.3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6" x14ac:dyDescent="0.3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6" x14ac:dyDescent="0.3">
      <c r="B24" s="63"/>
      <c r="C24" s="81"/>
      <c r="D24" s="82"/>
      <c r="E24" s="83"/>
      <c r="F24" s="84" t="s">
        <v>0</v>
      </c>
    </row>
    <row r="25" spans="1:10" ht="15.6" x14ac:dyDescent="0.3">
      <c r="C25" s="81"/>
      <c r="D25" s="82"/>
      <c r="E25" s="83"/>
      <c r="F25" s="84" t="s">
        <v>0</v>
      </c>
    </row>
    <row r="26" spans="1:10" x14ac:dyDescent="0.3">
      <c r="C26" s="195"/>
      <c r="D26" s="196"/>
      <c r="E26" s="197"/>
      <c r="F26" s="198">
        <v>33864</v>
      </c>
      <c r="G26" s="199"/>
    </row>
    <row r="27" spans="1:10" x14ac:dyDescent="0.3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3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3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6" x14ac:dyDescent="0.3">
      <c r="C30" s="81"/>
      <c r="D30" s="82"/>
      <c r="E30" s="83"/>
      <c r="F30" s="84" t="s">
        <v>0</v>
      </c>
    </row>
    <row r="31" spans="1:10" ht="15.6" x14ac:dyDescent="0.3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7" width="12.6640625" customWidth="1"/>
    <col min="9" max="9" width="9.88671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156</v>
      </c>
      <c r="B3" s="459"/>
      <c r="C3" s="459"/>
      <c r="D3" s="459"/>
      <c r="E3" s="459"/>
      <c r="F3" s="459"/>
      <c r="G3" s="459"/>
    </row>
    <row r="4" spans="1:10" x14ac:dyDescent="0.3">
      <c r="A4" s="1"/>
      <c r="B4" s="1"/>
      <c r="C4" s="1"/>
      <c r="D4" s="3"/>
      <c r="E4" s="1"/>
      <c r="F4" s="1"/>
    </row>
    <row r="5" spans="1:10" x14ac:dyDescent="0.3">
      <c r="A5" s="1"/>
      <c r="B5" s="1"/>
      <c r="C5" s="1"/>
      <c r="D5" s="3"/>
      <c r="E5" s="1"/>
      <c r="F5" s="1"/>
    </row>
    <row r="6" spans="1:10" x14ac:dyDescent="0.3">
      <c r="A6" s="1"/>
      <c r="B6" s="1"/>
      <c r="C6" s="1"/>
      <c r="D6" s="3"/>
      <c r="E6" s="1"/>
      <c r="F6" s="1"/>
    </row>
    <row r="7" spans="1:10" x14ac:dyDescent="0.3">
      <c r="A7" s="1"/>
      <c r="B7" s="2"/>
      <c r="C7" s="1"/>
      <c r="D7" s="1"/>
      <c r="E7" s="3"/>
      <c r="F7" s="1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6" x14ac:dyDescent="0.3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6" x14ac:dyDescent="0.3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6" x14ac:dyDescent="0.3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6" x14ac:dyDescent="0.3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6" x14ac:dyDescent="0.3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6" x14ac:dyDescent="0.3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6" x14ac:dyDescent="0.3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6" x14ac:dyDescent="0.3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6" x14ac:dyDescent="0.3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6" x14ac:dyDescent="0.3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6" x14ac:dyDescent="0.3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6" x14ac:dyDescent="0.3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6" x14ac:dyDescent="0.3">
      <c r="B24" s="81"/>
      <c r="C24" s="82"/>
      <c r="D24" s="83"/>
      <c r="E24" s="84" t="s">
        <v>0</v>
      </c>
      <c r="F24" s="193"/>
      <c r="G24" s="79"/>
    </row>
    <row r="25" spans="1:10" ht="15.6" x14ac:dyDescent="0.3">
      <c r="B25" s="184"/>
      <c r="C25" s="183"/>
      <c r="E25" s="185"/>
      <c r="F25" s="194"/>
    </row>
    <row r="26" spans="1:10" x14ac:dyDescent="0.3">
      <c r="E26" s="185"/>
      <c r="F26" s="194"/>
    </row>
    <row r="27" spans="1:10" x14ac:dyDescent="0.3">
      <c r="E27" s="185"/>
      <c r="F27" s="194"/>
    </row>
    <row r="28" spans="1:10" x14ac:dyDescent="0.3">
      <c r="E28" s="185"/>
      <c r="F28" s="194"/>
    </row>
    <row r="29" spans="1:10" x14ac:dyDescent="0.3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</cols>
  <sheetData>
    <row r="1" spans="1:7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7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7" ht="15.6" x14ac:dyDescent="0.3">
      <c r="A3" s="459" t="s">
        <v>129</v>
      </c>
      <c r="B3" s="459"/>
      <c r="C3" s="459"/>
      <c r="D3" s="459"/>
      <c r="E3" s="459"/>
      <c r="F3" s="459"/>
      <c r="G3" s="459"/>
    </row>
    <row r="4" spans="1:7" x14ac:dyDescent="0.3">
      <c r="A4" s="1"/>
      <c r="B4" s="1"/>
      <c r="C4" s="2"/>
      <c r="D4" s="1"/>
      <c r="E4" s="1"/>
      <c r="F4" s="3"/>
      <c r="G4" s="1"/>
    </row>
    <row r="5" spans="1:7" x14ac:dyDescent="0.3">
      <c r="A5" s="1"/>
      <c r="B5" s="1"/>
      <c r="C5" s="2"/>
      <c r="D5" s="1"/>
      <c r="E5" s="1"/>
      <c r="F5" s="3"/>
      <c r="G5" s="1"/>
    </row>
    <row r="6" spans="1:7" x14ac:dyDescent="0.3">
      <c r="A6" s="1"/>
      <c r="B6" s="1"/>
      <c r="C6" s="2"/>
      <c r="D6" s="1"/>
      <c r="E6" s="1"/>
      <c r="F6" s="3"/>
      <c r="G6" s="1"/>
    </row>
    <row r="7" spans="1:7" x14ac:dyDescent="0.3">
      <c r="A7" s="1"/>
      <c r="B7" s="1"/>
      <c r="C7" s="2"/>
      <c r="D7" s="1"/>
      <c r="E7" s="1"/>
      <c r="F7" s="3"/>
      <c r="G7" s="1"/>
    </row>
    <row r="8" spans="1:7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2" thickBot="1" x14ac:dyDescent="0.35">
      <c r="B9" s="60"/>
      <c r="C9" s="61"/>
      <c r="D9" s="60"/>
      <c r="E9" s="62"/>
      <c r="F9" s="60" t="s">
        <v>8</v>
      </c>
      <c r="G9" s="60"/>
    </row>
    <row r="10" spans="1:7" ht="16.2" thickTop="1" x14ac:dyDescent="0.3">
      <c r="B10" s="63"/>
      <c r="C10" s="64"/>
      <c r="D10" s="64"/>
      <c r="E10" s="63"/>
      <c r="F10" s="65"/>
      <c r="G10" s="63"/>
    </row>
    <row r="11" spans="1:7" ht="15.6" x14ac:dyDescent="0.3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6" x14ac:dyDescent="0.3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6" x14ac:dyDescent="0.3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6" x14ac:dyDescent="0.3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6" x14ac:dyDescent="0.3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6" x14ac:dyDescent="0.3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6" x14ac:dyDescent="0.3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6" x14ac:dyDescent="0.3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6" x14ac:dyDescent="0.3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6" x14ac:dyDescent="0.3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6" x14ac:dyDescent="0.3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6" x14ac:dyDescent="0.3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6" x14ac:dyDescent="0.3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6" x14ac:dyDescent="0.3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1"/>
  <sheetViews>
    <sheetView tabSelected="1" zoomScale="85" zoomScaleNormal="85" workbookViewId="0">
      <selection sqref="A1:G1"/>
    </sheetView>
  </sheetViews>
  <sheetFormatPr defaultRowHeight="14.4" x14ac:dyDescent="0.3"/>
  <cols>
    <col min="1" max="3" width="8.88671875" style="357"/>
    <col min="4" max="4" width="11.33203125" style="357" bestFit="1" customWidth="1"/>
    <col min="5" max="15" width="9.6640625" style="357" customWidth="1"/>
    <col min="16" max="16" width="16" style="357" customWidth="1"/>
    <col min="17" max="17" width="8.88671875" style="357"/>
    <col min="18" max="18" width="12.33203125" style="357" bestFit="1" customWidth="1"/>
    <col min="19" max="19" width="8.88671875" style="357"/>
    <col min="20" max="20" width="11.6640625" style="357" bestFit="1" customWidth="1"/>
    <col min="21" max="16384" width="8.88671875" style="357"/>
  </cols>
  <sheetData>
    <row r="4" spans="1:18" x14ac:dyDescent="0.3">
      <c r="D4" s="454" t="s">
        <v>85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</row>
    <row r="5" spans="1:18" x14ac:dyDescent="0.3"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</row>
    <row r="6" spans="1:18" x14ac:dyDescent="0.3">
      <c r="A6" s="358"/>
      <c r="B6" s="358"/>
      <c r="C6" s="358"/>
      <c r="D6" s="359">
        <v>44043</v>
      </c>
      <c r="E6" s="359">
        <v>44074</v>
      </c>
      <c r="F6" s="359">
        <v>44104</v>
      </c>
      <c r="G6" s="359">
        <v>44135</v>
      </c>
      <c r="H6" s="359">
        <v>44165</v>
      </c>
      <c r="I6" s="359">
        <v>44196</v>
      </c>
      <c r="J6" s="359">
        <v>44227</v>
      </c>
      <c r="K6" s="359">
        <v>44255</v>
      </c>
      <c r="L6" s="359">
        <v>44286</v>
      </c>
      <c r="M6" s="359">
        <v>44316</v>
      </c>
      <c r="N6" s="359">
        <v>44347</v>
      </c>
      <c r="O6" s="359">
        <v>44377</v>
      </c>
      <c r="P6" s="360" t="s">
        <v>217</v>
      </c>
    </row>
    <row r="7" spans="1:18" x14ac:dyDescent="0.3">
      <c r="A7" s="361"/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</row>
    <row r="8" spans="1:18" x14ac:dyDescent="0.3">
      <c r="A8" s="362" t="s">
        <v>200</v>
      </c>
      <c r="B8" s="362"/>
      <c r="C8" s="362"/>
      <c r="D8" s="363">
        <f>'Single Family 2020-2021'!E11</f>
        <v>268.87</v>
      </c>
      <c r="E8" s="363">
        <f>'Single Family 2020-2021'!E12</f>
        <v>247.3</v>
      </c>
      <c r="F8" s="363">
        <f>'Single Family 2020-2021'!E13</f>
        <v>249.42</v>
      </c>
      <c r="G8" s="363">
        <f>'Single Family 2020-2021'!E14</f>
        <v>219.59</v>
      </c>
      <c r="H8" s="363">
        <f>'Single Family 2020-2021'!E15</f>
        <v>221.51</v>
      </c>
      <c r="I8" s="363">
        <f>'Single Family 2020-2021'!E16</f>
        <v>220.45</v>
      </c>
      <c r="J8" s="363">
        <f>'Single Family 2020-2021'!E17</f>
        <v>247.61</v>
      </c>
      <c r="K8" s="363">
        <f>'Single Family 2020-2021'!E18</f>
        <v>185.35</v>
      </c>
      <c r="L8" s="363">
        <f>'Single Family 2020-2021'!E19</f>
        <v>223.46</v>
      </c>
      <c r="M8" s="363">
        <f>'Single Family 2020-2021'!E20</f>
        <v>182.78</v>
      </c>
      <c r="N8" s="363">
        <f>'Single Family 2020-2021'!E21</f>
        <v>229.99</v>
      </c>
      <c r="O8" s="363">
        <f>'Single Family 2020-2021'!E22</f>
        <v>273.38</v>
      </c>
      <c r="P8" s="363">
        <f>SUM(D8:O8)</f>
        <v>2769.71</v>
      </c>
      <c r="Q8" s="355"/>
      <c r="R8" s="355"/>
    </row>
    <row r="9" spans="1:18" x14ac:dyDescent="0.3">
      <c r="A9" s="362"/>
      <c r="B9" s="362"/>
      <c r="C9" s="362"/>
      <c r="D9" s="356"/>
      <c r="E9" s="356"/>
      <c r="F9" s="356"/>
      <c r="G9" s="356"/>
      <c r="H9" s="356"/>
      <c r="I9" s="364"/>
      <c r="J9" s="364"/>
      <c r="K9" s="364"/>
      <c r="L9" s="364"/>
      <c r="M9" s="364"/>
      <c r="N9" s="364"/>
      <c r="O9" s="364"/>
      <c r="P9" s="364"/>
      <c r="Q9" s="355"/>
      <c r="R9" s="355"/>
    </row>
    <row r="10" spans="1:18" s="355" customFormat="1" x14ac:dyDescent="0.3">
      <c r="A10" s="356" t="s">
        <v>19</v>
      </c>
      <c r="B10" s="356"/>
      <c r="C10" s="356"/>
      <c r="D10" s="365">
        <f>'Single Family 2020-2021'!C11</f>
        <v>6841</v>
      </c>
      <c r="E10" s="365">
        <f>'Single Family 2020-2021'!C12</f>
        <v>6857</v>
      </c>
      <c r="F10" s="365">
        <f>'Single Family 2020-2021'!C13</f>
        <v>6896</v>
      </c>
      <c r="G10" s="365">
        <f>'Single Family 2020-2021'!C14</f>
        <v>6920</v>
      </c>
      <c r="H10" s="365">
        <f>'Single Family 2020-2021'!C15</f>
        <v>6929</v>
      </c>
      <c r="I10" s="365">
        <f>'Single Family 2020-2021'!C16</f>
        <v>6947</v>
      </c>
      <c r="J10" s="365">
        <f>'Single Family 2020-2021'!C17</f>
        <v>6963</v>
      </c>
      <c r="K10" s="365">
        <f>'Single Family 2020-2021'!C18</f>
        <v>6970</v>
      </c>
      <c r="L10" s="365">
        <f>'Single Family 2020-2021'!C19</f>
        <v>6980</v>
      </c>
      <c r="M10" s="365">
        <f>'Single Family 2020-2021'!C20</f>
        <v>6977</v>
      </c>
      <c r="N10" s="365">
        <f>'Single Family 2020-2021'!C21</f>
        <v>7004</v>
      </c>
      <c r="O10" s="365">
        <f>'Single Family 2020-2021'!C22</f>
        <v>7012</v>
      </c>
      <c r="P10" s="366">
        <f>SUM(D10:O10)</f>
        <v>83296</v>
      </c>
    </row>
    <row r="11" spans="1:18" x14ac:dyDescent="0.3">
      <c r="A11" s="362"/>
      <c r="B11" s="362"/>
      <c r="C11" s="362"/>
      <c r="D11" s="356"/>
      <c r="E11" s="356"/>
      <c r="F11" s="356"/>
      <c r="G11" s="356"/>
      <c r="H11" s="356"/>
      <c r="I11" s="364"/>
      <c r="J11" s="364"/>
      <c r="K11" s="364"/>
      <c r="L11" s="364"/>
      <c r="M11" s="364"/>
      <c r="N11" s="364"/>
      <c r="O11" s="364"/>
      <c r="P11" s="364"/>
      <c r="Q11" s="355"/>
      <c r="R11" s="355"/>
    </row>
    <row r="12" spans="1:18" x14ac:dyDescent="0.3">
      <c r="A12" s="362" t="s">
        <v>201</v>
      </c>
      <c r="B12" s="362"/>
      <c r="C12" s="362"/>
      <c r="D12" s="367">
        <f>D8/D10</f>
        <v>3.9302733518491451E-2</v>
      </c>
      <c r="E12" s="367">
        <f t="shared" ref="E12:O12" si="0">E8/E10</f>
        <v>3.6065334694472803E-2</v>
      </c>
      <c r="F12" s="367">
        <f t="shared" si="0"/>
        <v>3.6168793503480276E-2</v>
      </c>
      <c r="G12" s="367">
        <f t="shared" si="0"/>
        <v>3.1732658959537571E-2</v>
      </c>
      <c r="H12" s="367">
        <f t="shared" si="0"/>
        <v>3.1968538028575549E-2</v>
      </c>
      <c r="I12" s="367">
        <f t="shared" si="0"/>
        <v>3.1733122211026338E-2</v>
      </c>
      <c r="J12" s="367">
        <f t="shared" si="0"/>
        <v>3.5560821484992101E-2</v>
      </c>
      <c r="K12" s="367">
        <f t="shared" si="0"/>
        <v>2.6592539454806313E-2</v>
      </c>
      <c r="L12" s="367">
        <f t="shared" si="0"/>
        <v>3.201432664756447E-2</v>
      </c>
      <c r="M12" s="367">
        <f t="shared" si="0"/>
        <v>2.6197506091443314E-2</v>
      </c>
      <c r="N12" s="367">
        <f t="shared" si="0"/>
        <v>3.2836950314106224E-2</v>
      </c>
      <c r="O12" s="367">
        <f t="shared" si="0"/>
        <v>3.8987450085567595E-2</v>
      </c>
      <c r="P12" s="368">
        <f>SUM(D12:O12)/12</f>
        <v>3.3263397916171999E-2</v>
      </c>
      <c r="Q12" s="355"/>
      <c r="R12" s="355"/>
    </row>
    <row r="13" spans="1:18" x14ac:dyDescent="0.3">
      <c r="A13" s="362"/>
      <c r="B13" s="362"/>
      <c r="C13" s="362"/>
      <c r="D13" s="362"/>
      <c r="E13" s="362"/>
      <c r="F13" s="362"/>
      <c r="G13" s="362"/>
      <c r="H13" s="362"/>
      <c r="I13" s="361"/>
      <c r="J13" s="364"/>
      <c r="K13" s="364"/>
      <c r="L13" s="364"/>
      <c r="M13" s="364"/>
      <c r="N13" s="364"/>
      <c r="O13" s="364"/>
      <c r="P13" s="364"/>
      <c r="Q13" s="355"/>
      <c r="R13" s="355"/>
    </row>
    <row r="14" spans="1:18" x14ac:dyDescent="0.3">
      <c r="A14" s="362" t="s">
        <v>202</v>
      </c>
      <c r="B14" s="362"/>
      <c r="C14" s="362"/>
      <c r="D14" s="369">
        <f>'Single Family 2020-2021'!F11</f>
        <v>-177.4</v>
      </c>
      <c r="E14" s="369">
        <f>'Single Family 2020-2021'!F12</f>
        <v>-173.3</v>
      </c>
      <c r="F14" s="369">
        <f>'Single Family 2020-2021'!F13</f>
        <v>-166.35</v>
      </c>
      <c r="G14" s="369">
        <f>'Single Family 2020-2021'!F14</f>
        <v>-160.65</v>
      </c>
      <c r="H14" s="369">
        <f>'Single Family 2020-2021'!F15</f>
        <v>-156.55000000000001</v>
      </c>
      <c r="I14" s="369">
        <f>'Single Family 2020-2021'!F16</f>
        <v>-149.30000000000001</v>
      </c>
      <c r="J14" s="369">
        <f>'Single Family 2020-2021'!F17</f>
        <v>-146</v>
      </c>
      <c r="K14" s="369">
        <f>'Single Family 2020-2021'!F18</f>
        <v>-149.30000000000001</v>
      </c>
      <c r="L14" s="369">
        <f>'Single Family 2020-2021'!F19</f>
        <v>-145.6</v>
      </c>
      <c r="M14" s="369">
        <f>'Single Family 2020-2021'!F20</f>
        <v>-136.1</v>
      </c>
      <c r="N14" s="369">
        <f>'Single Family 2020-2021'!F21</f>
        <v>-127.4</v>
      </c>
      <c r="O14" s="369">
        <f>'Single Family 2020-2021'!F22</f>
        <v>-105.5</v>
      </c>
      <c r="P14" s="364"/>
      <c r="Q14" s="355"/>
      <c r="R14" s="355"/>
    </row>
    <row r="15" spans="1:18" x14ac:dyDescent="0.3">
      <c r="A15" s="362"/>
      <c r="B15" s="362"/>
      <c r="C15" s="362"/>
      <c r="D15" s="362"/>
      <c r="E15" s="362"/>
      <c r="F15" s="362"/>
      <c r="G15" s="362"/>
      <c r="H15" s="362"/>
      <c r="I15" s="369"/>
      <c r="J15" s="363"/>
      <c r="K15" s="363"/>
      <c r="L15" s="363"/>
      <c r="M15" s="363"/>
      <c r="N15" s="363"/>
      <c r="O15" s="363"/>
      <c r="P15" s="364"/>
      <c r="Q15" s="355"/>
      <c r="R15" s="355"/>
    </row>
    <row r="16" spans="1:18" x14ac:dyDescent="0.3">
      <c r="A16" s="362" t="s">
        <v>203</v>
      </c>
      <c r="B16" s="362"/>
      <c r="C16" s="362"/>
      <c r="D16" s="363">
        <f>D12*D14</f>
        <v>-6.9723049261803833</v>
      </c>
      <c r="E16" s="363">
        <f t="shared" ref="E16:O16" si="1">E12*E14</f>
        <v>-6.250122502552137</v>
      </c>
      <c r="F16" s="363">
        <f t="shared" si="1"/>
        <v>-6.0166787993039437</v>
      </c>
      <c r="G16" s="363">
        <f t="shared" si="1"/>
        <v>-5.0978516618497114</v>
      </c>
      <c r="H16" s="363">
        <f t="shared" si="1"/>
        <v>-5.0046746283735022</v>
      </c>
      <c r="I16" s="363">
        <f t="shared" si="1"/>
        <v>-4.7377551461062328</v>
      </c>
      <c r="J16" s="363">
        <f t="shared" si="1"/>
        <v>-5.1918799368088466</v>
      </c>
      <c r="K16" s="363">
        <f t="shared" si="1"/>
        <v>-3.9702661406025825</v>
      </c>
      <c r="L16" s="363">
        <f t="shared" si="1"/>
        <v>-4.6612859598853866</v>
      </c>
      <c r="M16" s="363">
        <f t="shared" si="1"/>
        <v>-3.5654805790454347</v>
      </c>
      <c r="N16" s="363">
        <f t="shared" si="1"/>
        <v>-4.1834274700171328</v>
      </c>
      <c r="O16" s="363">
        <f t="shared" si="1"/>
        <v>-4.1131759840273814</v>
      </c>
      <c r="P16" s="364"/>
      <c r="Q16" s="355"/>
      <c r="R16" s="355"/>
    </row>
    <row r="17" spans="1:20" x14ac:dyDescent="0.3">
      <c r="A17" s="362" t="s">
        <v>204</v>
      </c>
      <c r="B17" s="362"/>
      <c r="C17" s="362"/>
      <c r="D17" s="363">
        <f>Analysis!$D$11</f>
        <v>-5.34</v>
      </c>
      <c r="E17" s="363">
        <f>Analysis!$D$11</f>
        <v>-5.34</v>
      </c>
      <c r="F17" s="370">
        <f>Analysis!$D$11</f>
        <v>-5.34</v>
      </c>
      <c r="G17" s="370">
        <f>Analysis!$D$12</f>
        <v>-5.37</v>
      </c>
      <c r="H17" s="363">
        <f>Analysis!$D$12</f>
        <v>-5.37</v>
      </c>
      <c r="I17" s="363">
        <f>Analysis!$D$12</f>
        <v>-5.37</v>
      </c>
      <c r="J17" s="363">
        <f>Analysis!$D$12</f>
        <v>-5.37</v>
      </c>
      <c r="K17" s="363">
        <f>Analysis!$D$12</f>
        <v>-5.37</v>
      </c>
      <c r="L17" s="363">
        <f>Analysis!$D$12</f>
        <v>-5.37</v>
      </c>
      <c r="M17" s="363">
        <f>Analysis!$D$12</f>
        <v>-5.37</v>
      </c>
      <c r="N17" s="363">
        <f>Analysis!$D$12</f>
        <v>-5.37</v>
      </c>
      <c r="O17" s="363">
        <f>Analysis!$D$12</f>
        <v>-5.37</v>
      </c>
      <c r="P17" s="364"/>
      <c r="Q17" s="355"/>
      <c r="R17" s="355"/>
    </row>
    <row r="18" spans="1:20" x14ac:dyDescent="0.3">
      <c r="A18" s="361"/>
      <c r="B18" s="361"/>
      <c r="C18" s="361"/>
      <c r="D18" s="361"/>
      <c r="E18" s="361"/>
      <c r="F18" s="361"/>
      <c r="G18" s="361"/>
      <c r="H18" s="361"/>
      <c r="I18" s="369"/>
      <c r="J18" s="363"/>
      <c r="K18" s="363"/>
      <c r="L18" s="363"/>
      <c r="M18" s="363"/>
      <c r="N18" s="363"/>
      <c r="O18" s="363"/>
      <c r="P18" s="364"/>
      <c r="Q18" s="355"/>
      <c r="R18" s="355"/>
    </row>
    <row r="19" spans="1:20" x14ac:dyDescent="0.3">
      <c r="A19" s="362" t="s">
        <v>205</v>
      </c>
      <c r="B19" s="362"/>
      <c r="C19" s="362"/>
      <c r="D19" s="371">
        <f>+D17*D10</f>
        <v>-36530.94</v>
      </c>
      <c r="E19" s="371">
        <f t="shared" ref="E19:O19" si="2">+E17*E10</f>
        <v>-36616.379999999997</v>
      </c>
      <c r="F19" s="371">
        <f t="shared" si="2"/>
        <v>-36824.639999999999</v>
      </c>
      <c r="G19" s="371">
        <f t="shared" si="2"/>
        <v>-37160.400000000001</v>
      </c>
      <c r="H19" s="371">
        <f t="shared" si="2"/>
        <v>-37208.730000000003</v>
      </c>
      <c r="I19" s="371">
        <f t="shared" si="2"/>
        <v>-37305.39</v>
      </c>
      <c r="J19" s="371">
        <f t="shared" si="2"/>
        <v>-37391.31</v>
      </c>
      <c r="K19" s="371">
        <f t="shared" si="2"/>
        <v>-37428.9</v>
      </c>
      <c r="L19" s="371">
        <f t="shared" si="2"/>
        <v>-37482.6</v>
      </c>
      <c r="M19" s="371">
        <f t="shared" si="2"/>
        <v>-37466.49</v>
      </c>
      <c r="N19" s="371">
        <f t="shared" si="2"/>
        <v>-37611.480000000003</v>
      </c>
      <c r="O19" s="371">
        <f t="shared" si="2"/>
        <v>-37654.44</v>
      </c>
      <c r="P19" s="372">
        <f>SUM(D19:O19)</f>
        <v>-446681.7</v>
      </c>
      <c r="Q19" s="355"/>
      <c r="R19" s="373" t="s">
        <v>216</v>
      </c>
    </row>
    <row r="20" spans="1:20" x14ac:dyDescent="0.3">
      <c r="A20" s="362" t="s">
        <v>206</v>
      </c>
      <c r="B20" s="362"/>
      <c r="C20" s="362"/>
      <c r="D20" s="371">
        <f>+D14*D8+'Multi-Family 2020-2021'!$F$29/12</f>
        <v>-45050.015569574287</v>
      </c>
      <c r="E20" s="371">
        <f>+E14*E8+'Multi-Family 2020-2021'!$F$29/12</f>
        <v>-40209.56756957429</v>
      </c>
      <c r="F20" s="371">
        <f>+F14*F8+'Multi-Family 2020-2021'!$F$29/12</f>
        <v>-38843.494569574286</v>
      </c>
      <c r="G20" s="371">
        <f>+G14*G8+'Multi-Family 2020-2021'!$F$29/12</f>
        <v>-32629.611069574294</v>
      </c>
      <c r="H20" s="371">
        <f>+H14*H8+'Multi-Family 2020-2021'!$F$29/12</f>
        <v>-32029.868069574291</v>
      </c>
      <c r="I20" s="371">
        <f>+I14*I8+'Multi-Family 2020-2021'!$F$29/12</f>
        <v>-30265.662569574288</v>
      </c>
      <c r="J20" s="371">
        <f>+J14*J8+'Multi-Family 2020-2021'!$F$29/12</f>
        <v>-33503.537569574291</v>
      </c>
      <c r="K20" s="371">
        <f>+K14*K8+'Multi-Family 2020-2021'!$F$29/12</f>
        <v>-25025.232569574291</v>
      </c>
      <c r="L20" s="371">
        <f>+L14*L8+'Multi-Family 2020-2021'!$F$29/12</f>
        <v>-29888.253569574292</v>
      </c>
      <c r="M20" s="371">
        <f>+M14*M8+'Multi-Family 2020-2021'!$F$29/12</f>
        <v>-22228.83556957429</v>
      </c>
      <c r="N20" s="371">
        <f>+N14*N8+'Multi-Family 2020-2021'!$F$29/12</f>
        <v>-26653.203569574292</v>
      </c>
      <c r="O20" s="371">
        <f>+O14*O8+'Multi-Family 2020-2021'!$F$29/12</f>
        <v>-26194.06756957429</v>
      </c>
      <c r="P20" s="372">
        <f t="shared" ref="P20:P21" si="3">SUM(D20:O20)</f>
        <v>-382521.34983489139</v>
      </c>
      <c r="Q20" s="355"/>
      <c r="R20" s="374">
        <f>+'Multi-Family 2020-2021'!F29</f>
        <v>31770.26916510853</v>
      </c>
    </row>
    <row r="21" spans="1:20" x14ac:dyDescent="0.3">
      <c r="A21" s="362" t="s">
        <v>207</v>
      </c>
      <c r="B21" s="362"/>
      <c r="C21" s="362"/>
      <c r="D21" s="371">
        <f>+D19-D20</f>
        <v>8519.0755695742846</v>
      </c>
      <c r="E21" s="371">
        <f t="shared" ref="E21:O21" si="4">+E19-E20</f>
        <v>3593.1875695742929</v>
      </c>
      <c r="F21" s="371">
        <f t="shared" si="4"/>
        <v>2018.8545695742869</v>
      </c>
      <c r="G21" s="371">
        <f t="shared" si="4"/>
        <v>-4530.7889304257078</v>
      </c>
      <c r="H21" s="371">
        <f t="shared" si="4"/>
        <v>-5178.8619304257118</v>
      </c>
      <c r="I21" s="371">
        <f t="shared" si="4"/>
        <v>-7039.7274304257116</v>
      </c>
      <c r="J21" s="371">
        <f t="shared" si="4"/>
        <v>-3887.7724304257063</v>
      </c>
      <c r="K21" s="371">
        <f t="shared" si="4"/>
        <v>-12403.66743042571</v>
      </c>
      <c r="L21" s="371">
        <f t="shared" si="4"/>
        <v>-7594.3464304257068</v>
      </c>
      <c r="M21" s="371">
        <f t="shared" si="4"/>
        <v>-15237.654430425708</v>
      </c>
      <c r="N21" s="371">
        <f t="shared" si="4"/>
        <v>-10958.276430425711</v>
      </c>
      <c r="O21" s="371">
        <f t="shared" si="4"/>
        <v>-11460.372430425712</v>
      </c>
      <c r="P21" s="372">
        <f t="shared" si="3"/>
        <v>-64160.350165108517</v>
      </c>
      <c r="Q21" s="355"/>
      <c r="R21" s="374">
        <f>+'Single Family 2020-2021'!G23</f>
        <v>-414291.61900000006</v>
      </c>
    </row>
    <row r="22" spans="1:20" x14ac:dyDescent="0.3">
      <c r="A22" s="361"/>
      <c r="B22" s="361"/>
      <c r="C22" s="361"/>
      <c r="D22" s="361"/>
      <c r="E22" s="361"/>
      <c r="F22" s="361"/>
      <c r="G22" s="361"/>
      <c r="H22" s="361"/>
      <c r="I22" s="361"/>
      <c r="J22" s="364"/>
      <c r="K22" s="364"/>
      <c r="L22" s="371"/>
      <c r="M22" s="371"/>
      <c r="N22" s="371"/>
      <c r="O22" s="371"/>
      <c r="P22" s="364"/>
      <c r="Q22" s="355"/>
      <c r="R22" s="374">
        <f>SUM(R20:R21)</f>
        <v>-382521.34983489156</v>
      </c>
      <c r="T22" s="375"/>
    </row>
    <row r="23" spans="1:20" x14ac:dyDescent="0.3">
      <c r="A23" s="362" t="s">
        <v>208</v>
      </c>
      <c r="B23" s="362"/>
      <c r="J23" s="355"/>
      <c r="K23" s="355"/>
      <c r="L23" s="355"/>
      <c r="M23" s="355"/>
      <c r="N23" s="355"/>
      <c r="O23" s="355"/>
      <c r="P23" s="363">
        <f>+P20/P10</f>
        <v>-4.5923135544911089</v>
      </c>
      <c r="Q23" s="355"/>
      <c r="R23" s="376">
        <f>+R22-P20</f>
        <v>0</v>
      </c>
      <c r="T23" s="377"/>
    </row>
    <row r="24" spans="1:20" x14ac:dyDescent="0.3">
      <c r="A24" s="362" t="s">
        <v>209</v>
      </c>
      <c r="B24" s="362"/>
      <c r="D24" s="378"/>
      <c r="J24" s="355"/>
      <c r="K24" s="355"/>
      <c r="L24" s="355"/>
      <c r="M24" s="355"/>
      <c r="N24" s="355"/>
      <c r="O24" s="355"/>
      <c r="P24" s="363">
        <f>-(P21/P10)</f>
        <v>0.7702692826199159</v>
      </c>
      <c r="Q24" s="355"/>
      <c r="R24" s="355"/>
      <c r="T24" s="377"/>
    </row>
    <row r="25" spans="1:20" x14ac:dyDescent="0.3">
      <c r="A25" s="361"/>
      <c r="B25" s="361"/>
      <c r="P25" s="361"/>
      <c r="T25" s="375"/>
    </row>
    <row r="26" spans="1:20" x14ac:dyDescent="0.3">
      <c r="A26" s="362" t="s">
        <v>210</v>
      </c>
      <c r="B26" s="362"/>
      <c r="C26" s="362"/>
      <c r="D26" s="379"/>
      <c r="E26" s="362"/>
      <c r="F26" s="362"/>
      <c r="G26" s="362"/>
      <c r="H26" s="362"/>
      <c r="I26" s="362"/>
      <c r="J26" s="362"/>
      <c r="K26" s="362"/>
      <c r="L26" s="361"/>
      <c r="M26" s="361"/>
      <c r="O26" s="361"/>
      <c r="P26" s="380">
        <f>+P23+P24</f>
        <v>-3.8220442718711931</v>
      </c>
      <c r="T26" s="377"/>
    </row>
    <row r="27" spans="1:20" x14ac:dyDescent="0.3">
      <c r="A27" s="361"/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4"/>
      <c r="T27" s="375"/>
    </row>
    <row r="28" spans="1:20" x14ac:dyDescent="0.3">
      <c r="A28" s="361" t="s">
        <v>211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80">
        <v>-5.62</v>
      </c>
      <c r="T28" s="375"/>
    </row>
    <row r="29" spans="1:20" x14ac:dyDescent="0.3">
      <c r="A29" s="361"/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80"/>
      <c r="T29" s="375"/>
    </row>
    <row r="30" spans="1:20" x14ac:dyDescent="0.3">
      <c r="A30" s="361"/>
      <c r="B30" s="361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T30" s="375"/>
    </row>
    <row r="31" spans="1:20" x14ac:dyDescent="0.3">
      <c r="A31" s="361" t="s">
        <v>238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81">
        <f>-(P26-P28)*P10</f>
        <v>-149762.52033021711</v>
      </c>
      <c r="T31" s="377"/>
    </row>
    <row r="32" spans="1:20" x14ac:dyDescent="0.3">
      <c r="A32" s="382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</row>
    <row r="33" spans="1:16" x14ac:dyDescent="0.3">
      <c r="A33" s="382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</row>
    <row r="35" spans="1:16" x14ac:dyDescent="0.3">
      <c r="D35" s="455" t="s">
        <v>57</v>
      </c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</row>
    <row r="36" spans="1:16" x14ac:dyDescent="0.3"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</row>
    <row r="37" spans="1:16" x14ac:dyDescent="0.3">
      <c r="A37" s="358"/>
      <c r="B37" s="358"/>
      <c r="C37" s="358"/>
      <c r="D37" s="359">
        <f>D6</f>
        <v>44043</v>
      </c>
      <c r="E37" s="359">
        <f t="shared" ref="E37:O37" si="5">E6</f>
        <v>44074</v>
      </c>
      <c r="F37" s="359">
        <f t="shared" si="5"/>
        <v>44104</v>
      </c>
      <c r="G37" s="359">
        <f t="shared" si="5"/>
        <v>44135</v>
      </c>
      <c r="H37" s="359">
        <f t="shared" si="5"/>
        <v>44165</v>
      </c>
      <c r="I37" s="359">
        <f t="shared" si="5"/>
        <v>44196</v>
      </c>
      <c r="J37" s="359">
        <f t="shared" si="5"/>
        <v>44227</v>
      </c>
      <c r="K37" s="359">
        <f t="shared" si="5"/>
        <v>44255</v>
      </c>
      <c r="L37" s="359">
        <f t="shared" si="5"/>
        <v>44286</v>
      </c>
      <c r="M37" s="359">
        <f t="shared" si="5"/>
        <v>44316</v>
      </c>
      <c r="N37" s="359">
        <f t="shared" si="5"/>
        <v>44347</v>
      </c>
      <c r="O37" s="359">
        <f t="shared" si="5"/>
        <v>44377</v>
      </c>
      <c r="P37" s="360" t="s">
        <v>217</v>
      </c>
    </row>
    <row r="38" spans="1:16" x14ac:dyDescent="0.3">
      <c r="A38" s="361"/>
      <c r="B38" s="361"/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</row>
    <row r="39" spans="1:16" x14ac:dyDescent="0.3">
      <c r="A39" s="362" t="s">
        <v>200</v>
      </c>
      <c r="B39" s="362"/>
      <c r="C39" s="362"/>
      <c r="D39" s="363">
        <f>'Multi-Family 2020-2021'!E11</f>
        <v>17.739999999999998</v>
      </c>
      <c r="E39" s="363">
        <f>'Multi-Family 2020-2021'!E12</f>
        <v>15.54</v>
      </c>
      <c r="F39" s="363">
        <f>'Multi-Family 2020-2021'!E13</f>
        <v>10.01</v>
      </c>
      <c r="G39" s="363">
        <f>'Multi-Family 2020-2021'!E14</f>
        <v>8.69</v>
      </c>
      <c r="H39" s="363">
        <f>'Multi-Family 2020-2021'!E15</f>
        <v>5.0999999999999996</v>
      </c>
      <c r="I39" s="363">
        <f>'Multi-Family 2020-2021'!E16</f>
        <v>18.8</v>
      </c>
      <c r="J39" s="363">
        <f>'Multi-Family 2020-2021'!E17</f>
        <v>29.6</v>
      </c>
      <c r="K39" s="363">
        <f>'Multi-Family 2020-2021'!E18</f>
        <v>19.79</v>
      </c>
      <c r="L39" s="363">
        <f>'Multi-Family 2020-2021'!E19</f>
        <v>22.62</v>
      </c>
      <c r="M39" s="363">
        <f>'Multi-Family 2020-2021'!E20</f>
        <v>19.12</v>
      </c>
      <c r="N39" s="363">
        <f>'Multi-Family 2020-2021'!E21</f>
        <v>5.54</v>
      </c>
      <c r="O39" s="363">
        <f>'Multi-Family 2020-2021'!E22</f>
        <v>9.98</v>
      </c>
      <c r="P39" s="383">
        <f>SUM(D39:O39)</f>
        <v>182.52999999999997</v>
      </c>
    </row>
    <row r="40" spans="1:16" x14ac:dyDescent="0.3">
      <c r="A40" s="362"/>
      <c r="B40" s="362"/>
      <c r="C40" s="362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64"/>
    </row>
    <row r="41" spans="1:16" x14ac:dyDescent="0.3">
      <c r="A41" s="362" t="s">
        <v>19</v>
      </c>
      <c r="B41" s="362"/>
      <c r="C41" s="362"/>
      <c r="D41" s="365">
        <f>'Multi-Family 2020-2021'!C11</f>
        <v>1671</v>
      </c>
      <c r="E41" s="365">
        <f>'Multi-Family 2020-2021'!C12</f>
        <v>1671</v>
      </c>
      <c r="F41" s="365">
        <f>'Multi-Family 2020-2021'!C13</f>
        <v>1669</v>
      </c>
      <c r="G41" s="365">
        <f>'Multi-Family 2020-2021'!C14</f>
        <v>1669</v>
      </c>
      <c r="H41" s="365">
        <f>'Multi-Family 2020-2021'!C15</f>
        <v>1669</v>
      </c>
      <c r="I41" s="365">
        <f>'Multi-Family 2020-2021'!C16</f>
        <v>1669</v>
      </c>
      <c r="J41" s="365">
        <f>'Multi-Family 2020-2021'!C17</f>
        <v>1669</v>
      </c>
      <c r="K41" s="365">
        <f>'Multi-Family 2020-2021'!C18</f>
        <v>1669</v>
      </c>
      <c r="L41" s="365">
        <f>'Multi-Family 2020-2021'!C19</f>
        <v>1669</v>
      </c>
      <c r="M41" s="365">
        <f>'Multi-Family 2020-2021'!C20</f>
        <v>1669</v>
      </c>
      <c r="N41" s="365">
        <f>'Multi-Family 2020-2021'!C21</f>
        <v>1669</v>
      </c>
      <c r="O41" s="365">
        <f>'Multi-Family 2020-2021'!C22</f>
        <v>1669</v>
      </c>
      <c r="P41" s="384">
        <f>SUM(D41:O41)</f>
        <v>20032</v>
      </c>
    </row>
    <row r="42" spans="1:16" x14ac:dyDescent="0.3">
      <c r="A42" s="362"/>
      <c r="B42" s="362"/>
      <c r="C42" s="362"/>
      <c r="D42" s="362"/>
      <c r="E42" s="362"/>
      <c r="F42" s="362"/>
      <c r="G42" s="362"/>
      <c r="H42" s="362"/>
      <c r="I42" s="362"/>
      <c r="J42" s="362"/>
      <c r="K42" s="356"/>
      <c r="L42" s="356"/>
      <c r="M42" s="356"/>
      <c r="N42" s="356"/>
      <c r="O42" s="356"/>
      <c r="P42" s="361"/>
    </row>
    <row r="43" spans="1:16" x14ac:dyDescent="0.3">
      <c r="A43" s="362" t="s">
        <v>201</v>
      </c>
      <c r="B43" s="362"/>
      <c r="C43" s="362"/>
      <c r="D43" s="385">
        <f>D39/D41</f>
        <v>1.0616397366846199E-2</v>
      </c>
      <c r="E43" s="385">
        <f t="shared" ref="E43:O43" si="6">E39/E41</f>
        <v>9.2998204667863547E-3</v>
      </c>
      <c r="F43" s="385">
        <f t="shared" si="6"/>
        <v>5.9976033553025762E-3</v>
      </c>
      <c r="G43" s="385">
        <f t="shared" si="6"/>
        <v>5.2067106051527862E-3</v>
      </c>
      <c r="H43" s="385">
        <f t="shared" si="6"/>
        <v>3.0557219892150987E-3</v>
      </c>
      <c r="I43" s="385">
        <f t="shared" si="6"/>
        <v>1.1264230077890952E-2</v>
      </c>
      <c r="J43" s="385">
        <f t="shared" si="6"/>
        <v>1.7735170760934692E-2</v>
      </c>
      <c r="K43" s="385">
        <f t="shared" si="6"/>
        <v>1.1857399640503296E-2</v>
      </c>
      <c r="L43" s="385">
        <f t="shared" si="6"/>
        <v>1.3553025763930499E-2</v>
      </c>
      <c r="M43" s="385">
        <f t="shared" si="6"/>
        <v>1.1455961653684841E-2</v>
      </c>
      <c r="N43" s="385">
        <f t="shared" si="6"/>
        <v>3.3193529059316958E-3</v>
      </c>
      <c r="O43" s="385">
        <f t="shared" si="6"/>
        <v>5.9796285200718995E-3</v>
      </c>
      <c r="P43" s="386">
        <f>SUM(D43:O43)/12</f>
        <v>9.1117519255209077E-3</v>
      </c>
    </row>
    <row r="44" spans="1:16" x14ac:dyDescent="0.3">
      <c r="A44" s="362"/>
      <c r="B44" s="362"/>
      <c r="C44" s="362"/>
      <c r="D44" s="362"/>
      <c r="E44" s="362"/>
      <c r="F44" s="362"/>
      <c r="G44" s="362"/>
      <c r="H44" s="362"/>
      <c r="I44" s="361"/>
      <c r="J44" s="361"/>
      <c r="K44" s="364"/>
      <c r="L44" s="364"/>
      <c r="M44" s="364"/>
      <c r="N44" s="364"/>
      <c r="O44" s="364"/>
      <c r="P44" s="361"/>
    </row>
    <row r="45" spans="1:16" x14ac:dyDescent="0.3">
      <c r="A45" s="362" t="s">
        <v>202</v>
      </c>
      <c r="B45" s="362"/>
      <c r="C45" s="362"/>
      <c r="D45" s="369">
        <f>'Multi-Family 2020-2021'!F11</f>
        <v>-177.4</v>
      </c>
      <c r="E45" s="369">
        <f>'Multi-Family 2020-2021'!F12</f>
        <v>-173.3</v>
      </c>
      <c r="F45" s="369">
        <f>'Multi-Family 2020-2021'!F13</f>
        <v>-166.35</v>
      </c>
      <c r="G45" s="369">
        <f>'Multi-Family 2020-2021'!F14</f>
        <v>-160.65</v>
      </c>
      <c r="H45" s="369">
        <f>'Multi-Family 2020-2021'!F15</f>
        <v>-156.55000000000001</v>
      </c>
      <c r="I45" s="369">
        <f>'Multi-Family 2020-2021'!F16</f>
        <v>-149.30000000000001</v>
      </c>
      <c r="J45" s="369">
        <f>'Multi-Family 2020-2021'!F17</f>
        <v>-146</v>
      </c>
      <c r="K45" s="369">
        <f>'Multi-Family 2020-2021'!F18</f>
        <v>-149.30000000000001</v>
      </c>
      <c r="L45" s="369">
        <f>'Multi-Family 2020-2021'!F19</f>
        <v>-145.6</v>
      </c>
      <c r="M45" s="369">
        <f>'Multi-Family 2020-2021'!F20</f>
        <v>-136.1</v>
      </c>
      <c r="N45" s="369">
        <f>'Multi-Family 2020-2021'!F21</f>
        <v>-127.4</v>
      </c>
      <c r="O45" s="369">
        <f>'Multi-Family 2020-2021'!F22</f>
        <v>-105.5</v>
      </c>
      <c r="P45" s="361"/>
    </row>
    <row r="46" spans="1:16" x14ac:dyDescent="0.3">
      <c r="A46" s="362"/>
      <c r="B46" s="362"/>
      <c r="C46" s="362"/>
      <c r="D46" s="362"/>
      <c r="E46" s="362"/>
      <c r="F46" s="362"/>
      <c r="G46" s="362"/>
      <c r="H46" s="362"/>
      <c r="I46" s="369"/>
      <c r="J46" s="369"/>
      <c r="K46" s="363"/>
      <c r="L46" s="363"/>
      <c r="M46" s="363"/>
      <c r="N46" s="363"/>
      <c r="O46" s="363"/>
      <c r="P46" s="361"/>
    </row>
    <row r="47" spans="1:16" x14ac:dyDescent="0.3">
      <c r="A47" s="362" t="s">
        <v>203</v>
      </c>
      <c r="B47" s="362"/>
      <c r="C47" s="362"/>
      <c r="D47" s="363">
        <f>D43*D45</f>
        <v>-1.8833488928785158</v>
      </c>
      <c r="E47" s="363">
        <f t="shared" ref="E47:O47" si="7">E43*E45</f>
        <v>-1.6116588868940753</v>
      </c>
      <c r="F47" s="363">
        <f t="shared" si="7"/>
        <v>-0.99770131815458352</v>
      </c>
      <c r="G47" s="363">
        <f t="shared" si="7"/>
        <v>-0.83645805871779511</v>
      </c>
      <c r="H47" s="363">
        <f t="shared" si="7"/>
        <v>-0.47837327741162372</v>
      </c>
      <c r="I47" s="363">
        <f t="shared" si="7"/>
        <v>-1.6817495506291193</v>
      </c>
      <c r="J47" s="363">
        <f t="shared" si="7"/>
        <v>-2.5893349310964648</v>
      </c>
      <c r="K47" s="363">
        <f t="shared" si="7"/>
        <v>-1.7703097663271421</v>
      </c>
      <c r="L47" s="363">
        <f t="shared" si="7"/>
        <v>-1.9733205512282805</v>
      </c>
      <c r="M47" s="363">
        <f t="shared" si="7"/>
        <v>-1.5591563810665068</v>
      </c>
      <c r="N47" s="363">
        <f t="shared" si="7"/>
        <v>-0.42288556021569806</v>
      </c>
      <c r="O47" s="363">
        <f t="shared" si="7"/>
        <v>-0.63085080886758538</v>
      </c>
      <c r="P47" s="361"/>
    </row>
    <row r="48" spans="1:16" x14ac:dyDescent="0.3">
      <c r="A48" s="362" t="s">
        <v>204</v>
      </c>
      <c r="B48" s="362"/>
      <c r="C48" s="362"/>
      <c r="D48" s="370">
        <f>Analysis!$D$38</f>
        <v>-1.94</v>
      </c>
      <c r="E48" s="363">
        <f>Analysis!$D$38</f>
        <v>-1.94</v>
      </c>
      <c r="F48" s="363">
        <f>Analysis!$D$38</f>
        <v>-1.94</v>
      </c>
      <c r="G48" s="363">
        <f>Analysis!$D$39</f>
        <v>-2</v>
      </c>
      <c r="H48" s="363">
        <f>Analysis!$D$39</f>
        <v>-2</v>
      </c>
      <c r="I48" s="363">
        <f>Analysis!$D$39</f>
        <v>-2</v>
      </c>
      <c r="J48" s="363">
        <f>Analysis!$D$39</f>
        <v>-2</v>
      </c>
      <c r="K48" s="363">
        <f>Analysis!$D$39</f>
        <v>-2</v>
      </c>
      <c r="L48" s="363">
        <f>Analysis!$D$39</f>
        <v>-2</v>
      </c>
      <c r="M48" s="363">
        <f>Analysis!$D$39</f>
        <v>-2</v>
      </c>
      <c r="N48" s="363">
        <f>Analysis!$D$39</f>
        <v>-2</v>
      </c>
      <c r="O48" s="363">
        <f>Analysis!$D$39</f>
        <v>-2</v>
      </c>
      <c r="P48" s="361"/>
    </row>
    <row r="49" spans="1:20" x14ac:dyDescent="0.3">
      <c r="A49" s="361"/>
      <c r="B49" s="361"/>
      <c r="C49" s="361"/>
      <c r="D49" s="361"/>
      <c r="E49" s="361"/>
      <c r="F49" s="361"/>
      <c r="G49" s="361"/>
      <c r="H49" s="361"/>
      <c r="I49" s="369"/>
      <c r="J49" s="363"/>
      <c r="K49" s="363"/>
      <c r="L49" s="363"/>
      <c r="M49" s="363"/>
      <c r="N49" s="363"/>
      <c r="O49" s="363"/>
      <c r="P49" s="361"/>
    </row>
    <row r="50" spans="1:20" x14ac:dyDescent="0.3">
      <c r="A50" s="362" t="s">
        <v>205</v>
      </c>
      <c r="B50" s="362"/>
      <c r="C50" s="362"/>
      <c r="D50" s="371">
        <f>+D48*D41</f>
        <v>-3241.74</v>
      </c>
      <c r="E50" s="371">
        <f t="shared" ref="E50:O50" si="8">+E48*E41</f>
        <v>-3241.74</v>
      </c>
      <c r="F50" s="371">
        <f t="shared" si="8"/>
        <v>-3237.86</v>
      </c>
      <c r="G50" s="371">
        <f t="shared" si="8"/>
        <v>-3338</v>
      </c>
      <c r="H50" s="371">
        <f t="shared" si="8"/>
        <v>-3338</v>
      </c>
      <c r="I50" s="371">
        <f t="shared" si="8"/>
        <v>-3338</v>
      </c>
      <c r="J50" s="371">
        <f t="shared" si="8"/>
        <v>-3338</v>
      </c>
      <c r="K50" s="371">
        <f t="shared" si="8"/>
        <v>-3338</v>
      </c>
      <c r="L50" s="371">
        <f t="shared" si="8"/>
        <v>-3338</v>
      </c>
      <c r="M50" s="371">
        <f t="shared" si="8"/>
        <v>-3338</v>
      </c>
      <c r="N50" s="371">
        <f t="shared" si="8"/>
        <v>-3338</v>
      </c>
      <c r="O50" s="371">
        <f t="shared" si="8"/>
        <v>-3338</v>
      </c>
      <c r="P50" s="372">
        <f>SUM(D50:O50)</f>
        <v>-39763.339999999997</v>
      </c>
      <c r="R50" s="373" t="s">
        <v>216</v>
      </c>
    </row>
    <row r="51" spans="1:20" x14ac:dyDescent="0.3">
      <c r="A51" s="362" t="s">
        <v>206</v>
      </c>
      <c r="B51" s="362"/>
      <c r="C51" s="362"/>
      <c r="D51" s="371">
        <f>+D45*D39+'Multi-Family 2020-2021'!$F$30/12</f>
        <v>-2972.5984304257108</v>
      </c>
      <c r="E51" s="371">
        <f>+E45*E39+'Multi-Family 2020-2021'!$F$30/12</f>
        <v>-2518.6044304257107</v>
      </c>
      <c r="F51" s="371">
        <f>+F45*F39+'Multi-Family 2020-2021'!$F$30/12</f>
        <v>-1490.6859304257105</v>
      </c>
      <c r="G51" s="371">
        <f>+G45*G39+'Multi-Family 2020-2021'!$F$30/12</f>
        <v>-1221.5709304257105</v>
      </c>
      <c r="H51" s="371">
        <f>+H45*H39+'Multi-Family 2020-2021'!$F$30/12</f>
        <v>-623.92743042571067</v>
      </c>
      <c r="I51" s="371">
        <f>+I45*I39+'Multi-Family 2020-2021'!$F$30/12</f>
        <v>-2632.362430425711</v>
      </c>
      <c r="J51" s="371">
        <f>+J45*J39+'Multi-Family 2020-2021'!$F$30/12</f>
        <v>-4147.1224304257112</v>
      </c>
      <c r="K51" s="371">
        <f>+K45*K39+'Multi-Family 2020-2021'!$F$30/12</f>
        <v>-2780.1694304257107</v>
      </c>
      <c r="L51" s="371">
        <f>+L45*L39+'Multi-Family 2020-2021'!$F$30/12</f>
        <v>-3118.994430425711</v>
      </c>
      <c r="M51" s="371">
        <f>+M45*M39+'Multi-Family 2020-2021'!$F$30/12</f>
        <v>-2427.7544304257108</v>
      </c>
      <c r="N51" s="371">
        <f>+N45*N39+'Multi-Family 2020-2021'!$F$30/12</f>
        <v>-531.31843042571074</v>
      </c>
      <c r="O51" s="371">
        <f>+O45*O39+'Multi-Family 2020-2021'!$F$30/12</f>
        <v>-878.4124304257108</v>
      </c>
      <c r="P51" s="372">
        <f>SUM(D51:O51)</f>
        <v>-25343.52116510853</v>
      </c>
      <c r="R51" s="372">
        <f>+'Multi-Family 2020-2021'!F30</f>
        <v>2093.7308348914721</v>
      </c>
    </row>
    <row r="52" spans="1:20" x14ac:dyDescent="0.3">
      <c r="A52" s="362" t="s">
        <v>207</v>
      </c>
      <c r="B52" s="362"/>
      <c r="C52" s="362"/>
      <c r="D52" s="387">
        <f>+D50-D51</f>
        <v>-269.14156957428895</v>
      </c>
      <c r="E52" s="387">
        <f t="shared" ref="E52:O52" si="9">+E50-E51</f>
        <v>-723.13556957428909</v>
      </c>
      <c r="F52" s="387">
        <f t="shared" si="9"/>
        <v>-1747.1740695742897</v>
      </c>
      <c r="G52" s="387">
        <f t="shared" si="9"/>
        <v>-2116.4290695742893</v>
      </c>
      <c r="H52" s="387">
        <f t="shared" si="9"/>
        <v>-2714.0725695742894</v>
      </c>
      <c r="I52" s="387">
        <f t="shared" si="9"/>
        <v>-705.63756957428905</v>
      </c>
      <c r="J52" s="387">
        <f t="shared" si="9"/>
        <v>809.12243042571117</v>
      </c>
      <c r="K52" s="387">
        <f t="shared" si="9"/>
        <v>-557.83056957428926</v>
      </c>
      <c r="L52" s="387">
        <f t="shared" si="9"/>
        <v>-219.00556957428898</v>
      </c>
      <c r="M52" s="387">
        <f t="shared" si="9"/>
        <v>-910.24556957428922</v>
      </c>
      <c r="N52" s="387">
        <f t="shared" si="9"/>
        <v>-2806.6815695742894</v>
      </c>
      <c r="O52" s="387">
        <f t="shared" si="9"/>
        <v>-2459.5875695742893</v>
      </c>
      <c r="P52" s="372">
        <f>SUM(D52:O52)</f>
        <v>-14419.81883489147</v>
      </c>
      <c r="R52" s="372">
        <f>+'Multi-Family 2020-2021'!G23</f>
        <v>-27437.252</v>
      </c>
    </row>
    <row r="53" spans="1:20" x14ac:dyDescent="0.3">
      <c r="A53" s="361"/>
      <c r="B53" s="361"/>
      <c r="C53" s="361"/>
      <c r="D53" s="361"/>
      <c r="E53" s="361"/>
      <c r="F53" s="361"/>
      <c r="G53" s="361"/>
      <c r="H53" s="361"/>
      <c r="I53" s="361"/>
      <c r="J53" s="364"/>
      <c r="K53" s="364"/>
      <c r="L53" s="371"/>
      <c r="M53" s="371"/>
      <c r="N53" s="371"/>
      <c r="P53" s="364"/>
      <c r="R53" s="372">
        <f>SUM(R51:R52)</f>
        <v>-25343.521165108526</v>
      </c>
    </row>
    <row r="54" spans="1:20" x14ac:dyDescent="0.3">
      <c r="A54" s="362" t="s">
        <v>208</v>
      </c>
      <c r="B54" s="362"/>
      <c r="C54" s="362"/>
      <c r="D54" s="379"/>
      <c r="E54" s="362"/>
      <c r="F54" s="362"/>
      <c r="G54" s="362"/>
      <c r="H54" s="362"/>
      <c r="I54" s="362"/>
      <c r="J54" s="356"/>
      <c r="K54" s="356"/>
      <c r="L54" s="363"/>
      <c r="M54" s="363"/>
      <c r="N54" s="363"/>
      <c r="P54" s="363">
        <f>(P51/P41)</f>
        <v>-1.2651518153508652</v>
      </c>
      <c r="R54" s="376">
        <f>+R53-P51</f>
        <v>0</v>
      </c>
      <c r="T54" s="370"/>
    </row>
    <row r="55" spans="1:20" x14ac:dyDescent="0.3">
      <c r="A55" s="362" t="s">
        <v>209</v>
      </c>
      <c r="B55" s="362"/>
      <c r="C55" s="362"/>
      <c r="D55" s="362"/>
      <c r="E55" s="362"/>
      <c r="F55" s="362"/>
      <c r="G55" s="362"/>
      <c r="H55" s="362"/>
      <c r="I55" s="362"/>
      <c r="J55" s="356"/>
      <c r="K55" s="356"/>
      <c r="L55" s="363"/>
      <c r="M55" s="363"/>
      <c r="N55" s="363"/>
      <c r="P55" s="363">
        <f>-P52/P41</f>
        <v>0.71983919902613169</v>
      </c>
      <c r="T55" s="363"/>
    </row>
    <row r="56" spans="1:20" x14ac:dyDescent="0.3">
      <c r="A56" s="361"/>
      <c r="B56" s="361"/>
      <c r="C56" s="361"/>
      <c r="D56" s="388"/>
      <c r="E56" s="361"/>
      <c r="F56" s="361"/>
      <c r="G56" s="361"/>
      <c r="H56" s="361"/>
      <c r="I56" s="361"/>
      <c r="J56" s="361"/>
      <c r="K56" s="361"/>
      <c r="L56" s="387"/>
      <c r="M56" s="387"/>
      <c r="N56" s="387"/>
      <c r="O56" s="387"/>
      <c r="P56" s="361"/>
    </row>
    <row r="57" spans="1:20" x14ac:dyDescent="0.3">
      <c r="A57" s="362" t="s">
        <v>210</v>
      </c>
      <c r="B57" s="362"/>
      <c r="C57" s="362"/>
      <c r="D57" s="362"/>
      <c r="E57" s="362"/>
      <c r="F57" s="362"/>
      <c r="G57" s="362"/>
      <c r="H57" s="362"/>
      <c r="I57" s="362"/>
      <c r="J57" s="362"/>
      <c r="K57" s="362"/>
      <c r="L57" s="361"/>
      <c r="M57" s="361"/>
      <c r="N57" s="361"/>
      <c r="O57" s="361"/>
      <c r="P57" s="380">
        <f>+P54+P55</f>
        <v>-0.54531261632473349</v>
      </c>
    </row>
    <row r="58" spans="1:20" x14ac:dyDescent="0.3">
      <c r="A58" s="361"/>
      <c r="B58" s="361"/>
      <c r="C58" s="361"/>
      <c r="D58" s="361"/>
      <c r="E58" s="361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61"/>
    </row>
    <row r="59" spans="1:20" x14ac:dyDescent="0.3">
      <c r="A59" s="361" t="s">
        <v>211</v>
      </c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80">
        <v>-2.2799999999999998</v>
      </c>
    </row>
    <row r="60" spans="1:20" x14ac:dyDescent="0.3">
      <c r="A60" s="361"/>
      <c r="B60" s="361"/>
      <c r="C60" s="361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80"/>
    </row>
    <row r="61" spans="1:20" x14ac:dyDescent="0.3">
      <c r="A61" s="361"/>
      <c r="B61" s="361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</row>
    <row r="62" spans="1:20" x14ac:dyDescent="0.3">
      <c r="A62" s="361" t="s">
        <v>212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89">
        <f>-(P57-P59)*P41</f>
        <v>-34749.257669782935</v>
      </c>
    </row>
    <row r="63" spans="1:20" x14ac:dyDescent="0.3">
      <c r="A63" s="382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</row>
    <row r="66" spans="3:15" x14ac:dyDescent="0.3">
      <c r="C66" s="362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</row>
    <row r="67" spans="3:15" x14ac:dyDescent="0.3"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</row>
    <row r="68" spans="3:15" x14ac:dyDescent="0.3">
      <c r="C68" s="361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</row>
    <row r="70" spans="3:15" x14ac:dyDescent="0.3">
      <c r="E70" s="452"/>
      <c r="F70" s="452"/>
    </row>
    <row r="71" spans="3:15" x14ac:dyDescent="0.3">
      <c r="E71" s="453"/>
      <c r="F71" s="453"/>
    </row>
  </sheetData>
  <mergeCells count="6">
    <mergeCell ref="E70:F70"/>
    <mergeCell ref="E71:F71"/>
    <mergeCell ref="D4:O4"/>
    <mergeCell ref="D35:O35"/>
    <mergeCell ref="D36:O36"/>
    <mergeCell ref="D5:O5"/>
  </mergeCells>
  <pageMargins left="0.7" right="0.7" top="0.75" bottom="0.75" header="0.3" footer="0.3"/>
  <pageSetup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7" width="12.6640625" customWidth="1"/>
  </cols>
  <sheetData>
    <row r="1" spans="1:7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7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7" ht="15.6" x14ac:dyDescent="0.3">
      <c r="A3" s="459" t="s">
        <v>129</v>
      </c>
      <c r="B3" s="459"/>
      <c r="C3" s="459"/>
      <c r="D3" s="459"/>
      <c r="E3" s="459"/>
      <c r="F3" s="459"/>
      <c r="G3" s="459"/>
    </row>
    <row r="4" spans="1:7" x14ac:dyDescent="0.3">
      <c r="A4" s="1"/>
      <c r="B4" s="1"/>
      <c r="C4" s="1"/>
      <c r="D4" s="3"/>
      <c r="E4" s="1"/>
      <c r="F4" s="1"/>
    </row>
    <row r="5" spans="1:7" x14ac:dyDescent="0.3">
      <c r="A5" s="1"/>
      <c r="B5" s="1"/>
      <c r="C5" s="1"/>
      <c r="D5" s="3"/>
      <c r="E5" s="1"/>
      <c r="F5" s="1"/>
    </row>
    <row r="6" spans="1:7" x14ac:dyDescent="0.3">
      <c r="A6" s="1"/>
      <c r="B6" s="1"/>
      <c r="C6" s="1"/>
      <c r="D6" s="3"/>
      <c r="E6" s="1"/>
      <c r="F6" s="1"/>
    </row>
    <row r="7" spans="1:7" x14ac:dyDescent="0.3">
      <c r="A7" s="1"/>
      <c r="B7" s="2"/>
      <c r="C7" s="1"/>
      <c r="D7" s="1"/>
      <c r="E7" s="3"/>
      <c r="F7" s="1"/>
    </row>
    <row r="8" spans="1:7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2" thickBot="1" x14ac:dyDescent="0.35">
      <c r="B9" s="60"/>
      <c r="C9" s="61"/>
      <c r="D9" s="60"/>
      <c r="E9" s="62"/>
      <c r="F9" s="60" t="s">
        <v>8</v>
      </c>
      <c r="G9" s="60"/>
    </row>
    <row r="10" spans="1:7" ht="16.2" thickTop="1" x14ac:dyDescent="0.3">
      <c r="B10" s="63"/>
      <c r="C10" s="64"/>
      <c r="D10" s="64"/>
      <c r="E10" s="63"/>
      <c r="F10" s="65"/>
      <c r="G10" s="63"/>
    </row>
    <row r="11" spans="1:7" ht="15.6" x14ac:dyDescent="0.3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6" x14ac:dyDescent="0.3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6" x14ac:dyDescent="0.3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6" x14ac:dyDescent="0.3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6" x14ac:dyDescent="0.3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6" x14ac:dyDescent="0.3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6" x14ac:dyDescent="0.3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6" x14ac:dyDescent="0.3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6" x14ac:dyDescent="0.3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6" x14ac:dyDescent="0.3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6" x14ac:dyDescent="0.3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6" x14ac:dyDescent="0.3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6" x14ac:dyDescent="0.3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6" x14ac:dyDescent="0.3">
      <c r="B24" s="81"/>
      <c r="C24" s="82"/>
      <c r="D24" s="83"/>
      <c r="E24" s="84" t="s">
        <v>0</v>
      </c>
      <c r="F24" s="58"/>
      <c r="G24" s="79"/>
    </row>
    <row r="25" spans="1:7" ht="15.6" x14ac:dyDescent="0.3">
      <c r="B25" s="184"/>
      <c r="C25" s="183"/>
      <c r="E25" s="185"/>
    </row>
    <row r="26" spans="1:7" x14ac:dyDescent="0.3">
      <c r="E26" s="185"/>
    </row>
    <row r="27" spans="1:7" x14ac:dyDescent="0.3">
      <c r="E27" s="185"/>
    </row>
    <row r="28" spans="1:7" x14ac:dyDescent="0.3">
      <c r="E28" s="185"/>
    </row>
    <row r="29" spans="1:7" x14ac:dyDescent="0.3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4.88671875" customWidth="1"/>
    <col min="4" max="4" width="11.44140625" customWidth="1"/>
    <col min="5" max="5" width="9.5546875" customWidth="1"/>
    <col min="6" max="6" width="13.109375" customWidth="1"/>
    <col min="7" max="7" width="12.109375" customWidth="1"/>
  </cols>
  <sheetData>
    <row r="1" spans="1:7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7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7" ht="15.6" x14ac:dyDescent="0.3">
      <c r="A3" s="459" t="s">
        <v>109</v>
      </c>
      <c r="B3" s="459"/>
      <c r="C3" s="459"/>
      <c r="D3" s="459"/>
      <c r="E3" s="459"/>
      <c r="F3" s="459"/>
      <c r="G3" s="459"/>
    </row>
    <row r="4" spans="1:7" x14ac:dyDescent="0.3">
      <c r="A4" s="1"/>
      <c r="B4" s="1"/>
      <c r="C4" s="2"/>
      <c r="D4" s="1"/>
      <c r="E4" s="1"/>
      <c r="F4" s="3"/>
      <c r="G4" s="1"/>
    </row>
    <row r="5" spans="1:7" x14ac:dyDescent="0.3">
      <c r="A5" s="1"/>
      <c r="B5" s="1"/>
      <c r="C5" s="2"/>
      <c r="D5" s="1"/>
      <c r="E5" s="1"/>
      <c r="F5" s="3"/>
      <c r="G5" s="1"/>
    </row>
    <row r="6" spans="1:7" x14ac:dyDescent="0.3">
      <c r="A6" s="1"/>
      <c r="B6" s="1"/>
      <c r="C6" s="2"/>
      <c r="D6" s="1"/>
      <c r="E6" s="1"/>
      <c r="F6" s="3"/>
      <c r="G6" s="1"/>
    </row>
    <row r="7" spans="1:7" x14ac:dyDescent="0.3">
      <c r="A7" s="1"/>
      <c r="B7" s="1"/>
      <c r="C7" s="2"/>
      <c r="D7" s="1"/>
      <c r="E7" s="1"/>
      <c r="F7" s="3"/>
      <c r="G7" s="1"/>
    </row>
    <row r="8" spans="1:7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2" thickBot="1" x14ac:dyDescent="0.35">
      <c r="B9" s="60"/>
      <c r="C9" s="61"/>
      <c r="D9" s="60"/>
      <c r="E9" s="62"/>
      <c r="F9" s="60" t="s">
        <v>8</v>
      </c>
      <c r="G9" s="60"/>
    </row>
    <row r="10" spans="1:7" ht="16.2" thickTop="1" x14ac:dyDescent="0.3">
      <c r="B10" s="63"/>
      <c r="C10" s="64"/>
      <c r="D10" s="64"/>
      <c r="E10" s="63"/>
      <c r="F10" s="65"/>
      <c r="G10" s="63"/>
    </row>
    <row r="11" spans="1:7" ht="15.6" x14ac:dyDescent="0.3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6" x14ac:dyDescent="0.3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6" x14ac:dyDescent="0.3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6" x14ac:dyDescent="0.3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6" x14ac:dyDescent="0.3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6" x14ac:dyDescent="0.3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6" x14ac:dyDescent="0.3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6" x14ac:dyDescent="0.3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6" x14ac:dyDescent="0.3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6" x14ac:dyDescent="0.3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6" x14ac:dyDescent="0.3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6" x14ac:dyDescent="0.3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6" x14ac:dyDescent="0.3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6" x14ac:dyDescent="0.3">
      <c r="B24" s="63"/>
      <c r="C24" s="65"/>
      <c r="D24" s="81"/>
      <c r="E24" s="82"/>
      <c r="F24" s="83"/>
      <c r="G24" s="84" t="s">
        <v>0</v>
      </c>
    </row>
    <row r="25" spans="1:7" ht="15.6" x14ac:dyDescent="0.3">
      <c r="B25" s="184" t="s">
        <v>122</v>
      </c>
      <c r="C25" s="183"/>
      <c r="E25" s="185">
        <f>SUM(E12:E22)</f>
        <v>249.77</v>
      </c>
    </row>
    <row r="26" spans="1:7" x14ac:dyDescent="0.3">
      <c r="B26" t="s">
        <v>123</v>
      </c>
      <c r="E26" s="185">
        <v>-9.5</v>
      </c>
    </row>
    <row r="27" spans="1:7" x14ac:dyDescent="0.3">
      <c r="E27" s="185"/>
    </row>
    <row r="28" spans="1:7" x14ac:dyDescent="0.3">
      <c r="B28" t="s">
        <v>124</v>
      </c>
      <c r="E28" s="185">
        <f>+E26*E25</f>
        <v>-2372.8150000000001</v>
      </c>
    </row>
    <row r="29" spans="1:7" x14ac:dyDescent="0.3">
      <c r="E29" s="185"/>
    </row>
    <row r="30" spans="1:7" x14ac:dyDescent="0.3">
      <c r="B30" t="s">
        <v>125</v>
      </c>
    </row>
    <row r="31" spans="1:7" x14ac:dyDescent="0.3">
      <c r="B31" t="s">
        <v>126</v>
      </c>
    </row>
    <row r="32" spans="1:7" x14ac:dyDescent="0.3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33203125" customWidth="1"/>
    <col min="4" max="4" width="12.109375" customWidth="1"/>
    <col min="5" max="5" width="12.6640625" customWidth="1"/>
    <col min="6" max="6" width="14.109375" customWidth="1"/>
    <col min="7" max="7" width="13.33203125" customWidth="1"/>
  </cols>
  <sheetData>
    <row r="1" spans="1:7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7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7" ht="15.6" x14ac:dyDescent="0.3">
      <c r="A3" s="459" t="s">
        <v>109</v>
      </c>
      <c r="B3" s="459"/>
      <c r="C3" s="459"/>
      <c r="D3" s="459"/>
      <c r="E3" s="459"/>
      <c r="F3" s="459"/>
      <c r="G3" s="459"/>
    </row>
    <row r="4" spans="1:7" x14ac:dyDescent="0.3">
      <c r="A4" s="1"/>
      <c r="B4" s="1"/>
      <c r="C4" s="1"/>
      <c r="D4" s="3"/>
      <c r="E4" s="1"/>
      <c r="F4" s="1"/>
    </row>
    <row r="5" spans="1:7" x14ac:dyDescent="0.3">
      <c r="A5" s="1"/>
      <c r="B5" s="1"/>
      <c r="C5" s="1"/>
      <c r="D5" s="3"/>
      <c r="E5" s="1"/>
      <c r="F5" s="1"/>
    </row>
    <row r="6" spans="1:7" x14ac:dyDescent="0.3">
      <c r="A6" s="1"/>
      <c r="B6" s="1"/>
      <c r="C6" s="1"/>
      <c r="D6" s="3"/>
      <c r="E6" s="1"/>
      <c r="F6" s="1"/>
    </row>
    <row r="7" spans="1:7" x14ac:dyDescent="0.3">
      <c r="A7" s="1"/>
      <c r="B7" s="2"/>
      <c r="C7" s="1"/>
      <c r="D7" s="1"/>
      <c r="E7" s="3"/>
      <c r="F7" s="1"/>
    </row>
    <row r="8" spans="1:7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2" thickBot="1" x14ac:dyDescent="0.35">
      <c r="B9" s="60"/>
      <c r="C9" s="61"/>
      <c r="D9" s="60"/>
      <c r="E9" s="62"/>
      <c r="F9" s="60" t="s">
        <v>8</v>
      </c>
      <c r="G9" s="60"/>
    </row>
    <row r="10" spans="1:7" ht="16.2" thickTop="1" x14ac:dyDescent="0.3">
      <c r="B10" s="63"/>
      <c r="C10" s="64"/>
      <c r="D10" s="64"/>
      <c r="E10" s="63"/>
      <c r="F10" s="65"/>
      <c r="G10" s="63"/>
    </row>
    <row r="11" spans="1:7" ht="15.6" x14ac:dyDescent="0.3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6" x14ac:dyDescent="0.3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6" x14ac:dyDescent="0.3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6" x14ac:dyDescent="0.3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6" x14ac:dyDescent="0.3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6" x14ac:dyDescent="0.3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6" x14ac:dyDescent="0.3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6" x14ac:dyDescent="0.3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6" x14ac:dyDescent="0.3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6" x14ac:dyDescent="0.3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6" x14ac:dyDescent="0.3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6" x14ac:dyDescent="0.3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6" x14ac:dyDescent="0.3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6" x14ac:dyDescent="0.3">
      <c r="B24" s="81"/>
      <c r="C24" s="82"/>
      <c r="D24" s="83"/>
      <c r="E24" s="84" t="s">
        <v>0</v>
      </c>
      <c r="F24" s="58"/>
      <c r="G24" s="79"/>
    </row>
    <row r="25" spans="1:7" ht="15.6" x14ac:dyDescent="0.3">
      <c r="B25" s="184" t="s">
        <v>122</v>
      </c>
      <c r="C25" s="183"/>
      <c r="E25" s="185">
        <f>SUM(E12:E22)</f>
        <v>2448.5300000000002</v>
      </c>
    </row>
    <row r="26" spans="1:7" x14ac:dyDescent="0.3">
      <c r="B26" t="s">
        <v>123</v>
      </c>
      <c r="E26" s="185">
        <v>-9.5</v>
      </c>
    </row>
    <row r="27" spans="1:7" x14ac:dyDescent="0.3">
      <c r="E27" s="185"/>
    </row>
    <row r="28" spans="1:7" x14ac:dyDescent="0.3">
      <c r="B28" t="s">
        <v>124</v>
      </c>
      <c r="E28" s="185">
        <f>+E26*E25</f>
        <v>-23261.035000000003</v>
      </c>
    </row>
    <row r="29" spans="1:7" x14ac:dyDescent="0.3">
      <c r="E29" s="185"/>
    </row>
    <row r="30" spans="1:7" x14ac:dyDescent="0.3">
      <c r="B30" t="s">
        <v>125</v>
      </c>
    </row>
    <row r="31" spans="1:7" x14ac:dyDescent="0.3">
      <c r="B31" t="s">
        <v>126</v>
      </c>
    </row>
    <row r="32" spans="1:7" x14ac:dyDescent="0.3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4.88671875" customWidth="1"/>
    <col min="4" max="4" width="11.44140625" customWidth="1"/>
    <col min="5" max="5" width="9.5546875" customWidth="1"/>
    <col min="6" max="6" width="13.109375" customWidth="1"/>
    <col min="7" max="7" width="12.109375" customWidth="1"/>
  </cols>
  <sheetData>
    <row r="1" spans="1:7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7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7" ht="15.6" x14ac:dyDescent="0.3">
      <c r="A3" s="459" t="s">
        <v>70</v>
      </c>
      <c r="B3" s="459"/>
      <c r="C3" s="459"/>
      <c r="D3" s="459"/>
      <c r="E3" s="459"/>
      <c r="F3" s="459"/>
      <c r="G3" s="459"/>
    </row>
    <row r="4" spans="1:7" x14ac:dyDescent="0.3">
      <c r="A4" s="1"/>
      <c r="B4" s="1"/>
      <c r="C4" s="2"/>
      <c r="D4" s="1"/>
      <c r="E4" s="1"/>
      <c r="F4" s="3"/>
      <c r="G4" s="1"/>
    </row>
    <row r="5" spans="1:7" x14ac:dyDescent="0.3">
      <c r="A5" s="1"/>
      <c r="B5" s="1"/>
      <c r="C5" s="2"/>
      <c r="D5" s="1"/>
      <c r="E5" s="1"/>
      <c r="F5" s="3"/>
      <c r="G5" s="1"/>
    </row>
    <row r="6" spans="1:7" x14ac:dyDescent="0.3">
      <c r="A6" s="1"/>
      <c r="B6" s="1"/>
      <c r="C6" s="2"/>
      <c r="D6" s="1"/>
      <c r="E6" s="1"/>
      <c r="F6" s="3"/>
      <c r="G6" s="1"/>
    </row>
    <row r="7" spans="1:7" x14ac:dyDescent="0.3">
      <c r="A7" s="1"/>
      <c r="B7" s="1"/>
      <c r="C7" s="2"/>
      <c r="D7" s="1"/>
      <c r="E7" s="1"/>
      <c r="F7" s="3"/>
      <c r="G7" s="1"/>
    </row>
    <row r="8" spans="1:7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2" thickBot="1" x14ac:dyDescent="0.35">
      <c r="B9" s="60"/>
      <c r="C9" s="61"/>
      <c r="D9" s="60"/>
      <c r="E9" s="62"/>
      <c r="F9" s="60" t="s">
        <v>8</v>
      </c>
      <c r="G9" s="60"/>
    </row>
    <row r="10" spans="1:7" ht="16.2" thickTop="1" x14ac:dyDescent="0.3">
      <c r="B10" s="63"/>
      <c r="C10" s="64"/>
      <c r="D10" s="64"/>
      <c r="E10" s="63"/>
      <c r="F10" s="65"/>
      <c r="G10" s="63"/>
    </row>
    <row r="11" spans="1:7" ht="15.6" x14ac:dyDescent="0.3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6" x14ac:dyDescent="0.3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6" x14ac:dyDescent="0.3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6" x14ac:dyDescent="0.3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6" x14ac:dyDescent="0.3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6" x14ac:dyDescent="0.3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6" x14ac:dyDescent="0.3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6" x14ac:dyDescent="0.3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6" x14ac:dyDescent="0.3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6" x14ac:dyDescent="0.3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6" x14ac:dyDescent="0.3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6" x14ac:dyDescent="0.3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6" x14ac:dyDescent="0.3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6" x14ac:dyDescent="0.3">
      <c r="B24" s="63"/>
      <c r="C24" s="65"/>
      <c r="D24" s="81"/>
      <c r="E24" s="82"/>
      <c r="F24" s="83"/>
      <c r="G24" s="84" t="s">
        <v>0</v>
      </c>
    </row>
    <row r="25" spans="1:7" x14ac:dyDescent="0.3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33203125" customWidth="1"/>
    <col min="4" max="4" width="12.109375" customWidth="1"/>
    <col min="5" max="5" width="10.109375" customWidth="1"/>
    <col min="6" max="6" width="14.109375" customWidth="1"/>
    <col min="7" max="7" width="13.33203125" customWidth="1"/>
  </cols>
  <sheetData>
    <row r="1" spans="1:8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8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8" ht="15.6" x14ac:dyDescent="0.3">
      <c r="A3" s="459" t="s">
        <v>70</v>
      </c>
      <c r="B3" s="459"/>
      <c r="C3" s="459"/>
      <c r="D3" s="459"/>
      <c r="E3" s="459"/>
      <c r="F3" s="459"/>
      <c r="G3" s="459"/>
    </row>
    <row r="4" spans="1:8" x14ac:dyDescent="0.3">
      <c r="A4" s="1"/>
      <c r="B4" s="1"/>
      <c r="C4" s="1"/>
      <c r="D4" s="3"/>
      <c r="E4" s="1"/>
      <c r="F4" s="1"/>
    </row>
    <row r="5" spans="1:8" x14ac:dyDescent="0.3">
      <c r="A5" s="1"/>
      <c r="B5" s="1"/>
      <c r="C5" s="1"/>
      <c r="D5" s="3"/>
      <c r="E5" s="1"/>
      <c r="F5" s="1"/>
    </row>
    <row r="6" spans="1:8" x14ac:dyDescent="0.3">
      <c r="A6" s="1"/>
      <c r="B6" s="1"/>
      <c r="C6" s="1"/>
      <c r="D6" s="3"/>
      <c r="E6" s="1"/>
      <c r="F6" s="1"/>
    </row>
    <row r="7" spans="1:8" x14ac:dyDescent="0.3">
      <c r="A7" s="1"/>
      <c r="B7" s="2"/>
      <c r="C7" s="1"/>
      <c r="D7" s="1"/>
      <c r="E7" s="3"/>
      <c r="F7" s="1"/>
    </row>
    <row r="8" spans="1:8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2" thickBot="1" x14ac:dyDescent="0.35">
      <c r="B9" s="60"/>
      <c r="C9" s="61"/>
      <c r="D9" s="60"/>
      <c r="E9" s="62"/>
      <c r="F9" s="60" t="s">
        <v>8</v>
      </c>
      <c r="G9" s="60"/>
      <c r="H9" s="64"/>
    </row>
    <row r="10" spans="1:8" ht="16.2" thickTop="1" x14ac:dyDescent="0.3">
      <c r="B10" s="63"/>
      <c r="C10" s="64"/>
      <c r="D10" s="64"/>
      <c r="E10" s="63"/>
      <c r="F10" s="65"/>
      <c r="G10" s="63"/>
      <c r="H10" s="64"/>
    </row>
    <row r="11" spans="1:8" ht="15.6" x14ac:dyDescent="0.3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6" x14ac:dyDescent="0.3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6" x14ac:dyDescent="0.3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6" x14ac:dyDescent="0.3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6" x14ac:dyDescent="0.3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6" x14ac:dyDescent="0.3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6" x14ac:dyDescent="0.3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6" x14ac:dyDescent="0.3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6" x14ac:dyDescent="0.3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6" x14ac:dyDescent="0.3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6" x14ac:dyDescent="0.3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6" x14ac:dyDescent="0.3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6" x14ac:dyDescent="0.3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6" x14ac:dyDescent="0.3">
      <c r="B24" s="81"/>
      <c r="C24" s="82"/>
      <c r="D24" s="83"/>
      <c r="E24" s="84" t="s">
        <v>0</v>
      </c>
      <c r="F24" s="58"/>
      <c r="G24" s="79"/>
      <c r="H24" s="64"/>
    </row>
    <row r="25" spans="1:8" ht="15.6" x14ac:dyDescent="0.3">
      <c r="A25" s="6"/>
      <c r="B25" s="90"/>
      <c r="C25" s="91"/>
      <c r="D25" s="83"/>
      <c r="E25" s="58"/>
      <c r="F25" s="58"/>
      <c r="G25" s="79"/>
      <c r="H25" s="64"/>
    </row>
    <row r="26" spans="1:8" ht="15.6" x14ac:dyDescent="0.3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G1"/>
    </sheetView>
  </sheetViews>
  <sheetFormatPr defaultRowHeight="14.4" x14ac:dyDescent="0.3"/>
  <cols>
    <col min="6" max="6" width="2.5546875" customWidth="1"/>
    <col min="7" max="7" width="16.5546875" customWidth="1"/>
  </cols>
  <sheetData>
    <row r="1" spans="1:12" x14ac:dyDescent="0.3">
      <c r="A1" s="468" t="s">
        <v>44</v>
      </c>
      <c r="B1" s="468"/>
      <c r="C1" s="468"/>
      <c r="D1" s="468"/>
      <c r="E1" s="468"/>
      <c r="F1" s="468"/>
      <c r="G1" s="468"/>
      <c r="H1" s="469"/>
      <c r="I1" s="469"/>
      <c r="J1" s="469"/>
      <c r="K1" s="469"/>
      <c r="L1" s="15"/>
    </row>
    <row r="2" spans="1:12" x14ac:dyDescent="0.3">
      <c r="A2" s="470" t="s">
        <v>46</v>
      </c>
      <c r="B2" s="470"/>
      <c r="C2" s="470"/>
      <c r="D2" s="470"/>
      <c r="E2" s="470"/>
      <c r="F2" s="470"/>
      <c r="G2" s="16"/>
      <c r="H2" s="17"/>
      <c r="I2" s="17"/>
      <c r="J2" s="16"/>
      <c r="K2" s="16"/>
      <c r="L2" s="15"/>
    </row>
    <row r="3" spans="1:12" x14ac:dyDescent="0.3">
      <c r="A3" s="470" t="s">
        <v>74</v>
      </c>
      <c r="B3" s="470"/>
      <c r="C3" s="470"/>
      <c r="D3" s="470"/>
      <c r="E3" s="470"/>
      <c r="F3" s="470"/>
      <c r="G3" s="16"/>
      <c r="H3" s="15"/>
      <c r="I3" s="15"/>
      <c r="J3" s="16"/>
      <c r="K3" s="16"/>
      <c r="L3" s="15"/>
    </row>
    <row r="4" spans="1:12" x14ac:dyDescent="0.3">
      <c r="A4" s="471" t="s">
        <v>56</v>
      </c>
      <c r="B4" s="471"/>
      <c r="C4" s="471"/>
      <c r="D4" s="471"/>
      <c r="E4" s="471"/>
      <c r="F4" s="471"/>
      <c r="G4" s="16"/>
      <c r="H4" s="15"/>
      <c r="I4" s="15"/>
      <c r="J4" s="16"/>
      <c r="K4" s="16"/>
      <c r="L4" s="15"/>
    </row>
    <row r="5" spans="1:12" x14ac:dyDescent="0.3">
      <c r="A5" s="462" t="s">
        <v>43</v>
      </c>
      <c r="B5" s="463"/>
      <c r="C5" s="463"/>
      <c r="D5" s="463"/>
      <c r="E5" s="463"/>
      <c r="F5" s="464"/>
      <c r="G5" s="465" t="s">
        <v>57</v>
      </c>
      <c r="H5" s="466"/>
      <c r="I5" s="466"/>
      <c r="J5" s="466"/>
      <c r="K5" s="466"/>
      <c r="L5" s="467"/>
    </row>
    <row r="6" spans="1:12" ht="49.5" customHeight="1" thickBot="1" x14ac:dyDescent="0.35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3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3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3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3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3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3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3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3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3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3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3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3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3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3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" thickBot="1" x14ac:dyDescent="0.35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" thickTop="1" x14ac:dyDescent="0.3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sqref="A1:E1"/>
    </sheetView>
  </sheetViews>
  <sheetFormatPr defaultRowHeight="14.4" x14ac:dyDescent="0.3"/>
  <cols>
    <col min="1" max="2" width="10.88671875" customWidth="1"/>
    <col min="3" max="3" width="5.109375" customWidth="1"/>
    <col min="4" max="4" width="16.109375" customWidth="1"/>
    <col min="5" max="5" width="5.109375" customWidth="1"/>
    <col min="6" max="6" width="17.88671875" customWidth="1"/>
    <col min="9" max="9" width="15" customWidth="1"/>
    <col min="10" max="10" width="3.6640625" customWidth="1"/>
    <col min="11" max="11" width="4.44140625" customWidth="1"/>
  </cols>
  <sheetData>
    <row r="1" spans="1:12" x14ac:dyDescent="0.3">
      <c r="A1" s="468" t="s">
        <v>44</v>
      </c>
      <c r="B1" s="468"/>
      <c r="C1" s="468"/>
      <c r="D1" s="468"/>
      <c r="E1" s="468"/>
      <c r="F1" s="469"/>
      <c r="G1" s="469"/>
      <c r="H1" s="469"/>
      <c r="I1" s="469"/>
      <c r="J1" s="14"/>
      <c r="K1" s="15"/>
      <c r="L1" s="16"/>
    </row>
    <row r="2" spans="1:12" x14ac:dyDescent="0.3">
      <c r="A2" s="470" t="s">
        <v>46</v>
      </c>
      <c r="B2" s="470"/>
      <c r="C2" s="470"/>
      <c r="D2" s="470"/>
      <c r="E2" s="16"/>
      <c r="F2" s="17"/>
      <c r="G2" s="17"/>
      <c r="H2" s="16"/>
      <c r="I2" s="16"/>
      <c r="J2" s="18"/>
      <c r="K2" s="15"/>
      <c r="L2" s="16"/>
    </row>
    <row r="3" spans="1:12" x14ac:dyDescent="0.3">
      <c r="A3" s="470" t="s">
        <v>74</v>
      </c>
      <c r="B3" s="470"/>
      <c r="C3" s="470"/>
      <c r="D3" s="470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3">
      <c r="A4" s="476" t="s">
        <v>75</v>
      </c>
      <c r="B4" s="476"/>
      <c r="C4" s="476"/>
      <c r="D4" s="476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5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3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3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3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3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3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3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3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3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3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3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3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3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3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3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3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3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" thickBot="1" x14ac:dyDescent="0.35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" thickTop="1" x14ac:dyDescent="0.3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3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" thickBot="1" x14ac:dyDescent="0.35">
      <c r="A25" s="475" t="s">
        <v>24</v>
      </c>
      <c r="B25" s="475"/>
      <c r="C25" s="475"/>
      <c r="D25" s="475"/>
      <c r="E25" s="475"/>
      <c r="F25" s="475"/>
      <c r="G25" s="475"/>
      <c r="H25" s="475"/>
      <c r="I25" s="475"/>
      <c r="J25" s="41"/>
      <c r="K25" s="40"/>
      <c r="L25" s="28"/>
    </row>
    <row r="26" spans="1:12" x14ac:dyDescent="0.3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3">
      <c r="A27" s="19"/>
      <c r="B27" s="43"/>
      <c r="C27" s="43"/>
      <c r="D27" s="472" t="s">
        <v>25</v>
      </c>
      <c r="E27" s="472"/>
      <c r="F27" s="472"/>
      <c r="G27" s="472"/>
      <c r="H27" s="472"/>
      <c r="I27" s="28">
        <f>ROUND(D22,0)</f>
        <v>15424</v>
      </c>
      <c r="J27" s="35" t="s">
        <v>31</v>
      </c>
      <c r="K27" s="39"/>
      <c r="L27" s="35"/>
    </row>
    <row r="28" spans="1:12" x14ac:dyDescent="0.3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3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3">
      <c r="A30" s="21"/>
      <c r="B30" s="473" t="s">
        <v>38</v>
      </c>
      <c r="C30" s="473"/>
      <c r="D30" s="473"/>
      <c r="E30" s="473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3">
      <c r="A31" s="21"/>
      <c r="B31" s="472" t="s">
        <v>73</v>
      </c>
      <c r="C31" s="472"/>
      <c r="D31" s="472"/>
      <c r="E31" s="472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3">
      <c r="A32" s="21"/>
      <c r="B32" s="28"/>
      <c r="C32" s="28"/>
      <c r="D32" s="472"/>
      <c r="E32" s="472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3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" thickBot="1" x14ac:dyDescent="0.35">
      <c r="A34" s="21"/>
      <c r="B34" s="28"/>
      <c r="C34" s="28"/>
      <c r="D34" s="472"/>
      <c r="E34" s="472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" thickTop="1" x14ac:dyDescent="0.3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3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" thickBot="1" x14ac:dyDescent="0.35">
      <c r="A37" s="21"/>
      <c r="B37" s="28"/>
      <c r="C37" s="28"/>
      <c r="D37" s="28"/>
      <c r="E37" s="28"/>
      <c r="F37" s="472" t="s">
        <v>28</v>
      </c>
      <c r="G37" s="472"/>
      <c r="H37" s="472"/>
      <c r="I37" s="47">
        <f>+I27-I34</f>
        <v>-17901.615000000005</v>
      </c>
      <c r="J37" s="31" t="s">
        <v>29</v>
      </c>
      <c r="K37" s="39"/>
      <c r="L37" s="28"/>
    </row>
    <row r="38" spans="1:14" ht="15" thickTop="1" x14ac:dyDescent="0.3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" thickBot="1" x14ac:dyDescent="0.35">
      <c r="A39" s="475" t="s">
        <v>49</v>
      </c>
      <c r="B39" s="475"/>
      <c r="C39" s="475"/>
      <c r="D39" s="475"/>
      <c r="E39" s="475"/>
      <c r="F39" s="475"/>
      <c r="G39" s="475"/>
      <c r="H39" s="475"/>
      <c r="I39" s="475"/>
      <c r="J39" s="41"/>
      <c r="K39" s="40"/>
      <c r="L39" s="28"/>
    </row>
    <row r="40" spans="1:14" x14ac:dyDescent="0.3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3">
      <c r="A41" s="21"/>
      <c r="B41" s="473" t="s">
        <v>32</v>
      </c>
      <c r="C41" s="473"/>
      <c r="D41" s="473"/>
      <c r="E41" s="28"/>
      <c r="F41" s="28"/>
      <c r="G41" s="28"/>
      <c r="H41" s="28"/>
      <c r="I41" s="28"/>
      <c r="J41" s="31"/>
      <c r="K41" s="40"/>
      <c r="L41" s="28"/>
    </row>
    <row r="42" spans="1:14" x14ac:dyDescent="0.3">
      <c r="A42" s="21"/>
      <c r="B42" s="28"/>
      <c r="C42" s="28"/>
      <c r="D42" s="472" t="s">
        <v>39</v>
      </c>
      <c r="E42" s="472"/>
      <c r="F42" s="472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3">
      <c r="A43" s="21"/>
      <c r="B43" s="28"/>
      <c r="C43" s="28"/>
      <c r="D43" s="472" t="s">
        <v>28</v>
      </c>
      <c r="E43" s="472"/>
      <c r="F43" s="472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" thickBot="1" x14ac:dyDescent="0.35">
      <c r="A44" s="21"/>
      <c r="B44" s="28"/>
      <c r="C44" s="28"/>
      <c r="D44" s="28"/>
      <c r="E44" s="472" t="s">
        <v>33</v>
      </c>
      <c r="F44" s="472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" thickTop="1" x14ac:dyDescent="0.3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3">
      <c r="A46" s="21"/>
      <c r="B46" s="474" t="s">
        <v>48</v>
      </c>
      <c r="C46" s="474"/>
      <c r="D46" s="474"/>
      <c r="E46" s="474"/>
      <c r="F46" s="44"/>
      <c r="G46" s="28"/>
      <c r="H46" s="28"/>
      <c r="I46" s="30"/>
      <c r="J46" s="48"/>
      <c r="K46" s="40"/>
      <c r="L46" s="28"/>
    </row>
    <row r="47" spans="1:14" ht="15" thickBot="1" x14ac:dyDescent="0.35">
      <c r="A47" s="21"/>
      <c r="B47" s="472" t="s">
        <v>45</v>
      </c>
      <c r="C47" s="472"/>
      <c r="D47" s="472"/>
      <c r="E47" s="472"/>
      <c r="F47" s="472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" thickTop="1" x14ac:dyDescent="0.3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" thickBot="1" x14ac:dyDescent="0.35">
      <c r="A49" s="21"/>
      <c r="B49" s="28"/>
      <c r="C49" s="28"/>
      <c r="D49" s="28"/>
      <c r="E49" s="472" t="s">
        <v>77</v>
      </c>
      <c r="F49" s="472"/>
      <c r="G49" s="472"/>
      <c r="H49" s="37"/>
      <c r="I49" s="110">
        <f>-I44-I47</f>
        <v>3.5000000000000003E-2</v>
      </c>
      <c r="J49" s="50"/>
      <c r="K49" s="40"/>
      <c r="L49" s="28"/>
    </row>
    <row r="50" spans="1:12" ht="15" thickTop="1" x14ac:dyDescent="0.3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3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3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sqref="A1:E1"/>
    </sheetView>
  </sheetViews>
  <sheetFormatPr defaultRowHeight="14.4" x14ac:dyDescent="0.3"/>
  <cols>
    <col min="1" max="1" width="13.109375" customWidth="1"/>
    <col min="3" max="3" width="6.33203125" customWidth="1"/>
    <col min="4" max="4" width="15.88671875" customWidth="1"/>
    <col min="5" max="5" width="6.44140625" customWidth="1"/>
    <col min="6" max="6" width="18.33203125" customWidth="1"/>
    <col min="7" max="7" width="7.44140625" customWidth="1"/>
    <col min="8" max="8" width="4.33203125" customWidth="1"/>
    <col min="9" max="9" width="15.5546875" customWidth="1"/>
    <col min="10" max="10" width="3.6640625" customWidth="1"/>
    <col min="11" max="11" width="5.33203125" customWidth="1"/>
  </cols>
  <sheetData>
    <row r="1" spans="1:11" x14ac:dyDescent="0.3">
      <c r="A1" s="468" t="s">
        <v>44</v>
      </c>
      <c r="B1" s="468"/>
      <c r="C1" s="468"/>
      <c r="D1" s="468"/>
      <c r="E1" s="468"/>
      <c r="F1" s="469"/>
      <c r="G1" s="469"/>
      <c r="H1" s="469"/>
      <c r="I1" s="469"/>
      <c r="J1" s="14"/>
      <c r="K1" s="15"/>
    </row>
    <row r="2" spans="1:11" x14ac:dyDescent="0.3">
      <c r="A2" s="470" t="s">
        <v>46</v>
      </c>
      <c r="B2" s="470"/>
      <c r="C2" s="470"/>
      <c r="D2" s="470"/>
      <c r="E2" s="16"/>
      <c r="F2" s="17"/>
      <c r="G2" s="17"/>
      <c r="H2" s="16"/>
      <c r="I2" s="16"/>
      <c r="J2" s="18"/>
      <c r="K2" s="15"/>
    </row>
    <row r="3" spans="1:11" x14ac:dyDescent="0.3">
      <c r="A3" s="470" t="s">
        <v>74</v>
      </c>
      <c r="B3" s="470"/>
      <c r="C3" s="470"/>
      <c r="D3" s="470"/>
      <c r="E3" s="16"/>
      <c r="J3" s="18"/>
      <c r="K3" s="15"/>
    </row>
    <row r="4" spans="1:11" ht="12.75" customHeight="1" x14ac:dyDescent="0.3">
      <c r="A4" s="476" t="s">
        <v>76</v>
      </c>
      <c r="B4" s="476"/>
      <c r="C4" s="476"/>
      <c r="D4" s="476"/>
      <c r="E4" s="19"/>
      <c r="F4" s="19"/>
      <c r="G4" s="16"/>
      <c r="H4" s="19"/>
      <c r="I4" s="16"/>
      <c r="J4" s="18"/>
      <c r="K4" s="20"/>
    </row>
    <row r="5" spans="1:11" ht="35.25" customHeight="1" thickBot="1" x14ac:dyDescent="0.35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3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3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3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3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3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3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3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3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3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3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3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3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3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3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3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3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" thickBot="1" x14ac:dyDescent="0.35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" thickTop="1" x14ac:dyDescent="0.3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3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" thickBot="1" x14ac:dyDescent="0.35">
      <c r="A25" s="475" t="s">
        <v>24</v>
      </c>
      <c r="B25" s="475"/>
      <c r="C25" s="475"/>
      <c r="D25" s="475"/>
      <c r="E25" s="475"/>
      <c r="F25" s="475"/>
      <c r="G25" s="475"/>
      <c r="H25" s="475"/>
      <c r="I25" s="475"/>
      <c r="J25" s="41"/>
      <c r="K25" s="40"/>
    </row>
    <row r="26" spans="1:11" x14ac:dyDescent="0.3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3">
      <c r="A27" s="19"/>
      <c r="B27" s="43"/>
      <c r="C27" s="28"/>
      <c r="D27" s="472" t="s">
        <v>25</v>
      </c>
      <c r="E27" s="472"/>
      <c r="F27" s="472"/>
      <c r="G27" s="472"/>
      <c r="H27" s="472"/>
      <c r="I27" s="28">
        <f>ROUND(D22,0)</f>
        <v>1571</v>
      </c>
      <c r="J27" s="35" t="s">
        <v>31</v>
      </c>
      <c r="K27" s="39"/>
    </row>
    <row r="28" spans="1:11" x14ac:dyDescent="0.3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3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3">
      <c r="A30" s="21"/>
      <c r="B30" s="473" t="s">
        <v>38</v>
      </c>
      <c r="C30" s="473"/>
      <c r="D30" s="473"/>
      <c r="E30" s="473"/>
      <c r="F30" s="55">
        <v>3.407</v>
      </c>
      <c r="G30" s="28"/>
      <c r="H30" s="28"/>
      <c r="I30" s="28"/>
      <c r="J30" s="31"/>
      <c r="K30" s="40"/>
    </row>
    <row r="31" spans="1:11" x14ac:dyDescent="0.3">
      <c r="A31" s="21"/>
      <c r="B31" s="472" t="s">
        <v>50</v>
      </c>
      <c r="C31" s="472"/>
      <c r="D31" s="472"/>
      <c r="E31" s="472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3">
      <c r="A32" s="21"/>
      <c r="B32" s="28"/>
      <c r="C32" s="472" t="s">
        <v>26</v>
      </c>
      <c r="D32" s="472"/>
      <c r="E32" s="472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3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" thickBot="1" x14ac:dyDescent="0.35">
      <c r="A34" s="21"/>
      <c r="B34" s="28"/>
      <c r="C34" s="472" t="s">
        <v>27</v>
      </c>
      <c r="D34" s="472"/>
      <c r="E34" s="472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" thickTop="1" x14ac:dyDescent="0.3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3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" thickBot="1" x14ac:dyDescent="0.35">
      <c r="A37" s="21"/>
      <c r="B37" s="28"/>
      <c r="C37" s="28"/>
      <c r="D37" s="28"/>
      <c r="E37" s="28"/>
      <c r="F37" s="472" t="s">
        <v>28</v>
      </c>
      <c r="G37" s="472"/>
      <c r="H37" s="472"/>
      <c r="I37" s="47">
        <f>+I27-I34</f>
        <v>-18651.859000000004</v>
      </c>
      <c r="J37" s="31" t="s">
        <v>29</v>
      </c>
      <c r="K37" s="39"/>
      <c r="M37" s="57"/>
    </row>
    <row r="38" spans="1:13" ht="15" thickTop="1" x14ac:dyDescent="0.3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" thickBot="1" x14ac:dyDescent="0.35">
      <c r="A39" s="475" t="s">
        <v>49</v>
      </c>
      <c r="B39" s="475"/>
      <c r="C39" s="475"/>
      <c r="D39" s="475"/>
      <c r="E39" s="475"/>
      <c r="F39" s="475"/>
      <c r="G39" s="475"/>
      <c r="H39" s="475"/>
      <c r="I39" s="475"/>
      <c r="J39" s="41"/>
      <c r="K39" s="40"/>
    </row>
    <row r="40" spans="1:13" x14ac:dyDescent="0.3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3">
      <c r="A41" s="21"/>
      <c r="B41" s="473" t="s">
        <v>32</v>
      </c>
      <c r="C41" s="473"/>
      <c r="D41" s="473"/>
      <c r="E41" s="28"/>
      <c r="F41" s="28"/>
      <c r="G41" s="28"/>
      <c r="H41" s="28"/>
      <c r="I41" s="28"/>
      <c r="J41" s="31"/>
      <c r="K41" s="40"/>
    </row>
    <row r="42" spans="1:13" x14ac:dyDescent="0.3">
      <c r="A42" s="21"/>
      <c r="B42" s="28"/>
      <c r="C42" s="28"/>
      <c r="D42" s="472" t="s">
        <v>39</v>
      </c>
      <c r="E42" s="472"/>
      <c r="F42" s="472"/>
      <c r="G42" s="28">
        <f>+I22</f>
        <v>16188</v>
      </c>
      <c r="H42" s="35" t="s">
        <v>23</v>
      </c>
      <c r="I42" s="28"/>
      <c r="J42" s="31"/>
      <c r="K42" s="40"/>
    </row>
    <row r="43" spans="1:13" x14ac:dyDescent="0.3">
      <c r="A43" s="21"/>
      <c r="B43" s="28"/>
      <c r="C43" s="28"/>
      <c r="D43" s="472" t="s">
        <v>28</v>
      </c>
      <c r="E43" s="472"/>
      <c r="F43" s="472"/>
      <c r="G43" s="28">
        <f>+I37</f>
        <v>-18651.859000000004</v>
      </c>
      <c r="H43" s="28" t="s">
        <v>29</v>
      </c>
      <c r="I43" s="28"/>
      <c r="J43" s="31"/>
      <c r="K43" s="40"/>
    </row>
    <row r="44" spans="1:13" ht="15" thickBot="1" x14ac:dyDescent="0.35">
      <c r="A44" s="21"/>
      <c r="B44" s="28"/>
      <c r="C44" s="28"/>
      <c r="D44" s="28"/>
      <c r="E44" s="472" t="s">
        <v>33</v>
      </c>
      <c r="F44" s="472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" thickTop="1" x14ac:dyDescent="0.3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3">
      <c r="A46" s="21"/>
      <c r="B46" s="474" t="s">
        <v>48</v>
      </c>
      <c r="C46" s="474"/>
      <c r="D46" s="474"/>
      <c r="E46" s="474"/>
      <c r="F46" s="44"/>
      <c r="G46" s="28"/>
      <c r="H46" s="28"/>
      <c r="I46" s="30"/>
      <c r="J46" s="48"/>
      <c r="K46" s="40"/>
    </row>
    <row r="47" spans="1:13" ht="15" thickBot="1" x14ac:dyDescent="0.35">
      <c r="A47" s="21"/>
      <c r="B47" s="472" t="s">
        <v>45</v>
      </c>
      <c r="C47" s="472"/>
      <c r="D47" s="472"/>
      <c r="E47" s="472"/>
      <c r="F47" s="472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" thickTop="1" x14ac:dyDescent="0.3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" thickBot="1" x14ac:dyDescent="0.35">
      <c r="A49" s="21"/>
      <c r="B49" s="28"/>
      <c r="C49" s="28"/>
      <c r="D49" s="28"/>
      <c r="E49" s="472" t="s">
        <v>78</v>
      </c>
      <c r="F49" s="472"/>
      <c r="G49" s="472"/>
      <c r="H49" s="37"/>
      <c r="I49" s="110">
        <f>-I44-I47</f>
        <v>1.0549999999999999</v>
      </c>
      <c r="J49" s="50"/>
      <c r="K49" s="40"/>
    </row>
    <row r="50" spans="1:11" ht="15" thickTop="1" x14ac:dyDescent="0.3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sqref="A1:E1"/>
    </sheetView>
  </sheetViews>
  <sheetFormatPr defaultRowHeight="14.4" x14ac:dyDescent="0.3"/>
  <cols>
    <col min="2" max="2" width="10.88671875" customWidth="1"/>
    <col min="3" max="3" width="5.109375" customWidth="1"/>
    <col min="4" max="4" width="14.5546875" customWidth="1"/>
    <col min="5" max="5" width="5.109375" customWidth="1"/>
    <col min="6" max="6" width="17.88671875" customWidth="1"/>
    <col min="9" max="9" width="15" customWidth="1"/>
    <col min="10" max="10" width="3.6640625" customWidth="1"/>
    <col min="11" max="11" width="4.44140625" customWidth="1"/>
  </cols>
  <sheetData>
    <row r="1" spans="1:12" x14ac:dyDescent="0.3">
      <c r="A1" s="468" t="s">
        <v>44</v>
      </c>
      <c r="B1" s="468"/>
      <c r="C1" s="468"/>
      <c r="D1" s="468"/>
      <c r="E1" s="468"/>
      <c r="F1" s="469"/>
      <c r="G1" s="469"/>
      <c r="H1" s="469"/>
      <c r="I1" s="469"/>
      <c r="J1" s="14"/>
      <c r="K1" s="15"/>
      <c r="L1" s="16"/>
    </row>
    <row r="2" spans="1:12" x14ac:dyDescent="0.3">
      <c r="A2" s="470" t="s">
        <v>46</v>
      </c>
      <c r="B2" s="470"/>
      <c r="C2" s="470"/>
      <c r="D2" s="470"/>
      <c r="E2" s="16"/>
      <c r="F2" s="17"/>
      <c r="G2" s="17"/>
      <c r="H2" s="16"/>
      <c r="I2" s="16"/>
      <c r="J2" s="18"/>
      <c r="K2" s="15"/>
      <c r="L2" s="16"/>
    </row>
    <row r="3" spans="1:12" x14ac:dyDescent="0.3">
      <c r="A3" s="470" t="s">
        <v>47</v>
      </c>
      <c r="B3" s="470"/>
      <c r="C3" s="470"/>
      <c r="D3" s="470"/>
      <c r="E3" s="16"/>
      <c r="F3" s="15"/>
      <c r="G3" s="15"/>
      <c r="H3" s="16"/>
      <c r="I3" s="16"/>
      <c r="J3" s="18"/>
      <c r="K3" s="15"/>
      <c r="L3" s="16"/>
    </row>
    <row r="4" spans="1:12" x14ac:dyDescent="0.3">
      <c r="A4" s="471" t="s">
        <v>55</v>
      </c>
      <c r="B4" s="471"/>
      <c r="C4" s="471"/>
      <c r="D4" s="471"/>
      <c r="E4" s="16"/>
      <c r="F4" s="15"/>
      <c r="G4" s="15"/>
      <c r="H4" s="16"/>
      <c r="I4" s="16"/>
      <c r="J4" s="18"/>
      <c r="K4" s="15"/>
      <c r="L4" s="16"/>
    </row>
    <row r="5" spans="1:12" ht="22.2" thickBot="1" x14ac:dyDescent="0.35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3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3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3">
      <c r="A8" s="26" t="s">
        <v>12</v>
      </c>
      <c r="B8" s="27">
        <f>+'[3]BI Curbside 2012'!C11</f>
        <v>5940</v>
      </c>
      <c r="C8" s="27"/>
      <c r="D8" s="28">
        <f>+'[3]BI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3">
      <c r="A9" s="26" t="s">
        <v>13</v>
      </c>
      <c r="B9" s="27">
        <f>+'[3]BI Curbside 2012'!C12</f>
        <v>5955</v>
      </c>
      <c r="C9" s="27"/>
      <c r="D9" s="28">
        <f>+'[3]BI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3">
      <c r="A10" s="26" t="s">
        <v>14</v>
      </c>
      <c r="B10" s="27">
        <f>+'[3]BI Curbside 2012'!C13</f>
        <v>5949</v>
      </c>
      <c r="C10" s="27"/>
      <c r="D10" s="28">
        <f>+'[3]BI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3">
      <c r="A11" s="26" t="s">
        <v>15</v>
      </c>
      <c r="B11" s="27">
        <f>+'[3]BI Curbside 2012'!C14</f>
        <v>5964</v>
      </c>
      <c r="C11" s="27"/>
      <c r="D11" s="28">
        <f>+'[3]BI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3">
      <c r="A12" s="26" t="s">
        <v>16</v>
      </c>
      <c r="B12" s="27">
        <f>+'[3]BI Curbside 2012'!C15</f>
        <v>5970</v>
      </c>
      <c r="C12" s="27"/>
      <c r="D12" s="28">
        <f>+'[3]BI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3">
      <c r="A13" s="26" t="s">
        <v>17</v>
      </c>
      <c r="B13" s="27">
        <f>+'[3]BI Curbside 2012'!C16</f>
        <v>5962</v>
      </c>
      <c r="C13" s="27"/>
      <c r="D13" s="28">
        <f>+'[3]BI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3">
      <c r="A14" s="26" t="s">
        <v>18</v>
      </c>
      <c r="B14" s="27">
        <f>+'[3]BI Curbside 2012'!C17</f>
        <v>5958</v>
      </c>
      <c r="C14" s="27"/>
      <c r="D14" s="28">
        <f>+'[3]BI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3">
      <c r="A15" s="26" t="s">
        <v>20</v>
      </c>
      <c r="B15" s="27">
        <f>+'[3]BI Curbside 2012'!C18</f>
        <v>5980</v>
      </c>
      <c r="C15" s="27"/>
      <c r="D15" s="28">
        <f>+'[3]BI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3">
      <c r="A16" s="26" t="s">
        <v>34</v>
      </c>
      <c r="B16" s="27">
        <f>+'[3]BI Curbside 2012'!C19</f>
        <v>5982</v>
      </c>
      <c r="C16" s="27"/>
      <c r="D16" s="28">
        <f>+'[3]BI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3">
      <c r="A17" s="26" t="s">
        <v>9</v>
      </c>
      <c r="B17" s="27">
        <f>+'[3]BI Curbside 2012'!C20</f>
        <v>5977</v>
      </c>
      <c r="C17" s="27"/>
      <c r="D17" s="28">
        <f>+'[3]BI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3">
      <c r="A18" s="26" t="s">
        <v>10</v>
      </c>
      <c r="B18" s="27">
        <f>+'[3]BI Curbside 2012'!C21</f>
        <v>5977</v>
      </c>
      <c r="C18" s="27"/>
      <c r="D18" s="28">
        <f>+'[3]BI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3">
      <c r="A19" s="26" t="s">
        <v>11</v>
      </c>
      <c r="B19" s="27">
        <f>+'[3]BI Curbside 2012'!C22</f>
        <v>5985</v>
      </c>
      <c r="C19" s="27"/>
      <c r="D19" s="28">
        <f>+'[3]BI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3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3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" thickBot="1" x14ac:dyDescent="0.35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" thickTop="1" x14ac:dyDescent="0.3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3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" thickBot="1" x14ac:dyDescent="0.35">
      <c r="A25" s="475" t="s">
        <v>24</v>
      </c>
      <c r="B25" s="475"/>
      <c r="C25" s="475"/>
      <c r="D25" s="475"/>
      <c r="E25" s="475"/>
      <c r="F25" s="475"/>
      <c r="G25" s="475"/>
      <c r="H25" s="475"/>
      <c r="I25" s="475"/>
      <c r="J25" s="41"/>
      <c r="K25" s="40"/>
      <c r="L25" s="28"/>
    </row>
    <row r="26" spans="1:12" x14ac:dyDescent="0.3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3">
      <c r="A27" s="19"/>
      <c r="B27" s="43"/>
      <c r="C27" s="43"/>
      <c r="D27" s="472" t="s">
        <v>25</v>
      </c>
      <c r="E27" s="472"/>
      <c r="F27" s="472"/>
      <c r="G27" s="472"/>
      <c r="H27" s="472"/>
      <c r="I27" s="28">
        <f>ROUND(D22,0)</f>
        <v>43775</v>
      </c>
      <c r="J27" s="35" t="s">
        <v>31</v>
      </c>
      <c r="K27" s="39"/>
      <c r="L27" s="35"/>
    </row>
    <row r="28" spans="1:12" x14ac:dyDescent="0.3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3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3">
      <c r="A30" s="21"/>
      <c r="B30" s="473" t="s">
        <v>38</v>
      </c>
      <c r="C30" s="473"/>
      <c r="D30" s="473"/>
      <c r="E30" s="473"/>
      <c r="F30" s="55">
        <f>+'[3]Credit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3">
      <c r="A31" s="21"/>
      <c r="B31" s="472" t="s">
        <v>50</v>
      </c>
      <c r="C31" s="472"/>
      <c r="D31" s="472"/>
      <c r="E31" s="472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3">
      <c r="A32" s="21"/>
      <c r="B32" s="28"/>
      <c r="C32" s="28"/>
      <c r="D32" s="472"/>
      <c r="E32" s="472"/>
      <c r="F32" s="34">
        <f>-'[3]Tarriff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3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" thickBot="1" x14ac:dyDescent="0.35">
      <c r="A34" s="21"/>
      <c r="B34" s="28"/>
      <c r="C34" s="28"/>
      <c r="D34" s="472"/>
      <c r="E34" s="472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" thickTop="1" x14ac:dyDescent="0.3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3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" thickBot="1" x14ac:dyDescent="0.35">
      <c r="A37" s="21"/>
      <c r="B37" s="28"/>
      <c r="C37" s="28"/>
      <c r="D37" s="28"/>
      <c r="E37" s="28"/>
      <c r="F37" s="472" t="s">
        <v>28</v>
      </c>
      <c r="G37" s="472"/>
      <c r="H37" s="472"/>
      <c r="I37" s="47">
        <f>+I27-I34</f>
        <v>-22621.361000000004</v>
      </c>
      <c r="J37" s="31" t="s">
        <v>29</v>
      </c>
      <c r="K37" s="39"/>
      <c r="L37" s="28"/>
    </row>
    <row r="38" spans="1:12" ht="15" thickTop="1" x14ac:dyDescent="0.3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" thickBot="1" x14ac:dyDescent="0.35">
      <c r="A39" s="475" t="s">
        <v>49</v>
      </c>
      <c r="B39" s="475"/>
      <c r="C39" s="475"/>
      <c r="D39" s="475"/>
      <c r="E39" s="475"/>
      <c r="F39" s="475"/>
      <c r="G39" s="475"/>
      <c r="H39" s="475"/>
      <c r="I39" s="475"/>
      <c r="J39" s="41"/>
      <c r="K39" s="40"/>
      <c r="L39" s="28"/>
    </row>
    <row r="40" spans="1:12" x14ac:dyDescent="0.3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3">
      <c r="A41" s="21"/>
      <c r="B41" s="473" t="s">
        <v>32</v>
      </c>
      <c r="C41" s="473"/>
      <c r="D41" s="473"/>
      <c r="E41" s="28"/>
      <c r="F41" s="28"/>
      <c r="G41" s="28"/>
      <c r="H41" s="28"/>
      <c r="I41" s="28"/>
      <c r="J41" s="31"/>
      <c r="K41" s="40"/>
      <c r="L41" s="28"/>
    </row>
    <row r="42" spans="1:12" x14ac:dyDescent="0.3">
      <c r="A42" s="21"/>
      <c r="B42" s="28"/>
      <c r="C42" s="28"/>
      <c r="D42" s="472" t="s">
        <v>39</v>
      </c>
      <c r="E42" s="472"/>
      <c r="F42" s="472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3">
      <c r="A43" s="21"/>
      <c r="B43" s="28"/>
      <c r="C43" s="28"/>
      <c r="D43" s="472" t="s">
        <v>28</v>
      </c>
      <c r="E43" s="472"/>
      <c r="F43" s="472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" thickBot="1" x14ac:dyDescent="0.35">
      <c r="A44" s="21"/>
      <c r="B44" s="28"/>
      <c r="C44" s="28"/>
      <c r="D44" s="28"/>
      <c r="E44" s="472" t="s">
        <v>33</v>
      </c>
      <c r="F44" s="472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" thickTop="1" x14ac:dyDescent="0.3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3">
      <c r="A46" s="21"/>
      <c r="B46" s="474" t="s">
        <v>48</v>
      </c>
      <c r="C46" s="474"/>
      <c r="D46" s="474"/>
      <c r="E46" s="474"/>
      <c r="F46" s="44"/>
      <c r="G46" s="28"/>
      <c r="H46" s="28"/>
      <c r="I46" s="30"/>
      <c r="J46" s="48"/>
      <c r="K46" s="40"/>
      <c r="L46" s="28"/>
    </row>
    <row r="47" spans="1:12" ht="15" thickBot="1" x14ac:dyDescent="0.35">
      <c r="A47" s="21"/>
      <c r="B47" s="472" t="s">
        <v>45</v>
      </c>
      <c r="C47" s="472"/>
      <c r="D47" s="472"/>
      <c r="E47" s="472"/>
      <c r="F47" s="472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" thickTop="1" x14ac:dyDescent="0.3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" thickBot="1" x14ac:dyDescent="0.35">
      <c r="A49" s="21"/>
      <c r="B49" s="28"/>
      <c r="C49" s="28"/>
      <c r="D49" s="28"/>
      <c r="E49" s="472" t="s">
        <v>79</v>
      </c>
      <c r="F49" s="472"/>
      <c r="G49" s="472"/>
      <c r="H49" s="37"/>
      <c r="I49" s="49">
        <f>-I44-I47</f>
        <v>-0.29499999999999998</v>
      </c>
      <c r="J49" s="50"/>
      <c r="K49" s="40"/>
      <c r="L49" s="28"/>
    </row>
    <row r="50" spans="1:12" ht="15" thickTop="1" x14ac:dyDescent="0.3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E1"/>
    </sheetView>
  </sheetViews>
  <sheetFormatPr defaultRowHeight="14.4" x14ac:dyDescent="0.3"/>
  <cols>
    <col min="1" max="1" width="13.109375" customWidth="1"/>
    <col min="3" max="3" width="6.33203125" customWidth="1"/>
    <col min="4" max="4" width="15.88671875" customWidth="1"/>
    <col min="5" max="5" width="6.44140625" customWidth="1"/>
    <col min="6" max="6" width="18.33203125" customWidth="1"/>
    <col min="7" max="7" width="7.44140625" customWidth="1"/>
    <col min="8" max="8" width="4.33203125" customWidth="1"/>
    <col min="9" max="9" width="15.5546875" customWidth="1"/>
    <col min="10" max="10" width="3.6640625" customWidth="1"/>
    <col min="11" max="11" width="5.33203125" customWidth="1"/>
    <col min="12" max="12" width="2.6640625" customWidth="1"/>
  </cols>
  <sheetData>
    <row r="1" spans="1:11" x14ac:dyDescent="0.3">
      <c r="A1" s="468" t="s">
        <v>44</v>
      </c>
      <c r="B1" s="468"/>
      <c r="C1" s="468"/>
      <c r="D1" s="468"/>
      <c r="E1" s="468"/>
      <c r="F1" s="469"/>
      <c r="G1" s="469"/>
      <c r="H1" s="469"/>
      <c r="I1" s="469"/>
      <c r="J1" s="14"/>
      <c r="K1" s="15"/>
    </row>
    <row r="2" spans="1:11" x14ac:dyDescent="0.3">
      <c r="A2" s="470" t="s">
        <v>46</v>
      </c>
      <c r="B2" s="470"/>
      <c r="C2" s="470"/>
      <c r="D2" s="470"/>
      <c r="E2" s="16"/>
      <c r="F2" s="17"/>
      <c r="G2" s="17"/>
      <c r="H2" s="16"/>
      <c r="I2" s="16"/>
      <c r="J2" s="18"/>
      <c r="K2" s="15"/>
    </row>
    <row r="3" spans="1:11" x14ac:dyDescent="0.3">
      <c r="A3" s="470" t="s">
        <v>47</v>
      </c>
      <c r="B3" s="470"/>
      <c r="C3" s="470"/>
      <c r="D3" s="470"/>
      <c r="E3" s="16"/>
      <c r="F3" s="15"/>
      <c r="G3" s="15"/>
      <c r="H3" s="16"/>
      <c r="I3" s="16"/>
      <c r="J3" s="18"/>
      <c r="K3" s="15"/>
    </row>
    <row r="4" spans="1:11" x14ac:dyDescent="0.3">
      <c r="A4" s="470" t="s">
        <v>42</v>
      </c>
      <c r="B4" s="470"/>
      <c r="C4" s="19"/>
      <c r="D4" s="19"/>
      <c r="E4" s="19"/>
      <c r="F4" s="19"/>
      <c r="G4" s="16"/>
      <c r="H4" s="19"/>
      <c r="I4" s="16"/>
      <c r="J4" s="18"/>
      <c r="K4" s="20"/>
    </row>
    <row r="5" spans="1:11" ht="22.2" thickBot="1" x14ac:dyDescent="0.35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3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3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3">
      <c r="A8" s="26" t="s">
        <v>12</v>
      </c>
      <c r="B8" s="27">
        <f>+'[3]BI Multi-Family 2012'!C11</f>
        <v>1337</v>
      </c>
      <c r="C8" s="28"/>
      <c r="D8" s="28">
        <f>+'[3]BI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3">
      <c r="A9" s="26" t="s">
        <v>13</v>
      </c>
      <c r="B9" s="27">
        <f>+'[3]BI Multi-Family 2012'!C12</f>
        <v>1337</v>
      </c>
      <c r="C9" s="28"/>
      <c r="D9" s="28">
        <f>+'[3]BI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3">
      <c r="A10" s="26" t="s">
        <v>14</v>
      </c>
      <c r="B10" s="27">
        <f>+'[3]BI Multi-Family 2012'!C13</f>
        <v>1337</v>
      </c>
      <c r="C10" s="28"/>
      <c r="D10" s="28">
        <f>+'[3]BI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3">
      <c r="A11" s="26" t="s">
        <v>15</v>
      </c>
      <c r="B11" s="27">
        <f>+'[3]BI Multi-Family 2012'!C14</f>
        <v>1337</v>
      </c>
      <c r="C11" s="28"/>
      <c r="D11" s="28">
        <f>+'[3]BI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3">
      <c r="A12" s="26" t="s">
        <v>16</v>
      </c>
      <c r="B12" s="27">
        <f>+'[3]BI Multi-Family 2012'!C15</f>
        <v>1337</v>
      </c>
      <c r="C12" s="28"/>
      <c r="D12" s="28">
        <f>+'[3]BI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3">
      <c r="A13" s="26" t="s">
        <v>17</v>
      </c>
      <c r="B13" s="27">
        <f>+'[3]BI Multi-Family 2012'!C16</f>
        <v>1337</v>
      </c>
      <c r="C13" s="28"/>
      <c r="D13" s="28">
        <f>+'[3]BI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3">
      <c r="A14" s="26" t="s">
        <v>18</v>
      </c>
      <c r="B14" s="27">
        <f>+'[3]BI Multi-Family 2012'!C17</f>
        <v>1337</v>
      </c>
      <c r="C14" s="28"/>
      <c r="D14" s="28">
        <f>+'[3]BI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3">
      <c r="A15" s="26" t="s">
        <v>20</v>
      </c>
      <c r="B15" s="27">
        <f>+'[3]BI Multi-Family 2012'!C18</f>
        <v>1337</v>
      </c>
      <c r="C15" s="28"/>
      <c r="D15" s="28">
        <f>+'[3]BI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3">
      <c r="A16" s="26" t="s">
        <v>34</v>
      </c>
      <c r="B16" s="27">
        <f>+'[3]BI Multi-Family 2012'!C19</f>
        <v>1337</v>
      </c>
      <c r="C16" s="28"/>
      <c r="D16" s="28">
        <f>+'[3]BI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3">
      <c r="A17" s="26" t="s">
        <v>9</v>
      </c>
      <c r="B17" s="27">
        <f>+'[3]BI Multi-Family 2012'!C20</f>
        <v>1337</v>
      </c>
      <c r="C17" s="28"/>
      <c r="D17" s="28">
        <f>+'[3]BI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3">
      <c r="A18" s="26" t="s">
        <v>10</v>
      </c>
      <c r="B18" s="27">
        <f>+'[3]BI Multi-Family 2012'!C21</f>
        <v>1337</v>
      </c>
      <c r="C18" s="28"/>
      <c r="D18" s="28">
        <f>+'[3]BI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3">
      <c r="A19" s="26" t="s">
        <v>11</v>
      </c>
      <c r="B19" s="27">
        <f>+'[3]BI Multi-Family 2012'!C22</f>
        <v>1349</v>
      </c>
      <c r="C19" s="28"/>
      <c r="D19" s="28">
        <f>+'[3]BI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3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3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" thickBot="1" x14ac:dyDescent="0.35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" thickTop="1" x14ac:dyDescent="0.3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3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" thickBot="1" x14ac:dyDescent="0.35">
      <c r="A25" s="475" t="s">
        <v>24</v>
      </c>
      <c r="B25" s="475"/>
      <c r="C25" s="475"/>
      <c r="D25" s="475"/>
      <c r="E25" s="475"/>
      <c r="F25" s="475"/>
      <c r="G25" s="475"/>
      <c r="H25" s="475"/>
      <c r="I25" s="475"/>
      <c r="J25" s="41"/>
      <c r="K25" s="40"/>
    </row>
    <row r="26" spans="1:11" x14ac:dyDescent="0.3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3">
      <c r="A27" s="19"/>
      <c r="B27" s="43"/>
      <c r="C27" s="28"/>
      <c r="D27" s="472" t="s">
        <v>25</v>
      </c>
      <c r="E27" s="472"/>
      <c r="F27" s="472"/>
      <c r="G27" s="472"/>
      <c r="H27" s="472"/>
      <c r="I27" s="28">
        <f>ROUND(D22,0)</f>
        <v>28903</v>
      </c>
      <c r="J27" s="35" t="s">
        <v>31</v>
      </c>
      <c r="K27" s="39"/>
    </row>
    <row r="28" spans="1:11" x14ac:dyDescent="0.3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3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3">
      <c r="A30" s="21"/>
      <c r="B30" s="473" t="s">
        <v>38</v>
      </c>
      <c r="C30" s="473"/>
      <c r="D30" s="473"/>
      <c r="E30" s="473"/>
      <c r="F30" s="55">
        <f>+'[3]Credit Calc-Multi Family 120217'!I47</f>
        <v>3.407</v>
      </c>
      <c r="G30" s="28"/>
      <c r="H30" s="28"/>
      <c r="I30" s="28"/>
      <c r="J30" s="31"/>
      <c r="K30" s="40"/>
    </row>
    <row r="31" spans="1:11" x14ac:dyDescent="0.3">
      <c r="A31" s="21"/>
      <c r="B31" s="472" t="s">
        <v>50</v>
      </c>
      <c r="C31" s="472"/>
      <c r="D31" s="472"/>
      <c r="E31" s="472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3">
      <c r="A32" s="21"/>
      <c r="B32" s="28"/>
      <c r="C32" s="472" t="s">
        <v>26</v>
      </c>
      <c r="D32" s="472"/>
      <c r="E32" s="472"/>
      <c r="F32" s="34">
        <f>-'[3]Tarriff Revenue Billed'!K21</f>
        <v>49243.820999999996</v>
      </c>
      <c r="G32" s="35"/>
      <c r="H32" s="28"/>
      <c r="I32" s="28"/>
      <c r="J32" s="31"/>
      <c r="K32" s="40"/>
    </row>
    <row r="33" spans="1:11" x14ac:dyDescent="0.3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" thickBot="1" x14ac:dyDescent="0.35">
      <c r="A34" s="21"/>
      <c r="B34" s="28"/>
      <c r="C34" s="472" t="s">
        <v>27</v>
      </c>
      <c r="D34" s="472"/>
      <c r="E34" s="472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" thickTop="1" x14ac:dyDescent="0.3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3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" thickBot="1" x14ac:dyDescent="0.35">
      <c r="A37" s="21"/>
      <c r="B37" s="28"/>
      <c r="C37" s="28"/>
      <c r="D37" s="28"/>
      <c r="E37" s="28"/>
      <c r="F37" s="472" t="s">
        <v>28</v>
      </c>
      <c r="G37" s="472"/>
      <c r="H37" s="472"/>
      <c r="I37" s="47">
        <f>+I27-I34</f>
        <v>-20340.820999999996</v>
      </c>
      <c r="J37" s="31" t="s">
        <v>29</v>
      </c>
      <c r="K37" s="39"/>
    </row>
    <row r="38" spans="1:11" ht="15" thickTop="1" x14ac:dyDescent="0.3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" thickBot="1" x14ac:dyDescent="0.35">
      <c r="A39" s="475" t="s">
        <v>49</v>
      </c>
      <c r="B39" s="475"/>
      <c r="C39" s="475"/>
      <c r="D39" s="475"/>
      <c r="E39" s="475"/>
      <c r="F39" s="475"/>
      <c r="G39" s="475"/>
      <c r="H39" s="475"/>
      <c r="I39" s="475"/>
      <c r="J39" s="41"/>
      <c r="K39" s="40"/>
    </row>
    <row r="40" spans="1:11" x14ac:dyDescent="0.3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3">
      <c r="A41" s="21"/>
      <c r="B41" s="473" t="s">
        <v>32</v>
      </c>
      <c r="C41" s="473"/>
      <c r="D41" s="473"/>
      <c r="E41" s="28"/>
      <c r="F41" s="28"/>
      <c r="G41" s="28"/>
      <c r="H41" s="28"/>
      <c r="I41" s="28"/>
      <c r="J41" s="31"/>
      <c r="K41" s="40"/>
    </row>
    <row r="42" spans="1:11" x14ac:dyDescent="0.3">
      <c r="A42" s="21"/>
      <c r="B42" s="28"/>
      <c r="C42" s="28"/>
      <c r="D42" s="472" t="s">
        <v>39</v>
      </c>
      <c r="E42" s="472"/>
      <c r="F42" s="472"/>
      <c r="G42" s="28">
        <f>+I22</f>
        <v>16056</v>
      </c>
      <c r="H42" s="35" t="s">
        <v>23</v>
      </c>
      <c r="I42" s="28"/>
      <c r="J42" s="31"/>
      <c r="K42" s="40"/>
    </row>
    <row r="43" spans="1:11" x14ac:dyDescent="0.3">
      <c r="A43" s="21"/>
      <c r="B43" s="28"/>
      <c r="C43" s="28"/>
      <c r="D43" s="472" t="s">
        <v>28</v>
      </c>
      <c r="E43" s="472"/>
      <c r="F43" s="472"/>
      <c r="G43" s="28">
        <f>+I37</f>
        <v>-20340.820999999996</v>
      </c>
      <c r="H43" s="28" t="s">
        <v>29</v>
      </c>
      <c r="I43" s="28"/>
      <c r="J43" s="31"/>
      <c r="K43" s="40"/>
    </row>
    <row r="44" spans="1:11" ht="15" thickBot="1" x14ac:dyDescent="0.35">
      <c r="A44" s="21"/>
      <c r="B44" s="28"/>
      <c r="C44" s="28"/>
      <c r="D44" s="28"/>
      <c r="E44" s="472" t="s">
        <v>33</v>
      </c>
      <c r="F44" s="472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" thickTop="1" x14ac:dyDescent="0.3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3">
      <c r="A46" s="21"/>
      <c r="B46" s="474" t="s">
        <v>48</v>
      </c>
      <c r="C46" s="474"/>
      <c r="D46" s="474"/>
      <c r="E46" s="474"/>
      <c r="F46" s="44"/>
      <c r="G46" s="28"/>
      <c r="H46" s="28"/>
      <c r="I46" s="30"/>
      <c r="J46" s="48"/>
      <c r="K46" s="40"/>
    </row>
    <row r="47" spans="1:11" ht="15" thickBot="1" x14ac:dyDescent="0.35">
      <c r="A47" s="21"/>
      <c r="B47" s="472" t="s">
        <v>45</v>
      </c>
      <c r="C47" s="472"/>
      <c r="D47" s="472"/>
      <c r="E47" s="472"/>
      <c r="F47" s="472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" thickTop="1" x14ac:dyDescent="0.3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" thickBot="1" x14ac:dyDescent="0.35">
      <c r="A49" s="21"/>
      <c r="B49" s="28"/>
      <c r="C49" s="28"/>
      <c r="D49" s="28"/>
      <c r="E49" s="472" t="s">
        <v>80</v>
      </c>
      <c r="F49" s="472"/>
      <c r="G49" s="472"/>
      <c r="H49" s="37"/>
      <c r="I49" s="49">
        <f>-I44-I47</f>
        <v>-0.53300000000000014</v>
      </c>
      <c r="J49" s="50"/>
      <c r="K49" s="40"/>
    </row>
    <row r="50" spans="1:11" ht="15" thickTop="1" x14ac:dyDescent="0.3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5"/>
  <sheetViews>
    <sheetView tabSelected="1" zoomScaleNormal="100" workbookViewId="0">
      <selection sqref="A1:G1"/>
    </sheetView>
  </sheetViews>
  <sheetFormatPr defaultRowHeight="14.4" x14ac:dyDescent="0.3"/>
  <cols>
    <col min="1" max="1" width="3.33203125" style="357" customWidth="1"/>
    <col min="2" max="2" width="8.88671875" style="357"/>
    <col min="3" max="3" width="16.44140625" style="357" customWidth="1"/>
    <col min="4" max="6" width="12.6640625" style="357" customWidth="1"/>
    <col min="7" max="7" width="13.44140625" style="357" bestFit="1" customWidth="1"/>
    <col min="8" max="8" width="8.88671875" style="357"/>
    <col min="9" max="9" width="11.88671875" style="357" bestFit="1" customWidth="1"/>
    <col min="10" max="10" width="14.44140625" style="357" bestFit="1" customWidth="1"/>
    <col min="11" max="11" width="9.5546875" style="357" bestFit="1" customWidth="1"/>
    <col min="12" max="12" width="8.88671875" style="357"/>
    <col min="13" max="13" width="14.88671875" style="357" bestFit="1" customWidth="1"/>
    <col min="14" max="14" width="15" style="357" bestFit="1" customWidth="1"/>
    <col min="15" max="15" width="11.88671875" style="357" bestFit="1" customWidth="1"/>
    <col min="16" max="16384" width="8.88671875" style="357"/>
  </cols>
  <sheetData>
    <row r="1" spans="1:14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4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4" ht="15.6" x14ac:dyDescent="0.3">
      <c r="A3" s="459" t="s">
        <v>269</v>
      </c>
      <c r="B3" s="459"/>
      <c r="C3" s="459"/>
      <c r="D3" s="459"/>
      <c r="E3" s="459"/>
      <c r="F3" s="459"/>
      <c r="G3" s="459"/>
    </row>
    <row r="4" spans="1:14" x14ac:dyDescent="0.3">
      <c r="A4" s="391"/>
      <c r="B4" s="391"/>
      <c r="D4" s="391"/>
      <c r="E4" s="391"/>
      <c r="F4" s="3"/>
      <c r="G4" s="391"/>
      <c r="M4" s="461" t="s">
        <v>293</v>
      </c>
      <c r="N4" s="461"/>
    </row>
    <row r="5" spans="1:14" x14ac:dyDescent="0.3">
      <c r="A5" s="391"/>
      <c r="B5" s="391"/>
      <c r="D5" s="391"/>
      <c r="E5" s="391"/>
      <c r="F5" s="3"/>
      <c r="G5" s="391"/>
      <c r="M5" s="357" t="s">
        <v>290</v>
      </c>
      <c r="N5" s="357" t="s">
        <v>291</v>
      </c>
    </row>
    <row r="6" spans="1:14" x14ac:dyDescent="0.3">
      <c r="A6" s="391"/>
      <c r="B6" s="391"/>
      <c r="D6" s="391"/>
      <c r="E6" s="391"/>
      <c r="F6" s="3"/>
      <c r="G6" s="391"/>
      <c r="M6" s="357">
        <v>9.14</v>
      </c>
      <c r="N6" s="357">
        <v>3.1</v>
      </c>
    </row>
    <row r="7" spans="1:14" x14ac:dyDescent="0.3">
      <c r="A7" s="391"/>
      <c r="B7" s="391"/>
      <c r="D7" s="391"/>
      <c r="E7" s="391"/>
      <c r="F7" s="3"/>
      <c r="G7" s="391"/>
      <c r="M7" s="357">
        <v>8.7200000000000006</v>
      </c>
      <c r="N7" s="357">
        <v>3.89</v>
      </c>
    </row>
    <row r="8" spans="1:14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460" t="s">
        <v>196</v>
      </c>
      <c r="I8" s="460"/>
      <c r="J8" s="460"/>
      <c r="M8" s="357">
        <v>3.97</v>
      </c>
      <c r="N8" s="357">
        <v>7.41</v>
      </c>
    </row>
    <row r="9" spans="1:14" ht="16.2" thickBot="1" x14ac:dyDescent="0.35">
      <c r="B9" s="62"/>
      <c r="C9" s="61"/>
      <c r="D9" s="62"/>
      <c r="E9" s="62"/>
      <c r="F9" s="62" t="s">
        <v>8</v>
      </c>
      <c r="G9" s="62"/>
      <c r="H9" s="355" t="s">
        <v>282</v>
      </c>
      <c r="I9" s="357" t="s">
        <v>283</v>
      </c>
      <c r="J9" s="392" t="s">
        <v>284</v>
      </c>
      <c r="M9" s="357">
        <v>3.54</v>
      </c>
      <c r="N9" s="357">
        <v>7.67</v>
      </c>
    </row>
    <row r="10" spans="1:14" ht="16.2" thickTop="1" x14ac:dyDescent="0.3">
      <c r="B10" s="58"/>
      <c r="C10" s="79"/>
      <c r="D10" s="79"/>
      <c r="E10" s="58"/>
      <c r="F10" s="79"/>
      <c r="G10" s="58"/>
      <c r="M10" s="357">
        <v>7.66</v>
      </c>
      <c r="N10" s="357">
        <v>8.36</v>
      </c>
    </row>
    <row r="11" spans="1:14" ht="15.6" x14ac:dyDescent="0.3">
      <c r="B11" s="85" t="s">
        <v>270</v>
      </c>
      <c r="C11" s="393">
        <v>1671</v>
      </c>
      <c r="D11" s="232">
        <f>SUM(E11*2000)</f>
        <v>35480</v>
      </c>
      <c r="E11" s="394">
        <v>17.739999999999998</v>
      </c>
      <c r="F11" s="191">
        <f>-ROUND(J11,2)</f>
        <v>-177.4</v>
      </c>
      <c r="G11" s="191">
        <f>SUM(E11*F11)</f>
        <v>-3147.076</v>
      </c>
      <c r="H11" s="395">
        <v>483.48</v>
      </c>
      <c r="I11" s="396">
        <v>85769.61</v>
      </c>
      <c r="J11" s="397">
        <f>I11/H11</f>
        <v>177.40053363117397</v>
      </c>
      <c r="M11" s="357">
        <v>4</v>
      </c>
      <c r="N11" s="357">
        <v>7.08</v>
      </c>
    </row>
    <row r="12" spans="1:14" ht="15.6" x14ac:dyDescent="0.3">
      <c r="B12" s="398" t="s">
        <v>271</v>
      </c>
      <c r="C12" s="393">
        <v>1671</v>
      </c>
      <c r="D12" s="232">
        <f t="shared" ref="D12:D22" si="0">SUM(E12*2000)</f>
        <v>31080</v>
      </c>
      <c r="E12" s="394">
        <v>15.54</v>
      </c>
      <c r="F12" s="191">
        <f t="shared" ref="F12:F22" si="1">-ROUND(J12,2)</f>
        <v>-173.3</v>
      </c>
      <c r="G12" s="191">
        <f t="shared" ref="G12:G22" si="2">SUM(E12*F12)</f>
        <v>-2693.0819999999999</v>
      </c>
      <c r="H12" s="395">
        <v>394.49</v>
      </c>
      <c r="I12" s="396">
        <v>68365.33</v>
      </c>
      <c r="J12" s="397">
        <f>I12/H12</f>
        <v>173.30053993764099</v>
      </c>
      <c r="M12" s="357">
        <v>4.26</v>
      </c>
      <c r="N12" s="357">
        <v>8.7100000000000009</v>
      </c>
    </row>
    <row r="13" spans="1:14" ht="15.6" x14ac:dyDescent="0.3">
      <c r="B13" s="85" t="s">
        <v>272</v>
      </c>
      <c r="C13" s="393">
        <v>1669</v>
      </c>
      <c r="D13" s="232">
        <f t="shared" si="0"/>
        <v>20020</v>
      </c>
      <c r="E13" s="394">
        <v>10.01</v>
      </c>
      <c r="F13" s="191">
        <f t="shared" si="1"/>
        <v>-166.35</v>
      </c>
      <c r="G13" s="191">
        <f t="shared" si="2"/>
        <v>-1665.1634999999999</v>
      </c>
      <c r="H13" s="395">
        <v>414.15</v>
      </c>
      <c r="I13" s="396">
        <v>68894.06</v>
      </c>
      <c r="J13" s="397">
        <f t="shared" ref="J13:J21" si="3">I13/H13</f>
        <v>166.35050102619823</v>
      </c>
      <c r="M13" s="357">
        <v>3.42</v>
      </c>
      <c r="N13" s="357">
        <v>4.1399999999999997</v>
      </c>
    </row>
    <row r="14" spans="1:14" ht="15.6" x14ac:dyDescent="0.3">
      <c r="B14" s="398" t="s">
        <v>273</v>
      </c>
      <c r="C14" s="393">
        <v>1669</v>
      </c>
      <c r="D14" s="232">
        <f t="shared" si="0"/>
        <v>17380</v>
      </c>
      <c r="E14" s="394">
        <v>8.69</v>
      </c>
      <c r="F14" s="191">
        <f t="shared" si="1"/>
        <v>-160.65</v>
      </c>
      <c r="G14" s="191">
        <f t="shared" si="2"/>
        <v>-1396.0484999999999</v>
      </c>
      <c r="H14" s="395">
        <v>403.72</v>
      </c>
      <c r="I14" s="396">
        <v>64857.87</v>
      </c>
      <c r="J14" s="397">
        <f t="shared" si="3"/>
        <v>160.65062419498662</v>
      </c>
      <c r="M14" s="357">
        <v>3.73</v>
      </c>
      <c r="N14" s="357">
        <v>3.55</v>
      </c>
    </row>
    <row r="15" spans="1:14" ht="15.6" x14ac:dyDescent="0.3">
      <c r="B15" s="85" t="s">
        <v>274</v>
      </c>
      <c r="C15" s="393">
        <v>1669</v>
      </c>
      <c r="D15" s="232">
        <f t="shared" si="0"/>
        <v>10200</v>
      </c>
      <c r="E15" s="394">
        <v>5.0999999999999996</v>
      </c>
      <c r="F15" s="191">
        <f t="shared" si="1"/>
        <v>-156.55000000000001</v>
      </c>
      <c r="G15" s="191">
        <f t="shared" si="2"/>
        <v>-798.40499999999997</v>
      </c>
      <c r="H15" s="395">
        <v>394.87</v>
      </c>
      <c r="I15" s="396">
        <v>61817.18</v>
      </c>
      <c r="J15" s="397">
        <f t="shared" si="3"/>
        <v>156.55071289285081</v>
      </c>
      <c r="K15" s="355"/>
      <c r="M15" s="357">
        <v>7.76</v>
      </c>
      <c r="N15" s="357">
        <v>9.07</v>
      </c>
    </row>
    <row r="16" spans="1:14" ht="15.6" x14ac:dyDescent="0.3">
      <c r="B16" s="398" t="s">
        <v>275</v>
      </c>
      <c r="C16" s="393">
        <v>1669</v>
      </c>
      <c r="D16" s="232">
        <f t="shared" si="0"/>
        <v>37600</v>
      </c>
      <c r="E16" s="399">
        <v>18.8</v>
      </c>
      <c r="F16" s="191">
        <f t="shared" si="1"/>
        <v>-149.30000000000001</v>
      </c>
      <c r="G16" s="191">
        <f t="shared" si="2"/>
        <v>-2806.84</v>
      </c>
      <c r="H16" s="395">
        <v>514.16</v>
      </c>
      <c r="I16" s="396">
        <v>76764.28</v>
      </c>
      <c r="J16" s="397">
        <f t="shared" si="3"/>
        <v>149.30037342461492</v>
      </c>
      <c r="M16" s="357">
        <v>2.9</v>
      </c>
      <c r="N16" s="357">
        <v>7.96</v>
      </c>
    </row>
    <row r="17" spans="1:15" ht="15.6" x14ac:dyDescent="0.3">
      <c r="B17" s="85" t="s">
        <v>276</v>
      </c>
      <c r="C17" s="400">
        <v>1669</v>
      </c>
      <c r="D17" s="232">
        <f t="shared" si="0"/>
        <v>59200</v>
      </c>
      <c r="E17" s="394">
        <v>29.6</v>
      </c>
      <c r="F17" s="191">
        <f t="shared" si="1"/>
        <v>-146</v>
      </c>
      <c r="G17" s="191">
        <f t="shared" si="2"/>
        <v>-4321.6000000000004</v>
      </c>
      <c r="H17" s="395">
        <v>478.84</v>
      </c>
      <c r="I17" s="396">
        <v>69911.02</v>
      </c>
      <c r="J17" s="397">
        <f>I17/H17</f>
        <v>146.00079358449588</v>
      </c>
      <c r="M17" s="357">
        <v>3.35</v>
      </c>
      <c r="N17" s="357">
        <v>7.6</v>
      </c>
    </row>
    <row r="18" spans="1:15" ht="15.6" x14ac:dyDescent="0.3">
      <c r="B18" s="398" t="s">
        <v>277</v>
      </c>
      <c r="C18" s="400">
        <v>1669</v>
      </c>
      <c r="D18" s="232">
        <f t="shared" si="0"/>
        <v>39580</v>
      </c>
      <c r="E18" s="394">
        <v>19.79</v>
      </c>
      <c r="F18" s="191">
        <f t="shared" si="1"/>
        <v>-149.30000000000001</v>
      </c>
      <c r="G18" s="191">
        <f t="shared" si="2"/>
        <v>-2954.6469999999999</v>
      </c>
      <c r="H18" s="401">
        <v>382.99</v>
      </c>
      <c r="I18" s="402">
        <v>57180.62</v>
      </c>
      <c r="J18" s="397">
        <f t="shared" si="3"/>
        <v>149.30055615029113</v>
      </c>
      <c r="M18" s="357">
        <v>9.75</v>
      </c>
      <c r="N18" s="357">
        <v>3.67</v>
      </c>
    </row>
    <row r="19" spans="1:15" ht="15.6" x14ac:dyDescent="0.3">
      <c r="B19" s="85" t="s">
        <v>278</v>
      </c>
      <c r="C19" s="403">
        <v>1669</v>
      </c>
      <c r="D19" s="232">
        <f t="shared" si="0"/>
        <v>45240</v>
      </c>
      <c r="E19" s="399">
        <v>22.62</v>
      </c>
      <c r="F19" s="191">
        <f t="shared" si="1"/>
        <v>-145.6</v>
      </c>
      <c r="G19" s="191">
        <f t="shared" si="2"/>
        <v>-3293.4720000000002</v>
      </c>
      <c r="H19" s="401">
        <v>392.84</v>
      </c>
      <c r="I19" s="402">
        <v>57197.67</v>
      </c>
      <c r="J19" s="397">
        <f t="shared" si="3"/>
        <v>145.60042256389372</v>
      </c>
      <c r="M19" s="357">
        <v>6.9</v>
      </c>
      <c r="N19" s="357">
        <v>4.8</v>
      </c>
    </row>
    <row r="20" spans="1:15" ht="15.6" x14ac:dyDescent="0.3">
      <c r="B20" s="398" t="s">
        <v>279</v>
      </c>
      <c r="C20" s="403">
        <v>1669</v>
      </c>
      <c r="D20" s="232">
        <f t="shared" si="0"/>
        <v>38240</v>
      </c>
      <c r="E20" s="399">
        <v>19.12</v>
      </c>
      <c r="F20" s="191">
        <f t="shared" si="1"/>
        <v>-136.1</v>
      </c>
      <c r="G20" s="191">
        <f t="shared" si="2"/>
        <v>-2602.232</v>
      </c>
      <c r="H20" s="401">
        <v>363.71</v>
      </c>
      <c r="I20" s="402">
        <v>49501.05</v>
      </c>
      <c r="J20" s="397">
        <f t="shared" si="3"/>
        <v>136.10032718374532</v>
      </c>
      <c r="M20" s="357">
        <v>9.85</v>
      </c>
      <c r="N20" s="357">
        <v>7.92</v>
      </c>
    </row>
    <row r="21" spans="1:15" ht="15.6" x14ac:dyDescent="0.3">
      <c r="B21" s="85" t="s">
        <v>280</v>
      </c>
      <c r="C21" s="403">
        <v>1669</v>
      </c>
      <c r="D21" s="232">
        <f t="shared" si="0"/>
        <v>11080</v>
      </c>
      <c r="E21" s="399">
        <v>5.54</v>
      </c>
      <c r="F21" s="191">
        <f t="shared" si="1"/>
        <v>-127.4</v>
      </c>
      <c r="G21" s="191">
        <f t="shared" si="2"/>
        <v>-705.79600000000005</v>
      </c>
      <c r="H21" s="401">
        <f>9.14+8.72+3.97+3.54+7.66+4+4.26+3.42+3.73+7.76+2.9+3.35+9.75+6.9+9.85+8.44+9.52+9.79+7.68+7.88+7.35+7.06+8.36+9.89+5.54+4.97+3.78+3.42+5.03+3.64+3.95+3.26+8.67+8.54+3.52+8.9+2.8+5.83+3.25+3.28+7.41+3.65+3.28+8.85+8.31+9.56+9.87+8.03+6.93+6.3+10.28+7.95+7.6+7.59+3.72+4.44+7.79+6.13+4.18+3.24</f>
        <v>378.40999999999997</v>
      </c>
      <c r="I21" s="402">
        <v>48209.61</v>
      </c>
      <c r="J21" s="397">
        <f t="shared" si="3"/>
        <v>127.40046510398776</v>
      </c>
      <c r="M21" s="357">
        <v>8.44</v>
      </c>
      <c r="N21" s="357">
        <v>8.44</v>
      </c>
    </row>
    <row r="22" spans="1:15" ht="15.6" x14ac:dyDescent="0.3">
      <c r="B22" s="398" t="s">
        <v>281</v>
      </c>
      <c r="C22" s="404">
        <v>1669</v>
      </c>
      <c r="D22" s="232">
        <f t="shared" si="0"/>
        <v>19960</v>
      </c>
      <c r="E22" s="405">
        <v>9.98</v>
      </c>
      <c r="F22" s="191">
        <f t="shared" si="1"/>
        <v>-105.5</v>
      </c>
      <c r="G22" s="191">
        <f t="shared" si="2"/>
        <v>-1052.8900000000001</v>
      </c>
      <c r="H22" s="401">
        <f>3.1+3.89+7.41+7.67+8.36+7.08+8.71+4.14+3.55+9.07+7.96+7.6+3.67+4.8+7.92+8.44+6.1+3.37+4.32+5.4+7.93+7.22+7.7+6.66+7.09+8.23+3.43+4.7+8.6+4.74+4.88+10.04+3.85+3.72+8.54+6.74+9.71+3.74+5.3+6.75+11.33+3.78+4.94+8.29+8.48+7.1+9.04+9.56+8.09+6.78+7.83+6.79+6.67+4.8+2.61+9.58+7.22+7.85+3.2+5.04+4.07+3.87+6.36+6.3+5.87+7.94+8.62+8.07</f>
        <v>442.21000000000009</v>
      </c>
      <c r="I22" s="402">
        <v>46653.29</v>
      </c>
      <c r="J22" s="397">
        <f>I22/H22</f>
        <v>105.5003052848194</v>
      </c>
      <c r="M22" s="357">
        <v>9.52</v>
      </c>
      <c r="N22" s="357">
        <v>6.1</v>
      </c>
    </row>
    <row r="23" spans="1:15" ht="15.6" x14ac:dyDescent="0.3">
      <c r="B23" s="76"/>
      <c r="C23" s="406">
        <f>SUM(C11:C22)</f>
        <v>20032</v>
      </c>
      <c r="D23" s="88">
        <f>SUM(D11:D22)</f>
        <v>365060</v>
      </c>
      <c r="E23" s="107">
        <f>SUM(E11:E22)</f>
        <v>182.52999999999997</v>
      </c>
      <c r="F23" s="79"/>
      <c r="G23" s="80">
        <f>SUM(G11:G22)</f>
        <v>-27437.252</v>
      </c>
      <c r="I23" s="407"/>
      <c r="K23" s="408"/>
      <c r="L23" s="409"/>
      <c r="M23" s="357">
        <v>9.7899999999999991</v>
      </c>
      <c r="N23" s="357">
        <v>3.37</v>
      </c>
      <c r="O23" s="407"/>
    </row>
    <row r="24" spans="1:15" ht="15.6" x14ac:dyDescent="0.3">
      <c r="B24" s="58"/>
      <c r="C24" s="78"/>
      <c r="D24" s="336"/>
      <c r="E24" s="83"/>
      <c r="F24" s="84" t="s">
        <v>0</v>
      </c>
      <c r="G24" s="407"/>
      <c r="K24" s="408"/>
      <c r="M24" s="409">
        <v>7.68</v>
      </c>
      <c r="N24" s="407">
        <v>4.32</v>
      </c>
    </row>
    <row r="25" spans="1:15" x14ac:dyDescent="0.3">
      <c r="E25" s="410"/>
      <c r="H25" s="357" t="s">
        <v>289</v>
      </c>
      <c r="K25" s="408"/>
      <c r="M25" s="407">
        <v>7.88</v>
      </c>
      <c r="N25" s="357">
        <v>5.4</v>
      </c>
    </row>
    <row r="26" spans="1:15" x14ac:dyDescent="0.3">
      <c r="K26" s="408"/>
      <c r="M26" s="357">
        <v>7.35</v>
      </c>
      <c r="N26" s="357">
        <v>7.93</v>
      </c>
    </row>
    <row r="27" spans="1:15" ht="15.6" x14ac:dyDescent="0.3">
      <c r="C27" s="81"/>
      <c r="D27" s="82"/>
      <c r="E27" s="83"/>
      <c r="F27" s="84" t="s">
        <v>0</v>
      </c>
      <c r="K27" s="408"/>
      <c r="M27" s="357">
        <v>7.06</v>
      </c>
      <c r="N27" s="357">
        <v>7.22</v>
      </c>
    </row>
    <row r="28" spans="1:15" x14ac:dyDescent="0.3">
      <c r="A28" s="357" t="s">
        <v>41</v>
      </c>
      <c r="C28" s="411"/>
      <c r="D28" s="412"/>
      <c r="E28" s="413"/>
      <c r="F28" s="414">
        <v>33864</v>
      </c>
      <c r="G28" s="415"/>
      <c r="M28" s="357">
        <v>8.36</v>
      </c>
      <c r="N28" s="357">
        <v>7.7</v>
      </c>
    </row>
    <row r="29" spans="1:15" x14ac:dyDescent="0.3">
      <c r="C29" s="416" t="s">
        <v>159</v>
      </c>
      <c r="D29" s="417">
        <f>'Single Family 2020-2021'!D23</f>
        <v>5539420</v>
      </c>
      <c r="E29" s="418">
        <f>D29/$D$31</f>
        <v>0.9381723708099613</v>
      </c>
      <c r="F29" s="419">
        <f>E29*F28</f>
        <v>31770.26916510853</v>
      </c>
      <c r="G29" s="420"/>
      <c r="M29" s="357">
        <v>9.89</v>
      </c>
      <c r="N29" s="357">
        <v>6.66</v>
      </c>
    </row>
    <row r="30" spans="1:15" x14ac:dyDescent="0.3">
      <c r="C30" s="416" t="s">
        <v>160</v>
      </c>
      <c r="D30" s="417">
        <f>D23</f>
        <v>365060</v>
      </c>
      <c r="E30" s="418">
        <f>D30/$D$31</f>
        <v>6.1827629190038751E-2</v>
      </c>
      <c r="F30" s="421">
        <f>E30*F28</f>
        <v>2093.7308348914721</v>
      </c>
      <c r="G30" s="420"/>
      <c r="M30" s="357">
        <v>5.54</v>
      </c>
      <c r="N30" s="357">
        <v>7.09</v>
      </c>
    </row>
    <row r="31" spans="1:15" x14ac:dyDescent="0.3">
      <c r="C31" s="422" t="s">
        <v>87</v>
      </c>
      <c r="D31" s="423">
        <f>SUM(D29:D30)</f>
        <v>5904480</v>
      </c>
      <c r="E31" s="424"/>
      <c r="F31" s="425">
        <f>F28-F29-F30</f>
        <v>0</v>
      </c>
      <c r="G31" s="426" t="s">
        <v>161</v>
      </c>
      <c r="M31" s="357">
        <v>4.97</v>
      </c>
      <c r="N31" s="357">
        <v>8.23</v>
      </c>
    </row>
    <row r="32" spans="1:15" x14ac:dyDescent="0.3">
      <c r="M32" s="357">
        <v>3.78</v>
      </c>
      <c r="N32" s="357">
        <v>3.43</v>
      </c>
    </row>
    <row r="33" spans="13:14" x14ac:dyDescent="0.3">
      <c r="M33" s="357">
        <v>3.42</v>
      </c>
      <c r="N33" s="357">
        <v>4.7</v>
      </c>
    </row>
    <row r="34" spans="13:14" x14ac:dyDescent="0.3">
      <c r="M34" s="357">
        <v>5.03</v>
      </c>
      <c r="N34" s="357">
        <v>8.6</v>
      </c>
    </row>
    <row r="35" spans="13:14" x14ac:dyDescent="0.3">
      <c r="M35" s="357">
        <v>3.64</v>
      </c>
      <c r="N35" s="357">
        <v>4.74</v>
      </c>
    </row>
    <row r="36" spans="13:14" x14ac:dyDescent="0.3">
      <c r="M36" s="357">
        <v>3.95</v>
      </c>
      <c r="N36" s="357">
        <v>4.88</v>
      </c>
    </row>
    <row r="37" spans="13:14" x14ac:dyDescent="0.3">
      <c r="M37" s="357">
        <v>3.26</v>
      </c>
      <c r="N37" s="357">
        <v>10.039999999999999</v>
      </c>
    </row>
    <row r="38" spans="13:14" x14ac:dyDescent="0.3">
      <c r="M38" s="357">
        <v>8.67</v>
      </c>
      <c r="N38" s="357">
        <v>3.85</v>
      </c>
    </row>
    <row r="39" spans="13:14" x14ac:dyDescent="0.3">
      <c r="M39" s="357">
        <v>8.5399999999999991</v>
      </c>
      <c r="N39" s="357">
        <v>3.72</v>
      </c>
    </row>
    <row r="40" spans="13:14" x14ac:dyDescent="0.3">
      <c r="M40" s="357">
        <v>3.52</v>
      </c>
      <c r="N40" s="357">
        <v>8.5399999999999991</v>
      </c>
    </row>
    <row r="41" spans="13:14" x14ac:dyDescent="0.3">
      <c r="M41" s="357">
        <v>8.9</v>
      </c>
      <c r="N41" s="357">
        <v>6.74</v>
      </c>
    </row>
    <row r="42" spans="13:14" x14ac:dyDescent="0.3">
      <c r="M42" s="357">
        <v>2.8</v>
      </c>
      <c r="N42" s="357">
        <v>9.7100000000000009</v>
      </c>
    </row>
    <row r="43" spans="13:14" x14ac:dyDescent="0.3">
      <c r="M43" s="357">
        <v>5.83</v>
      </c>
      <c r="N43" s="357">
        <v>3.74</v>
      </c>
    </row>
    <row r="44" spans="13:14" x14ac:dyDescent="0.3">
      <c r="M44" s="357">
        <v>3.25</v>
      </c>
      <c r="N44" s="357">
        <v>5.3</v>
      </c>
    </row>
    <row r="45" spans="13:14" x14ac:dyDescent="0.3">
      <c r="M45" s="357">
        <v>3.28</v>
      </c>
      <c r="N45" s="357">
        <v>6.75</v>
      </c>
    </row>
    <row r="46" spans="13:14" x14ac:dyDescent="0.3">
      <c r="M46" s="357">
        <v>7.41</v>
      </c>
      <c r="N46" s="357">
        <v>11.33</v>
      </c>
    </row>
    <row r="47" spans="13:14" x14ac:dyDescent="0.3">
      <c r="M47" s="357">
        <v>3.65</v>
      </c>
      <c r="N47" s="357">
        <v>3.78</v>
      </c>
    </row>
    <row r="48" spans="13:14" x14ac:dyDescent="0.3">
      <c r="M48" s="357">
        <v>3.28</v>
      </c>
      <c r="N48" s="357">
        <v>4.9400000000000004</v>
      </c>
    </row>
    <row r="49" spans="13:14" x14ac:dyDescent="0.3">
      <c r="M49" s="357">
        <v>8.85</v>
      </c>
      <c r="N49" s="357">
        <v>8.2899999999999991</v>
      </c>
    </row>
    <row r="50" spans="13:14" x14ac:dyDescent="0.3">
      <c r="M50" s="357">
        <v>8.31</v>
      </c>
      <c r="N50" s="357">
        <v>8.48</v>
      </c>
    </row>
    <row r="51" spans="13:14" x14ac:dyDescent="0.3">
      <c r="M51" s="357">
        <v>9.56</v>
      </c>
      <c r="N51" s="357">
        <v>7.1</v>
      </c>
    </row>
    <row r="52" spans="13:14" x14ac:dyDescent="0.3">
      <c r="M52" s="357">
        <v>9.8699999999999992</v>
      </c>
      <c r="N52" s="357">
        <v>9.0399999999999991</v>
      </c>
    </row>
    <row r="53" spans="13:14" x14ac:dyDescent="0.3">
      <c r="M53" s="357">
        <v>8.0299999999999994</v>
      </c>
      <c r="N53" s="357">
        <v>9.56</v>
      </c>
    </row>
    <row r="54" spans="13:14" x14ac:dyDescent="0.3">
      <c r="M54" s="357">
        <v>6.93</v>
      </c>
      <c r="N54" s="357">
        <v>8.09</v>
      </c>
    </row>
    <row r="55" spans="13:14" x14ac:dyDescent="0.3">
      <c r="M55" s="357">
        <v>6.3</v>
      </c>
      <c r="N55" s="357">
        <v>6.78</v>
      </c>
    </row>
    <row r="56" spans="13:14" x14ac:dyDescent="0.3">
      <c r="M56" s="357">
        <v>10.28</v>
      </c>
      <c r="N56" s="357">
        <v>7.83</v>
      </c>
    </row>
    <row r="57" spans="13:14" x14ac:dyDescent="0.3">
      <c r="M57" s="357">
        <v>7.95</v>
      </c>
      <c r="N57" s="357">
        <v>6.79</v>
      </c>
    </row>
    <row r="58" spans="13:14" x14ac:dyDescent="0.3">
      <c r="M58" s="357">
        <v>7.6</v>
      </c>
      <c r="N58" s="357">
        <v>6.67</v>
      </c>
    </row>
    <row r="59" spans="13:14" x14ac:dyDescent="0.3">
      <c r="M59" s="357">
        <v>7.59</v>
      </c>
      <c r="N59" s="357">
        <v>4.8</v>
      </c>
    </row>
    <row r="60" spans="13:14" x14ac:dyDescent="0.3">
      <c r="M60" s="357">
        <v>3.72</v>
      </c>
      <c r="N60" s="357">
        <v>2.61</v>
      </c>
    </row>
    <row r="61" spans="13:14" x14ac:dyDescent="0.3">
      <c r="M61" s="357">
        <v>4.4400000000000004</v>
      </c>
      <c r="N61" s="357">
        <v>9.58</v>
      </c>
    </row>
    <row r="62" spans="13:14" x14ac:dyDescent="0.3">
      <c r="M62" s="357">
        <v>7.79</v>
      </c>
      <c r="N62" s="357">
        <v>7.22</v>
      </c>
    </row>
    <row r="63" spans="13:14" x14ac:dyDescent="0.3">
      <c r="M63" s="357">
        <v>6.13</v>
      </c>
      <c r="N63" s="357">
        <v>7.85</v>
      </c>
    </row>
    <row r="64" spans="13:14" x14ac:dyDescent="0.3">
      <c r="M64" s="357">
        <v>4.18</v>
      </c>
      <c r="N64" s="357">
        <v>3.2</v>
      </c>
    </row>
    <row r="65" spans="13:14" x14ac:dyDescent="0.3">
      <c r="M65" s="427">
        <v>3.24</v>
      </c>
      <c r="N65" s="357">
        <v>5.04</v>
      </c>
    </row>
    <row r="66" spans="13:14" x14ac:dyDescent="0.3">
      <c r="M66" s="357">
        <f>SUM(M6:M65)</f>
        <v>378.40999999999997</v>
      </c>
      <c r="N66" s="357">
        <v>4.07</v>
      </c>
    </row>
    <row r="67" spans="13:14" x14ac:dyDescent="0.3">
      <c r="M67" s="357">
        <f>+M66-H21</f>
        <v>0</v>
      </c>
      <c r="N67" s="357">
        <v>3.87</v>
      </c>
    </row>
    <row r="68" spans="13:14" x14ac:dyDescent="0.3">
      <c r="N68" s="357">
        <v>6.36</v>
      </c>
    </row>
    <row r="69" spans="13:14" x14ac:dyDescent="0.3">
      <c r="N69" s="357">
        <v>6.3</v>
      </c>
    </row>
    <row r="70" spans="13:14" x14ac:dyDescent="0.3">
      <c r="N70" s="357">
        <v>5.87</v>
      </c>
    </row>
    <row r="71" spans="13:14" x14ac:dyDescent="0.3">
      <c r="N71" s="357">
        <v>7.94</v>
      </c>
    </row>
    <row r="72" spans="13:14" x14ac:dyDescent="0.3">
      <c r="N72" s="357">
        <v>8.6199999999999992</v>
      </c>
    </row>
    <row r="73" spans="13:14" x14ac:dyDescent="0.3">
      <c r="N73" s="427">
        <v>8.07</v>
      </c>
    </row>
    <row r="74" spans="13:14" x14ac:dyDescent="0.3">
      <c r="N74" s="357">
        <f>SUM(N6:N73)</f>
        <v>442.21000000000009</v>
      </c>
    </row>
    <row r="75" spans="13:14" x14ac:dyDescent="0.3">
      <c r="N75" s="357">
        <f>+N74-H22</f>
        <v>0</v>
      </c>
    </row>
  </sheetData>
  <mergeCells count="5">
    <mergeCell ref="A1:G1"/>
    <mergeCell ref="A2:G2"/>
    <mergeCell ref="A3:G3"/>
    <mergeCell ref="H8:J8"/>
    <mergeCell ref="M4:N4"/>
  </mergeCells>
  <pageMargins left="0.7" right="0.7" top="0.75" bottom="0.75" header="0.3" footer="0.3"/>
  <pageSetup scale="77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tabSelected="1" zoomScaleNormal="100" workbookViewId="0">
      <selection sqref="A1:G1"/>
    </sheetView>
  </sheetViews>
  <sheetFormatPr defaultRowHeight="14.4" x14ac:dyDescent="0.3"/>
  <cols>
    <col min="1" max="1" width="3.5546875" style="357" customWidth="1"/>
    <col min="2" max="2" width="8.88671875" style="357"/>
    <col min="3" max="3" width="16.44140625" style="357" customWidth="1"/>
    <col min="4" max="6" width="12.6640625" style="357" customWidth="1"/>
    <col min="7" max="7" width="15.88671875" style="357" customWidth="1"/>
    <col min="8" max="8" width="8.88671875" style="357"/>
    <col min="9" max="9" width="10.88671875" style="357" bestFit="1" customWidth="1"/>
    <col min="10" max="10" width="12.33203125" style="357" customWidth="1"/>
    <col min="11" max="11" width="11.88671875" style="357" bestFit="1" customWidth="1"/>
    <col min="12" max="12" width="8.88671875" style="357"/>
    <col min="13" max="13" width="12.33203125" style="357" bestFit="1" customWidth="1"/>
    <col min="14" max="16384" width="8.88671875" style="357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269</v>
      </c>
      <c r="B3" s="459"/>
      <c r="C3" s="459"/>
      <c r="D3" s="459"/>
      <c r="E3" s="459"/>
      <c r="F3" s="459"/>
      <c r="G3" s="459"/>
    </row>
    <row r="4" spans="1:10" x14ac:dyDescent="0.3">
      <c r="A4" s="391"/>
      <c r="B4" s="391"/>
      <c r="C4" s="391"/>
      <c r="D4" s="3"/>
      <c r="E4" s="391"/>
      <c r="F4" s="391"/>
    </row>
    <row r="5" spans="1:10" x14ac:dyDescent="0.3">
      <c r="A5" s="391"/>
      <c r="B5" s="391"/>
      <c r="C5" s="391"/>
      <c r="D5" s="3"/>
      <c r="E5" s="391"/>
      <c r="F5" s="391"/>
    </row>
    <row r="6" spans="1:10" x14ac:dyDescent="0.3">
      <c r="A6" s="391"/>
      <c r="B6" s="391"/>
      <c r="C6" s="391"/>
      <c r="D6" s="3"/>
      <c r="E6" s="391"/>
      <c r="F6" s="391"/>
    </row>
    <row r="7" spans="1:10" x14ac:dyDescent="0.3">
      <c r="A7" s="391"/>
      <c r="C7" s="391"/>
      <c r="D7" s="391"/>
      <c r="E7" s="3"/>
      <c r="F7" s="391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2"/>
      <c r="C9" s="61"/>
      <c r="D9" s="62"/>
      <c r="E9" s="62"/>
      <c r="F9" s="62" t="s">
        <v>8</v>
      </c>
      <c r="G9" s="62"/>
    </row>
    <row r="10" spans="1:10" ht="16.2" thickTop="1" x14ac:dyDescent="0.3">
      <c r="B10" s="58"/>
      <c r="C10" s="79"/>
      <c r="D10" s="79"/>
      <c r="E10" s="58"/>
      <c r="F10" s="79"/>
      <c r="G10" s="58"/>
    </row>
    <row r="11" spans="1:10" ht="15.6" x14ac:dyDescent="0.3">
      <c r="B11" s="85" t="s">
        <v>270</v>
      </c>
      <c r="C11" s="400">
        <v>6841</v>
      </c>
      <c r="D11" s="232">
        <f>SUM(E11*2000)</f>
        <v>537740</v>
      </c>
      <c r="E11" s="394">
        <v>268.87</v>
      </c>
      <c r="F11" s="191">
        <f>'Multi-Family 2020-2021'!F11</f>
        <v>-177.4</v>
      </c>
      <c r="G11" s="191">
        <f>SUM(E11*F11)</f>
        <v>-47697.538</v>
      </c>
    </row>
    <row r="12" spans="1:10" ht="15.6" x14ac:dyDescent="0.3">
      <c r="B12" s="398" t="s">
        <v>271</v>
      </c>
      <c r="C12" s="400">
        <v>6857</v>
      </c>
      <c r="D12" s="232">
        <f t="shared" ref="D12:D22" si="0">SUM(E12*2000)</f>
        <v>494600</v>
      </c>
      <c r="E12" s="394">
        <v>247.3</v>
      </c>
      <c r="F12" s="191">
        <f>'Multi-Family 2020-2021'!F12</f>
        <v>-173.3</v>
      </c>
      <c r="G12" s="191">
        <f t="shared" ref="G12:G22" si="1">SUM(E12*F12)</f>
        <v>-42857.090000000004</v>
      </c>
      <c r="I12" s="407"/>
      <c r="J12" s="213"/>
    </row>
    <row r="13" spans="1:10" ht="15.6" x14ac:dyDescent="0.3">
      <c r="B13" s="85" t="s">
        <v>272</v>
      </c>
      <c r="C13" s="403">
        <v>6896</v>
      </c>
      <c r="D13" s="232">
        <f t="shared" si="0"/>
        <v>498840</v>
      </c>
      <c r="E13" s="399">
        <v>249.42</v>
      </c>
      <c r="F13" s="191">
        <f>'Multi-Family 2020-2021'!F13</f>
        <v>-166.35</v>
      </c>
      <c r="G13" s="191">
        <f t="shared" si="1"/>
        <v>-41491.017</v>
      </c>
      <c r="I13" s="407"/>
      <c r="J13" s="213"/>
    </row>
    <row r="14" spans="1:10" ht="15.6" x14ac:dyDescent="0.3">
      <c r="B14" s="398" t="s">
        <v>273</v>
      </c>
      <c r="C14" s="403">
        <v>6920</v>
      </c>
      <c r="D14" s="232">
        <f t="shared" si="0"/>
        <v>439180</v>
      </c>
      <c r="E14" s="399">
        <v>219.59</v>
      </c>
      <c r="F14" s="191">
        <f>'Multi-Family 2020-2021'!F14</f>
        <v>-160.65</v>
      </c>
      <c r="G14" s="191">
        <f t="shared" si="1"/>
        <v>-35277.133500000004</v>
      </c>
      <c r="I14" s="407"/>
      <c r="J14" s="213"/>
    </row>
    <row r="15" spans="1:10" ht="15.6" x14ac:dyDescent="0.3">
      <c r="B15" s="85" t="s">
        <v>274</v>
      </c>
      <c r="C15" s="403">
        <v>6929</v>
      </c>
      <c r="D15" s="232">
        <f t="shared" si="0"/>
        <v>443020</v>
      </c>
      <c r="E15" s="399">
        <v>221.51</v>
      </c>
      <c r="F15" s="191">
        <f>'Multi-Family 2020-2021'!F15</f>
        <v>-156.55000000000001</v>
      </c>
      <c r="G15" s="191">
        <f t="shared" si="1"/>
        <v>-34677.390500000001</v>
      </c>
      <c r="I15" s="407"/>
      <c r="J15" s="213"/>
    </row>
    <row r="16" spans="1:10" ht="15.6" x14ac:dyDescent="0.3">
      <c r="B16" s="398" t="s">
        <v>275</v>
      </c>
      <c r="C16" s="403">
        <v>6947</v>
      </c>
      <c r="D16" s="232">
        <f t="shared" si="0"/>
        <v>440900</v>
      </c>
      <c r="E16" s="399">
        <v>220.45</v>
      </c>
      <c r="F16" s="191">
        <f>'Multi-Family 2020-2021'!F16</f>
        <v>-149.30000000000001</v>
      </c>
      <c r="G16" s="191">
        <f t="shared" si="1"/>
        <v>-32913.184999999998</v>
      </c>
      <c r="I16" s="407"/>
      <c r="J16" s="213"/>
    </row>
    <row r="17" spans="1:13" ht="15.6" x14ac:dyDescent="0.3">
      <c r="B17" s="85" t="s">
        <v>276</v>
      </c>
      <c r="C17" s="400">
        <v>6963</v>
      </c>
      <c r="D17" s="232">
        <f t="shared" si="0"/>
        <v>495220</v>
      </c>
      <c r="E17" s="394">
        <v>247.61</v>
      </c>
      <c r="F17" s="191">
        <f>'Multi-Family 2020-2021'!F17</f>
        <v>-146</v>
      </c>
      <c r="G17" s="191">
        <f t="shared" si="1"/>
        <v>-36151.060000000005</v>
      </c>
      <c r="H17" s="428"/>
      <c r="I17" s="407"/>
      <c r="J17" s="213"/>
      <c r="M17" s="429"/>
    </row>
    <row r="18" spans="1:13" ht="15.6" x14ac:dyDescent="0.3">
      <c r="B18" s="398" t="s">
        <v>277</v>
      </c>
      <c r="C18" s="400">
        <v>6970</v>
      </c>
      <c r="D18" s="232">
        <f t="shared" si="0"/>
        <v>370700</v>
      </c>
      <c r="E18" s="394">
        <v>185.35</v>
      </c>
      <c r="F18" s="191">
        <f>'Multi-Family 2020-2021'!F18</f>
        <v>-149.30000000000001</v>
      </c>
      <c r="G18" s="191">
        <f t="shared" si="1"/>
        <v>-27672.755000000001</v>
      </c>
      <c r="I18" s="407"/>
      <c r="J18" s="213"/>
      <c r="M18" s="430"/>
    </row>
    <row r="19" spans="1:13" ht="15.6" x14ac:dyDescent="0.3">
      <c r="B19" s="85" t="s">
        <v>278</v>
      </c>
      <c r="C19" s="403">
        <v>6980</v>
      </c>
      <c r="D19" s="232">
        <f t="shared" si="0"/>
        <v>446920</v>
      </c>
      <c r="E19" s="399">
        <v>223.46</v>
      </c>
      <c r="F19" s="191">
        <f>'Multi-Family 2020-2021'!F19</f>
        <v>-145.6</v>
      </c>
      <c r="G19" s="191">
        <f t="shared" si="1"/>
        <v>-32535.776000000002</v>
      </c>
      <c r="I19" s="407"/>
      <c r="J19" s="213"/>
      <c r="M19" s="430"/>
    </row>
    <row r="20" spans="1:13" ht="15.6" x14ac:dyDescent="0.3">
      <c r="B20" s="398" t="s">
        <v>279</v>
      </c>
      <c r="C20" s="403">
        <v>6977</v>
      </c>
      <c r="D20" s="232">
        <f t="shared" si="0"/>
        <v>365560</v>
      </c>
      <c r="E20" s="399">
        <v>182.78</v>
      </c>
      <c r="F20" s="191">
        <f>'Multi-Family 2020-2021'!F20</f>
        <v>-136.1</v>
      </c>
      <c r="G20" s="191">
        <f t="shared" si="1"/>
        <v>-24876.358</v>
      </c>
      <c r="I20" s="407"/>
      <c r="J20" s="213"/>
    </row>
    <row r="21" spans="1:13" ht="15.6" x14ac:dyDescent="0.3">
      <c r="B21" s="85" t="s">
        <v>280</v>
      </c>
      <c r="C21" s="403">
        <v>7004</v>
      </c>
      <c r="D21" s="232">
        <f t="shared" si="0"/>
        <v>459980</v>
      </c>
      <c r="E21" s="399">
        <v>229.99</v>
      </c>
      <c r="F21" s="191">
        <f>'Multi-Family 2020-2021'!F21</f>
        <v>-127.4</v>
      </c>
      <c r="G21" s="191">
        <f t="shared" si="1"/>
        <v>-29300.726000000002</v>
      </c>
      <c r="I21" s="407"/>
      <c r="J21" s="213"/>
    </row>
    <row r="22" spans="1:13" ht="15.6" x14ac:dyDescent="0.3">
      <c r="B22" s="398" t="s">
        <v>281</v>
      </c>
      <c r="C22" s="404">
        <v>7012</v>
      </c>
      <c r="D22" s="234">
        <f t="shared" si="0"/>
        <v>546760</v>
      </c>
      <c r="E22" s="405">
        <v>273.38</v>
      </c>
      <c r="F22" s="191">
        <f>'Multi-Family 2020-2021'!F22</f>
        <v>-105.5</v>
      </c>
      <c r="G22" s="224">
        <f t="shared" si="1"/>
        <v>-28841.59</v>
      </c>
    </row>
    <row r="23" spans="1:13" ht="15.6" x14ac:dyDescent="0.3">
      <c r="A23" s="357" t="s">
        <v>41</v>
      </c>
      <c r="B23" s="58"/>
      <c r="C23" s="406">
        <f>SUM(C11:C22)</f>
        <v>83296</v>
      </c>
      <c r="D23" s="406">
        <f>SUM(D11:D22)</f>
        <v>5539420</v>
      </c>
      <c r="E23" s="406">
        <f>SUM(E11:E22)</f>
        <v>2769.71</v>
      </c>
      <c r="F23" s="79"/>
      <c r="G23" s="222">
        <f>SUM(G11:G22)</f>
        <v>-414291.61900000006</v>
      </c>
      <c r="M23" s="407"/>
    </row>
    <row r="24" spans="1:13" x14ac:dyDescent="0.3">
      <c r="E24" s="410"/>
      <c r="G24" s="431"/>
    </row>
    <row r="25" spans="1:13" x14ac:dyDescent="0.3">
      <c r="C25" s="357" t="s">
        <v>289</v>
      </c>
      <c r="E25" s="410"/>
      <c r="G25" s="407">
        <f>SUM(G23,'Multi-Family 2020-2021'!G23)</f>
        <v>-441728.87100000004</v>
      </c>
      <c r="H25" s="357" t="s">
        <v>292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0" zoomScaleNormal="100" workbookViewId="0">
      <selection activeCell="J33" sqref="J33"/>
    </sheetView>
  </sheetViews>
  <sheetFormatPr defaultRowHeight="14.4" x14ac:dyDescent="0.3"/>
  <cols>
    <col min="1" max="1" width="3.33203125" customWidth="1"/>
    <col min="3" max="3" width="16.44140625" customWidth="1"/>
    <col min="4" max="6" width="12.6640625" customWidth="1"/>
    <col min="7" max="7" width="13.44140625" bestFit="1" customWidth="1"/>
    <col min="9" max="9" width="11.88671875" bestFit="1" customWidth="1"/>
    <col min="10" max="10" width="10.88671875" bestFit="1" customWidth="1"/>
    <col min="11" max="11" width="9.5546875" bestFit="1" customWidth="1"/>
    <col min="13" max="13" width="10.88671875" bestFit="1" customWidth="1"/>
    <col min="14" max="14" width="10.109375" bestFit="1" customWidth="1"/>
    <col min="15" max="15" width="11.88671875" bestFit="1" customWidth="1"/>
  </cols>
  <sheetData>
    <row r="1" spans="1:11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1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1" ht="15.6" x14ac:dyDescent="0.3">
      <c r="A3" s="459" t="s">
        <v>261</v>
      </c>
      <c r="B3" s="459"/>
      <c r="C3" s="459"/>
      <c r="D3" s="459"/>
      <c r="E3" s="459"/>
      <c r="F3" s="459"/>
      <c r="G3" s="459"/>
    </row>
    <row r="4" spans="1:11" x14ac:dyDescent="0.3">
      <c r="A4" s="228"/>
      <c r="B4" s="228"/>
      <c r="C4" s="2"/>
      <c r="D4" s="228"/>
      <c r="E4" s="228"/>
      <c r="F4" s="3"/>
      <c r="G4" s="228"/>
    </row>
    <row r="5" spans="1:11" x14ac:dyDescent="0.3">
      <c r="A5" s="228"/>
      <c r="B5" s="228"/>
      <c r="C5" s="2"/>
      <c r="D5" s="228"/>
      <c r="E5" s="228"/>
      <c r="F5" s="3"/>
      <c r="G5" s="228"/>
    </row>
    <row r="6" spans="1:11" x14ac:dyDescent="0.3">
      <c r="A6" s="228"/>
      <c r="B6" s="228"/>
      <c r="C6" s="2"/>
      <c r="D6" s="228"/>
      <c r="E6" s="228"/>
      <c r="F6" s="3"/>
      <c r="G6" s="228"/>
    </row>
    <row r="7" spans="1:11" x14ac:dyDescent="0.3">
      <c r="A7" s="228"/>
      <c r="B7" s="228"/>
      <c r="C7" s="2"/>
      <c r="D7" s="228"/>
      <c r="E7" s="228"/>
      <c r="F7" s="3"/>
      <c r="G7" s="228"/>
    </row>
    <row r="8" spans="1:11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1" ht="16.2" thickBot="1" x14ac:dyDescent="0.35">
      <c r="B9" s="60"/>
      <c r="C9" s="61"/>
      <c r="D9" s="60"/>
      <c r="E9" s="62"/>
      <c r="F9" s="60" t="s">
        <v>8</v>
      </c>
      <c r="G9" s="60"/>
    </row>
    <row r="10" spans="1:11" ht="16.2" thickTop="1" x14ac:dyDescent="0.3">
      <c r="B10" s="63"/>
      <c r="C10" s="64"/>
      <c r="D10" s="64"/>
      <c r="E10" s="63"/>
      <c r="F10" s="65"/>
      <c r="G10" s="63"/>
    </row>
    <row r="11" spans="1:11" ht="15.6" x14ac:dyDescent="0.3">
      <c r="B11" s="326" t="s">
        <v>244</v>
      </c>
      <c r="C11" s="231">
        <v>1671</v>
      </c>
      <c r="D11" s="232">
        <f t="shared" ref="D11:D21" si="0">SUM(E11*2000)</f>
        <v>38420</v>
      </c>
      <c r="E11" s="233">
        <v>19.21</v>
      </c>
      <c r="F11" s="191">
        <v>-177.65</v>
      </c>
      <c r="G11" s="190">
        <f>SUM(E11*F11)</f>
        <v>-3412.6565000000001</v>
      </c>
    </row>
    <row r="12" spans="1:11" ht="15.6" x14ac:dyDescent="0.3">
      <c r="B12" s="326" t="s">
        <v>245</v>
      </c>
      <c r="C12" s="231">
        <v>1671</v>
      </c>
      <c r="D12" s="232">
        <f t="shared" si="0"/>
        <v>16880</v>
      </c>
      <c r="E12" s="233">
        <v>8.44</v>
      </c>
      <c r="F12" s="191">
        <v>-176.35</v>
      </c>
      <c r="G12" s="190">
        <f t="shared" ref="G12:G21" si="1">SUM(E12*F12)</f>
        <v>-1488.3939999999998</v>
      </c>
      <c r="I12" s="211"/>
      <c r="J12" s="211"/>
    </row>
    <row r="13" spans="1:11" ht="15.6" x14ac:dyDescent="0.3">
      <c r="B13" s="326" t="s">
        <v>246</v>
      </c>
      <c r="C13" s="231">
        <v>1671</v>
      </c>
      <c r="D13" s="232">
        <f t="shared" si="0"/>
        <v>38280</v>
      </c>
      <c r="E13" s="233">
        <v>19.14</v>
      </c>
      <c r="F13" s="191">
        <v>-179.4</v>
      </c>
      <c r="G13" s="190">
        <f t="shared" si="1"/>
        <v>-3433.7160000000003</v>
      </c>
      <c r="I13" s="211"/>
      <c r="J13" s="211"/>
    </row>
    <row r="14" spans="1:11" ht="15.6" x14ac:dyDescent="0.3">
      <c r="B14" s="326" t="s">
        <v>247</v>
      </c>
      <c r="C14" s="231">
        <v>1671</v>
      </c>
      <c r="D14" s="232">
        <f t="shared" si="0"/>
        <v>56040</v>
      </c>
      <c r="E14" s="233">
        <v>28.02</v>
      </c>
      <c r="F14" s="191">
        <v>-179.4</v>
      </c>
      <c r="G14" s="190">
        <f t="shared" si="1"/>
        <v>-5026.7880000000005</v>
      </c>
      <c r="I14" s="211"/>
      <c r="J14" s="211"/>
    </row>
    <row r="15" spans="1:11" ht="15.6" x14ac:dyDescent="0.3">
      <c r="B15" s="326" t="s">
        <v>248</v>
      </c>
      <c r="C15" s="231">
        <v>1671</v>
      </c>
      <c r="D15" s="232">
        <f t="shared" si="0"/>
        <v>38220</v>
      </c>
      <c r="E15" s="233">
        <v>19.11</v>
      </c>
      <c r="F15" s="191">
        <v>-181.9</v>
      </c>
      <c r="G15" s="190">
        <f t="shared" si="1"/>
        <v>-3476.1089999999999</v>
      </c>
      <c r="I15" s="211"/>
      <c r="J15" s="211"/>
    </row>
    <row r="16" spans="1:11" ht="15.6" x14ac:dyDescent="0.3">
      <c r="B16" s="326" t="s">
        <v>249</v>
      </c>
      <c r="C16" s="325">
        <v>1671</v>
      </c>
      <c r="D16" s="277">
        <f t="shared" si="0"/>
        <v>42360</v>
      </c>
      <c r="E16" s="278">
        <v>21.18</v>
      </c>
      <c r="F16" s="222">
        <v>-179.3</v>
      </c>
      <c r="G16" s="324">
        <f t="shared" si="1"/>
        <v>-3797.5740000000001</v>
      </c>
      <c r="H16" s="194"/>
      <c r="I16" s="269" t="s">
        <v>196</v>
      </c>
      <c r="J16" s="269"/>
      <c r="K16" s="194"/>
    </row>
    <row r="17" spans="1:15" ht="15.6" x14ac:dyDescent="0.3">
      <c r="B17" s="87" t="s">
        <v>255</v>
      </c>
      <c r="C17" s="232">
        <v>1671</v>
      </c>
      <c r="D17" s="277">
        <f t="shared" si="0"/>
        <v>59300</v>
      </c>
      <c r="E17" s="233">
        <v>29.65</v>
      </c>
      <c r="F17" s="191">
        <v>-177.65</v>
      </c>
      <c r="G17" s="190">
        <f t="shared" si="1"/>
        <v>-5267.3225000000002</v>
      </c>
      <c r="H17" s="267">
        <v>452.21</v>
      </c>
      <c r="I17" s="268">
        <v>80335.48</v>
      </c>
      <c r="J17" s="269"/>
      <c r="K17" s="317">
        <f>I17/H17</f>
        <v>177.65082594369872</v>
      </c>
    </row>
    <row r="18" spans="1:15" ht="15.6" x14ac:dyDescent="0.3">
      <c r="B18" s="87" t="s">
        <v>256</v>
      </c>
      <c r="C18" s="232">
        <v>1671</v>
      </c>
      <c r="D18" s="277">
        <f t="shared" si="0"/>
        <v>33260</v>
      </c>
      <c r="E18" s="233">
        <v>16.63</v>
      </c>
      <c r="F18" s="191">
        <v>-174.5</v>
      </c>
      <c r="G18" s="190">
        <f t="shared" si="1"/>
        <v>-2901.9349999999999</v>
      </c>
      <c r="H18" s="267">
        <v>373.93</v>
      </c>
      <c r="I18" s="268">
        <v>65251.040000000001</v>
      </c>
      <c r="J18" s="269"/>
      <c r="K18" s="317">
        <f>I18/H18</f>
        <v>174.50068194581874</v>
      </c>
      <c r="L18" s="266"/>
      <c r="O18" s="330">
        <f>+G11+G12+G13+G14+G15+G16+G17+G18+G19+G20+G21+G22</f>
        <v>-42951.602999999996</v>
      </c>
    </row>
    <row r="19" spans="1:15" ht="15.6" x14ac:dyDescent="0.3">
      <c r="B19" s="87" t="s">
        <v>257</v>
      </c>
      <c r="C19" s="277">
        <v>1671</v>
      </c>
      <c r="D19" s="277">
        <f t="shared" si="0"/>
        <v>43860</v>
      </c>
      <c r="E19" s="278">
        <v>21.93</v>
      </c>
      <c r="F19" s="191">
        <v>-174.5</v>
      </c>
      <c r="G19" s="190">
        <f t="shared" si="1"/>
        <v>-3826.7849999999999</v>
      </c>
      <c r="H19" s="267">
        <v>389.6</v>
      </c>
      <c r="I19" s="268">
        <v>67985.460000000006</v>
      </c>
      <c r="J19" s="269"/>
      <c r="K19" s="317">
        <f t="shared" ref="K19:K21" si="2">I19/H19</f>
        <v>174.50066735112938</v>
      </c>
      <c r="M19" s="266"/>
      <c r="N19" s="211"/>
    </row>
    <row r="20" spans="1:15" ht="15.6" x14ac:dyDescent="0.3">
      <c r="B20" s="87" t="s">
        <v>258</v>
      </c>
      <c r="C20" s="277">
        <v>1671</v>
      </c>
      <c r="D20" s="277">
        <f t="shared" si="0"/>
        <v>32900</v>
      </c>
      <c r="E20" s="278">
        <v>16.45</v>
      </c>
      <c r="F20" s="191">
        <v>-174.5</v>
      </c>
      <c r="G20" s="190">
        <f t="shared" si="1"/>
        <v>-2870.5250000000001</v>
      </c>
      <c r="H20" s="267">
        <v>372.41</v>
      </c>
      <c r="I20" s="268">
        <v>64985.760000000002</v>
      </c>
      <c r="J20" s="269"/>
      <c r="K20" s="317">
        <f t="shared" si="2"/>
        <v>174.50057732069493</v>
      </c>
      <c r="M20" s="211"/>
    </row>
    <row r="21" spans="1:15" ht="15.6" x14ac:dyDescent="0.3">
      <c r="B21" s="87" t="s">
        <v>259</v>
      </c>
      <c r="C21" s="277">
        <v>1671</v>
      </c>
      <c r="D21" s="277">
        <f t="shared" si="0"/>
        <v>41420</v>
      </c>
      <c r="E21" s="278">
        <v>20.71</v>
      </c>
      <c r="F21" s="191">
        <v>-165.5</v>
      </c>
      <c r="G21" s="190">
        <f t="shared" si="1"/>
        <v>-3427.5050000000001</v>
      </c>
      <c r="H21" s="267">
        <v>374.84</v>
      </c>
      <c r="I21" s="268">
        <v>62036.24</v>
      </c>
      <c r="J21" s="269"/>
      <c r="K21" s="317">
        <f t="shared" si="2"/>
        <v>165.50058691708463</v>
      </c>
    </row>
    <row r="22" spans="1:15" ht="15.6" x14ac:dyDescent="0.3">
      <c r="B22" s="87" t="s">
        <v>260</v>
      </c>
      <c r="C22" s="234">
        <v>1671</v>
      </c>
      <c r="D22" s="234">
        <f>SUM(E22*2000)</f>
        <v>46420</v>
      </c>
      <c r="E22" s="276">
        <v>23.21</v>
      </c>
      <c r="F22" s="191">
        <v>-173.3</v>
      </c>
      <c r="G22" s="229">
        <f>SUM(E22*F22)</f>
        <v>-4022.2930000000006</v>
      </c>
      <c r="H22" s="267">
        <v>420.08</v>
      </c>
      <c r="I22" s="268">
        <v>72800.11</v>
      </c>
      <c r="J22" s="194"/>
      <c r="K22" s="317">
        <f>I22/H22</f>
        <v>173.30058560274233</v>
      </c>
    </row>
    <row r="23" spans="1:15" ht="15.6" x14ac:dyDescent="0.3">
      <c r="A23" t="s">
        <v>41</v>
      </c>
      <c r="B23" s="76"/>
      <c r="C23" s="231">
        <f>SUM(C11:C22)</f>
        <v>20052</v>
      </c>
      <c r="D23" s="270">
        <f>SUM(D11:D22)</f>
        <v>487360</v>
      </c>
      <c r="E23" s="271">
        <f>SUM(E11:E22)</f>
        <v>243.68</v>
      </c>
      <c r="F23" s="192"/>
      <c r="G23" s="272">
        <f>SUM(G11:G22)</f>
        <v>-42951.602999999996</v>
      </c>
      <c r="H23" s="194"/>
      <c r="I23" s="269"/>
      <c r="J23" s="194"/>
    </row>
    <row r="24" spans="1:15" ht="15.6" x14ac:dyDescent="0.3">
      <c r="B24" s="63"/>
      <c r="C24" s="81"/>
      <c r="D24" s="82"/>
      <c r="E24" s="83"/>
      <c r="F24" s="273" t="s">
        <v>0</v>
      </c>
      <c r="G24" s="194"/>
      <c r="H24" s="194"/>
      <c r="I24" s="279" t="s">
        <v>250</v>
      </c>
      <c r="J24" s="194"/>
    </row>
    <row r="25" spans="1:15" ht="15.6" x14ac:dyDescent="0.3">
      <c r="C25" s="81"/>
      <c r="D25" s="82"/>
      <c r="E25" s="83"/>
      <c r="F25" s="84" t="s">
        <v>0</v>
      </c>
    </row>
    <row r="26" spans="1:15" x14ac:dyDescent="0.3">
      <c r="C26" s="195"/>
      <c r="D26" s="196"/>
      <c r="E26" s="197"/>
      <c r="F26" s="262">
        <v>33864</v>
      </c>
      <c r="G26" s="199"/>
    </row>
    <row r="27" spans="1:15" x14ac:dyDescent="0.3">
      <c r="C27" s="200" t="s">
        <v>159</v>
      </c>
      <c r="D27" s="263">
        <f>+'Single Family Oct 20'!D11+'Single Family Oct 20'!D12+'Single Family Oct 20'!D13+'Single Family Oct 20'!D14+'Single Family Oct 20'!D15+'Single Family Oct 20'!D16+'Single Family Oct 20'!D17+'Single Family Oct 20'!D18+'Single Family Oct 20'!D19+'Single Family Oct 20'!D20+'Single Family Oct 20'!D21+'Single Family Oct 20'!D22</f>
        <v>5299660</v>
      </c>
      <c r="E27" s="202">
        <f>D27/$D$29</f>
        <v>0.91578394406793129</v>
      </c>
      <c r="F27" s="203">
        <f>E27*F26</f>
        <v>31012.107481916424</v>
      </c>
      <c r="G27" s="204"/>
    </row>
    <row r="28" spans="1:15" x14ac:dyDescent="0.3">
      <c r="C28" s="200" t="s">
        <v>160</v>
      </c>
      <c r="D28" s="263">
        <f>SUM(D11:D22)</f>
        <v>487360</v>
      </c>
      <c r="E28" s="202">
        <f>D28/$D$29</f>
        <v>8.421605593206867E-2</v>
      </c>
      <c r="F28" s="205">
        <f>E28*F26</f>
        <v>2851.8925180835736</v>
      </c>
      <c r="G28" s="204"/>
    </row>
    <row r="29" spans="1:15" x14ac:dyDescent="0.3">
      <c r="C29" s="206" t="s">
        <v>87</v>
      </c>
      <c r="D29" s="207">
        <f>SUM(D27:D28)</f>
        <v>5787020</v>
      </c>
      <c r="E29" s="208"/>
      <c r="F29" s="209">
        <f>F26-F27-F28</f>
        <v>0</v>
      </c>
      <c r="G29" s="210" t="s">
        <v>161</v>
      </c>
    </row>
    <row r="34" spans="5:5" x14ac:dyDescent="0.3">
      <c r="E34" s="185"/>
    </row>
    <row r="35" spans="5:5" x14ac:dyDescent="0.3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0" zoomScaleNormal="100" workbookViewId="0">
      <selection activeCell="M18" sqref="M18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10.88671875" bestFit="1" customWidth="1"/>
    <col min="10" max="10" width="12.33203125" customWidth="1"/>
    <col min="11" max="11" width="9.5546875" bestFit="1" customWidth="1"/>
    <col min="13" max="13" width="12.3320312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261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28"/>
      <c r="D4" s="3"/>
      <c r="E4" s="228"/>
      <c r="F4" s="228"/>
    </row>
    <row r="5" spans="1:10" x14ac:dyDescent="0.3">
      <c r="A5" s="228"/>
      <c r="B5" s="228"/>
      <c r="C5" s="228"/>
      <c r="D5" s="3"/>
      <c r="E5" s="228"/>
      <c r="F5" s="228"/>
    </row>
    <row r="6" spans="1:10" x14ac:dyDescent="0.3">
      <c r="A6" s="228"/>
      <c r="B6" s="228"/>
      <c r="C6" s="228"/>
      <c r="D6" s="3"/>
      <c r="E6" s="228"/>
      <c r="F6" s="228"/>
    </row>
    <row r="7" spans="1:10" x14ac:dyDescent="0.3">
      <c r="A7" s="228"/>
      <c r="B7" s="2"/>
      <c r="C7" s="228"/>
      <c r="D7" s="228"/>
      <c r="E7" s="3"/>
      <c r="F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326" t="s">
        <v>244</v>
      </c>
      <c r="C11" s="232">
        <v>6723</v>
      </c>
      <c r="D11" s="232">
        <f t="shared" ref="D11:D21" si="0">SUM(E11*2000)</f>
        <v>456540</v>
      </c>
      <c r="E11" s="233">
        <v>228.27</v>
      </c>
      <c r="F11" s="191">
        <v>-177.65</v>
      </c>
      <c r="G11" s="190">
        <f t="shared" ref="G11:G21" si="1">SUM(E11*F11)</f>
        <v>-40552.165500000003</v>
      </c>
      <c r="J11" s="279"/>
    </row>
    <row r="12" spans="1:10" ht="15.6" x14ac:dyDescent="0.3">
      <c r="B12" s="326" t="s">
        <v>245</v>
      </c>
      <c r="C12" s="232">
        <v>6721</v>
      </c>
      <c r="D12" s="232">
        <f t="shared" si="0"/>
        <v>441100</v>
      </c>
      <c r="E12" s="233">
        <v>220.55</v>
      </c>
      <c r="F12" s="191">
        <v>-176.35</v>
      </c>
      <c r="G12" s="190">
        <f t="shared" si="1"/>
        <v>-38893.9925</v>
      </c>
      <c r="I12" s="211"/>
      <c r="J12" s="213"/>
    </row>
    <row r="13" spans="1:10" ht="15.6" x14ac:dyDescent="0.3">
      <c r="B13" s="326" t="s">
        <v>246</v>
      </c>
      <c r="C13" s="277">
        <v>6727</v>
      </c>
      <c r="D13" s="232">
        <f t="shared" si="0"/>
        <v>369160</v>
      </c>
      <c r="E13" s="278">
        <v>184.58</v>
      </c>
      <c r="F13" s="191">
        <v>-179.4</v>
      </c>
      <c r="G13" s="190">
        <f t="shared" si="1"/>
        <v>-33113.652000000002</v>
      </c>
      <c r="I13" s="211"/>
      <c r="J13" s="213"/>
    </row>
    <row r="14" spans="1:10" ht="15.6" x14ac:dyDescent="0.3">
      <c r="B14" s="326" t="s">
        <v>247</v>
      </c>
      <c r="C14" s="277">
        <v>6748</v>
      </c>
      <c r="D14" s="232">
        <f t="shared" si="0"/>
        <v>320660</v>
      </c>
      <c r="E14" s="278">
        <v>160.33000000000001</v>
      </c>
      <c r="F14" s="191">
        <v>-179.4</v>
      </c>
      <c r="G14" s="190">
        <f t="shared" si="1"/>
        <v>-28763.202000000005</v>
      </c>
      <c r="I14" s="211"/>
      <c r="J14" s="213"/>
    </row>
    <row r="15" spans="1:10" ht="15.6" x14ac:dyDescent="0.3">
      <c r="B15" s="326" t="s">
        <v>248</v>
      </c>
      <c r="C15" s="277">
        <v>6738</v>
      </c>
      <c r="D15" s="232">
        <f t="shared" si="0"/>
        <v>449420</v>
      </c>
      <c r="E15" s="278">
        <v>224.71</v>
      </c>
      <c r="F15" s="191">
        <v>-181.9</v>
      </c>
      <c r="G15" s="190">
        <f t="shared" si="1"/>
        <v>-40874.749000000003</v>
      </c>
      <c r="I15" s="211"/>
      <c r="J15" s="213"/>
    </row>
    <row r="16" spans="1:10" ht="15.6" x14ac:dyDescent="0.3">
      <c r="B16" s="326" t="s">
        <v>249</v>
      </c>
      <c r="C16" s="277">
        <v>6754</v>
      </c>
      <c r="D16" s="277">
        <f t="shared" si="0"/>
        <v>550860</v>
      </c>
      <c r="E16" s="278">
        <v>275.43</v>
      </c>
      <c r="F16" s="191">
        <v>-179.3</v>
      </c>
      <c r="G16" s="324">
        <f t="shared" si="1"/>
        <v>-49384.599000000002</v>
      </c>
      <c r="I16" s="211"/>
      <c r="J16" s="213"/>
    </row>
    <row r="17" spans="1:14" ht="15.6" x14ac:dyDescent="0.3">
      <c r="B17" s="87" t="s">
        <v>255</v>
      </c>
      <c r="C17" s="232">
        <v>6755</v>
      </c>
      <c r="D17" s="277">
        <f t="shared" si="0"/>
        <v>477960</v>
      </c>
      <c r="E17" s="233">
        <v>238.98</v>
      </c>
      <c r="F17" s="191">
        <v>-177.65</v>
      </c>
      <c r="G17" s="190">
        <f t="shared" si="1"/>
        <v>-42454.796999999999</v>
      </c>
      <c r="H17" s="189"/>
      <c r="I17" s="211"/>
      <c r="J17" s="213"/>
      <c r="M17" s="335">
        <f>+G11+G12+G13+G14+G15+G16+G17+G18+G19+G20+G21+G22</f>
        <v>-466539.51700000005</v>
      </c>
      <c r="N17" s="194"/>
    </row>
    <row r="18" spans="1:14" ht="15.6" x14ac:dyDescent="0.3">
      <c r="B18" s="87" t="s">
        <v>256</v>
      </c>
      <c r="C18" s="232">
        <v>6761</v>
      </c>
      <c r="D18" s="277">
        <f t="shared" si="0"/>
        <v>422060</v>
      </c>
      <c r="E18" s="233">
        <v>211.03</v>
      </c>
      <c r="F18" s="191">
        <v>-174.5</v>
      </c>
      <c r="G18" s="190">
        <f t="shared" si="1"/>
        <v>-36824.735000000001</v>
      </c>
      <c r="I18" s="211"/>
      <c r="J18" s="213"/>
      <c r="M18" s="332">
        <f>+'Multi-Family Oct 20'!O18</f>
        <v>-42951.602999999996</v>
      </c>
      <c r="N18" s="194"/>
    </row>
    <row r="19" spans="1:14" ht="15.6" x14ac:dyDescent="0.3">
      <c r="B19" s="87" t="s">
        <v>257</v>
      </c>
      <c r="C19" s="277">
        <v>6749</v>
      </c>
      <c r="D19" s="277">
        <f t="shared" si="0"/>
        <v>425000</v>
      </c>
      <c r="E19" s="278">
        <v>212.5</v>
      </c>
      <c r="F19" s="191">
        <v>-174.5</v>
      </c>
      <c r="G19" s="190">
        <f t="shared" si="1"/>
        <v>-37081.25</v>
      </c>
      <c r="I19" s="211"/>
      <c r="J19" s="213"/>
      <c r="M19" s="331">
        <f>+M17+M18</f>
        <v>-509491.12000000005</v>
      </c>
      <c r="N19" s="194"/>
    </row>
    <row r="20" spans="1:14" ht="15.6" x14ac:dyDescent="0.3">
      <c r="B20" s="87" t="s">
        <v>258</v>
      </c>
      <c r="C20" s="277">
        <v>6765</v>
      </c>
      <c r="D20" s="277">
        <f t="shared" si="0"/>
        <v>458860</v>
      </c>
      <c r="E20" s="278">
        <v>229.43</v>
      </c>
      <c r="F20" s="191">
        <v>-174.5</v>
      </c>
      <c r="G20" s="190">
        <f t="shared" si="1"/>
        <v>-40035.535000000003</v>
      </c>
      <c r="I20" s="211"/>
      <c r="J20" s="213"/>
      <c r="M20" s="328" t="s">
        <v>268</v>
      </c>
      <c r="N20" s="194"/>
    </row>
    <row r="21" spans="1:14" ht="15.6" x14ac:dyDescent="0.3">
      <c r="B21" s="87" t="s">
        <v>259</v>
      </c>
      <c r="C21" s="277">
        <v>6796</v>
      </c>
      <c r="D21" s="277">
        <f t="shared" si="0"/>
        <v>475340</v>
      </c>
      <c r="E21" s="278">
        <v>237.67</v>
      </c>
      <c r="F21" s="191">
        <v>-165.5</v>
      </c>
      <c r="G21" s="190">
        <f t="shared" si="1"/>
        <v>-39334.384999999995</v>
      </c>
      <c r="I21" s="211"/>
      <c r="J21" s="213"/>
      <c r="M21" s="328" t="s">
        <v>252</v>
      </c>
      <c r="N21" s="194"/>
    </row>
    <row r="22" spans="1:14" ht="15.6" x14ac:dyDescent="0.3">
      <c r="B22" s="87" t="s">
        <v>260</v>
      </c>
      <c r="C22" s="234">
        <v>6810</v>
      </c>
      <c r="D22" s="234">
        <f>SUM(E22*2000)</f>
        <v>452700</v>
      </c>
      <c r="E22" s="276">
        <v>226.35</v>
      </c>
      <c r="F22" s="191">
        <v>-173.3</v>
      </c>
      <c r="G22" s="229">
        <f>SUM(E22*F22)</f>
        <v>-39226.455000000002</v>
      </c>
    </row>
    <row r="23" spans="1:14" ht="15.6" x14ac:dyDescent="0.3">
      <c r="A23" t="s">
        <v>41</v>
      </c>
      <c r="B23" s="58"/>
      <c r="C23" s="186">
        <f>SUM(C11:C22)</f>
        <v>81047</v>
      </c>
      <c r="D23" s="88">
        <f>SUM(D11:D22)</f>
        <v>5299660</v>
      </c>
      <c r="E23" s="107">
        <f>SUM(E11:E22)</f>
        <v>2649.83</v>
      </c>
      <c r="F23" s="192"/>
      <c r="G23" s="80">
        <f>SUM(G11:G22)</f>
        <v>-466539.51700000005</v>
      </c>
      <c r="M23" s="333">
        <f>SUM(G11:G22)+SUM('Multi-Family Oct 20'!G11:G22)</f>
        <v>-509491.12000000005</v>
      </c>
      <c r="N23" s="334" t="s">
        <v>266</v>
      </c>
    </row>
    <row r="24" spans="1:14" x14ac:dyDescent="0.3">
      <c r="E24" s="185"/>
      <c r="F24" s="194"/>
      <c r="I24" s="279" t="s">
        <v>250</v>
      </c>
      <c r="N24" s="279" t="s">
        <v>267</v>
      </c>
    </row>
    <row r="25" spans="1:14" x14ac:dyDescent="0.3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6" width="12.6640625" customWidth="1"/>
    <col min="7" max="7" width="13.44140625" bestFit="1" customWidth="1"/>
    <col min="9" max="9" width="11.88671875" bestFit="1" customWidth="1"/>
    <col min="10" max="10" width="10.88671875" bestFit="1" customWidth="1"/>
    <col min="11" max="11" width="9.5546875" bestFit="1" customWidth="1"/>
    <col min="13" max="13" width="10.88671875" bestFit="1" customWidth="1"/>
    <col min="14" max="14" width="10.109375" bestFit="1" customWidth="1"/>
    <col min="15" max="15" width="11.88671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243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"/>
      <c r="D4" s="228"/>
      <c r="E4" s="228"/>
      <c r="F4" s="3"/>
      <c r="G4" s="228"/>
    </row>
    <row r="5" spans="1:10" x14ac:dyDescent="0.3">
      <c r="A5" s="228"/>
      <c r="B5" s="228"/>
      <c r="C5" s="2"/>
      <c r="D5" s="228"/>
      <c r="E5" s="228"/>
      <c r="F5" s="3"/>
      <c r="G5" s="228"/>
    </row>
    <row r="6" spans="1:10" x14ac:dyDescent="0.3">
      <c r="A6" s="228"/>
      <c r="B6" s="228"/>
      <c r="C6" s="2"/>
      <c r="D6" s="228"/>
      <c r="E6" s="228"/>
      <c r="F6" s="3"/>
      <c r="G6" s="228"/>
    </row>
    <row r="7" spans="1:10" x14ac:dyDescent="0.3">
      <c r="A7" s="228"/>
      <c r="B7" s="228"/>
      <c r="C7" s="2"/>
      <c r="D7" s="228"/>
      <c r="E7" s="228"/>
      <c r="F7" s="3"/>
      <c r="G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7" t="s">
        <v>233</v>
      </c>
      <c r="C11" s="231">
        <v>1567</v>
      </c>
      <c r="D11" s="232">
        <f t="shared" ref="D11:D21" si="0">SUM(E11*2000)</f>
        <v>12180</v>
      </c>
      <c r="E11" s="233">
        <v>6.09</v>
      </c>
      <c r="F11" s="191">
        <v>-144.55000000000001</v>
      </c>
      <c r="G11" s="190">
        <f>SUM(E11*F11)</f>
        <v>-880.30950000000007</v>
      </c>
    </row>
    <row r="12" spans="1:10" ht="15.6" x14ac:dyDescent="0.3">
      <c r="B12" s="87" t="s">
        <v>232</v>
      </c>
      <c r="C12" s="231">
        <v>1567</v>
      </c>
      <c r="D12" s="232">
        <f t="shared" si="0"/>
        <v>23440</v>
      </c>
      <c r="E12" s="233">
        <v>11.72</v>
      </c>
      <c r="F12" s="191">
        <v>-163.1</v>
      </c>
      <c r="G12" s="190">
        <f t="shared" ref="G12:G16" si="1">SUM(E12*F12)</f>
        <v>-1911.5319999999999</v>
      </c>
      <c r="I12" s="211"/>
      <c r="J12" s="211"/>
    </row>
    <row r="13" spans="1:10" ht="15.6" x14ac:dyDescent="0.3">
      <c r="B13" s="87" t="s">
        <v>231</v>
      </c>
      <c r="C13" s="231">
        <v>1567</v>
      </c>
      <c r="D13" s="232">
        <f t="shared" si="0"/>
        <v>46280</v>
      </c>
      <c r="E13" s="233">
        <v>23.14</v>
      </c>
      <c r="F13" s="191">
        <v>-170.3</v>
      </c>
      <c r="G13" s="190">
        <f t="shared" si="1"/>
        <v>-3940.7420000000002</v>
      </c>
      <c r="I13" s="211"/>
      <c r="J13" s="211"/>
    </row>
    <row r="14" spans="1:10" ht="15.6" x14ac:dyDescent="0.3">
      <c r="B14" s="87" t="s">
        <v>230</v>
      </c>
      <c r="C14" s="231">
        <v>1567</v>
      </c>
      <c r="D14" s="232">
        <f t="shared" si="0"/>
        <v>12920</v>
      </c>
      <c r="E14" s="233">
        <v>6.46</v>
      </c>
      <c r="F14" s="191">
        <v>-176.1</v>
      </c>
      <c r="G14" s="190">
        <f t="shared" si="1"/>
        <v>-1137.606</v>
      </c>
      <c r="I14" s="211"/>
      <c r="J14" s="211"/>
    </row>
    <row r="15" spans="1:10" ht="15.6" x14ac:dyDescent="0.3">
      <c r="B15" s="87" t="s">
        <v>229</v>
      </c>
      <c r="C15" s="231">
        <v>1564</v>
      </c>
      <c r="D15" s="232">
        <f t="shared" si="0"/>
        <v>20500</v>
      </c>
      <c r="E15" s="233">
        <v>10.25</v>
      </c>
      <c r="F15" s="191">
        <v>-177.65</v>
      </c>
      <c r="G15" s="190">
        <f t="shared" si="1"/>
        <v>-1820.9125000000001</v>
      </c>
      <c r="I15" s="211"/>
      <c r="J15" s="211"/>
    </row>
    <row r="16" spans="1:10" ht="15.6" x14ac:dyDescent="0.3">
      <c r="B16" s="87" t="s">
        <v>228</v>
      </c>
      <c r="C16" s="325">
        <v>1564</v>
      </c>
      <c r="D16" s="277">
        <f t="shared" si="0"/>
        <v>21080</v>
      </c>
      <c r="E16" s="278">
        <v>10.54</v>
      </c>
      <c r="F16" s="222">
        <v>-177.65</v>
      </c>
      <c r="G16" s="324">
        <f t="shared" si="1"/>
        <v>-1872.4309999999998</v>
      </c>
      <c r="I16" s="211" t="s">
        <v>196</v>
      </c>
      <c r="J16" s="211"/>
    </row>
    <row r="17" spans="1:15" ht="15.6" x14ac:dyDescent="0.3">
      <c r="B17" s="87" t="s">
        <v>244</v>
      </c>
      <c r="C17" s="232">
        <v>1671</v>
      </c>
      <c r="D17" s="277">
        <f t="shared" si="0"/>
        <v>38420</v>
      </c>
      <c r="E17" s="233">
        <v>19.21</v>
      </c>
      <c r="F17" s="191">
        <v>-177.65</v>
      </c>
      <c r="G17" s="190">
        <f t="shared" ref="G17:G21" si="2">SUM(E17*F17)</f>
        <v>-3412.6565000000001</v>
      </c>
      <c r="H17" s="267">
        <v>466.69</v>
      </c>
      <c r="I17" s="268">
        <v>82907.77</v>
      </c>
      <c r="J17" s="269"/>
      <c r="K17" s="317">
        <f>I17/H17</f>
        <v>177.65062461162657</v>
      </c>
    </row>
    <row r="18" spans="1:15" ht="15.6" x14ac:dyDescent="0.3">
      <c r="B18" s="87" t="s">
        <v>245</v>
      </c>
      <c r="C18" s="232">
        <v>1671</v>
      </c>
      <c r="D18" s="277">
        <f t="shared" si="0"/>
        <v>16880</v>
      </c>
      <c r="E18" s="233">
        <v>8.44</v>
      </c>
      <c r="F18" s="191">
        <v>-176.35</v>
      </c>
      <c r="G18" s="190">
        <f t="shared" si="2"/>
        <v>-1488.3939999999998</v>
      </c>
      <c r="H18" s="267">
        <v>429.49</v>
      </c>
      <c r="I18" s="268">
        <v>75740.89</v>
      </c>
      <c r="J18" s="269"/>
      <c r="K18" s="317">
        <f>I18/H18</f>
        <v>176.35076486064867</v>
      </c>
      <c r="L18" s="266"/>
      <c r="O18" s="316">
        <f>+G17+G18+G19+G20+G21+G22</f>
        <v>-20635.237499999999</v>
      </c>
    </row>
    <row r="19" spans="1:15" ht="15.6" x14ac:dyDescent="0.3">
      <c r="B19" s="87" t="s">
        <v>246</v>
      </c>
      <c r="C19" s="277">
        <v>1671</v>
      </c>
      <c r="D19" s="277">
        <f t="shared" si="0"/>
        <v>38280</v>
      </c>
      <c r="E19" s="278">
        <v>19.14</v>
      </c>
      <c r="F19" s="191">
        <v>-179.4</v>
      </c>
      <c r="G19" s="190">
        <f t="shared" si="2"/>
        <v>-3433.7160000000003</v>
      </c>
      <c r="H19" s="267">
        <v>405.34</v>
      </c>
      <c r="I19" s="268">
        <v>72718.25</v>
      </c>
      <c r="J19" s="269"/>
      <c r="K19" s="317">
        <f t="shared" ref="K19:K22" si="3">I19/H19</f>
        <v>179.40062663443035</v>
      </c>
      <c r="M19" s="266"/>
      <c r="N19" s="211"/>
    </row>
    <row r="20" spans="1:15" ht="15.6" x14ac:dyDescent="0.3">
      <c r="B20" s="87" t="s">
        <v>247</v>
      </c>
      <c r="C20" s="277">
        <v>1671</v>
      </c>
      <c r="D20" s="277">
        <f t="shared" si="0"/>
        <v>56040</v>
      </c>
      <c r="E20" s="278">
        <v>28.02</v>
      </c>
      <c r="F20" s="191">
        <v>-179.4</v>
      </c>
      <c r="G20" s="190">
        <f t="shared" si="2"/>
        <v>-5026.7880000000005</v>
      </c>
      <c r="H20" s="267">
        <v>373.31</v>
      </c>
      <c r="I20" s="268">
        <v>66972.100000000006</v>
      </c>
      <c r="J20" s="269"/>
      <c r="K20" s="317">
        <f t="shared" si="3"/>
        <v>179.40076611931104</v>
      </c>
      <c r="M20" s="211"/>
    </row>
    <row r="21" spans="1:15" ht="15.6" x14ac:dyDescent="0.3">
      <c r="B21" s="87" t="s">
        <v>248</v>
      </c>
      <c r="C21" s="277">
        <v>1671</v>
      </c>
      <c r="D21" s="277">
        <f t="shared" si="0"/>
        <v>38220</v>
      </c>
      <c r="E21" s="278">
        <v>19.11</v>
      </c>
      <c r="F21" s="191">
        <v>-181.9</v>
      </c>
      <c r="G21" s="190">
        <f t="shared" si="2"/>
        <v>-3476.1089999999999</v>
      </c>
      <c r="H21" s="267">
        <v>373.51</v>
      </c>
      <c r="I21" s="268">
        <v>67941.72</v>
      </c>
      <c r="J21" s="269"/>
      <c r="K21" s="317">
        <f t="shared" si="3"/>
        <v>181.90067200342696</v>
      </c>
    </row>
    <row r="22" spans="1:15" ht="15.6" x14ac:dyDescent="0.3">
      <c r="B22" s="326" t="s">
        <v>249</v>
      </c>
      <c r="C22" s="234">
        <v>1671</v>
      </c>
      <c r="D22" s="234">
        <f>SUM(E22*2000)</f>
        <v>42360</v>
      </c>
      <c r="E22" s="276">
        <v>21.18</v>
      </c>
      <c r="F22" s="191">
        <v>-179.3</v>
      </c>
      <c r="G22" s="229">
        <f>SUM(E22*F22)</f>
        <v>-3797.5740000000001</v>
      </c>
      <c r="H22" s="267">
        <v>448.9</v>
      </c>
      <c r="I22" s="268">
        <v>80487.929999999993</v>
      </c>
      <c r="J22" s="194"/>
      <c r="K22" s="317">
        <f t="shared" si="3"/>
        <v>179.30035642682111</v>
      </c>
    </row>
    <row r="23" spans="1:15" ht="15.6" x14ac:dyDescent="0.3">
      <c r="A23" t="s">
        <v>41</v>
      </c>
      <c r="B23" s="76"/>
      <c r="C23" s="231">
        <f>SUM(C11:C22)</f>
        <v>19422</v>
      </c>
      <c r="D23" s="270">
        <f>SUM(D11:D22)</f>
        <v>366600</v>
      </c>
      <c r="E23" s="271">
        <f>SUM(E11:E22)</f>
        <v>183.3</v>
      </c>
      <c r="F23" s="192"/>
      <c r="G23" s="272">
        <f>SUM(G11:G22)</f>
        <v>-32198.770500000002</v>
      </c>
      <c r="H23" s="194"/>
      <c r="I23" s="269"/>
      <c r="J23" s="194"/>
    </row>
    <row r="24" spans="1:15" ht="15.6" x14ac:dyDescent="0.3">
      <c r="B24" s="63"/>
      <c r="C24" s="81"/>
      <c r="D24" s="82"/>
      <c r="E24" s="83"/>
      <c r="F24" s="273" t="s">
        <v>0</v>
      </c>
      <c r="G24" s="194"/>
      <c r="H24" s="194"/>
      <c r="I24" s="279" t="s">
        <v>250</v>
      </c>
      <c r="J24" s="194"/>
    </row>
    <row r="25" spans="1:15" ht="15.6" x14ac:dyDescent="0.3">
      <c r="C25" s="81"/>
      <c r="D25" s="82"/>
      <c r="E25" s="83"/>
      <c r="F25" s="84" t="s">
        <v>0</v>
      </c>
    </row>
    <row r="26" spans="1:15" x14ac:dyDescent="0.3">
      <c r="C26" s="195"/>
      <c r="D26" s="196"/>
      <c r="E26" s="197"/>
      <c r="F26" s="262">
        <v>33864</v>
      </c>
      <c r="G26" s="199"/>
    </row>
    <row r="27" spans="1:15" x14ac:dyDescent="0.3">
      <c r="C27" s="200" t="s">
        <v>159</v>
      </c>
      <c r="D27" s="263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202">
        <f>D27/$D$29</f>
        <v>0.93068868898392565</v>
      </c>
      <c r="F27" s="203">
        <f>E27*F26</f>
        <v>31516.841763751658</v>
      </c>
      <c r="G27" s="204"/>
    </row>
    <row r="28" spans="1:15" x14ac:dyDescent="0.3">
      <c r="C28" s="200" t="s">
        <v>160</v>
      </c>
      <c r="D28" s="263">
        <f>SUM(D11:D22)</f>
        <v>366600</v>
      </c>
      <c r="E28" s="202">
        <f>D28/$D$29</f>
        <v>6.9311311016074323E-2</v>
      </c>
      <c r="F28" s="205">
        <f>E28*F26</f>
        <v>2347.1582362483409</v>
      </c>
      <c r="G28" s="204"/>
    </row>
    <row r="29" spans="1:15" x14ac:dyDescent="0.3">
      <c r="C29" s="206" t="s">
        <v>87</v>
      </c>
      <c r="D29" s="207">
        <f>SUM(D27:D28)</f>
        <v>5289180</v>
      </c>
      <c r="E29" s="208"/>
      <c r="F29" s="209">
        <f>F26-F27-F28</f>
        <v>0</v>
      </c>
      <c r="G29" s="210" t="s">
        <v>161</v>
      </c>
    </row>
    <row r="34" spans="5:5" x14ac:dyDescent="0.3">
      <c r="E34" s="185"/>
    </row>
    <row r="35" spans="5:5" x14ac:dyDescent="0.3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sqref="A1:G1"/>
    </sheetView>
  </sheetViews>
  <sheetFormatPr defaultRowHeight="14.4" x14ac:dyDescent="0.3"/>
  <cols>
    <col min="1" max="1" width="3.5546875" customWidth="1"/>
    <col min="3" max="3" width="16.44140625" customWidth="1"/>
    <col min="4" max="6" width="12.6640625" customWidth="1"/>
    <col min="7" max="7" width="15.88671875" customWidth="1"/>
    <col min="9" max="9" width="10.88671875" bestFit="1" customWidth="1"/>
    <col min="10" max="10" width="12.33203125" customWidth="1"/>
    <col min="11" max="11" width="9.5546875" bestFit="1" customWidth="1"/>
    <col min="13" max="13" width="12.3320312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71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243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28"/>
      <c r="D4" s="3"/>
      <c r="E4" s="228"/>
      <c r="F4" s="228"/>
    </row>
    <row r="5" spans="1:10" x14ac:dyDescent="0.3">
      <c r="A5" s="228"/>
      <c r="B5" s="228"/>
      <c r="C5" s="228"/>
      <c r="D5" s="3"/>
      <c r="E5" s="228"/>
      <c r="F5" s="228"/>
    </row>
    <row r="6" spans="1:10" x14ac:dyDescent="0.3">
      <c r="A6" s="228"/>
      <c r="B6" s="228"/>
      <c r="C6" s="228"/>
      <c r="D6" s="3"/>
      <c r="E6" s="228"/>
      <c r="F6" s="228"/>
    </row>
    <row r="7" spans="1:10" x14ac:dyDescent="0.3">
      <c r="A7" s="228"/>
      <c r="B7" s="2"/>
      <c r="C7" s="228"/>
      <c r="D7" s="228"/>
      <c r="E7" s="3"/>
      <c r="F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7" t="s">
        <v>233</v>
      </c>
      <c r="C11" s="232">
        <v>6624</v>
      </c>
      <c r="D11" s="232">
        <f t="shared" ref="D11:D21" si="0">SUM(E11*2000)</f>
        <v>569420</v>
      </c>
      <c r="E11" s="233">
        <v>284.70999999999998</v>
      </c>
      <c r="F11" s="191">
        <v>-144.55000000000001</v>
      </c>
      <c r="G11" s="190">
        <f t="shared" ref="G11:G16" si="1">SUM(E11*F11)</f>
        <v>-41154.830500000004</v>
      </c>
      <c r="J11" s="279"/>
    </row>
    <row r="12" spans="1:10" ht="15.6" x14ac:dyDescent="0.3">
      <c r="B12" s="87" t="s">
        <v>232</v>
      </c>
      <c r="C12" s="232">
        <v>6636</v>
      </c>
      <c r="D12" s="232">
        <f t="shared" si="0"/>
        <v>332460</v>
      </c>
      <c r="E12" s="233">
        <v>166.23</v>
      </c>
      <c r="F12" s="191">
        <v>-163.1</v>
      </c>
      <c r="G12" s="190">
        <f t="shared" si="1"/>
        <v>-27112.112999999998</v>
      </c>
      <c r="I12" s="211"/>
      <c r="J12" s="213"/>
    </row>
    <row r="13" spans="1:10" ht="15.6" x14ac:dyDescent="0.3">
      <c r="B13" s="87" t="s">
        <v>231</v>
      </c>
      <c r="C13" s="277">
        <v>6646</v>
      </c>
      <c r="D13" s="232">
        <f t="shared" si="0"/>
        <v>398360</v>
      </c>
      <c r="E13" s="278">
        <v>199.18</v>
      </c>
      <c r="F13" s="191">
        <v>-170.3</v>
      </c>
      <c r="G13" s="190">
        <f t="shared" si="1"/>
        <v>-33920.354000000007</v>
      </c>
      <c r="I13" s="211"/>
      <c r="J13" s="213"/>
    </row>
    <row r="14" spans="1:10" ht="15.6" x14ac:dyDescent="0.3">
      <c r="B14" s="87" t="s">
        <v>230</v>
      </c>
      <c r="C14" s="277">
        <v>6638</v>
      </c>
      <c r="D14" s="232">
        <f t="shared" si="0"/>
        <v>312880</v>
      </c>
      <c r="E14" s="278">
        <v>156.44</v>
      </c>
      <c r="F14" s="191">
        <v>-176.1</v>
      </c>
      <c r="G14" s="190">
        <f t="shared" si="1"/>
        <v>-27549.083999999999</v>
      </c>
      <c r="I14" s="211"/>
      <c r="J14" s="213"/>
    </row>
    <row r="15" spans="1:10" ht="15.6" x14ac:dyDescent="0.3">
      <c r="B15" s="87" t="s">
        <v>229</v>
      </c>
      <c r="C15" s="277">
        <v>6674</v>
      </c>
      <c r="D15" s="232">
        <f t="shared" si="0"/>
        <v>360000</v>
      </c>
      <c r="E15" s="278">
        <v>180</v>
      </c>
      <c r="F15" s="191">
        <v>-177.65</v>
      </c>
      <c r="G15" s="190">
        <f t="shared" si="1"/>
        <v>-31977</v>
      </c>
      <c r="I15" s="211"/>
      <c r="J15" s="213"/>
    </row>
    <row r="16" spans="1:10" ht="15.6" x14ac:dyDescent="0.3">
      <c r="B16" s="87" t="s">
        <v>228</v>
      </c>
      <c r="C16" s="277">
        <v>6701</v>
      </c>
      <c r="D16" s="277">
        <f t="shared" si="0"/>
        <v>361720</v>
      </c>
      <c r="E16" s="278">
        <v>180.86</v>
      </c>
      <c r="F16" s="191">
        <v>-177.65</v>
      </c>
      <c r="G16" s="324">
        <f t="shared" si="1"/>
        <v>-32129.779000000002</v>
      </c>
      <c r="I16" s="211"/>
      <c r="J16" s="213"/>
    </row>
    <row r="17" spans="1:14" ht="15.6" x14ac:dyDescent="0.3">
      <c r="B17" s="87" t="s">
        <v>244</v>
      </c>
      <c r="C17" s="232">
        <v>6723</v>
      </c>
      <c r="D17" s="277">
        <f t="shared" si="0"/>
        <v>456540</v>
      </c>
      <c r="E17" s="233">
        <v>228.27</v>
      </c>
      <c r="F17" s="191">
        <v>-177.65</v>
      </c>
      <c r="G17" s="190">
        <f t="shared" ref="G17:G21" si="2">SUM(E17*F17)</f>
        <v>-40552.165500000003</v>
      </c>
      <c r="H17" s="189"/>
      <c r="I17" s="211"/>
      <c r="J17" s="213"/>
      <c r="M17" s="327">
        <f>+G17+G18+G19+G20+G21+G22</f>
        <v>-231582.36</v>
      </c>
    </row>
    <row r="18" spans="1:14" ht="15.6" x14ac:dyDescent="0.3">
      <c r="B18" s="87" t="s">
        <v>245</v>
      </c>
      <c r="C18" s="232">
        <v>6721</v>
      </c>
      <c r="D18" s="277">
        <f t="shared" si="0"/>
        <v>441100</v>
      </c>
      <c r="E18" s="233">
        <v>220.55</v>
      </c>
      <c r="F18" s="191">
        <v>-176.35</v>
      </c>
      <c r="G18" s="190">
        <f t="shared" si="2"/>
        <v>-38893.9925</v>
      </c>
      <c r="I18" s="211"/>
      <c r="J18" s="213"/>
      <c r="M18" s="327">
        <f>+'Multi-Family Apr 20'!O18</f>
        <v>-20635.237499999999</v>
      </c>
    </row>
    <row r="19" spans="1:14" ht="15.6" x14ac:dyDescent="0.3">
      <c r="B19" s="87" t="s">
        <v>246</v>
      </c>
      <c r="C19" s="277">
        <v>6727</v>
      </c>
      <c r="D19" s="277">
        <f t="shared" si="0"/>
        <v>369160</v>
      </c>
      <c r="E19" s="278">
        <v>184.58</v>
      </c>
      <c r="F19" s="191">
        <v>-179.4</v>
      </c>
      <c r="G19" s="190">
        <f t="shared" si="2"/>
        <v>-33113.652000000002</v>
      </c>
      <c r="I19" s="211"/>
      <c r="J19" s="213"/>
      <c r="M19" s="327">
        <f>+M17+M18</f>
        <v>-252217.59749999997</v>
      </c>
    </row>
    <row r="20" spans="1:14" ht="15.6" x14ac:dyDescent="0.3">
      <c r="B20" s="87" t="s">
        <v>247</v>
      </c>
      <c r="C20" s="277">
        <v>6748</v>
      </c>
      <c r="D20" s="277">
        <f t="shared" si="0"/>
        <v>320660</v>
      </c>
      <c r="E20" s="278">
        <v>160.33000000000001</v>
      </c>
      <c r="F20" s="191">
        <v>-179.4</v>
      </c>
      <c r="G20" s="190">
        <f t="shared" si="2"/>
        <v>-28763.202000000005</v>
      </c>
      <c r="I20" s="211"/>
      <c r="J20" s="213"/>
      <c r="M20" s="328" t="s">
        <v>251</v>
      </c>
      <c r="N20" s="194"/>
    </row>
    <row r="21" spans="1:14" ht="15.6" x14ac:dyDescent="0.3">
      <c r="B21" s="87" t="s">
        <v>248</v>
      </c>
      <c r="C21" s="277">
        <v>6738</v>
      </c>
      <c r="D21" s="277">
        <f t="shared" si="0"/>
        <v>449420</v>
      </c>
      <c r="E21" s="278">
        <v>224.71</v>
      </c>
      <c r="F21" s="191">
        <v>-181.9</v>
      </c>
      <c r="G21" s="190">
        <f t="shared" si="2"/>
        <v>-40874.749000000003</v>
      </c>
      <c r="I21" s="211"/>
      <c r="J21" s="213"/>
      <c r="M21" s="279" t="s">
        <v>252</v>
      </c>
    </row>
    <row r="22" spans="1:14" ht="15.6" x14ac:dyDescent="0.3">
      <c r="B22" s="326" t="s">
        <v>249</v>
      </c>
      <c r="C22" s="234">
        <v>6754</v>
      </c>
      <c r="D22" s="234">
        <f>SUM(E22*2000)</f>
        <v>550860</v>
      </c>
      <c r="E22" s="276">
        <v>275.43</v>
      </c>
      <c r="F22" s="191">
        <v>-179.3</v>
      </c>
      <c r="G22" s="229">
        <f>SUM(E22*F22)</f>
        <v>-49384.599000000002</v>
      </c>
    </row>
    <row r="23" spans="1:14" ht="15.6" x14ac:dyDescent="0.3">
      <c r="A23" t="s">
        <v>41</v>
      </c>
      <c r="B23" s="58"/>
      <c r="C23" s="186">
        <f>SUM(C11:C22)</f>
        <v>80330</v>
      </c>
      <c r="D23" s="88">
        <f>SUM(D11:D22)</f>
        <v>4922580</v>
      </c>
      <c r="E23" s="107">
        <f>SUM(E11:E22)</f>
        <v>2461.2899999999995</v>
      </c>
      <c r="F23" s="192"/>
      <c r="G23" s="80">
        <f>SUM(G11:G22)</f>
        <v>-425425.52050000004</v>
      </c>
    </row>
    <row r="24" spans="1:14" x14ac:dyDescent="0.3">
      <c r="E24" s="185"/>
      <c r="F24" s="194"/>
      <c r="I24" s="279" t="s">
        <v>250</v>
      </c>
    </row>
    <row r="25" spans="1:14" x14ac:dyDescent="0.3">
      <c r="E25" s="185"/>
    </row>
  </sheetData>
  <mergeCells count="3">
    <mergeCell ref="A1:G1"/>
    <mergeCell ref="A2:G2"/>
    <mergeCell ref="A3:G3"/>
  </mergeCells>
  <phoneticPr fontId="39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sqref="A1:G1"/>
    </sheetView>
  </sheetViews>
  <sheetFormatPr defaultRowHeight="14.4" x14ac:dyDescent="0.3"/>
  <cols>
    <col min="1" max="1" width="3.33203125" customWidth="1"/>
    <col min="3" max="3" width="16.44140625" customWidth="1"/>
    <col min="4" max="7" width="12.6640625" customWidth="1"/>
    <col min="9" max="9" width="11.88671875" bestFit="1" customWidth="1"/>
    <col min="10" max="10" width="10.88671875" bestFit="1" customWidth="1"/>
    <col min="11" max="11" width="9.5546875" bestFit="1" customWidth="1"/>
    <col min="13" max="13" width="10.88671875" bestFit="1" customWidth="1"/>
    <col min="14" max="14" width="10.109375" bestFit="1" customWidth="1"/>
    <col min="15" max="15" width="10.88671875" bestFit="1" customWidth="1"/>
  </cols>
  <sheetData>
    <row r="1" spans="1:10" ht="22.8" x14ac:dyDescent="0.4">
      <c r="A1" s="457" t="s">
        <v>1</v>
      </c>
      <c r="B1" s="457"/>
      <c r="C1" s="457"/>
      <c r="D1" s="457"/>
      <c r="E1" s="457"/>
      <c r="F1" s="457"/>
      <c r="G1" s="457"/>
    </row>
    <row r="2" spans="1:10" ht="17.399999999999999" x14ac:dyDescent="0.3">
      <c r="A2" s="458" t="s">
        <v>3</v>
      </c>
      <c r="B2" s="458"/>
      <c r="C2" s="458"/>
      <c r="D2" s="458"/>
      <c r="E2" s="458"/>
      <c r="F2" s="458"/>
      <c r="G2" s="458"/>
    </row>
    <row r="3" spans="1:10" ht="15.6" x14ac:dyDescent="0.3">
      <c r="A3" s="459" t="s">
        <v>239</v>
      </c>
      <c r="B3" s="459"/>
      <c r="C3" s="459"/>
      <c r="D3" s="459"/>
      <c r="E3" s="459"/>
      <c r="F3" s="459"/>
      <c r="G3" s="459"/>
    </row>
    <row r="4" spans="1:10" x14ac:dyDescent="0.3">
      <c r="A4" s="228"/>
      <c r="B4" s="228"/>
      <c r="C4" s="2"/>
      <c r="D4" s="228"/>
      <c r="E4" s="228"/>
      <c r="F4" s="3"/>
      <c r="G4" s="228"/>
    </row>
    <row r="5" spans="1:10" x14ac:dyDescent="0.3">
      <c r="A5" s="228"/>
      <c r="B5" s="228"/>
      <c r="C5" s="2"/>
      <c r="D5" s="228"/>
      <c r="E5" s="228"/>
      <c r="F5" s="3"/>
      <c r="G5" s="228"/>
    </row>
    <row r="6" spans="1:10" x14ac:dyDescent="0.3">
      <c r="A6" s="228"/>
      <c r="B6" s="228"/>
      <c r="C6" s="2"/>
      <c r="D6" s="228"/>
      <c r="E6" s="228"/>
      <c r="F6" s="3"/>
      <c r="G6" s="228"/>
    </row>
    <row r="7" spans="1:10" x14ac:dyDescent="0.3">
      <c r="A7" s="228"/>
      <c r="B7" s="228"/>
      <c r="C7" s="2"/>
      <c r="D7" s="228"/>
      <c r="E7" s="228"/>
      <c r="F7" s="3"/>
      <c r="G7" s="228"/>
    </row>
    <row r="8" spans="1:10" ht="15.6" x14ac:dyDescent="0.3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2" thickBot="1" x14ac:dyDescent="0.35">
      <c r="B9" s="60"/>
      <c r="C9" s="61"/>
      <c r="D9" s="60"/>
      <c r="E9" s="62"/>
      <c r="F9" s="60" t="s">
        <v>8</v>
      </c>
      <c r="G9" s="60"/>
    </row>
    <row r="10" spans="1:10" ht="16.2" thickTop="1" x14ac:dyDescent="0.3">
      <c r="B10" s="63"/>
      <c r="C10" s="64"/>
      <c r="D10" s="64"/>
      <c r="E10" s="63"/>
      <c r="F10" s="65"/>
      <c r="G10" s="63"/>
    </row>
    <row r="11" spans="1:10" ht="15.6" x14ac:dyDescent="0.3">
      <c r="B11" s="87" t="s">
        <v>187</v>
      </c>
      <c r="C11" s="186">
        <v>1561</v>
      </c>
      <c r="D11" s="67">
        <f>SUM(E11*2000)</f>
        <v>30160</v>
      </c>
      <c r="E11" s="68">
        <v>15.08</v>
      </c>
      <c r="F11" s="190">
        <v>-140.19999999999999</v>
      </c>
      <c r="G11" s="69">
        <f t="shared" ref="G11:G22" si="0">SUM(E11*F11)</f>
        <v>-2114.2159999999999</v>
      </c>
    </row>
    <row r="12" spans="1:10" ht="15.6" x14ac:dyDescent="0.3">
      <c r="B12" s="85" t="s">
        <v>188</v>
      </c>
      <c r="C12" s="186">
        <v>1561</v>
      </c>
      <c r="D12" s="67">
        <f t="shared" ref="D12:D22" si="1">SUM(E12*2000)</f>
        <v>41720</v>
      </c>
      <c r="E12" s="68">
        <v>20.86</v>
      </c>
      <c r="F12" s="190">
        <v>-138.68</v>
      </c>
      <c r="G12" s="69">
        <f t="shared" si="0"/>
        <v>-2892.8648000000003</v>
      </c>
      <c r="I12" s="211"/>
      <c r="J12" s="211"/>
    </row>
    <row r="13" spans="1:10" ht="15.6" x14ac:dyDescent="0.3">
      <c r="B13" s="86" t="s">
        <v>189</v>
      </c>
      <c r="C13" s="186">
        <v>1561</v>
      </c>
      <c r="D13" s="67">
        <f t="shared" si="1"/>
        <v>40240</v>
      </c>
      <c r="E13" s="71">
        <v>20.12</v>
      </c>
      <c r="F13" s="191">
        <v>-141.75</v>
      </c>
      <c r="G13" s="69">
        <f t="shared" si="0"/>
        <v>-2852.01</v>
      </c>
      <c r="I13" s="211"/>
      <c r="J13" s="211"/>
    </row>
    <row r="14" spans="1:10" ht="15.6" x14ac:dyDescent="0.3">
      <c r="B14" s="86" t="s">
        <v>190</v>
      </c>
      <c r="C14" s="186">
        <v>1561</v>
      </c>
      <c r="D14" s="67">
        <f t="shared" si="1"/>
        <v>28080</v>
      </c>
      <c r="E14" s="71">
        <v>14.04</v>
      </c>
      <c r="F14" s="191">
        <v>-141.75</v>
      </c>
      <c r="G14" s="69">
        <f t="shared" si="0"/>
        <v>-1990.1699999999998</v>
      </c>
      <c r="I14" s="211"/>
      <c r="J14" s="211"/>
    </row>
    <row r="15" spans="1:10" ht="15.6" x14ac:dyDescent="0.3">
      <c r="B15" s="86" t="s">
        <v>191</v>
      </c>
      <c r="C15" s="186">
        <v>1561</v>
      </c>
      <c r="D15" s="67">
        <f t="shared" si="1"/>
        <v>36940</v>
      </c>
      <c r="E15" s="71">
        <v>18.47</v>
      </c>
      <c r="F15" s="191">
        <v>-140.30000000000001</v>
      </c>
      <c r="G15" s="69">
        <f t="shared" si="0"/>
        <v>-2591.3409999999999</v>
      </c>
      <c r="I15" s="211"/>
      <c r="J15" s="211"/>
    </row>
    <row r="16" spans="1:10" ht="15.6" x14ac:dyDescent="0.3">
      <c r="B16" s="86" t="s">
        <v>192</v>
      </c>
      <c r="C16" s="186">
        <v>1561</v>
      </c>
      <c r="D16" s="67">
        <f t="shared" si="1"/>
        <v>43940</v>
      </c>
      <c r="E16" s="71">
        <v>21.97</v>
      </c>
      <c r="F16" s="191">
        <v>-143.1</v>
      </c>
      <c r="G16" s="69">
        <f t="shared" si="0"/>
        <v>-3143.9069999999997</v>
      </c>
      <c r="I16" s="211" t="s">
        <v>196</v>
      </c>
      <c r="J16" s="211"/>
    </row>
    <row r="17" spans="1:15" ht="15.6" x14ac:dyDescent="0.3">
      <c r="B17" s="87" t="s">
        <v>233</v>
      </c>
      <c r="C17" s="231">
        <v>1567</v>
      </c>
      <c r="D17" s="232">
        <f t="shared" si="1"/>
        <v>12180</v>
      </c>
      <c r="E17" s="233">
        <v>6.09</v>
      </c>
      <c r="F17" s="191">
        <v>-144.55000000000001</v>
      </c>
      <c r="G17" s="190">
        <f>SUM(E17*F17)</f>
        <v>-880.30950000000007</v>
      </c>
      <c r="H17" s="267">
        <v>507.92</v>
      </c>
      <c r="I17" s="268">
        <v>73420.17</v>
      </c>
      <c r="J17" s="269"/>
      <c r="K17" s="317">
        <f>I17/H17</f>
        <v>144.55065758387147</v>
      </c>
    </row>
    <row r="18" spans="1:15" ht="15.6" x14ac:dyDescent="0.3">
      <c r="B18" s="87" t="s">
        <v>232</v>
      </c>
      <c r="C18" s="231">
        <v>1567</v>
      </c>
      <c r="D18" s="232">
        <f t="shared" si="1"/>
        <v>23440</v>
      </c>
      <c r="E18" s="233">
        <v>11.72</v>
      </c>
      <c r="F18" s="191">
        <v>-163.1</v>
      </c>
      <c r="G18" s="190">
        <f t="shared" si="0"/>
        <v>-1911.5319999999999</v>
      </c>
      <c r="H18" s="267">
        <v>305.14999999999998</v>
      </c>
      <c r="I18" s="268">
        <v>49770.14</v>
      </c>
      <c r="J18" s="269"/>
      <c r="K18" s="317">
        <f>I18/H18</f>
        <v>163.1005734884483</v>
      </c>
      <c r="O18" s="211">
        <f>+G17+G18+G19+G20+G21+G22</f>
        <v>-11563.533000000001</v>
      </c>
    </row>
    <row r="19" spans="1:15" ht="15.6" x14ac:dyDescent="0.3">
      <c r="B19" s="87" t="s">
        <v>231</v>
      </c>
      <c r="C19" s="231">
        <v>1567</v>
      </c>
      <c r="D19" s="232">
        <f t="shared" si="1"/>
        <v>46280</v>
      </c>
      <c r="E19" s="233">
        <v>23.14</v>
      </c>
      <c r="F19" s="191">
        <v>-170.3</v>
      </c>
      <c r="G19" s="190">
        <f t="shared" si="0"/>
        <v>-3940.7420000000002</v>
      </c>
      <c r="H19" s="267">
        <v>425.08</v>
      </c>
      <c r="I19" s="268">
        <v>72391.37</v>
      </c>
      <c r="J19" s="269"/>
      <c r="K19" s="317">
        <f t="shared" ref="K19:K22" si="2">I19/H19</f>
        <v>170.30057871459491</v>
      </c>
      <c r="M19" s="266"/>
      <c r="N19" s="211"/>
    </row>
    <row r="20" spans="1:15" ht="15.6" x14ac:dyDescent="0.3">
      <c r="B20" s="87" t="s">
        <v>230</v>
      </c>
      <c r="C20" s="231">
        <v>1567</v>
      </c>
      <c r="D20" s="232">
        <f t="shared" si="1"/>
        <v>12920</v>
      </c>
      <c r="E20" s="233">
        <v>6.46</v>
      </c>
      <c r="F20" s="191">
        <v>-176.1</v>
      </c>
      <c r="G20" s="190">
        <f t="shared" si="0"/>
        <v>-1137.606</v>
      </c>
      <c r="H20" s="267">
        <v>372.67</v>
      </c>
      <c r="I20" s="268">
        <v>65627.37</v>
      </c>
      <c r="J20" s="269"/>
      <c r="K20" s="317">
        <f t="shared" si="2"/>
        <v>176.10049105106393</v>
      </c>
      <c r="M20" s="211"/>
    </row>
    <row r="21" spans="1:15" ht="15.6" x14ac:dyDescent="0.3">
      <c r="B21" s="87" t="s">
        <v>229</v>
      </c>
      <c r="C21" s="231">
        <v>1564</v>
      </c>
      <c r="D21" s="232">
        <f t="shared" si="1"/>
        <v>20500</v>
      </c>
      <c r="E21" s="233">
        <v>10.25</v>
      </c>
      <c r="F21" s="191">
        <v>-177.65</v>
      </c>
      <c r="G21" s="190">
        <f t="shared" si="0"/>
        <v>-1820.9125000000001</v>
      </c>
      <c r="H21" s="267">
        <v>378.41</v>
      </c>
      <c r="I21" s="268">
        <v>67224.899999999994</v>
      </c>
      <c r="J21" s="269"/>
      <c r="K21" s="317">
        <f t="shared" si="2"/>
        <v>177.65096059829284</v>
      </c>
    </row>
    <row r="22" spans="1:15" ht="15.6" x14ac:dyDescent="0.3">
      <c r="B22" s="87" t="s">
        <v>228</v>
      </c>
      <c r="C22" s="275">
        <v>1564</v>
      </c>
      <c r="D22" s="234">
        <f t="shared" si="1"/>
        <v>21080</v>
      </c>
      <c r="E22" s="276">
        <v>10.54</v>
      </c>
      <c r="F22" s="191">
        <v>-177.65</v>
      </c>
      <c r="G22" s="229">
        <f t="shared" si="0"/>
        <v>-1872.4309999999998</v>
      </c>
      <c r="H22" s="267">
        <v>378.19</v>
      </c>
      <c r="I22" s="268">
        <v>67185.7</v>
      </c>
      <c r="J22" s="194"/>
      <c r="K22" s="317">
        <f t="shared" si="2"/>
        <v>177.65065178878342</v>
      </c>
    </row>
    <row r="23" spans="1:15" ht="15.6" x14ac:dyDescent="0.3">
      <c r="A23" t="s">
        <v>41</v>
      </c>
      <c r="B23" s="76"/>
      <c r="C23" s="231">
        <f>SUM(C11:C22)</f>
        <v>18762</v>
      </c>
      <c r="D23" s="270">
        <f>SUM(D11:D22)</f>
        <v>357480</v>
      </c>
      <c r="E23" s="271">
        <f>SUM(E11:E22)</f>
        <v>178.74</v>
      </c>
      <c r="F23" s="192"/>
      <c r="G23" s="272">
        <f>SUM(G11:G22)</f>
        <v>-27148.041799999995</v>
      </c>
      <c r="H23" s="194"/>
      <c r="I23" s="269"/>
      <c r="J23" s="194"/>
    </row>
    <row r="24" spans="1:15" ht="15.6" x14ac:dyDescent="0.3">
      <c r="B24" s="63"/>
      <c r="C24" s="81"/>
      <c r="D24" s="82"/>
      <c r="E24" s="83"/>
      <c r="F24" s="273" t="s">
        <v>0</v>
      </c>
      <c r="G24" s="194"/>
      <c r="H24" s="194"/>
      <c r="I24" s="279" t="s">
        <v>222</v>
      </c>
      <c r="J24" s="194"/>
    </row>
    <row r="25" spans="1:15" ht="15.6" x14ac:dyDescent="0.3">
      <c r="C25" s="81"/>
      <c r="D25" s="82"/>
      <c r="E25" s="83"/>
      <c r="F25" s="84" t="s">
        <v>0</v>
      </c>
    </row>
    <row r="26" spans="1:15" x14ac:dyDescent="0.3">
      <c r="C26" s="195"/>
      <c r="D26" s="196"/>
      <c r="E26" s="197"/>
      <c r="F26" s="262">
        <v>33864</v>
      </c>
      <c r="G26" s="199"/>
    </row>
    <row r="27" spans="1:15" x14ac:dyDescent="0.3">
      <c r="C27" s="200" t="s">
        <v>159</v>
      </c>
      <c r="D27" s="263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202">
        <f>D27/$D$29</f>
        <v>0.93408514278970967</v>
      </c>
      <c r="F27" s="203">
        <f>E27*F26</f>
        <v>31631.859275430728</v>
      </c>
      <c r="G27" s="204"/>
    </row>
    <row r="28" spans="1:15" x14ac:dyDescent="0.3">
      <c r="C28" s="200" t="s">
        <v>160</v>
      </c>
      <c r="D28" s="263">
        <f>SUM(D11:D22)</f>
        <v>357480</v>
      </c>
      <c r="E28" s="202">
        <f>D28/$D$29</f>
        <v>6.5914857210290306E-2</v>
      </c>
      <c r="F28" s="205">
        <f>E28*F26</f>
        <v>2232.1407245692708</v>
      </c>
      <c r="G28" s="204"/>
    </row>
    <row r="29" spans="1:15" x14ac:dyDescent="0.3">
      <c r="C29" s="206" t="s">
        <v>87</v>
      </c>
      <c r="D29" s="207">
        <f>SUM(D27:D28)</f>
        <v>5423360</v>
      </c>
      <c r="E29" s="208"/>
      <c r="F29" s="209">
        <f>F26-F27-F28</f>
        <v>0</v>
      </c>
      <c r="G29" s="210" t="s">
        <v>161</v>
      </c>
    </row>
    <row r="34" spans="5:5" x14ac:dyDescent="0.3">
      <c r="E34" s="185"/>
    </row>
    <row r="35" spans="5:5" x14ac:dyDescent="0.3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2021-08-12T07:00:00+00:00</OpenedDate>
    <SignificantOrder xmlns="dc463f71-b30c-4ab2-9473-d307f9d35888">false</SignificantOrder>
    <Date1 xmlns="dc463f71-b30c-4ab2-9473-d307f9d35888">2021-08-12T07:00:00+00:00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210630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3339A82B592748B5CF7B149027C187" ma:contentTypeVersion="44" ma:contentTypeDescription="" ma:contentTypeScope="" ma:versionID="0aace3f3bbe0be6fcbd3d5b5552d61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F2745-C311-4CBF-A376-4BFC69D0A006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6A0686-A5CA-4B4D-8FC7-D8E600F2E189}"/>
</file>

<file path=customXml/itemProps4.xml><?xml version="1.0" encoding="utf-8"?>
<ds:datastoreItem xmlns:ds="http://schemas.openxmlformats.org/officeDocument/2006/customXml" ds:itemID="{F3077B3E-1C21-45D5-A8A6-528665B2A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11</vt:i4>
      </vt:variant>
    </vt:vector>
  </HeadingPairs>
  <TitlesOfParts>
    <vt:vector size="40" baseType="lpstr">
      <vt:lpstr>Analysis</vt:lpstr>
      <vt:lpstr>Calcs revised method</vt:lpstr>
      <vt:lpstr>Multi-Family 2020-2021</vt:lpstr>
      <vt:lpstr>Single Family 2020-2021</vt:lpstr>
      <vt:lpstr>Multi-Family Oct 20</vt:lpstr>
      <vt:lpstr>Single Family Oct 20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2020-2021'!Print_Area</vt:lpstr>
      <vt:lpstr>'Multi-Family Oct 19'!Print_Area</vt:lpstr>
      <vt:lpstr>'Multi-Family Oct 20'!Print_Area</vt:lpstr>
      <vt:lpstr>'Single Family 2020-2021'!Print_Area</vt:lpstr>
      <vt:lpstr>'Single Family Oct 19'!Print_Area</vt:lpstr>
      <vt:lpstr>'Single Family Oct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2021-08-12T22:03:31Z</cp:lastPrinted>
  <dcterms:created xsi:type="dcterms:W3CDTF">2011-01-20T20:41:17Z</dcterms:created>
  <dcterms:modified xsi:type="dcterms:W3CDTF">2021-08-12T22:03:43Z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0x0101006E56B4D1795A2E4DB2F0B01679ED314A009C3339A82B592748B5CF7B149027C187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