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XX Natural Gas Schedule 140 - Property Tax Tracker (UG-21xxxx) (Eff. 05-01-21)\Workpapers\"/>
    </mc:Choice>
  </mc:AlternateContent>
  <bookViews>
    <workbookView xWindow="-20" yWindow="110" windowWidth="14520" windowHeight="12690" tabRatio="960"/>
  </bookViews>
  <sheets>
    <sheet name="2021 Rev Req Estimate" sheetId="51" r:id="rId1"/>
    <sheet name="Est Pmt due Apr&amp;Oct 2021" sheetId="52" r:id="rId2"/>
    <sheet name="Electric summary 2021" sheetId="53" r:id="rId3"/>
    <sheet name="Gas summary 2021" sheetId="54" r:id="rId4"/>
    <sheet name="2020 FINAL Rev Req " sheetId="50" r:id="rId5"/>
    <sheet name="Elec Load Variance 2020" sheetId="49" r:id="rId6"/>
    <sheet name="Gas Load Variance 2020" sheetId="48" r:id="rId7"/>
    <sheet name="E Conv Fctr 2021" sheetId="46" r:id="rId8"/>
    <sheet name="G Conv Fctr 2021" sheetId="45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GAS">'[1]Named Ranges G'!$C$4</definedName>
    <definedName name="CBWorkbookPriority">-2060790043</definedName>
    <definedName name="Comp_GAS">'[1]Named Ranges G'!$C$8</definedName>
    <definedName name="FIT_GAS">'[1]Named Ranges G'!$C$3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6">'Gas Load Variance 2020'!$A$1:$O$26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YEAR_GAS">'[1]Named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H24" i="52" l="1"/>
  <c r="D11" i="51" l="1"/>
  <c r="D9" i="54" l="1"/>
  <c r="D10" i="54" l="1"/>
  <c r="D11" i="54"/>
  <c r="D13" i="54" l="1"/>
  <c r="D12" i="54"/>
  <c r="D14" i="54" l="1"/>
  <c r="D16" i="54" s="1"/>
  <c r="D15" i="54"/>
  <c r="D17" i="54" s="1"/>
  <c r="D18" i="54" l="1"/>
  <c r="D19" i="54" s="1"/>
  <c r="D20" i="54" s="1"/>
  <c r="I12" i="51" l="1"/>
  <c r="E11" i="51" l="1"/>
  <c r="I5" i="51"/>
  <c r="H5" i="51"/>
  <c r="E6" i="51" l="1"/>
  <c r="D6" i="51"/>
  <c r="B40" i="53" l="1"/>
  <c r="B39" i="53"/>
  <c r="B38" i="53"/>
  <c r="B37" i="53"/>
  <c r="B36" i="53"/>
  <c r="B35" i="53"/>
  <c r="B34" i="53"/>
  <c r="B33" i="53"/>
  <c r="B32" i="53"/>
  <c r="E31" i="53"/>
  <c r="B31" i="53"/>
  <c r="E30" i="53"/>
  <c r="D30" i="53"/>
  <c r="B30" i="53"/>
  <c r="E29" i="53"/>
  <c r="D29" i="53"/>
  <c r="B29" i="53"/>
  <c r="D32" i="53" l="1"/>
  <c r="D31" i="53"/>
  <c r="E32" i="53"/>
  <c r="E33" i="53" s="1"/>
  <c r="F20" i="52"/>
  <c r="B44" i="53"/>
  <c r="E36" i="53" l="1"/>
  <c r="E34" i="53"/>
  <c r="E35" i="53" s="1"/>
  <c r="D35" i="53"/>
  <c r="D36" i="53" s="1"/>
  <c r="D33" i="53"/>
  <c r="D34" i="53" s="1"/>
  <c r="B40" i="54"/>
  <c r="B39" i="54"/>
  <c r="F38" i="54"/>
  <c r="B38" i="54"/>
  <c r="B37" i="54"/>
  <c r="B36" i="54"/>
  <c r="B35" i="54"/>
  <c r="B34" i="54"/>
  <c r="B33" i="54"/>
  <c r="B32" i="54"/>
  <c r="B31" i="54"/>
  <c r="E30" i="54"/>
  <c r="B30" i="54"/>
  <c r="E29" i="54"/>
  <c r="B29" i="54"/>
  <c r="C29" i="54" s="1"/>
  <c r="D29" i="54"/>
  <c r="F40" i="54"/>
  <c r="F39" i="54"/>
  <c r="K18" i="54"/>
  <c r="F36" i="54"/>
  <c r="F35" i="54"/>
  <c r="F34" i="54"/>
  <c r="F33" i="54"/>
  <c r="I22" i="54"/>
  <c r="F30" i="54"/>
  <c r="K9" i="54"/>
  <c r="F29" i="54"/>
  <c r="J13" i="54"/>
  <c r="F39" i="53"/>
  <c r="C29" i="53"/>
  <c r="F40" i="53"/>
  <c r="K19" i="53"/>
  <c r="K18" i="53"/>
  <c r="F38" i="53"/>
  <c r="F37" i="53"/>
  <c r="F36" i="53"/>
  <c r="K15" i="53"/>
  <c r="F35" i="53"/>
  <c r="K14" i="53"/>
  <c r="F34" i="53"/>
  <c r="F32" i="53"/>
  <c r="I22" i="53"/>
  <c r="F31" i="53"/>
  <c r="K10" i="53"/>
  <c r="F30" i="53"/>
  <c r="D9" i="53"/>
  <c r="D10" i="53" s="1"/>
  <c r="J13" i="53"/>
  <c r="E13" i="53" s="1"/>
  <c r="E26" i="52"/>
  <c r="D26" i="52"/>
  <c r="C26" i="52"/>
  <c r="B26" i="52"/>
  <c r="I25" i="52"/>
  <c r="J21" i="52"/>
  <c r="F21" i="52"/>
  <c r="J20" i="52"/>
  <c r="F19" i="52"/>
  <c r="E22" i="52"/>
  <c r="F18" i="52"/>
  <c r="J18" i="52" s="1"/>
  <c r="F17" i="52"/>
  <c r="F14" i="52"/>
  <c r="J14" i="52" s="1"/>
  <c r="F9" i="52"/>
  <c r="J9" i="52" s="1"/>
  <c r="D8" i="52"/>
  <c r="D10" i="52" s="1"/>
  <c r="D13" i="52" s="1"/>
  <c r="D15" i="52" s="1"/>
  <c r="D23" i="52" s="1"/>
  <c r="D25" i="52" s="1"/>
  <c r="E8" i="52"/>
  <c r="E10" i="52" s="1"/>
  <c r="E13" i="52" s="1"/>
  <c r="E15" i="52" s="1"/>
  <c r="B45" i="53" s="1"/>
  <c r="C8" i="52"/>
  <c r="C10" i="52" s="1"/>
  <c r="D37" i="53" l="1"/>
  <c r="E37" i="53"/>
  <c r="E38" i="53"/>
  <c r="E39" i="53" s="1"/>
  <c r="E40" i="53" s="1"/>
  <c r="D38" i="53"/>
  <c r="D39" i="53" s="1"/>
  <c r="D40" i="53" s="1"/>
  <c r="D43" i="53" s="1"/>
  <c r="J22" i="53"/>
  <c r="D11" i="53"/>
  <c r="D12" i="53" s="1"/>
  <c r="D13" i="53" s="1"/>
  <c r="K17" i="53"/>
  <c r="E43" i="53"/>
  <c r="K16" i="53"/>
  <c r="K20" i="53"/>
  <c r="K14" i="54"/>
  <c r="K11" i="53"/>
  <c r="E23" i="52"/>
  <c r="E25" i="52" s="1"/>
  <c r="J19" i="52"/>
  <c r="C13" i="52"/>
  <c r="C15" i="52" s="1"/>
  <c r="F22" i="52"/>
  <c r="H8" i="52"/>
  <c r="J22" i="54"/>
  <c r="K13" i="54"/>
  <c r="F37" i="54"/>
  <c r="K17" i="54"/>
  <c r="C30" i="53"/>
  <c r="G30" i="53" s="1"/>
  <c r="C10" i="53" s="1"/>
  <c r="F10" i="53" s="1"/>
  <c r="G29" i="54"/>
  <c r="C9" i="54" s="1"/>
  <c r="F9" i="54" s="1"/>
  <c r="G9" i="54" s="1"/>
  <c r="C30" i="54"/>
  <c r="H10" i="52"/>
  <c r="H22" i="53"/>
  <c r="F29" i="53"/>
  <c r="K9" i="53"/>
  <c r="F33" i="53"/>
  <c r="K13" i="53"/>
  <c r="E13" i="54"/>
  <c r="B22" i="52"/>
  <c r="H22" i="54"/>
  <c r="B8" i="52"/>
  <c r="F6" i="52"/>
  <c r="J6" i="52" s="1"/>
  <c r="K12" i="53"/>
  <c r="K10" i="54"/>
  <c r="K16" i="54"/>
  <c r="K20" i="54"/>
  <c r="D30" i="54"/>
  <c r="E31" i="54"/>
  <c r="J17" i="52"/>
  <c r="H22" i="52"/>
  <c r="L9" i="54"/>
  <c r="K11" i="54"/>
  <c r="F32" i="54"/>
  <c r="K12" i="54"/>
  <c r="K15" i="54"/>
  <c r="K19" i="54"/>
  <c r="F31" i="54"/>
  <c r="A26" i="51"/>
  <c r="A27" i="51" s="1"/>
  <c r="A30" i="51" s="1"/>
  <c r="A31" i="51" s="1"/>
  <c r="A32" i="51" s="1"/>
  <c r="A33" i="51" s="1"/>
  <c r="A25" i="51"/>
  <c r="B46" i="53" l="1"/>
  <c r="B47" i="53" s="1"/>
  <c r="B48" i="53" s="1"/>
  <c r="C23" i="52"/>
  <c r="C25" i="52" s="1"/>
  <c r="L10" i="54"/>
  <c r="C31" i="53"/>
  <c r="G31" i="53" s="1"/>
  <c r="C11" i="53" s="1"/>
  <c r="F11" i="53" s="1"/>
  <c r="L11" i="54"/>
  <c r="L12" i="54"/>
  <c r="L13" i="54" s="1"/>
  <c r="L14" i="54" s="1"/>
  <c r="L15" i="54" s="1"/>
  <c r="L16" i="54" s="1"/>
  <c r="L17" i="54" s="1"/>
  <c r="L18" i="54" s="1"/>
  <c r="L19" i="54" s="1"/>
  <c r="L20" i="54" s="1"/>
  <c r="K22" i="54"/>
  <c r="J22" i="52"/>
  <c r="F43" i="53"/>
  <c r="E32" i="54"/>
  <c r="E33" i="54" s="1"/>
  <c r="D31" i="54"/>
  <c r="F8" i="52"/>
  <c r="B10" i="52"/>
  <c r="B13" i="52" s="1"/>
  <c r="D14" i="53"/>
  <c r="D15" i="53" s="1"/>
  <c r="H13" i="52"/>
  <c r="G30" i="54"/>
  <c r="C10" i="54" s="1"/>
  <c r="F10" i="54" s="1"/>
  <c r="G10" i="54" s="1"/>
  <c r="G29" i="53"/>
  <c r="K22" i="53"/>
  <c r="L9" i="53"/>
  <c r="L10" i="53" s="1"/>
  <c r="L11" i="53" s="1"/>
  <c r="L12" i="53" s="1"/>
  <c r="L13" i="53" s="1"/>
  <c r="L14" i="53" s="1"/>
  <c r="L15" i="53" s="1"/>
  <c r="L16" i="53" s="1"/>
  <c r="L17" i="53" s="1"/>
  <c r="L18" i="53" s="1"/>
  <c r="L19" i="53" s="1"/>
  <c r="L20" i="53" s="1"/>
  <c r="C31" i="54"/>
  <c r="A26" i="50"/>
  <c r="A27" i="50" s="1"/>
  <c r="A30" i="50" s="1"/>
  <c r="A31" i="50" s="1"/>
  <c r="A32" i="50" s="1"/>
  <c r="A33" i="50" s="1"/>
  <c r="H25" i="50"/>
  <c r="A25" i="50"/>
  <c r="F19" i="50"/>
  <c r="H9" i="50"/>
  <c r="F6" i="50"/>
  <c r="I19" i="50"/>
  <c r="C32" i="53" l="1"/>
  <c r="C33" i="53" s="1"/>
  <c r="G33" i="53" s="1"/>
  <c r="C13" i="53" s="1"/>
  <c r="F13" i="53" s="1"/>
  <c r="D16" i="53"/>
  <c r="D18" i="53" s="1"/>
  <c r="H6" i="50"/>
  <c r="H19" i="50"/>
  <c r="C9" i="53"/>
  <c r="F9" i="53" s="1"/>
  <c r="G9" i="53" s="1"/>
  <c r="G10" i="53" s="1"/>
  <c r="G11" i="53" s="1"/>
  <c r="D17" i="53"/>
  <c r="F10" i="52"/>
  <c r="J10" i="52" s="1"/>
  <c r="J8" i="52"/>
  <c r="E34" i="54"/>
  <c r="F13" i="52"/>
  <c r="F15" i="52" s="1"/>
  <c r="B15" i="52"/>
  <c r="B23" i="52" s="1"/>
  <c r="G32" i="53"/>
  <c r="C12" i="53" s="1"/>
  <c r="F12" i="53" s="1"/>
  <c r="C34" i="53"/>
  <c r="C35" i="53"/>
  <c r="G35" i="53" s="1"/>
  <c r="C15" i="53" s="1"/>
  <c r="F15" i="53" s="1"/>
  <c r="E35" i="54"/>
  <c r="E36" i="54" s="1"/>
  <c r="D32" i="54"/>
  <c r="D33" i="54" s="1"/>
  <c r="D34" i="54" s="1"/>
  <c r="G31" i="54"/>
  <c r="C11" i="54" s="1"/>
  <c r="F11" i="54" s="1"/>
  <c r="G11" i="54" s="1"/>
  <c r="C32" i="54"/>
  <c r="H15" i="52"/>
  <c r="H23" i="52" s="1"/>
  <c r="E9" i="51" s="1"/>
  <c r="E25" i="51" s="1"/>
  <c r="H11" i="50"/>
  <c r="D13" i="50"/>
  <c r="I25" i="50"/>
  <c r="F25" i="50"/>
  <c r="J19" i="50"/>
  <c r="I6" i="50"/>
  <c r="F9" i="50"/>
  <c r="D10" i="50"/>
  <c r="D15" i="50"/>
  <c r="E10" i="50"/>
  <c r="I10" i="50" s="1"/>
  <c r="I9" i="50"/>
  <c r="J25" i="50"/>
  <c r="D19" i="53" l="1"/>
  <c r="D20" i="53" s="1"/>
  <c r="G12" i="53"/>
  <c r="G13" i="53" s="1"/>
  <c r="G32" i="54"/>
  <c r="C12" i="54" s="1"/>
  <c r="F12" i="54" s="1"/>
  <c r="G12" i="54" s="1"/>
  <c r="J13" i="52"/>
  <c r="J15" i="52" s="1"/>
  <c r="D35" i="54"/>
  <c r="D36" i="54" s="1"/>
  <c r="C36" i="53"/>
  <c r="C33" i="54"/>
  <c r="G33" i="54" s="1"/>
  <c r="C13" i="54" s="1"/>
  <c r="F13" i="54" s="1"/>
  <c r="G13" i="54" s="1"/>
  <c r="C34" i="54"/>
  <c r="G34" i="54" s="1"/>
  <c r="C14" i="54" s="1"/>
  <c r="F14" i="54" s="1"/>
  <c r="B25" i="52"/>
  <c r="F23" i="52"/>
  <c r="H25" i="52"/>
  <c r="H26" i="52"/>
  <c r="G34" i="53"/>
  <c r="C14" i="53" s="1"/>
  <c r="F14" i="53" s="1"/>
  <c r="E37" i="54"/>
  <c r="E38" i="54" s="1"/>
  <c r="E39" i="54" s="1"/>
  <c r="E40" i="54" s="1"/>
  <c r="D27" i="50"/>
  <c r="H26" i="50"/>
  <c r="D18" i="50"/>
  <c r="F10" i="50"/>
  <c r="H10" i="50"/>
  <c r="E13" i="50"/>
  <c r="E15" i="50" s="1"/>
  <c r="E18" i="50" s="1"/>
  <c r="E21" i="50" s="1"/>
  <c r="J6" i="50"/>
  <c r="J9" i="50"/>
  <c r="I11" i="50"/>
  <c r="F26" i="50"/>
  <c r="F11" i="50"/>
  <c r="D9" i="51" l="1"/>
  <c r="D25" i="51" s="1"/>
  <c r="G14" i="53"/>
  <c r="G15" i="53" s="1"/>
  <c r="G14" i="54"/>
  <c r="D37" i="54"/>
  <c r="D38" i="54" s="1"/>
  <c r="D39" i="54" s="1"/>
  <c r="F25" i="52"/>
  <c r="J23" i="52"/>
  <c r="G36" i="53"/>
  <c r="C16" i="53" s="1"/>
  <c r="F16" i="53" s="1"/>
  <c r="G16" i="53" s="1"/>
  <c r="C35" i="54"/>
  <c r="G35" i="54" s="1"/>
  <c r="C15" i="54" s="1"/>
  <c r="F15" i="54" s="1"/>
  <c r="G15" i="54" s="1"/>
  <c r="C37" i="53"/>
  <c r="C38" i="53" s="1"/>
  <c r="G38" i="53" s="1"/>
  <c r="C18" i="53" s="1"/>
  <c r="F18" i="53" s="1"/>
  <c r="H27" i="50"/>
  <c r="J10" i="50"/>
  <c r="H13" i="50"/>
  <c r="F13" i="50"/>
  <c r="D28" i="50"/>
  <c r="I13" i="50"/>
  <c r="I15" i="50" s="1"/>
  <c r="I18" i="50" s="1"/>
  <c r="I21" i="50" s="1"/>
  <c r="F15" i="50"/>
  <c r="I26" i="50"/>
  <c r="I27" i="50" s="1"/>
  <c r="E27" i="50"/>
  <c r="E28" i="50" s="1"/>
  <c r="J11" i="50"/>
  <c r="D21" i="50"/>
  <c r="F21" i="50" s="1"/>
  <c r="F18" i="50"/>
  <c r="C36" i="54" l="1"/>
  <c r="D40" i="54"/>
  <c r="G37" i="53"/>
  <c r="C39" i="53"/>
  <c r="G39" i="53" s="1"/>
  <c r="C19" i="53" s="1"/>
  <c r="F19" i="53" s="1"/>
  <c r="J25" i="52"/>
  <c r="J13" i="50"/>
  <c r="H15" i="50"/>
  <c r="F27" i="50"/>
  <c r="F28" i="50" s="1"/>
  <c r="I30" i="50"/>
  <c r="I31" i="50" s="1"/>
  <c r="I28" i="50"/>
  <c r="H30" i="50"/>
  <c r="H31" i="50" s="1"/>
  <c r="H28" i="50"/>
  <c r="J27" i="50"/>
  <c r="J28" i="50" s="1"/>
  <c r="J26" i="50"/>
  <c r="G36" i="54" l="1"/>
  <c r="C16" i="54" s="1"/>
  <c r="F16" i="54" s="1"/>
  <c r="G16" i="54" s="1"/>
  <c r="C37" i="54"/>
  <c r="C17" i="53"/>
  <c r="F17" i="53" s="1"/>
  <c r="G17" i="53" s="1"/>
  <c r="G18" i="53" s="1"/>
  <c r="G19" i="53" s="1"/>
  <c r="C40" i="53"/>
  <c r="J15" i="50"/>
  <c r="H18" i="50"/>
  <c r="G40" i="53" l="1"/>
  <c r="C43" i="53"/>
  <c r="G37" i="54"/>
  <c r="C17" i="54" s="1"/>
  <c r="F17" i="54" s="1"/>
  <c r="G17" i="54" s="1"/>
  <c r="C38" i="54"/>
  <c r="H21" i="50"/>
  <c r="J21" i="50" s="1"/>
  <c r="J18" i="50"/>
  <c r="G38" i="54" l="1"/>
  <c r="C18" i="54" s="1"/>
  <c r="F18" i="54" s="1"/>
  <c r="G18" i="54" s="1"/>
  <c r="C39" i="54"/>
  <c r="C20" i="53"/>
  <c r="F20" i="53" s="1"/>
  <c r="G20" i="53" s="1"/>
  <c r="D19" i="51" s="1"/>
  <c r="G43" i="53"/>
  <c r="G39" i="54" l="1"/>
  <c r="C19" i="54" s="1"/>
  <c r="F19" i="54" s="1"/>
  <c r="G19" i="54" s="1"/>
  <c r="C40" i="54"/>
  <c r="G40" i="54" s="1"/>
  <c r="C20" i="54" s="1"/>
  <c r="F20" i="54" s="1"/>
  <c r="G20" i="54" l="1"/>
  <c r="E19" i="51" s="1"/>
  <c r="L33" i="49"/>
  <c r="F33" i="49"/>
  <c r="N31" i="49"/>
  <c r="L31" i="49"/>
  <c r="L28" i="49"/>
  <c r="F28" i="49"/>
  <c r="F24" i="49"/>
  <c r="H24" i="49" s="1"/>
  <c r="L21" i="49"/>
  <c r="L20" i="49"/>
  <c r="L19" i="49"/>
  <c r="F15" i="49"/>
  <c r="F14" i="49"/>
  <c r="F13" i="49"/>
  <c r="J16" i="49"/>
  <c r="F12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9" i="49"/>
  <c r="K9" i="49"/>
  <c r="L8" i="49"/>
  <c r="L9" i="49" s="1"/>
  <c r="E9" i="49"/>
  <c r="K16" i="49" l="1"/>
  <c r="H14" i="49"/>
  <c r="E16" i="49"/>
  <c r="L13" i="49"/>
  <c r="L15" i="49"/>
  <c r="F19" i="49"/>
  <c r="K22" i="49"/>
  <c r="K35" i="49" s="1"/>
  <c r="F21" i="49"/>
  <c r="H21" i="49" s="1"/>
  <c r="P21" i="49" s="1"/>
  <c r="J9" i="49"/>
  <c r="H13" i="49"/>
  <c r="H15" i="49"/>
  <c r="E22" i="49"/>
  <c r="N19" i="49"/>
  <c r="N21" i="49"/>
  <c r="D29" i="49"/>
  <c r="K29" i="49"/>
  <c r="J29" i="49"/>
  <c r="F8" i="49"/>
  <c r="F9" i="49" s="1"/>
  <c r="L12" i="49"/>
  <c r="N12" i="49" s="1"/>
  <c r="L14" i="49"/>
  <c r="N14" i="49" s="1"/>
  <c r="P14" i="49" s="1"/>
  <c r="F20" i="49"/>
  <c r="H20" i="49" s="1"/>
  <c r="J22" i="49"/>
  <c r="L24" i="49"/>
  <c r="N24" i="49" s="1"/>
  <c r="P24" i="49" s="1"/>
  <c r="E29" i="49"/>
  <c r="L27" i="49"/>
  <c r="L29" i="49" s="1"/>
  <c r="N28" i="49"/>
  <c r="F31" i="49"/>
  <c r="H31" i="49" s="1"/>
  <c r="P31" i="49" s="1"/>
  <c r="N33" i="49"/>
  <c r="H8" i="49"/>
  <c r="H19" i="49"/>
  <c r="N13" i="49"/>
  <c r="N15" i="49"/>
  <c r="H28" i="49"/>
  <c r="N8" i="49"/>
  <c r="N9" i="49" s="1"/>
  <c r="F16" i="49"/>
  <c r="H12" i="49"/>
  <c r="L22" i="49"/>
  <c r="N20" i="49"/>
  <c r="N22" i="49" s="1"/>
  <c r="H33" i="49"/>
  <c r="P33" i="49" s="1"/>
  <c r="F27" i="49"/>
  <c r="F29" i="49" s="1"/>
  <c r="D9" i="49"/>
  <c r="D16" i="49"/>
  <c r="D22" i="49"/>
  <c r="J35" i="49" l="1"/>
  <c r="F22" i="49"/>
  <c r="P15" i="49"/>
  <c r="E35" i="49"/>
  <c r="D35" i="49"/>
  <c r="L16" i="49"/>
  <c r="L35" i="49"/>
  <c r="N16" i="49"/>
  <c r="N35" i="49" s="1"/>
  <c r="P28" i="49"/>
  <c r="N27" i="49"/>
  <c r="N29" i="49" s="1"/>
  <c r="P13" i="49"/>
  <c r="F35" i="49"/>
  <c r="H27" i="49"/>
  <c r="P12" i="49"/>
  <c r="H16" i="49"/>
  <c r="P20" i="49"/>
  <c r="P19" i="49"/>
  <c r="H22" i="49"/>
  <c r="P8" i="49"/>
  <c r="P9" i="49" s="1"/>
  <c r="H9" i="49"/>
  <c r="P22" i="49" l="1"/>
  <c r="H29" i="49"/>
  <c r="P27" i="49"/>
  <c r="P29" i="49" s="1"/>
  <c r="H35" i="49"/>
  <c r="P16" i="49"/>
  <c r="P35" i="49" s="1"/>
  <c r="K23" i="48" l="1"/>
  <c r="M23" i="48" s="1"/>
  <c r="E23" i="48"/>
  <c r="G23" i="48" s="1"/>
  <c r="L22" i="48"/>
  <c r="F22" i="48"/>
  <c r="E19" i="48"/>
  <c r="G19" i="48" s="1"/>
  <c r="K18" i="48"/>
  <c r="M18" i="48" s="1"/>
  <c r="E17" i="48"/>
  <c r="G17" i="48" s="1"/>
  <c r="K16" i="48"/>
  <c r="M16" i="48" s="1"/>
  <c r="E16" i="48"/>
  <c r="G16" i="48" s="1"/>
  <c r="E15" i="48"/>
  <c r="G15" i="48" s="1"/>
  <c r="K13" i="48"/>
  <c r="M13" i="48" s="1"/>
  <c r="E13" i="48"/>
  <c r="K12" i="48"/>
  <c r="M12" i="48" s="1"/>
  <c r="E11" i="48"/>
  <c r="G11" i="48" s="1"/>
  <c r="K10" i="48"/>
  <c r="M10" i="48" s="1"/>
  <c r="E9" i="48"/>
  <c r="G9" i="48" s="1"/>
  <c r="K8" i="48"/>
  <c r="M8" i="48" s="1"/>
  <c r="E8" i="48"/>
  <c r="G8" i="48" s="1"/>
  <c r="E7" i="48"/>
  <c r="M22" i="48"/>
  <c r="G22" i="48"/>
  <c r="D20" i="48" l="1"/>
  <c r="G13" i="48"/>
  <c r="O13" i="48" s="1"/>
  <c r="K7" i="48"/>
  <c r="K9" i="48"/>
  <c r="M9" i="48" s="1"/>
  <c r="E10" i="48"/>
  <c r="G10" i="48" s="1"/>
  <c r="O10" i="48" s="1"/>
  <c r="E12" i="48"/>
  <c r="G12" i="48" s="1"/>
  <c r="O12" i="48" s="1"/>
  <c r="K14" i="48"/>
  <c r="M14" i="48" s="1"/>
  <c r="K15" i="48"/>
  <c r="M15" i="48" s="1"/>
  <c r="O15" i="48" s="1"/>
  <c r="K17" i="48"/>
  <c r="M17" i="48" s="1"/>
  <c r="O17" i="48" s="1"/>
  <c r="E18" i="48"/>
  <c r="G18" i="48" s="1"/>
  <c r="O18" i="48" s="1"/>
  <c r="O23" i="48"/>
  <c r="K11" i="48"/>
  <c r="M11" i="48" s="1"/>
  <c r="O11" i="48" s="1"/>
  <c r="E14" i="48"/>
  <c r="G14" i="48" s="1"/>
  <c r="K19" i="48"/>
  <c r="M19" i="48" s="1"/>
  <c r="O19" i="48" s="1"/>
  <c r="M7" i="48"/>
  <c r="O9" i="48"/>
  <c r="O8" i="48"/>
  <c r="O14" i="48"/>
  <c r="O16" i="48"/>
  <c r="G7" i="48"/>
  <c r="J20" i="48"/>
  <c r="C20" i="48"/>
  <c r="I20" i="48"/>
  <c r="E20" i="48" l="1"/>
  <c r="M20" i="48"/>
  <c r="K20" i="48"/>
  <c r="G20" i="48"/>
  <c r="O7" i="48"/>
  <c r="O20" i="48" s="1"/>
  <c r="O26" i="48" s="1"/>
  <c r="F6" i="51" l="1"/>
  <c r="H6" i="51"/>
  <c r="J6" i="51" s="1"/>
  <c r="D10" i="51"/>
  <c r="E10" i="51"/>
  <c r="I10" i="51" s="1"/>
  <c r="I6" i="51"/>
  <c r="H10" i="51" l="1"/>
  <c r="J10" i="51" s="1"/>
  <c r="F10" i="51"/>
  <c r="E26" i="51" l="1"/>
  <c r="I11" i="51"/>
  <c r="I26" i="51"/>
  <c r="D26" i="51" l="1"/>
  <c r="H11" i="51" l="1"/>
  <c r="H12" i="51" s="1"/>
  <c r="F11" i="51"/>
  <c r="H26" i="51" l="1"/>
  <c r="J26" i="51" s="1"/>
  <c r="F26" i="51"/>
  <c r="J11" i="51"/>
  <c r="I19" i="51" l="1"/>
  <c r="F19" i="51" l="1"/>
  <c r="H19" i="51"/>
  <c r="J19" i="51" s="1"/>
  <c r="I9" i="51" l="1"/>
  <c r="I13" i="51" s="1"/>
  <c r="I15" i="51" s="1"/>
  <c r="I18" i="51" s="1"/>
  <c r="I21" i="51" s="1"/>
  <c r="E13" i="51"/>
  <c r="E15" i="51" s="1"/>
  <c r="E18" i="51" s="1"/>
  <c r="E21" i="51" s="1"/>
  <c r="I25" i="51" l="1"/>
  <c r="I27" i="51" s="1"/>
  <c r="E27" i="51"/>
  <c r="E28" i="51" s="1"/>
  <c r="I30" i="51" l="1"/>
  <c r="I31" i="51" s="1"/>
  <c r="I28" i="51"/>
  <c r="H9" i="51" l="1"/>
  <c r="F9" i="51"/>
  <c r="D13" i="51"/>
  <c r="D15" i="51" l="1"/>
  <c r="F13" i="51"/>
  <c r="J9" i="51"/>
  <c r="H13" i="51"/>
  <c r="H25" i="51"/>
  <c r="F25" i="51"/>
  <c r="D27" i="51"/>
  <c r="J13" i="51" l="1"/>
  <c r="H15" i="51"/>
  <c r="D28" i="51"/>
  <c r="F27" i="51"/>
  <c r="F28" i="51" s="1"/>
  <c r="J25" i="51"/>
  <c r="H27" i="51"/>
  <c r="F15" i="51"/>
  <c r="D18" i="51"/>
  <c r="D21" i="51" l="1"/>
  <c r="F21" i="51" s="1"/>
  <c r="F18" i="51"/>
  <c r="J27" i="51"/>
  <c r="J28" i="51" s="1"/>
  <c r="H30" i="51"/>
  <c r="H31" i="51" s="1"/>
  <c r="H28" i="51"/>
  <c r="H18" i="51"/>
  <c r="J15" i="51"/>
  <c r="H21" i="51" l="1"/>
  <c r="J21" i="51" s="1"/>
  <c r="J18" i="51"/>
</calcChain>
</file>

<file path=xl/comments1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2019 Property Tax Filing prorated for 4 months.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2020 Property Tax Filing prorated for 8 months.</t>
        </r>
      </text>
    </comment>
  </commentList>
</comments>
</file>

<file path=xl/sharedStrings.xml><?xml version="1.0" encoding="utf-8"?>
<sst xmlns="http://schemas.openxmlformats.org/spreadsheetml/2006/main" count="407" uniqueCount="224">
  <si>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</si>
  <si>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</si>
  <si>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</si>
  <si>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</si>
  <si>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</si>
  <si>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</si>
  <si>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</si>
  <si>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</si>
  <si>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</si>
  <si>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</si>
  <si>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</si>
  <si>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</si>
  <si>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</si>
  <si>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</si>
  <si>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</si>
  <si>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</si>
  <si>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</si>
  <si>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</si>
  <si>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</si>
  <si>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</si>
  <si>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</si>
  <si>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</si>
  <si>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</si>
  <si>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</si>
  <si>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</si>
  <si>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</si>
  <si>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</si>
  <si>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</si>
  <si>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</si>
  <si>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</si>
  <si>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</si>
  <si>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</si>
  <si>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</si>
  <si>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</si>
  <si>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</si>
  <si>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</si>
  <si>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</si>
  <si>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</si>
  <si>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</si>
  <si>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</si>
  <si>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</si>
  <si>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</si>
  <si>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</si>
  <si>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</si>
  <si>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</si>
  <si>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</si>
  <si>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</si>
  <si>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Subtotal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</si>
  <si>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</si>
  <si>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</si>
  <si>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</si>
  <si>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</si>
  <si>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</si>
  <si>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</si>
  <si>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</si>
  <si>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</si>
  <si>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</si>
  <si>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</si>
  <si>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</si>
  <si>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</si>
  <si>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</si>
  <si>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</si>
  <si>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</si>
  <si>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</si>
  <si>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</si>
  <si>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</si>
  <si>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</si>
  <si>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</si>
  <si>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</si>
  <si>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</si>
  <si>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</si>
  <si>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</si>
  <si>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Rental Schedules</t>
  </si>
  <si>
    <t>Surface Water Management Fees</t>
  </si>
  <si>
    <t>Estimated Centrally Assessed Taxes</t>
  </si>
  <si>
    <t>--</t>
  </si>
  <si>
    <t>Washington</t>
  </si>
  <si>
    <t>Combined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</si>
  <si>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</si>
  <si>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</si>
  <si>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</si>
  <si>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</si>
  <si>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</si>
  <si>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</si>
  <si>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</si>
  <si>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</si>
  <si>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</si>
  <si>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</si>
  <si>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</si>
  <si>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</si>
  <si>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</si>
  <si>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</si>
  <si>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</si>
  <si>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</si>
  <si>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</si>
  <si>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</si>
  <si>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</si>
  <si>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</si>
  <si>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</si>
  <si>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</si>
  <si>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</si>
  <si>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</si>
  <si>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</si>
  <si>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</si>
  <si>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</si>
  <si>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</si>
  <si>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</si>
  <si>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</si>
  <si>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</si>
  <si>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</si>
  <si>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</si>
  <si>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</si>
  <si>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</si>
  <si>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</si>
  <si>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</si>
  <si>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</si>
  <si>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</si>
  <si>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</si>
  <si>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</si>
  <si>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</si>
  <si>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</si>
  <si>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</si>
  <si>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</si>
  <si>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</si>
  <si>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Less Property Taxes on Non-Utility Property</t>
  </si>
  <si>
    <t>Add Locally Assessed Taxes</t>
  </si>
  <si>
    <t>Add Additional Centrally Assessed Taxes</t>
  </si>
  <si>
    <t>May-Dec Variance</t>
  </si>
  <si>
    <t>&lt;==Check Load</t>
  </si>
  <si>
    <t>Revenue Requirement Increase / (Decrease)</t>
  </si>
  <si>
    <t>Difference from Actual Number Collected</t>
  </si>
  <si>
    <t>total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</si>
  <si>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</si>
  <si>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</si>
  <si>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</si>
  <si>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</si>
  <si>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</si>
  <si>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</si>
  <si>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</si>
  <si>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</si>
  <si>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</si>
  <si>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</si>
  <si>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</si>
  <si>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</si>
  <si>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</si>
  <si>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</si>
  <si>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</si>
  <si>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</si>
  <si>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</si>
  <si>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</si>
  <si>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</si>
  <si>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</si>
  <si>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= 7 - 9</t>
  </si>
  <si>
    <t>Step 1:</t>
  </si>
  <si>
    <t>Updated by Property Tax</t>
  </si>
  <si>
    <t>YTD</t>
  </si>
  <si>
    <t>relink cells</t>
  </si>
  <si>
    <t>MT Late entry</t>
  </si>
  <si>
    <t>CHECK&gt;&gt;&gt;&gt;</t>
  </si>
  <si>
    <t>Gas Schedule 140 Property Tax Tracker</t>
  </si>
  <si>
    <t>Revenue Variance</t>
  </si>
  <si>
    <t>16 &amp; 23</t>
  </si>
  <si>
    <t>See Reconciliation&gt;&gt;&gt;</t>
  </si>
  <si>
    <r>
      <t>Deferral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</si>
  <si>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Represents 1) the difference between the base property taxes set in rates and the amount that is being accrued toward for the next year's payment and 2) load variances.</t>
    </r>
  </si>
  <si>
    <t>Schedule 140 Rates Effective May 1, 2019</t>
  </si>
  <si>
    <t>agrees to ending bal :</t>
  </si>
  <si>
    <t>Non-oper</t>
  </si>
  <si>
    <t>MT</t>
  </si>
  <si>
    <t>OR</t>
  </si>
  <si>
    <t>agrees to ending bal</t>
  </si>
  <si>
    <t>agrees to ending bal in 23600232</t>
  </si>
  <si>
    <t>check</t>
  </si>
  <si>
    <t>Revenue Requirement from 2019 Filing</t>
  </si>
  <si>
    <t>True-up for 2019 Load Variance</t>
  </si>
  <si>
    <t>PLNG</t>
  </si>
  <si>
    <t>EXH. SEF-3G page 3 of 4</t>
  </si>
  <si>
    <t>PUGET SOUND ENERGY - NATURAL GAS</t>
  </si>
  <si>
    <t>RESULTS OF OPERATIONS</t>
  </si>
  <si>
    <t>2019 GENERAL RATE CASE</t>
  </si>
  <si>
    <t>12 MONTHS ENDED DECEMBER 31, 2018</t>
  </si>
  <si>
    <t>STATE UTILITY TAX ( 3.8323% - ( LINE 1 * 3.8323% )  )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</si>
  <si>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</si>
  <si>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</si>
  <si>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</si>
  <si>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EXH. SEF-18E page 3 of 6</t>
  </si>
  <si>
    <t xml:space="preserve">PUGET SOUND ENERGY </t>
  </si>
  <si>
    <t>ELECTRIC RESULTS OF OPERATIONS</t>
  </si>
  <si>
    <t>STATE UTILITY TAX ( 3.8406% - ( LINE 1 * 3.8406% )  )</t>
  </si>
  <si>
    <t>Schedule 140 Rates Effective May 1, 2020</t>
  </si>
  <si>
    <t>F2019 Projected January 2020 to April 2020</t>
  </si>
  <si>
    <t>Actual Delivered January 2020 to April 2020</t>
  </si>
  <si>
    <t>Property Tracker Charge Effective 
5-1-19</t>
  </si>
  <si>
    <t>Jan 2020 to Apr 2020  Variance</t>
  </si>
  <si>
    <t>F2019 Projected 8 Months ended December 2020</t>
  </si>
  <si>
    <t>Actual 8 Months ended December 2020</t>
  </si>
  <si>
    <t>Property Tracker Charge Effective 5-1-20</t>
  </si>
  <si>
    <t>40 / SC</t>
  </si>
  <si>
    <t>449/459</t>
  </si>
  <si>
    <r>
      <t xml:space="preserve">Property Tax Revenue Requirement - </t>
    </r>
    <r>
      <rPr>
        <b/>
        <sz val="14"/>
        <color rgb="FFFF0000"/>
        <rFont val="Calibri"/>
        <family val="2"/>
      </rPr>
      <t>Preliminary</t>
    </r>
    <r>
      <rPr>
        <b/>
        <sz val="14"/>
        <color theme="1"/>
        <rFont val="Calibri"/>
        <family val="2"/>
        <scheme val="minor"/>
      </rPr>
      <t xml:space="preserve"> Filing - March, 2021</t>
    </r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</si>
  <si>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2020</t>
    </r>
  </si>
  <si>
    <t>Cash Payment to be made 2020</t>
  </si>
  <si>
    <t>Est 1-1-20 DOR Value</t>
  </si>
  <si>
    <t>1-1-19 AVERAGE SYSTEM RATIO (18-19 rates)</t>
  </si>
  <si>
    <t>EST'D 1-1-20 ASSESSED VALUE</t>
  </si>
  <si>
    <t>EST'D 1-1-19 LEVY RATE(19-20 rates)</t>
  </si>
  <si>
    <r>
      <t xml:space="preserve">TOTAL EST'D </t>
    </r>
    <r>
      <rPr>
        <sz val="10"/>
        <color indexed="10"/>
        <rFont val="Arial"/>
        <family val="2"/>
      </rPr>
      <t>20-21</t>
    </r>
    <r>
      <rPr>
        <sz val="10"/>
        <rFont val="Arial"/>
        <family val="2"/>
      </rPr>
      <t xml:space="preserve"> PROPERTY TAX</t>
    </r>
  </si>
  <si>
    <t>year 2020</t>
  </si>
  <si>
    <t>Estimated Property Taxes on 1-1-2021 Property to be Paid in April and October of 2021</t>
  </si>
  <si>
    <t>Revenue Requirement from 2020 Filing</t>
  </si>
  <si>
    <t>Cash Payment expected to be made 2021</t>
  </si>
  <si>
    <t>True-up for 2020 Load Variance</t>
  </si>
  <si>
    <t>THIS INCLUDES PSE's PLNG</t>
  </si>
  <si>
    <t>January 2020 - December 2020</t>
  </si>
  <si>
    <t>Jan - Apr 2020 (F2018 Forecasted Therms)</t>
  </si>
  <si>
    <t>Jan - Apr 2020 (Actual Therms)</t>
  </si>
  <si>
    <t>Jan - Apr 2020 Variance ($)</t>
  </si>
  <si>
    <t>May - Dec 2020 (F2019 Forecasted Therms)</t>
  </si>
  <si>
    <t>May - Dec 2020 (Actual Therms)</t>
  </si>
  <si>
    <t>May - Dec 2020 Variance ($)</t>
  </si>
  <si>
    <t>Jan - Apr 2020 (Forecasted Rentals)</t>
  </si>
  <si>
    <t>Jan - Apr 2020 (Actual Rentals)</t>
  </si>
  <si>
    <t>May - Dec 2020 (Forecasted Rentals)</t>
  </si>
  <si>
    <t>May - Dec 2020 (Actual Rentals)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</si>
</sst>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0.0%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_(* #,##0.000_);_(* \(#,##0.000\);_(* &quot;-&quot;???_);_(@_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General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500EA"/>
      <name val="Calibri"/>
      <family val="2"/>
      <scheme val="minor"/>
    </font>
    <font>
      <b/>
      <sz val="12"/>
      <color rgb="FFD6009E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F0"/>
      <name val="Calibri"/>
      <family val="2"/>
      <scheme val="minor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8080"/>
      <name val="Calibri"/>
      <family val="2"/>
    </font>
    <font>
      <b/>
      <sz val="9"/>
      <color rgb="FFFF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6" fillId="7" borderId="0" applyNumberFormat="0" applyBorder="0" applyAlignment="0" applyProtection="0"/>
    <xf numFmtId="0" fontId="27" fillId="24" borderId="43" applyNumberFormat="0" applyAlignment="0" applyProtection="0"/>
    <xf numFmtId="0" fontId="28" fillId="25" borderId="44" applyNumberFormat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45" applyNumberFormat="0" applyFill="0" applyAlignment="0" applyProtection="0"/>
    <xf numFmtId="0" fontId="33" fillId="0" borderId="46" applyNumberFormat="0" applyFill="0" applyAlignment="0" applyProtection="0"/>
    <xf numFmtId="0" fontId="34" fillId="0" borderId="47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43" applyNumberFormat="0" applyAlignment="0" applyProtection="0"/>
    <xf numFmtId="0" fontId="36" fillId="0" borderId="48" applyNumberFormat="0" applyFill="0" applyAlignment="0" applyProtection="0"/>
    <xf numFmtId="0" fontId="37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4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27" borderId="49" applyNumberFormat="0" applyFont="0" applyAlignment="0" applyProtection="0"/>
    <xf numFmtId="0" fontId="24" fillId="27" borderId="49" applyNumberFormat="0" applyFont="0" applyAlignment="0" applyProtection="0"/>
    <xf numFmtId="0" fontId="38" fillId="24" borderId="5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174" fontId="3" fillId="0" borderId="0"/>
    <xf numFmtId="0" fontId="3" fillId="0" borderId="0"/>
    <xf numFmtId="9" fontId="3" fillId="0" borderId="0" applyFont="0" applyFill="0" applyBorder="0" applyAlignment="0" applyProtection="0"/>
  </cellStyleXfs>
  <cellXfs count="376">
    <xf numFmtId="0" fontId="0" fillId="0" borderId="0" xfId="0"/>
    <xf numFmtId="164" fontId="0" fillId="0" borderId="0" xfId="1" applyNumberFormat="1" applyFont="1" applyFill="1"/>
    <xf numFmtId="42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center"/>
    </xf>
    <xf numFmtId="4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0" applyNumberFormat="1" applyFill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0" fillId="0" borderId="0" xfId="0" applyFont="1"/>
    <xf numFmtId="41" fontId="10" fillId="0" borderId="0" xfId="0" applyNumberFormat="1" applyFont="1"/>
    <xf numFmtId="164" fontId="10" fillId="0" borderId="0" xfId="0" applyNumberFormat="1" applyFont="1"/>
    <xf numFmtId="10" fontId="0" fillId="0" borderId="0" xfId="0" applyNumberFormat="1" applyFont="1" applyAlignment="1">
      <alignment horizontal="center"/>
    </xf>
    <xf numFmtId="0" fontId="11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indent="1"/>
    </xf>
    <xf numFmtId="0" fontId="6" fillId="0" borderId="0" xfId="0" quotePrefix="1" applyFont="1" applyFill="1" applyAlignment="1">
      <alignment horizontal="left"/>
    </xf>
    <xf numFmtId="0" fontId="6" fillId="0" borderId="0" xfId="0" quotePrefix="1" applyFont="1" applyFill="1" applyAlignment="1">
      <alignment horizontal="left" inden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1" fontId="1" fillId="0" borderId="0" xfId="0" applyNumberFormat="1" applyFont="1"/>
    <xf numFmtId="0" fontId="0" fillId="0" borderId="0" xfId="0" applyBorder="1" applyAlignment="1">
      <alignment horizontal="center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0" fontId="0" fillId="0" borderId="2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2" fontId="0" fillId="4" borderId="3" xfId="0" applyNumberFormat="1" applyFill="1" applyBorder="1"/>
    <xf numFmtId="41" fontId="10" fillId="0" borderId="0" xfId="0" applyNumberFormat="1" applyFont="1" applyFill="1"/>
    <xf numFmtId="0" fontId="3" fillId="0" borderId="0" xfId="0" applyFont="1"/>
    <xf numFmtId="42" fontId="1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2" fillId="0" borderId="22" xfId="0" applyFont="1" applyBorder="1"/>
    <xf numFmtId="0" fontId="2" fillId="3" borderId="29" xfId="0" applyFont="1" applyFill="1" applyBorder="1" applyAlignment="1">
      <alignment horizontal="center"/>
    </xf>
    <xf numFmtId="0" fontId="0" fillId="0" borderId="0" xfId="0" applyFill="1" applyBorder="1"/>
    <xf numFmtId="164" fontId="6" fillId="0" borderId="0" xfId="0" quotePrefix="1" applyNumberFormat="1" applyFont="1" applyFill="1" applyAlignment="1">
      <alignment horizontal="left"/>
    </xf>
    <xf numFmtId="169" fontId="0" fillId="0" borderId="0" xfId="0" applyNumberFormat="1" applyFont="1" applyFill="1" applyAlignment="1">
      <alignment horizontal="right"/>
    </xf>
    <xf numFmtId="165" fontId="6" fillId="0" borderId="0" xfId="0" quotePrefix="1" applyNumberFormat="1" applyFont="1" applyFill="1" applyAlignment="1">
      <alignment horizontal="left"/>
    </xf>
    <xf numFmtId="164" fontId="6" fillId="0" borderId="6" xfId="0" applyNumberFormat="1" applyFont="1" applyFill="1" applyBorder="1"/>
    <xf numFmtId="165" fontId="6" fillId="0" borderId="6" xfId="0" applyNumberFormat="1" applyFont="1" applyFill="1" applyBorder="1"/>
    <xf numFmtId="165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165" fontId="6" fillId="0" borderId="0" xfId="0" applyNumberFormat="1" applyFont="1" applyFill="1"/>
    <xf numFmtId="164" fontId="6" fillId="0" borderId="2" xfId="0" applyNumberFormat="1" applyFont="1" applyFill="1" applyBorder="1"/>
    <xf numFmtId="165" fontId="6" fillId="0" borderId="2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0" fontId="2" fillId="0" borderId="0" xfId="0" applyNumberFormat="1" applyFont="1" applyFill="1" applyBorder="1"/>
    <xf numFmtId="171" fontId="17" fillId="0" borderId="0" xfId="0" applyNumberFormat="1" applyFont="1" applyFill="1" applyBorder="1"/>
    <xf numFmtId="41" fontId="2" fillId="0" borderId="0" xfId="0" applyNumberFormat="1" applyFont="1" applyFill="1" applyBorder="1"/>
    <xf numFmtId="41" fontId="1" fillId="0" borderId="0" xfId="0" applyNumberFormat="1" applyFont="1" applyFill="1" applyBorder="1"/>
    <xf numFmtId="41" fontId="0" fillId="0" borderId="0" xfId="0" applyNumberFormat="1" applyFill="1" applyBorder="1"/>
    <xf numFmtId="42" fontId="2" fillId="0" borderId="0" xfId="0" applyNumberFormat="1" applyFont="1" applyFill="1" applyBorder="1"/>
    <xf numFmtId="10" fontId="2" fillId="0" borderId="0" xfId="0" quotePrefix="1" applyNumberFormat="1" applyFont="1" applyFill="1" applyBorder="1" applyAlignment="1">
      <alignment horizontal="right"/>
    </xf>
    <xf numFmtId="10" fontId="17" fillId="0" borderId="0" xfId="0" quotePrefix="1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centerContinuous"/>
    </xf>
    <xf numFmtId="0" fontId="0" fillId="3" borderId="26" xfId="0" applyFill="1" applyBorder="1" applyAlignment="1">
      <alignment horizontal="center"/>
    </xf>
    <xf numFmtId="0" fontId="21" fillId="0" borderId="31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8" fillId="0" borderId="5" xfId="0" applyFont="1" applyBorder="1" applyAlignment="1">
      <alignment horizontal="centerContinuous"/>
    </xf>
    <xf numFmtId="0" fontId="2" fillId="0" borderId="30" xfId="0" applyFont="1" applyBorder="1" applyAlignment="1">
      <alignment horizontal="centerContinuous"/>
    </xf>
    <xf numFmtId="0" fontId="12" fillId="0" borderId="0" xfId="0" applyFont="1" applyFill="1"/>
    <xf numFmtId="0" fontId="3" fillId="0" borderId="34" xfId="0" applyFont="1" applyBorder="1"/>
    <xf numFmtId="166" fontId="22" fillId="0" borderId="0" xfId="0" applyNumberFormat="1" applyFont="1" applyFill="1" applyAlignment="1">
      <alignment horizontal="left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68" fontId="0" fillId="0" borderId="0" xfId="0" applyNumberFormat="1" applyFont="1" applyFill="1"/>
    <xf numFmtId="41" fontId="10" fillId="0" borderId="1" xfId="0" applyNumberFormat="1" applyFont="1" applyFill="1" applyBorder="1"/>
    <xf numFmtId="0" fontId="10" fillId="0" borderId="1" xfId="0" applyFont="1" applyFill="1" applyBorder="1"/>
    <xf numFmtId="42" fontId="0" fillId="0" borderId="2" xfId="0" applyNumberFormat="1" applyFill="1" applyBorder="1"/>
    <xf numFmtId="0" fontId="10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23" fillId="0" borderId="0" xfId="0" applyFont="1" applyAlignment="1">
      <alignment horizontal="left"/>
    </xf>
    <xf numFmtId="0" fontId="3" fillId="0" borderId="0" xfId="68" applyFont="1"/>
    <xf numFmtId="0" fontId="43" fillId="0" borderId="0" xfId="68" applyFont="1"/>
    <xf numFmtId="0" fontId="3" fillId="0" borderId="0" xfId="68" applyFont="1" applyAlignment="1">
      <alignment horizontal="left"/>
    </xf>
    <xf numFmtId="42" fontId="1" fillId="0" borderId="24" xfId="0" applyNumberFormat="1" applyFont="1" applyFill="1" applyBorder="1"/>
    <xf numFmtId="42" fontId="1" fillId="0" borderId="23" xfId="0" applyNumberFormat="1" applyFont="1" applyFill="1" applyBorder="1"/>
    <xf numFmtId="42" fontId="2" fillId="0" borderId="22" xfId="0" applyNumberFormat="1" applyFont="1" applyFill="1" applyBorder="1"/>
    <xf numFmtId="10" fontId="1" fillId="0" borderId="24" xfId="0" applyNumberFormat="1" applyFont="1" applyFill="1" applyBorder="1"/>
    <xf numFmtId="10" fontId="0" fillId="0" borderId="24" xfId="0" quotePrefix="1" applyNumberFormat="1" applyFill="1" applyBorder="1" applyAlignment="1">
      <alignment horizontal="right"/>
    </xf>
    <xf numFmtId="10" fontId="0" fillId="0" borderId="23" xfId="0" quotePrefix="1" applyNumberFormat="1" applyFill="1" applyBorder="1" applyAlignment="1">
      <alignment horizontal="right"/>
    </xf>
    <xf numFmtId="10" fontId="1" fillId="0" borderId="0" xfId="0" applyNumberFormat="1" applyFont="1" applyFill="1" applyBorder="1"/>
    <xf numFmtId="10" fontId="2" fillId="0" borderId="22" xfId="0" quotePrefix="1" applyNumberFormat="1" applyFont="1" applyFill="1" applyBorder="1" applyAlignment="1">
      <alignment horizontal="right"/>
    </xf>
    <xf numFmtId="10" fontId="0" fillId="0" borderId="22" xfId="0" applyNumberFormat="1" applyFont="1" applyFill="1" applyBorder="1"/>
    <xf numFmtId="41" fontId="1" fillId="0" borderId="21" xfId="0" applyNumberFormat="1" applyFont="1" applyFill="1" applyBorder="1"/>
    <xf numFmtId="41" fontId="1" fillId="0" borderId="20" xfId="0" applyNumberFormat="1" applyFont="1" applyFill="1" applyBorder="1"/>
    <xf numFmtId="41" fontId="1" fillId="0" borderId="1" xfId="0" applyNumberFormat="1" applyFont="1" applyFill="1" applyBorder="1"/>
    <xf numFmtId="41" fontId="2" fillId="0" borderId="19" xfId="0" applyNumberFormat="1" applyFont="1" applyFill="1" applyBorder="1"/>
    <xf numFmtId="41" fontId="1" fillId="0" borderId="4" xfId="0" applyNumberFormat="1" applyFont="1" applyFill="1" applyBorder="1"/>
    <xf numFmtId="41" fontId="1" fillId="0" borderId="27" xfId="0" applyNumberFormat="1" applyFont="1" applyFill="1" applyBorder="1"/>
    <xf numFmtId="41" fontId="1" fillId="0" borderId="26" xfId="0" applyNumberFormat="1" applyFont="1" applyFill="1" applyBorder="1"/>
    <xf numFmtId="41" fontId="2" fillId="0" borderId="29" xfId="0" applyNumberFormat="1" applyFont="1" applyFill="1" applyBorder="1"/>
    <xf numFmtId="41" fontId="1" fillId="0" borderId="24" xfId="0" applyNumberFormat="1" applyFont="1" applyFill="1" applyBorder="1"/>
    <xf numFmtId="41" fontId="1" fillId="0" borderId="23" xfId="0" applyNumberFormat="1" applyFont="1" applyFill="1" applyBorder="1"/>
    <xf numFmtId="41" fontId="2" fillId="0" borderId="22" xfId="0" applyNumberFormat="1" applyFont="1" applyFill="1" applyBorder="1"/>
    <xf numFmtId="171" fontId="16" fillId="0" borderId="24" xfId="0" applyNumberFormat="1" applyFont="1" applyFill="1" applyBorder="1"/>
    <xf numFmtId="171" fontId="16" fillId="0" borderId="23" xfId="0" applyNumberFormat="1" applyFont="1" applyFill="1" applyBorder="1"/>
    <xf numFmtId="171" fontId="16" fillId="0" borderId="0" xfId="0" applyNumberFormat="1" applyFont="1" applyFill="1" applyBorder="1"/>
    <xf numFmtId="10" fontId="16" fillId="0" borderId="22" xfId="0" quotePrefix="1" applyNumberFormat="1" applyFont="1" applyFill="1" applyBorder="1" applyAlignment="1">
      <alignment horizontal="right"/>
    </xf>
    <xf numFmtId="171" fontId="16" fillId="0" borderId="22" xfId="0" applyNumberFormat="1" applyFont="1" applyFill="1" applyBorder="1"/>
    <xf numFmtId="0" fontId="0" fillId="0" borderId="21" xfId="0" applyFill="1" applyBorder="1"/>
    <xf numFmtId="0" fontId="0" fillId="0" borderId="20" xfId="0" applyFill="1" applyBorder="1"/>
    <xf numFmtId="0" fontId="2" fillId="0" borderId="19" xfId="0" applyFont="1" applyFill="1" applyBorder="1"/>
    <xf numFmtId="164" fontId="0" fillId="0" borderId="29" xfId="0" applyNumberFormat="1" applyFont="1" applyFill="1" applyBorder="1"/>
    <xf numFmtId="0" fontId="2" fillId="0" borderId="29" xfId="0" applyFont="1" applyFill="1" applyBorder="1"/>
    <xf numFmtId="0" fontId="2" fillId="0" borderId="22" xfId="0" applyFont="1" applyFill="1" applyBorder="1"/>
    <xf numFmtId="0" fontId="5" fillId="0" borderId="0" xfId="0" applyFont="1" applyFill="1"/>
    <xf numFmtId="41" fontId="42" fillId="0" borderId="0" xfId="0" applyNumberFormat="1" applyFont="1"/>
    <xf numFmtId="41" fontId="42" fillId="0" borderId="0" xfId="0" applyNumberFormat="1" applyFont="1" applyFill="1" applyBorder="1"/>
    <xf numFmtId="43" fontId="5" fillId="0" borderId="0" xfId="1" applyFont="1"/>
    <xf numFmtId="43" fontId="1" fillId="0" borderId="0" xfId="1" applyFont="1"/>
    <xf numFmtId="43" fontId="1" fillId="0" borderId="0" xfId="1" applyFont="1" applyFill="1" applyBorder="1"/>
    <xf numFmtId="0" fontId="44" fillId="0" borderId="0" xfId="0" applyFont="1" applyAlignment="1">
      <alignment horizontal="right"/>
    </xf>
    <xf numFmtId="0" fontId="2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164" fontId="5" fillId="0" borderId="0" xfId="1" applyNumberFormat="1" applyFont="1"/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45" fillId="0" borderId="0" xfId="72" applyFont="1" applyFill="1" applyAlignment="1"/>
    <xf numFmtId="0" fontId="45" fillId="0" borderId="0" xfId="72" applyFont="1" applyFill="1"/>
    <xf numFmtId="0" fontId="46" fillId="0" borderId="0" xfId="72" applyFont="1" applyFill="1"/>
    <xf numFmtId="0" fontId="46" fillId="0" borderId="35" xfId="72" applyFont="1" applyFill="1" applyBorder="1"/>
    <xf numFmtId="0" fontId="45" fillId="0" borderId="36" xfId="72" applyFont="1" applyFill="1" applyBorder="1"/>
    <xf numFmtId="0" fontId="45" fillId="0" borderId="37" xfId="72" applyFont="1" applyFill="1" applyBorder="1"/>
    <xf numFmtId="0" fontId="46" fillId="0" borderId="23" xfId="72" applyFont="1" applyFill="1" applyBorder="1"/>
    <xf numFmtId="0" fontId="45" fillId="0" borderId="10" xfId="72" applyFont="1" applyFill="1" applyBorder="1" applyAlignment="1">
      <alignment horizontal="centerContinuous"/>
    </xf>
    <xf numFmtId="0" fontId="46" fillId="0" borderId="6" xfId="72" applyFont="1" applyFill="1" applyBorder="1" applyAlignment="1">
      <alignment horizontal="centerContinuous"/>
    </xf>
    <xf numFmtId="0" fontId="46" fillId="0" borderId="38" xfId="72" applyFont="1" applyFill="1" applyBorder="1" applyAlignment="1">
      <alignment horizontal="centerContinuous"/>
    </xf>
    <xf numFmtId="0" fontId="45" fillId="0" borderId="6" xfId="72" applyFont="1" applyFill="1" applyBorder="1" applyAlignment="1">
      <alignment horizontal="centerContinuous"/>
    </xf>
    <xf numFmtId="0" fontId="46" fillId="0" borderId="11" xfId="72" applyFont="1" applyFill="1" applyBorder="1" applyAlignment="1">
      <alignment horizontal="centerContinuous"/>
    </xf>
    <xf numFmtId="0" fontId="46" fillId="0" borderId="24" xfId="72" applyFont="1" applyFill="1" applyBorder="1"/>
    <xf numFmtId="0" fontId="46" fillId="0" borderId="0" xfId="72" applyFont="1" applyFill="1" applyBorder="1"/>
    <xf numFmtId="0" fontId="46" fillId="0" borderId="0" xfId="72" applyFont="1" applyFill="1" applyBorder="1" applyAlignment="1">
      <alignment horizontal="center"/>
    </xf>
    <xf numFmtId="0" fontId="46" fillId="0" borderId="12" xfId="72" applyFont="1" applyFill="1" applyBorder="1" applyAlignment="1">
      <alignment horizontal="center"/>
    </xf>
    <xf numFmtId="0" fontId="46" fillId="0" borderId="1" xfId="72" applyFont="1" applyFill="1" applyBorder="1" applyAlignment="1">
      <alignment horizontal="center"/>
    </xf>
    <xf numFmtId="0" fontId="46" fillId="0" borderId="39" xfId="72" applyFont="1" applyFill="1" applyBorder="1"/>
    <xf numFmtId="0" fontId="46" fillId="0" borderId="1" xfId="72" applyFont="1" applyFill="1" applyBorder="1"/>
    <xf numFmtId="0" fontId="46" fillId="0" borderId="13" xfId="72" applyFont="1" applyFill="1" applyBorder="1"/>
    <xf numFmtId="0" fontId="46" fillId="0" borderId="24" xfId="72" applyFont="1" applyFill="1" applyBorder="1" applyAlignment="1">
      <alignment horizontal="center"/>
    </xf>
    <xf numFmtId="0" fontId="46" fillId="0" borderId="14" xfId="72" applyFont="1" applyFill="1" applyBorder="1" applyAlignment="1">
      <alignment horizontal="center"/>
    </xf>
    <xf numFmtId="0" fontId="46" fillId="0" borderId="40" xfId="72" applyFont="1" applyFill="1" applyBorder="1" applyAlignment="1">
      <alignment horizontal="center"/>
    </xf>
    <xf numFmtId="0" fontId="46" fillId="0" borderId="9" xfId="72" applyFont="1" applyFill="1" applyBorder="1" applyAlignment="1">
      <alignment horizontal="center"/>
    </xf>
    <xf numFmtId="0" fontId="46" fillId="0" borderId="4" xfId="72" applyFont="1" applyFill="1" applyBorder="1" applyAlignment="1">
      <alignment horizontal="center"/>
    </xf>
    <xf numFmtId="0" fontId="46" fillId="0" borderId="15" xfId="72" applyFont="1" applyFill="1" applyBorder="1" applyAlignment="1">
      <alignment horizontal="center"/>
    </xf>
    <xf numFmtId="0" fontId="46" fillId="0" borderId="41" xfId="72" applyFont="1" applyFill="1" applyBorder="1" applyAlignment="1">
      <alignment horizontal="center"/>
    </xf>
    <xf numFmtId="0" fontId="46" fillId="0" borderId="8" xfId="72" applyFont="1" applyFill="1" applyBorder="1" applyAlignment="1">
      <alignment horizontal="center"/>
    </xf>
    <xf numFmtId="0" fontId="47" fillId="0" borderId="0" xfId="72" quotePrefix="1" applyFont="1" applyFill="1" applyAlignment="1">
      <alignment horizontal="center"/>
    </xf>
    <xf numFmtId="0" fontId="48" fillId="0" borderId="14" xfId="72" applyFont="1" applyFill="1" applyBorder="1" applyAlignment="1">
      <alignment horizontal="centerContinuous"/>
    </xf>
    <xf numFmtId="0" fontId="48" fillId="0" borderId="0" xfId="72" applyFont="1" applyFill="1" applyBorder="1" applyAlignment="1">
      <alignment horizontal="centerContinuous"/>
    </xf>
    <xf numFmtId="0" fontId="46" fillId="0" borderId="40" xfId="72" applyFont="1" applyFill="1" applyBorder="1"/>
    <xf numFmtId="0" fontId="46" fillId="0" borderId="9" xfId="72" applyFont="1" applyFill="1" applyBorder="1"/>
    <xf numFmtId="0" fontId="46" fillId="0" borderId="14" xfId="72" applyFont="1" applyFill="1" applyBorder="1"/>
    <xf numFmtId="42" fontId="46" fillId="0" borderId="40" xfId="72" applyNumberFormat="1" applyFont="1" applyFill="1" applyBorder="1"/>
    <xf numFmtId="41" fontId="46" fillId="0" borderId="9" xfId="3" applyNumberFormat="1" applyFont="1" applyFill="1" applyBorder="1"/>
    <xf numFmtId="42" fontId="46" fillId="0" borderId="0" xfId="72" applyNumberFormat="1" applyFont="1" applyFill="1"/>
    <xf numFmtId="42" fontId="46" fillId="0" borderId="14" xfId="72" applyNumberFormat="1" applyFont="1" applyFill="1" applyBorder="1"/>
    <xf numFmtId="42" fontId="46" fillId="0" borderId="0" xfId="72" applyNumberFormat="1" applyFont="1" applyFill="1" applyBorder="1"/>
    <xf numFmtId="41" fontId="46" fillId="0" borderId="40" xfId="72" applyNumberFormat="1" applyFont="1" applyFill="1" applyBorder="1"/>
    <xf numFmtId="42" fontId="46" fillId="0" borderId="24" xfId="72" applyNumberFormat="1" applyFont="1" applyFill="1" applyBorder="1"/>
    <xf numFmtId="41" fontId="46" fillId="0" borderId="0" xfId="72" applyNumberFormat="1" applyFont="1" applyFill="1"/>
    <xf numFmtId="41" fontId="46" fillId="0" borderId="14" xfId="72" applyNumberFormat="1" applyFont="1" applyFill="1" applyBorder="1"/>
    <xf numFmtId="41" fontId="46" fillId="0" borderId="0" xfId="72" applyNumberFormat="1" applyFont="1" applyFill="1" applyBorder="1"/>
    <xf numFmtId="41" fontId="46" fillId="0" borderId="24" xfId="72" applyNumberFormat="1" applyFont="1" applyFill="1" applyBorder="1"/>
    <xf numFmtId="41" fontId="46" fillId="0" borderId="32" xfId="72" applyNumberFormat="1" applyFont="1" applyFill="1" applyBorder="1"/>
    <xf numFmtId="41" fontId="46" fillId="0" borderId="16" xfId="72" applyNumberFormat="1" applyFont="1" applyFill="1" applyBorder="1"/>
    <xf numFmtId="164" fontId="46" fillId="0" borderId="0" xfId="1" applyNumberFormat="1" applyFont="1" applyFill="1" applyAlignment="1">
      <alignment horizontal="right"/>
    </xf>
    <xf numFmtId="42" fontId="46" fillId="0" borderId="3" xfId="72" applyNumberFormat="1" applyFont="1" applyFill="1" applyBorder="1"/>
    <xf numFmtId="0" fontId="46" fillId="0" borderId="0" xfId="72" applyFont="1" applyFill="1" applyAlignment="1">
      <alignment horizontal="centerContinuous"/>
    </xf>
    <xf numFmtId="0" fontId="46" fillId="0" borderId="0" xfId="72" applyFont="1" applyFill="1" applyAlignment="1">
      <alignment horizontal="center"/>
    </xf>
    <xf numFmtId="0" fontId="46" fillId="0" borderId="23" xfId="72" applyFont="1" applyFill="1" applyBorder="1" applyAlignment="1">
      <alignment horizontal="center"/>
    </xf>
    <xf numFmtId="0" fontId="49" fillId="0" borderId="0" xfId="72" applyFont="1" applyFill="1" applyAlignment="1">
      <alignment horizontal="center"/>
    </xf>
    <xf numFmtId="0" fontId="49" fillId="0" borderId="0" xfId="72" applyFont="1" applyFill="1" applyBorder="1" applyAlignment="1">
      <alignment horizontal="center"/>
    </xf>
    <xf numFmtId="0" fontId="49" fillId="0" borderId="23" xfId="72" applyFont="1" applyFill="1" applyBorder="1" applyAlignment="1">
      <alignment horizontal="center"/>
    </xf>
    <xf numFmtId="164" fontId="46" fillId="0" borderId="0" xfId="3" applyNumberFormat="1" applyFont="1" applyFill="1"/>
    <xf numFmtId="41" fontId="46" fillId="0" borderId="23" xfId="72" applyNumberFormat="1" applyFont="1" applyFill="1" applyBorder="1"/>
    <xf numFmtId="4" fontId="46" fillId="0" borderId="0" xfId="72" applyNumberFormat="1" applyFont="1" applyFill="1"/>
    <xf numFmtId="41" fontId="46" fillId="0" borderId="52" xfId="72" applyNumberFormat="1" applyFont="1" applyFill="1" applyBorder="1"/>
    <xf numFmtId="41" fontId="46" fillId="0" borderId="7" xfId="72" applyNumberFormat="1" applyFont="1" applyFill="1" applyBorder="1"/>
    <xf numFmtId="41" fontId="46" fillId="0" borderId="18" xfId="72" applyNumberFormat="1" applyFont="1" applyFill="1" applyBorder="1"/>
    <xf numFmtId="164" fontId="46" fillId="0" borderId="0" xfId="1" applyNumberFormat="1" applyFont="1" applyFill="1"/>
    <xf numFmtId="0" fontId="45" fillId="0" borderId="0" xfId="2" applyFont="1" applyFill="1" applyAlignment="1"/>
    <xf numFmtId="0" fontId="45" fillId="0" borderId="0" xfId="2" applyFont="1" applyFill="1"/>
    <xf numFmtId="0" fontId="46" fillId="0" borderId="0" xfId="2" applyFont="1" applyFill="1"/>
    <xf numFmtId="0" fontId="46" fillId="0" borderId="35" xfId="2" applyFont="1" applyFill="1" applyBorder="1"/>
    <xf numFmtId="0" fontId="45" fillId="0" borderId="36" xfId="2" applyFont="1" applyFill="1" applyBorder="1"/>
    <xf numFmtId="0" fontId="45" fillId="0" borderId="37" xfId="2" applyFont="1" applyFill="1" applyBorder="1"/>
    <xf numFmtId="0" fontId="46" fillId="0" borderId="23" xfId="2" applyFont="1" applyFill="1" applyBorder="1"/>
    <xf numFmtId="0" fontId="45" fillId="0" borderId="10" xfId="2" applyFont="1" applyFill="1" applyBorder="1" applyAlignment="1">
      <alignment horizontal="centerContinuous"/>
    </xf>
    <xf numFmtId="0" fontId="46" fillId="0" borderId="6" xfId="2" applyFont="1" applyFill="1" applyBorder="1" applyAlignment="1">
      <alignment horizontal="centerContinuous"/>
    </xf>
    <xf numFmtId="0" fontId="46" fillId="0" borderId="38" xfId="2" applyFont="1" applyFill="1" applyBorder="1" applyAlignment="1">
      <alignment horizontal="centerContinuous"/>
    </xf>
    <xf numFmtId="0" fontId="45" fillId="0" borderId="6" xfId="2" applyFont="1" applyFill="1" applyBorder="1" applyAlignment="1">
      <alignment horizontal="centerContinuous"/>
    </xf>
    <xf numFmtId="0" fontId="46" fillId="0" borderId="11" xfId="2" applyFont="1" applyFill="1" applyBorder="1" applyAlignment="1">
      <alignment horizontal="centerContinuous"/>
    </xf>
    <xf numFmtId="0" fontId="46" fillId="0" borderId="27" xfId="2" applyFont="1" applyFill="1" applyBorder="1"/>
    <xf numFmtId="0" fontId="46" fillId="0" borderId="4" xfId="2" applyFont="1" applyFill="1" applyBorder="1"/>
    <xf numFmtId="0" fontId="46" fillId="0" borderId="26" xfId="2" applyFont="1" applyFill="1" applyBorder="1"/>
    <xf numFmtId="0" fontId="46" fillId="0" borderId="0" xfId="2" applyFont="1" applyFill="1" applyBorder="1" applyAlignment="1">
      <alignment horizontal="center"/>
    </xf>
    <xf numFmtId="0" fontId="46" fillId="0" borderId="12" xfId="2" applyFont="1" applyFill="1" applyBorder="1" applyAlignment="1">
      <alignment horizontal="center"/>
    </xf>
    <xf numFmtId="0" fontId="46" fillId="0" borderId="1" xfId="2" applyFont="1" applyFill="1" applyBorder="1" applyAlignment="1">
      <alignment horizontal="center"/>
    </xf>
    <xf numFmtId="0" fontId="46" fillId="0" borderId="39" xfId="2" applyFont="1" applyFill="1" applyBorder="1"/>
    <xf numFmtId="0" fontId="46" fillId="0" borderId="1" xfId="2" applyFont="1" applyFill="1" applyBorder="1"/>
    <xf numFmtId="0" fontId="46" fillId="0" borderId="13" xfId="2" applyFont="1" applyFill="1" applyBorder="1"/>
    <xf numFmtId="0" fontId="46" fillId="0" borderId="24" xfId="2" applyFont="1" applyFill="1" applyBorder="1" applyAlignment="1">
      <alignment horizontal="center"/>
    </xf>
    <xf numFmtId="0" fontId="46" fillId="0" borderId="0" xfId="2" applyFont="1" applyFill="1" applyBorder="1"/>
    <xf numFmtId="0" fontId="46" fillId="0" borderId="14" xfId="2" applyFont="1" applyFill="1" applyBorder="1" applyAlignment="1">
      <alignment horizontal="center"/>
    </xf>
    <xf numFmtId="0" fontId="46" fillId="0" borderId="40" xfId="2" applyFont="1" applyFill="1" applyBorder="1" applyAlignment="1">
      <alignment horizontal="center"/>
    </xf>
    <xf numFmtId="0" fontId="46" fillId="0" borderId="9" xfId="2" applyFont="1" applyFill="1" applyBorder="1" applyAlignment="1">
      <alignment horizontal="center"/>
    </xf>
    <xf numFmtId="0" fontId="46" fillId="0" borderId="4" xfId="2" applyFont="1" applyFill="1" applyBorder="1" applyAlignment="1">
      <alignment horizontal="center"/>
    </xf>
    <xf numFmtId="0" fontId="46" fillId="0" borderId="15" xfId="2" applyFont="1" applyFill="1" applyBorder="1" applyAlignment="1">
      <alignment horizontal="center"/>
    </xf>
    <xf numFmtId="0" fontId="46" fillId="0" borderId="41" xfId="2" applyFont="1" applyFill="1" applyBorder="1" applyAlignment="1">
      <alignment horizontal="center"/>
    </xf>
    <xf numFmtId="0" fontId="46" fillId="0" borderId="8" xfId="2" applyFont="1" applyFill="1" applyBorder="1" applyAlignment="1">
      <alignment horizontal="center"/>
    </xf>
    <xf numFmtId="0" fontId="46" fillId="0" borderId="27" xfId="2" applyFont="1" applyFill="1" applyBorder="1" applyAlignment="1">
      <alignment horizontal="center"/>
    </xf>
    <xf numFmtId="0" fontId="47" fillId="0" borderId="0" xfId="2" quotePrefix="1" applyFont="1" applyFill="1" applyAlignment="1">
      <alignment horizontal="center"/>
    </xf>
    <xf numFmtId="0" fontId="48" fillId="0" borderId="14" xfId="2" applyFont="1" applyFill="1" applyBorder="1" applyAlignment="1">
      <alignment horizontal="centerContinuous"/>
    </xf>
    <xf numFmtId="0" fontId="48" fillId="0" borderId="0" xfId="2" applyFont="1" applyFill="1" applyBorder="1" applyAlignment="1">
      <alignment horizontal="centerContinuous"/>
    </xf>
    <xf numFmtId="0" fontId="46" fillId="0" borderId="40" xfId="2" applyFont="1" applyFill="1" applyBorder="1"/>
    <xf numFmtId="0" fontId="46" fillId="0" borderId="9" xfId="2" applyFont="1" applyFill="1" applyBorder="1"/>
    <xf numFmtId="0" fontId="46" fillId="0" borderId="24" xfId="2" applyFont="1" applyFill="1" applyBorder="1"/>
    <xf numFmtId="0" fontId="46" fillId="0" borderId="14" xfId="2" applyFont="1" applyFill="1" applyBorder="1"/>
    <xf numFmtId="42" fontId="46" fillId="0" borderId="40" xfId="2" applyNumberFormat="1" applyFont="1" applyFill="1" applyBorder="1"/>
    <xf numFmtId="3" fontId="46" fillId="0" borderId="9" xfId="2" applyNumberFormat="1" applyFont="1" applyFill="1" applyBorder="1"/>
    <xf numFmtId="42" fontId="46" fillId="0" borderId="0" xfId="2" applyNumberFormat="1" applyFont="1" applyFill="1"/>
    <xf numFmtId="42" fontId="46" fillId="0" borderId="14" xfId="2" applyNumberFormat="1" applyFont="1" applyFill="1" applyBorder="1"/>
    <xf numFmtId="42" fontId="46" fillId="0" borderId="0" xfId="2" applyNumberFormat="1" applyFont="1" applyFill="1" applyBorder="1"/>
    <xf numFmtId="41" fontId="46" fillId="0" borderId="40" xfId="2" applyNumberFormat="1" applyFont="1" applyFill="1" applyBorder="1"/>
    <xf numFmtId="42" fontId="46" fillId="0" borderId="24" xfId="2" applyNumberFormat="1" applyFont="1" applyFill="1" applyBorder="1"/>
    <xf numFmtId="41" fontId="46" fillId="0" borderId="0" xfId="2" applyNumberFormat="1" applyFont="1" applyFill="1"/>
    <xf numFmtId="41" fontId="46" fillId="0" borderId="14" xfId="2" applyNumberFormat="1" applyFont="1" applyFill="1" applyBorder="1"/>
    <xf numFmtId="41" fontId="46" fillId="0" borderId="0" xfId="2" applyNumberFormat="1" applyFont="1" applyFill="1" applyBorder="1"/>
    <xf numFmtId="41" fontId="46" fillId="0" borderId="24" xfId="2" applyNumberFormat="1" applyFont="1" applyFill="1" applyBorder="1"/>
    <xf numFmtId="41" fontId="46" fillId="0" borderId="32" xfId="2" applyNumberFormat="1" applyFont="1" applyFill="1" applyBorder="1"/>
    <xf numFmtId="41" fontId="46" fillId="0" borderId="16" xfId="2" applyNumberFormat="1" applyFont="1" applyFill="1" applyBorder="1"/>
    <xf numFmtId="41" fontId="46" fillId="0" borderId="0" xfId="2" applyNumberFormat="1" applyFont="1" applyFill="1" applyAlignment="1">
      <alignment horizontal="right"/>
    </xf>
    <xf numFmtId="42" fontId="46" fillId="0" borderId="3" xfId="2" applyNumberFormat="1" applyFont="1" applyFill="1" applyBorder="1"/>
    <xf numFmtId="0" fontId="46" fillId="0" borderId="0" xfId="2" quotePrefix="1" applyFont="1" applyFill="1"/>
    <xf numFmtId="0" fontId="46" fillId="0" borderId="0" xfId="2" applyFont="1" applyFill="1" applyAlignment="1">
      <alignment horizontal="centerContinuous"/>
    </xf>
    <xf numFmtId="0" fontId="46" fillId="0" borderId="0" xfId="2" applyFont="1" applyFill="1" applyAlignment="1">
      <alignment horizontal="center"/>
    </xf>
    <xf numFmtId="0" fontId="46" fillId="0" borderId="23" xfId="2" applyFont="1" applyFill="1" applyBorder="1" applyAlignment="1">
      <alignment horizontal="center"/>
    </xf>
    <xf numFmtId="0" fontId="49" fillId="0" borderId="0" xfId="2" applyFont="1" applyFill="1" applyAlignment="1">
      <alignment horizontal="center"/>
    </xf>
    <xf numFmtId="0" fontId="49" fillId="0" borderId="0" xfId="2" applyFont="1" applyFill="1" applyBorder="1" applyAlignment="1">
      <alignment horizontal="center"/>
    </xf>
    <xf numFmtId="0" fontId="49" fillId="0" borderId="23" xfId="2" applyFont="1" applyFill="1" applyBorder="1" applyAlignment="1">
      <alignment horizontal="center"/>
    </xf>
    <xf numFmtId="42" fontId="46" fillId="0" borderId="23" xfId="2" applyNumberFormat="1" applyFont="1" applyFill="1" applyBorder="1"/>
    <xf numFmtId="41" fontId="46" fillId="0" borderId="23" xfId="2" applyNumberFormat="1" applyFont="1" applyFill="1" applyBorder="1"/>
    <xf numFmtId="4" fontId="46" fillId="0" borderId="0" xfId="2" applyNumberFormat="1" applyFont="1" applyFill="1"/>
    <xf numFmtId="41" fontId="46" fillId="0" borderId="27" xfId="2" applyNumberFormat="1" applyFont="1" applyFill="1" applyBorder="1"/>
    <xf numFmtId="41" fontId="46" fillId="0" borderId="4" xfId="2" applyNumberFormat="1" applyFont="1" applyFill="1" applyBorder="1"/>
    <xf numFmtId="38" fontId="46" fillId="0" borderId="0" xfId="2" applyNumberFormat="1" applyFont="1" applyFill="1"/>
    <xf numFmtId="38" fontId="46" fillId="0" borderId="0" xfId="2" applyNumberFormat="1" applyFont="1" applyFill="1" applyAlignment="1">
      <alignment horizontal="right"/>
    </xf>
    <xf numFmtId="0" fontId="12" fillId="0" borderId="0" xfId="0" applyFont="1" applyFill="1" applyAlignment="1">
      <alignment horizontal="centerContinuous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164" fontId="52" fillId="0" borderId="0" xfId="0" applyNumberFormat="1" applyFont="1" applyFill="1" applyBorder="1"/>
    <xf numFmtId="164" fontId="12" fillId="0" borderId="0" xfId="0" applyNumberFormat="1" applyFont="1" applyFill="1" applyBorder="1"/>
    <xf numFmtId="170" fontId="52" fillId="0" borderId="0" xfId="0" applyNumberFormat="1" applyFont="1" applyFill="1"/>
    <xf numFmtId="165" fontId="12" fillId="0" borderId="0" xfId="0" applyNumberFormat="1" applyFont="1" applyFill="1"/>
    <xf numFmtId="0" fontId="12" fillId="0" borderId="4" xfId="0" applyFont="1" applyFill="1" applyBorder="1" applyAlignment="1">
      <alignment horizontal="left"/>
    </xf>
    <xf numFmtId="170" fontId="52" fillId="0" borderId="4" xfId="0" applyNumberFormat="1" applyFont="1" applyFill="1" applyBorder="1"/>
    <xf numFmtId="165" fontId="12" fillId="0" borderId="4" xfId="0" applyNumberFormat="1" applyFont="1" applyFill="1" applyBorder="1"/>
    <xf numFmtId="164" fontId="12" fillId="0" borderId="1" xfId="0" applyNumberFormat="1" applyFont="1" applyFill="1" applyBorder="1"/>
    <xf numFmtId="165" fontId="12" fillId="0" borderId="1" xfId="0" applyNumberFormat="1" applyFont="1" applyFill="1" applyBorder="1"/>
    <xf numFmtId="0" fontId="53" fillId="0" borderId="0" xfId="0" applyFont="1" applyFill="1" applyAlignment="1">
      <alignment horizontal="right"/>
    </xf>
    <xf numFmtId="44" fontId="52" fillId="0" borderId="0" xfId="0" applyNumberFormat="1" applyFont="1" applyFill="1"/>
    <xf numFmtId="164" fontId="54" fillId="0" borderId="0" xfId="0" applyNumberFormat="1" applyFont="1" applyFill="1" applyBorder="1"/>
    <xf numFmtId="44" fontId="54" fillId="0" borderId="0" xfId="0" applyNumberFormat="1" applyFont="1" applyFill="1"/>
    <xf numFmtId="165" fontId="12" fillId="0" borderId="2" xfId="0" applyNumberFormat="1" applyFont="1" applyFill="1" applyBorder="1"/>
    <xf numFmtId="164" fontId="0" fillId="0" borderId="0" xfId="1" applyNumberFormat="1" applyFont="1"/>
    <xf numFmtId="0" fontId="55" fillId="0" borderId="0" xfId="0" applyFont="1" applyFill="1"/>
    <xf numFmtId="0" fontId="56" fillId="0" borderId="10" xfId="0" applyFont="1" applyFill="1" applyBorder="1" applyAlignment="1">
      <alignment horizontal="centerContinuous"/>
    </xf>
    <xf numFmtId="0" fontId="56" fillId="0" borderId="11" xfId="0" applyFont="1" applyFill="1" applyBorder="1" applyAlignment="1">
      <alignment horizontal="centerContinuous"/>
    </xf>
    <xf numFmtId="0" fontId="56" fillId="0" borderId="0" xfId="0" applyFont="1" applyFill="1" applyAlignment="1">
      <alignment horizontal="centerContinuous"/>
    </xf>
    <xf numFmtId="0" fontId="55" fillId="0" borderId="0" xfId="0" applyFont="1" applyFill="1" applyAlignment="1">
      <alignment horizontal="centerContinuous"/>
    </xf>
    <xf numFmtId="0" fontId="57" fillId="0" borderId="0" xfId="0" applyNumberFormat="1" applyFont="1" applyFill="1" applyAlignment="1">
      <alignment horizontal="center"/>
    </xf>
    <xf numFmtId="0" fontId="58" fillId="0" borderId="0" xfId="0" applyFont="1" applyFill="1"/>
    <xf numFmtId="0" fontId="57" fillId="0" borderId="4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>
      <alignment horizontal="left"/>
    </xf>
    <xf numFmtId="0" fontId="55" fillId="0" borderId="0" xfId="0" applyNumberFormat="1" applyFont="1" applyFill="1" applyAlignment="1"/>
    <xf numFmtId="166" fontId="55" fillId="0" borderId="0" xfId="0" applyNumberFormat="1" applyFont="1" applyFill="1" applyAlignment="1"/>
    <xf numFmtId="167" fontId="55" fillId="0" borderId="0" xfId="0" applyNumberFormat="1" applyFont="1" applyFill="1" applyAlignment="1"/>
    <xf numFmtId="166" fontId="55" fillId="0" borderId="4" xfId="0" applyNumberFormat="1" applyFont="1" applyFill="1" applyBorder="1" applyAlignment="1"/>
    <xf numFmtId="166" fontId="55" fillId="0" borderId="0" xfId="0" applyNumberFormat="1" applyFont="1" applyFill="1" applyBorder="1" applyAlignment="1"/>
    <xf numFmtId="9" fontId="55" fillId="0" borderId="0" xfId="0" applyNumberFormat="1" applyFont="1" applyFill="1" applyAlignment="1"/>
    <xf numFmtId="166" fontId="56" fillId="0" borderId="2" xfId="0" applyNumberFormat="1" applyFont="1" applyFill="1" applyBorder="1" applyAlignment="1" applyProtection="1">
      <protection locked="0"/>
    </xf>
    <xf numFmtId="0" fontId="56" fillId="0" borderId="6" xfId="0" applyFont="1" applyFill="1" applyBorder="1" applyAlignment="1">
      <alignment horizontal="centerContinuous"/>
    </xf>
    <xf numFmtId="0" fontId="57" fillId="0" borderId="0" xfId="0" applyFont="1" applyFill="1" applyAlignment="1">
      <alignment horizontal="centerContinuous"/>
    </xf>
    <xf numFmtId="0" fontId="58" fillId="0" borderId="0" xfId="0" applyFont="1" applyFill="1" applyAlignment="1">
      <alignment horizontal="centerContinuous"/>
    </xf>
    <xf numFmtId="0" fontId="58" fillId="0" borderId="0" xfId="0" applyNumberFormat="1" applyFont="1" applyFill="1" applyAlignment="1">
      <alignment horizontal="left"/>
    </xf>
    <xf numFmtId="0" fontId="58" fillId="0" borderId="0" xfId="0" applyNumberFormat="1" applyFont="1" applyFill="1" applyAlignment="1"/>
    <xf numFmtId="166" fontId="58" fillId="0" borderId="0" xfId="0" applyNumberFormat="1" applyFont="1" applyFill="1" applyAlignment="1"/>
    <xf numFmtId="167" fontId="58" fillId="0" borderId="0" xfId="0" applyNumberFormat="1" applyFont="1" applyFill="1" applyAlignment="1"/>
    <xf numFmtId="166" fontId="58" fillId="0" borderId="4" xfId="0" applyNumberFormat="1" applyFont="1" applyFill="1" applyBorder="1" applyAlignment="1"/>
    <xf numFmtId="166" fontId="58" fillId="0" borderId="0" xfId="0" applyNumberFormat="1" applyFont="1" applyFill="1" applyBorder="1" applyAlignment="1"/>
    <xf numFmtId="9" fontId="58" fillId="0" borderId="0" xfId="0" applyNumberFormat="1" applyFont="1" applyFill="1" applyAlignment="1"/>
    <xf numFmtId="166" fontId="58" fillId="0" borderId="2" xfId="0" applyNumberFormat="1" applyFont="1" applyFill="1" applyBorder="1" applyAlignment="1" applyProtection="1">
      <protection locked="0"/>
    </xf>
    <xf numFmtId="164" fontId="59" fillId="0" borderId="0" xfId="0" applyNumberFormat="1" applyFont="1" applyFill="1" applyBorder="1"/>
    <xf numFmtId="164" fontId="60" fillId="0" borderId="0" xfId="0" applyNumberFormat="1" applyFont="1" applyFill="1" applyBorder="1"/>
    <xf numFmtId="164" fontId="60" fillId="0" borderId="0" xfId="0" applyNumberFormat="1" applyFont="1" applyFill="1"/>
    <xf numFmtId="17" fontId="0" fillId="0" borderId="4" xfId="0" applyNumberForma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7" fontId="0" fillId="0" borderId="4" xfId="0" quotePrefix="1" applyNumberFormat="1" applyBorder="1" applyAlignment="1">
      <alignment horizontal="center" wrapText="1"/>
    </xf>
    <xf numFmtId="0" fontId="0" fillId="0" borderId="0" xfId="0" quotePrefix="1" applyAlignment="1">
      <alignment horizontal="center"/>
    </xf>
    <xf numFmtId="169" fontId="0" fillId="0" borderId="0" xfId="0" applyNumberFormat="1" applyFont="1" applyAlignment="1">
      <alignment horizontal="center"/>
    </xf>
    <xf numFmtId="164" fontId="6" fillId="28" borderId="0" xfId="0" quotePrefix="1" applyNumberFormat="1" applyFont="1" applyFill="1" applyAlignment="1">
      <alignment horizontal="left"/>
    </xf>
    <xf numFmtId="169" fontId="0" fillId="28" borderId="0" xfId="0" applyNumberFormat="1" applyFont="1" applyFill="1" applyAlignment="1">
      <alignment horizontal="right"/>
    </xf>
    <xf numFmtId="164" fontId="6" fillId="29" borderId="0" xfId="0" quotePrefix="1" applyNumberFormat="1" applyFont="1" applyFill="1" applyAlignment="1">
      <alignment horizontal="left"/>
    </xf>
    <xf numFmtId="169" fontId="0" fillId="29" borderId="0" xfId="0" applyNumberFormat="1" applyFont="1" applyFill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6" fillId="28" borderId="0" xfId="0" applyNumberFormat="1" applyFont="1" applyFill="1" applyBorder="1"/>
    <xf numFmtId="0" fontId="6" fillId="0" borderId="0" xfId="0" quotePrefix="1" applyFont="1" applyFill="1" applyAlignment="1">
      <alignment horizontal="center"/>
    </xf>
    <xf numFmtId="164" fontId="6" fillId="28" borderId="6" xfId="0" applyNumberFormat="1" applyFont="1" applyFill="1" applyBorder="1"/>
    <xf numFmtId="164" fontId="6" fillId="29" borderId="6" xfId="0" applyNumberFormat="1" applyFont="1" applyFill="1" applyBorder="1"/>
    <xf numFmtId="164" fontId="6" fillId="29" borderId="0" xfId="0" applyNumberFormat="1" applyFont="1" applyFill="1" applyBorder="1"/>
    <xf numFmtId="164" fontId="0" fillId="28" borderId="0" xfId="0" applyNumberFormat="1" applyFill="1"/>
    <xf numFmtId="164" fontId="0" fillId="29" borderId="0" xfId="0" applyNumberFormat="1" applyFill="1"/>
    <xf numFmtId="41" fontId="0" fillId="0" borderId="29" xfId="0" applyNumberFormat="1" applyFont="1" applyFill="1" applyBorder="1"/>
    <xf numFmtId="3" fontId="45" fillId="0" borderId="33" xfId="2" applyNumberFormat="1" applyFont="1" applyFill="1" applyBorder="1"/>
    <xf numFmtId="41" fontId="45" fillId="0" borderId="42" xfId="2" applyNumberFormat="1" applyFont="1" applyFill="1" applyBorder="1"/>
    <xf numFmtId="164" fontId="45" fillId="0" borderId="0" xfId="3" applyNumberFormat="1" applyFont="1" applyFill="1"/>
    <xf numFmtId="41" fontId="45" fillId="0" borderId="42" xfId="72" applyNumberFormat="1" applyFont="1" applyFill="1" applyBorder="1"/>
    <xf numFmtId="41" fontId="45" fillId="0" borderId="33" xfId="3" applyNumberFormat="1" applyFont="1" applyFill="1" applyBorder="1"/>
    <xf numFmtId="42" fontId="45" fillId="0" borderId="0" xfId="2" applyNumberFormat="1" applyFont="1" applyFill="1"/>
    <xf numFmtId="37" fontId="0" fillId="0" borderId="0" xfId="0" applyNumberFormat="1"/>
    <xf numFmtId="0" fontId="51" fillId="0" borderId="40" xfId="72" applyFont="1" applyFill="1" applyBorder="1"/>
    <xf numFmtId="0" fontId="1" fillId="0" borderId="0" xfId="72" applyFill="1" applyBorder="1"/>
    <xf numFmtId="41" fontId="46" fillId="0" borderId="26" xfId="2" applyNumberFormat="1" applyFont="1" applyFill="1" applyBorder="1"/>
    <xf numFmtId="38" fontId="2" fillId="0" borderId="2" xfId="72" applyNumberFormat="1" applyFont="1" applyFill="1" applyBorder="1"/>
    <xf numFmtId="38" fontId="1" fillId="0" borderId="0" xfId="72" applyNumberFormat="1" applyFill="1"/>
    <xf numFmtId="164" fontId="10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37" fontId="0" fillId="0" borderId="22" xfId="0" applyNumberFormat="1" applyFill="1" applyBorder="1"/>
    <xf numFmtId="41" fontId="0" fillId="0" borderId="22" xfId="0" applyNumberFormat="1" applyFont="1" applyFill="1" applyBorder="1"/>
    <xf numFmtId="42" fontId="1" fillId="0" borderId="17" xfId="0" applyNumberFormat="1" applyFont="1" applyFill="1" applyBorder="1"/>
    <xf numFmtId="42" fontId="1" fillId="0" borderId="7" xfId="0" applyNumberFormat="1" applyFont="1" applyFill="1" applyBorder="1"/>
    <xf numFmtId="42" fontId="1" fillId="0" borderId="18" xfId="0" applyNumberFormat="1" applyFont="1" applyFill="1" applyBorder="1"/>
    <xf numFmtId="42" fontId="2" fillId="0" borderId="17" xfId="0" applyNumberFormat="1" applyFont="1" applyFill="1" applyBorder="1"/>
    <xf numFmtId="42" fontId="9" fillId="0" borderId="17" xfId="0" applyNumberFormat="1" applyFont="1" applyFill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Fill="1" applyAlignment="1">
      <alignment horizontal="center"/>
    </xf>
    <xf numFmtId="0" fontId="12" fillId="0" borderId="0" xfId="0" applyFont="1" applyFill="1" applyAlignment="1">
      <alignment horizontal="center"/>
    </xf>
    <xf numFmtId="17" fontId="12" fillId="0" borderId="0" xfId="0" applyNumberFormat="1" applyFont="1" applyFill="1" applyAlignment="1">
      <alignment horizontal="center"/>
    </xf>
  </cellXfs>
  <cellStyles count="109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66FF66"/>
      <color rgb="FFD6009E"/>
      <color rgb="FFCCFF33"/>
      <color rgb="FFFFCCFF"/>
      <color rgb="FF7500E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90" zoomScaleNormal="90" workbookViewId="0">
      <pane xSplit="2" ySplit="4" topLeftCell="C5" activePane="bottomRight" state="frozen"/>
      <selection activeCell="B37" sqref="B37"/>
      <selection pane="topRight" activeCell="B37" sqref="B37"/>
      <selection pane="bottomLeft" activeCell="B37" sqref="B37"/>
      <selection pane="bottomRight" activeCell="G39" sqref="G39"/>
    </sheetView>
  </sheetViews>
  <sheetFormatPr defaultColWidth="9.1796875" defaultRowHeight="14.5" x14ac:dyDescent="0.35"/>
  <cols>
    <col min="1" max="1" width="5.1796875" style="44" customWidth="1"/>
    <col min="2" max="2" width="46.26953125" style="9" bestFit="1" customWidth="1"/>
    <col min="3" max="3" width="8.81640625" style="86" bestFit="1" customWidth="1"/>
    <col min="4" max="6" width="13.26953125" style="9" bestFit="1" customWidth="1"/>
    <col min="7" max="7" width="3.7265625" style="9" customWidth="1"/>
    <col min="8" max="8" width="13.7265625" style="9" bestFit="1" customWidth="1"/>
    <col min="9" max="9" width="13.453125" style="9" bestFit="1" customWidth="1"/>
    <col min="10" max="10" width="13.1796875" style="9" bestFit="1" customWidth="1"/>
    <col min="11" max="11" width="9.1796875" style="9"/>
    <col min="12" max="14" width="12.54296875" style="9" bestFit="1" customWidth="1"/>
    <col min="15" max="15" width="4.54296875" style="9" customWidth="1"/>
    <col min="16" max="18" width="12.54296875" style="9" bestFit="1" customWidth="1"/>
    <col min="19" max="19" width="4.7265625" style="9" customWidth="1"/>
    <col min="20" max="22" width="12.26953125" style="9" bestFit="1" customWidth="1"/>
    <col min="23" max="23" width="5.26953125" style="9" customWidth="1"/>
    <col min="24" max="26" width="12.26953125" style="9" bestFit="1" customWidth="1"/>
    <col min="27" max="16384" width="9.1796875" style="9"/>
  </cols>
  <sheetData>
    <row r="1" spans="1:14" ht="18.5" x14ac:dyDescent="0.45">
      <c r="A1" s="84" t="s">
        <v>199</v>
      </c>
      <c r="C1" s="85"/>
    </row>
    <row r="2" spans="1:14" ht="18.5" x14ac:dyDescent="0.45">
      <c r="B2" s="84"/>
      <c r="C2" s="85"/>
    </row>
    <row r="3" spans="1:14" x14ac:dyDescent="0.35">
      <c r="D3" s="87" t="s">
        <v>22</v>
      </c>
      <c r="E3" s="88"/>
      <c r="F3" s="89"/>
      <c r="H3" s="87" t="s">
        <v>23</v>
      </c>
      <c r="I3" s="89"/>
      <c r="J3" s="89"/>
    </row>
    <row r="4" spans="1:14" x14ac:dyDescent="0.35">
      <c r="D4" s="90" t="s">
        <v>0</v>
      </c>
      <c r="E4" s="90" t="s">
        <v>1</v>
      </c>
      <c r="F4" s="90" t="s">
        <v>2</v>
      </c>
      <c r="H4" s="90" t="s">
        <v>0</v>
      </c>
      <c r="I4" s="90" t="s">
        <v>1</v>
      </c>
      <c r="J4" s="90" t="s">
        <v>2</v>
      </c>
    </row>
    <row r="5" spans="1:14" x14ac:dyDescent="0.35">
      <c r="H5" s="9">
        <f>+'E Conv Fctr 2021'!D18</f>
        <v>0.95111500000000004</v>
      </c>
      <c r="I5" s="9">
        <f>+'G Conv Fctr 2021'!E18</f>
        <v>0.95455299999999998</v>
      </c>
      <c r="K5" s="136"/>
    </row>
    <row r="6" spans="1:14" x14ac:dyDescent="0.35">
      <c r="A6" s="44">
        <v>1</v>
      </c>
      <c r="B6" s="9" t="s">
        <v>209</v>
      </c>
      <c r="C6" s="92"/>
      <c r="D6" s="34">
        <f>'2020 FINAL Rev Req '!D21</f>
        <v>56520874.446704946</v>
      </c>
      <c r="E6" s="34">
        <f>'2020 FINAL Rev Req '!E21</f>
        <v>18036218.466693416</v>
      </c>
      <c r="F6" s="34">
        <f>SUM(D6:E6)</f>
        <v>74557092.913398355</v>
      </c>
      <c r="H6" s="34">
        <f>D6/$H$5</f>
        <v>59425910.059987426</v>
      </c>
      <c r="I6" s="34">
        <f>E6/$I$5</f>
        <v>18894936.652750991</v>
      </c>
      <c r="J6" s="34">
        <f>SUM(H6:I6)</f>
        <v>78320846.712738425</v>
      </c>
    </row>
    <row r="8" spans="1:14" x14ac:dyDescent="0.35">
      <c r="A8" s="44">
        <v>2</v>
      </c>
      <c r="B8" s="9" t="s">
        <v>3</v>
      </c>
      <c r="E8" s="143"/>
    </row>
    <row r="9" spans="1:14" x14ac:dyDescent="0.35">
      <c r="A9" s="44">
        <v>3</v>
      </c>
      <c r="B9" s="91" t="s">
        <v>210</v>
      </c>
      <c r="C9" s="143"/>
      <c r="D9" s="10">
        <f>'Est Pmt due Apr&amp;Oct 2021'!F23</f>
        <v>51208856.5</v>
      </c>
      <c r="E9" s="10">
        <f>'Est Pmt due Apr&amp;Oct 2021'!H23</f>
        <v>19905487</v>
      </c>
      <c r="F9" s="10">
        <f>SUM(D9:E9)</f>
        <v>71114343.5</v>
      </c>
      <c r="H9" s="34">
        <f>D9/$H$5</f>
        <v>53840867.297855675</v>
      </c>
      <c r="I9" s="34">
        <f>E9/$I$5</f>
        <v>20853202.493732668</v>
      </c>
      <c r="J9" s="10">
        <f>SUM(H9:I9)</f>
        <v>74694069.791588336</v>
      </c>
      <c r="L9" s="10"/>
      <c r="M9" s="10"/>
      <c r="N9" s="10"/>
    </row>
    <row r="10" spans="1:14" x14ac:dyDescent="0.35">
      <c r="A10" s="44">
        <v>4</v>
      </c>
      <c r="B10" s="91" t="s">
        <v>209</v>
      </c>
      <c r="C10" s="92" t="s">
        <v>24</v>
      </c>
      <c r="D10" s="10">
        <f>D6</f>
        <v>56520874.446704946</v>
      </c>
      <c r="E10" s="10">
        <f>E6</f>
        <v>18036218.466693416</v>
      </c>
      <c r="F10" s="10">
        <f>SUM(D10:E10)</f>
        <v>74557092.913398355</v>
      </c>
      <c r="H10" s="34">
        <f>D10/$H$5</f>
        <v>59425910.059987426</v>
      </c>
      <c r="I10" s="34">
        <f>E10/$I$5</f>
        <v>18894936.652750991</v>
      </c>
      <c r="J10" s="10">
        <f>SUM(H10:I10)</f>
        <v>78320846.712738425</v>
      </c>
      <c r="L10" s="10"/>
      <c r="M10" s="10"/>
      <c r="N10" s="10"/>
    </row>
    <row r="11" spans="1:14" x14ac:dyDescent="0.35">
      <c r="A11" s="44">
        <v>5</v>
      </c>
      <c r="B11" s="9" t="s">
        <v>211</v>
      </c>
      <c r="D11" s="10">
        <f>'Elec Load Variance 2020'!P35*'2021 Rev Req Estimate'!H5</f>
        <v>2039050.195488031</v>
      </c>
      <c r="E11" s="10">
        <f>'Gas Load Variance 2020'!O26*'2021 Rev Req Estimate'!I5</f>
        <v>1421551.9745429989</v>
      </c>
      <c r="F11" s="10">
        <f>SUM(D11:E11)</f>
        <v>3460602.1700310297</v>
      </c>
      <c r="H11" s="34">
        <f>D11/$H$5</f>
        <v>2143852.4210931705</v>
      </c>
      <c r="I11" s="34">
        <f>E11/$I$5</f>
        <v>1489233.1536782128</v>
      </c>
      <c r="J11" s="10">
        <f>SUM(H11:I11)</f>
        <v>3633085.5747713833</v>
      </c>
      <c r="M11" s="93"/>
      <c r="N11" s="10"/>
    </row>
    <row r="12" spans="1:14" x14ac:dyDescent="0.35">
      <c r="D12" s="35"/>
      <c r="E12" s="35"/>
      <c r="F12" s="35"/>
      <c r="H12" s="94">
        <f>'Elec Load Variance 2020'!P35-'2021 Rev Req Estimate'!H11</f>
        <v>0</v>
      </c>
      <c r="I12" s="94">
        <f>'Gas Load Variance 2020'!O26-'2021 Rev Req Estimate'!I11</f>
        <v>0</v>
      </c>
      <c r="J12" s="95" t="s">
        <v>128</v>
      </c>
      <c r="L12" s="10"/>
      <c r="M12" s="10"/>
    </row>
    <row r="13" spans="1:14" x14ac:dyDescent="0.35">
      <c r="A13" s="44">
        <v>6</v>
      </c>
      <c r="B13" s="9" t="s">
        <v>129</v>
      </c>
      <c r="C13" s="92" t="s">
        <v>26</v>
      </c>
      <c r="D13" s="10">
        <f>D9-D10+D11</f>
        <v>-3272967.7512169154</v>
      </c>
      <c r="E13" s="10">
        <f>E9-E10+E11</f>
        <v>3290820.5078495825</v>
      </c>
      <c r="F13" s="10">
        <f>SUM(D13:E13)</f>
        <v>17852.756632667035</v>
      </c>
      <c r="H13" s="10">
        <f>H9-H10+H11</f>
        <v>-3441190.3410385801</v>
      </c>
      <c r="I13" s="10">
        <f>I9-I10+I11</f>
        <v>3447498.99465989</v>
      </c>
      <c r="J13" s="10">
        <f>SUM(H13:I13)</f>
        <v>6308.6536213099025</v>
      </c>
      <c r="L13" s="10"/>
      <c r="M13" s="10"/>
      <c r="N13" s="10"/>
    </row>
    <row r="14" spans="1:14" x14ac:dyDescent="0.35">
      <c r="D14" s="35"/>
      <c r="E14" s="35"/>
      <c r="F14" s="35"/>
      <c r="H14" s="35"/>
      <c r="I14" s="35"/>
      <c r="J14" s="35"/>
    </row>
    <row r="15" spans="1:14" ht="15" thickBot="1" x14ac:dyDescent="0.4">
      <c r="A15" s="44">
        <v>7</v>
      </c>
      <c r="B15" s="9" t="s">
        <v>21</v>
      </c>
      <c r="C15" s="92" t="s">
        <v>25</v>
      </c>
      <c r="D15" s="36">
        <f>D6+D13</f>
        <v>53247906.695488028</v>
      </c>
      <c r="E15" s="36">
        <f>E6+E13</f>
        <v>21327038.974542998</v>
      </c>
      <c r="F15" s="36">
        <f>SUM(D15:E15)</f>
        <v>74574945.670031026</v>
      </c>
      <c r="H15" s="36">
        <f>H6+H13</f>
        <v>55984719.718948849</v>
      </c>
      <c r="I15" s="36">
        <f>I6+I13</f>
        <v>22342435.647410881</v>
      </c>
      <c r="J15" s="36">
        <f>SUM(H15:I15)</f>
        <v>78327155.366359726</v>
      </c>
    </row>
    <row r="16" spans="1:14" ht="15" thickTop="1" x14ac:dyDescent="0.35"/>
    <row r="18" spans="1:11" x14ac:dyDescent="0.35">
      <c r="A18" s="44">
        <v>8</v>
      </c>
      <c r="B18" s="9" t="s">
        <v>4</v>
      </c>
      <c r="C18" s="92" t="s">
        <v>152</v>
      </c>
      <c r="D18" s="34">
        <f>D15-D19</f>
        <v>39353038.18916402</v>
      </c>
      <c r="E18" s="34">
        <f>E15-E19</f>
        <v>16431335.158470117</v>
      </c>
      <c r="F18" s="34">
        <f>SUM(D18:E18)</f>
        <v>55784373.347634137</v>
      </c>
      <c r="H18" s="34">
        <f>H15-H19</f>
        <v>41375688.7328704</v>
      </c>
      <c r="I18" s="34">
        <f>I15-I19</f>
        <v>17213643.620071508</v>
      </c>
      <c r="J18" s="34">
        <f>SUM(H18:I18)</f>
        <v>58589332.352941908</v>
      </c>
    </row>
    <row r="19" spans="1:11" x14ac:dyDescent="0.35">
      <c r="A19" s="44">
        <v>9</v>
      </c>
      <c r="B19" s="9" t="s">
        <v>5</v>
      </c>
      <c r="C19" s="143"/>
      <c r="D19" s="10">
        <f>'Electric summary 2021'!G20</f>
        <v>13894868.506324008</v>
      </c>
      <c r="E19" s="10">
        <f>'Gas summary 2021'!G20</f>
        <v>4895703.8160728812</v>
      </c>
      <c r="F19" s="10">
        <f>SUM(D19:E19)</f>
        <v>18790572.322396889</v>
      </c>
      <c r="H19" s="1">
        <f>D19/$H$5</f>
        <v>14609030.986078452</v>
      </c>
      <c r="I19" s="1">
        <f>E19/$I$5</f>
        <v>5128792.0273393737</v>
      </c>
      <c r="J19" s="10">
        <f>SUM(H19:I19)</f>
        <v>19737823.013417825</v>
      </c>
    </row>
    <row r="20" spans="1:11" x14ac:dyDescent="0.35">
      <c r="D20" s="35"/>
      <c r="E20" s="35"/>
      <c r="F20" s="35"/>
      <c r="H20" s="35"/>
      <c r="I20" s="35"/>
      <c r="J20" s="35"/>
    </row>
    <row r="21" spans="1:11" ht="15" thickBot="1" x14ac:dyDescent="0.4">
      <c r="A21" s="44">
        <v>10</v>
      </c>
      <c r="B21" s="9" t="s">
        <v>21</v>
      </c>
      <c r="C21" s="92" t="s">
        <v>27</v>
      </c>
      <c r="D21" s="36">
        <f>SUM(D18:D20)</f>
        <v>53247906.695488028</v>
      </c>
      <c r="E21" s="36">
        <f>SUM(E18:E20)</f>
        <v>21327038.974542998</v>
      </c>
      <c r="F21" s="36">
        <f>SUM(D21:E21)</f>
        <v>74574945.670031026</v>
      </c>
      <c r="H21" s="36">
        <f>SUM(H18:H19)</f>
        <v>55984719.718948856</v>
      </c>
      <c r="I21" s="36">
        <f>SUM(I18:I19)</f>
        <v>22342435.647410881</v>
      </c>
      <c r="J21" s="36">
        <f>SUM(H21:I21)</f>
        <v>78327155.36635974</v>
      </c>
    </row>
    <row r="22" spans="1:11" ht="15" thickTop="1" x14ac:dyDescent="0.35"/>
    <row r="23" spans="1:11" x14ac:dyDescent="0.35">
      <c r="D23" s="34"/>
      <c r="E23" s="34"/>
      <c r="F23" s="34"/>
    </row>
    <row r="24" spans="1:11" x14ac:dyDescent="0.35">
      <c r="A24" s="44">
        <v>11</v>
      </c>
      <c r="B24" s="9" t="s">
        <v>6</v>
      </c>
    </row>
    <row r="25" spans="1:11" x14ac:dyDescent="0.35">
      <c r="A25" s="44">
        <f>+A24+1</f>
        <v>12</v>
      </c>
      <c r="B25" s="91" t="s">
        <v>7</v>
      </c>
      <c r="D25" s="10">
        <f>-'2020 FINAL Rev Req '!D9+'2021 Rev Req Estimate'!D9</f>
        <v>-2792912.5</v>
      </c>
      <c r="E25" s="10">
        <f>-'2020 FINAL Rev Req '!E9+'2021 Rev Req Estimate'!E9</f>
        <v>2303410</v>
      </c>
      <c r="F25" s="10">
        <f>SUM(D25:E25)</f>
        <v>-489502.5</v>
      </c>
      <c r="H25" s="1">
        <f>D25/$H$5</f>
        <v>-2936461.4163376666</v>
      </c>
      <c r="I25" s="1">
        <f>E25/$I$5</f>
        <v>2413077.1156761334</v>
      </c>
      <c r="J25" s="10">
        <f>SUM(H25:I25)</f>
        <v>-523384.30066153314</v>
      </c>
    </row>
    <row r="26" spans="1:11" x14ac:dyDescent="0.35">
      <c r="A26" s="44">
        <f t="shared" ref="A26:A27" si="0">+A25+1</f>
        <v>13</v>
      </c>
      <c r="B26" s="91" t="s">
        <v>9</v>
      </c>
      <c r="D26" s="10">
        <f>-'2020 FINAL Rev Req '!D11+'2021 Rev Req Estimate'!D11</f>
        <v>-480055.2512169187</v>
      </c>
      <c r="E26" s="10">
        <f>-'2020 FINAL Rev Req '!E11+'2021 Rev Req Estimate'!E11</f>
        <v>987410.50784958201</v>
      </c>
      <c r="F26" s="10">
        <f>SUM(D26:E26)</f>
        <v>507355.25663266331</v>
      </c>
      <c r="H26" s="1">
        <f>D26/$H$5</f>
        <v>-504728.92470092332</v>
      </c>
      <c r="I26" s="1">
        <f>E26/$I$5</f>
        <v>1034421.8789837568</v>
      </c>
      <c r="J26" s="10">
        <f>SUM(H26:I26)</f>
        <v>529692.9542828335</v>
      </c>
    </row>
    <row r="27" spans="1:11" ht="15" thickBot="1" x14ac:dyDescent="0.4">
      <c r="A27" s="44">
        <f t="shared" si="0"/>
        <v>14</v>
      </c>
      <c r="B27" s="9" t="s">
        <v>8</v>
      </c>
      <c r="D27" s="96">
        <f>SUM(D25:D26)</f>
        <v>-3272967.7512169187</v>
      </c>
      <c r="E27" s="96">
        <f>SUM(E25:E26)</f>
        <v>3290820.507849582</v>
      </c>
      <c r="F27" s="96">
        <f>SUM(D27:E27)</f>
        <v>17852.75663266331</v>
      </c>
      <c r="H27" s="96">
        <f>SUM(H25:H26)</f>
        <v>-3441190.3410385898</v>
      </c>
      <c r="I27" s="96">
        <f>SUM(I25:I26)</f>
        <v>3447498.9946598904</v>
      </c>
      <c r="J27" s="96">
        <f>SUM(H27:I27)</f>
        <v>6308.6536213005893</v>
      </c>
    </row>
    <row r="28" spans="1:11" ht="15" thickTop="1" x14ac:dyDescent="0.35">
      <c r="D28" s="41">
        <f>D27-D13</f>
        <v>0</v>
      </c>
      <c r="E28" s="41">
        <f>E27-E13</f>
        <v>0</v>
      </c>
      <c r="F28" s="41">
        <f>F27-F13</f>
        <v>-3.7252902984619141E-9</v>
      </c>
      <c r="G28" s="97"/>
      <c r="H28" s="362">
        <f>H27-H13</f>
        <v>-9.7788870334625244E-9</v>
      </c>
      <c r="I28" s="41">
        <f>I27-I13</f>
        <v>0</v>
      </c>
      <c r="J28" s="41">
        <f>J27-J13</f>
        <v>-9.3132257461547852E-9</v>
      </c>
      <c r="K28" s="97"/>
    </row>
    <row r="29" spans="1:11" x14ac:dyDescent="0.35">
      <c r="D29" s="1"/>
      <c r="E29" s="1"/>
      <c r="H29" s="34"/>
      <c r="I29" s="34"/>
      <c r="J29" s="34"/>
    </row>
    <row r="30" spans="1:11" x14ac:dyDescent="0.35">
      <c r="A30" s="44">
        <f>+A27+1</f>
        <v>15</v>
      </c>
      <c r="B30" s="98" t="s">
        <v>78</v>
      </c>
      <c r="C30" s="92"/>
      <c r="H30" s="363">
        <f>H27/H6</f>
        <v>-5.7907238400974989E-2</v>
      </c>
      <c r="I30" s="363">
        <f>I27/I6</f>
        <v>0.1824562345996516</v>
      </c>
    </row>
    <row r="31" spans="1:11" x14ac:dyDescent="0.35">
      <c r="A31" s="44">
        <f>+A30+1</f>
        <v>16</v>
      </c>
      <c r="B31" s="98" t="s">
        <v>79</v>
      </c>
      <c r="H31" s="44" t="str">
        <f>IF(ABS(H30)&gt;1%,"yes","no")</f>
        <v>yes</v>
      </c>
      <c r="I31" s="44" t="str">
        <f>IF(ABS(I30)&gt;1%,"yes","no")</f>
        <v>yes</v>
      </c>
    </row>
    <row r="32" spans="1:11" x14ac:dyDescent="0.35">
      <c r="A32" s="44">
        <f t="shared" ref="A32:A33" si="1">+A31+1</f>
        <v>17</v>
      </c>
      <c r="B32" s="99" t="s">
        <v>28</v>
      </c>
    </row>
    <row r="33" spans="1:2" x14ac:dyDescent="0.35">
      <c r="A33" s="44">
        <f t="shared" si="1"/>
        <v>18</v>
      </c>
      <c r="B33" s="99" t="s">
        <v>29</v>
      </c>
    </row>
    <row r="35" spans="1:2" x14ac:dyDescent="0.35">
      <c r="B35" s="100"/>
    </row>
    <row r="36" spans="1:2" x14ac:dyDescent="0.35">
      <c r="B36" s="100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pane xSplit="1" ySplit="4" topLeftCell="B5" activePane="bottomRight" state="frozen"/>
      <selection activeCell="B37" sqref="B37"/>
      <selection pane="topRight" activeCell="B37" sqref="B37"/>
      <selection pane="bottomLeft" activeCell="B37" sqref="B37"/>
      <selection pane="bottomRight" activeCell="B37" sqref="B37"/>
    </sheetView>
  </sheetViews>
  <sheetFormatPr defaultRowHeight="14.5" x14ac:dyDescent="0.35"/>
  <cols>
    <col min="1" max="1" width="49.54296875" customWidth="1"/>
    <col min="2" max="2" width="16.1796875" bestFit="1" customWidth="1"/>
    <col min="3" max="3" width="15.26953125" bestFit="1" customWidth="1"/>
    <col min="4" max="4" width="15.26953125" customWidth="1"/>
    <col min="5" max="5" width="16.1796875" bestFit="1" customWidth="1"/>
    <col min="6" max="6" width="16.26953125" bestFit="1" customWidth="1"/>
    <col min="7" max="7" width="1.81640625" style="48" customWidth="1"/>
    <col min="8" max="8" width="16.1796875" bestFit="1" customWidth="1"/>
    <col min="9" max="9" width="2.26953125" style="48" customWidth="1"/>
    <col min="10" max="10" width="17.54296875" bestFit="1" customWidth="1"/>
    <col min="12" max="12" width="15.453125" customWidth="1"/>
    <col min="13" max="13" width="16.26953125" bestFit="1" customWidth="1"/>
    <col min="14" max="14" width="3" customWidth="1"/>
  </cols>
  <sheetData>
    <row r="1" spans="1:10" x14ac:dyDescent="0.35">
      <c r="A1" t="s">
        <v>208</v>
      </c>
      <c r="H1" s="98" t="s">
        <v>212</v>
      </c>
    </row>
    <row r="2" spans="1:10" ht="15" thickBot="1" x14ac:dyDescent="0.4">
      <c r="A2" s="4"/>
    </row>
    <row r="3" spans="1:10" ht="16" thickBot="1" x14ac:dyDescent="0.4">
      <c r="B3" s="77" t="s">
        <v>0</v>
      </c>
      <c r="C3" s="78"/>
      <c r="D3" s="79"/>
      <c r="E3" s="78"/>
      <c r="F3" s="80"/>
      <c r="G3" s="75"/>
      <c r="H3" s="63" t="s">
        <v>1</v>
      </c>
      <c r="I3" s="64"/>
      <c r="J3" s="61" t="s">
        <v>77</v>
      </c>
    </row>
    <row r="4" spans="1:10" x14ac:dyDescent="0.35">
      <c r="A4" s="5" t="s">
        <v>10</v>
      </c>
      <c r="B4" s="39" t="s">
        <v>76</v>
      </c>
      <c r="C4" s="39" t="s">
        <v>12</v>
      </c>
      <c r="D4" s="76" t="s">
        <v>12</v>
      </c>
      <c r="E4" s="38" t="s">
        <v>11</v>
      </c>
      <c r="F4" s="47" t="s">
        <v>2</v>
      </c>
      <c r="G4" s="65"/>
      <c r="H4" s="60" t="s">
        <v>2</v>
      </c>
      <c r="I4" s="65"/>
      <c r="J4" s="62" t="s">
        <v>2</v>
      </c>
    </row>
    <row r="5" spans="1:10" x14ac:dyDescent="0.35">
      <c r="B5" s="37"/>
      <c r="C5" s="37"/>
      <c r="D5" s="45"/>
      <c r="E5" s="33"/>
      <c r="F5" s="46"/>
      <c r="G5" s="66"/>
      <c r="H5" s="46"/>
      <c r="I5" s="66"/>
      <c r="J5" s="46"/>
    </row>
    <row r="6" spans="1:10" x14ac:dyDescent="0.35">
      <c r="A6" s="102" t="s">
        <v>202</v>
      </c>
      <c r="B6" s="105">
        <v>4198286000</v>
      </c>
      <c r="C6" s="105">
        <v>44900000</v>
      </c>
      <c r="D6" s="106">
        <v>47800000</v>
      </c>
      <c r="E6" s="43">
        <v>282474000</v>
      </c>
      <c r="F6" s="107">
        <f>SUM(B6:E6)</f>
        <v>4573460000</v>
      </c>
      <c r="G6" s="72"/>
      <c r="H6" s="107">
        <v>2006617000</v>
      </c>
      <c r="I6" s="72"/>
      <c r="J6" s="107">
        <f>H6+F6</f>
        <v>6580077000</v>
      </c>
    </row>
    <row r="7" spans="1:10" x14ac:dyDescent="0.35">
      <c r="A7" s="103" t="s">
        <v>203</v>
      </c>
      <c r="B7" s="108">
        <v>0.93520000000000003</v>
      </c>
      <c r="C7" s="109" t="s">
        <v>75</v>
      </c>
      <c r="D7" s="110" t="s">
        <v>75</v>
      </c>
      <c r="E7" s="111">
        <v>6.5600000000000006E-2</v>
      </c>
      <c r="F7" s="112" t="s">
        <v>75</v>
      </c>
      <c r="G7" s="73"/>
      <c r="H7" s="113">
        <v>0.9486</v>
      </c>
      <c r="I7" s="67"/>
      <c r="J7" s="113"/>
    </row>
    <row r="8" spans="1:10" x14ac:dyDescent="0.35">
      <c r="A8" s="102" t="s">
        <v>204</v>
      </c>
      <c r="B8" s="114">
        <f>B6*B7</f>
        <v>3926237067.2000003</v>
      </c>
      <c r="C8" s="114">
        <f>SUM(C6:C7)</f>
        <v>44900000</v>
      </c>
      <c r="D8" s="115">
        <f>SUM(D6:D7)</f>
        <v>47800000</v>
      </c>
      <c r="E8" s="116">
        <f>E6*E7</f>
        <v>18530294.400000002</v>
      </c>
      <c r="F8" s="117">
        <f>SUM(B8:E8)</f>
        <v>4037467361.6000004</v>
      </c>
      <c r="G8" s="69"/>
      <c r="H8" s="117">
        <f>H6*H7</f>
        <v>1903476886.2</v>
      </c>
      <c r="I8" s="69"/>
      <c r="J8" s="117">
        <f t="shared" ref="J8:J10" si="0">H8+F8</f>
        <v>5940944247.8000002</v>
      </c>
    </row>
    <row r="9" spans="1:10" x14ac:dyDescent="0.35">
      <c r="A9" s="82" t="s">
        <v>130</v>
      </c>
      <c r="B9" s="119">
        <v>121235</v>
      </c>
      <c r="C9" s="119"/>
      <c r="D9" s="120"/>
      <c r="E9" s="118">
        <v>8134</v>
      </c>
      <c r="F9" s="121">
        <f>SUM(B9:E9)</f>
        <v>129369</v>
      </c>
      <c r="G9" s="69"/>
      <c r="H9" s="349">
        <v>88308</v>
      </c>
      <c r="I9" s="69"/>
      <c r="J9" s="121">
        <f t="shared" si="0"/>
        <v>217677</v>
      </c>
    </row>
    <row r="10" spans="1:10" x14ac:dyDescent="0.35">
      <c r="A10" s="102" t="s">
        <v>204</v>
      </c>
      <c r="B10" s="122">
        <f>SUM(B8:B9)</f>
        <v>3926358302.2000003</v>
      </c>
      <c r="C10" s="122">
        <f t="shared" ref="C10:E10" si="1">SUM(C8:C9)</f>
        <v>44900000</v>
      </c>
      <c r="D10" s="123">
        <f t="shared" si="1"/>
        <v>47800000</v>
      </c>
      <c r="E10" s="70">
        <f t="shared" si="1"/>
        <v>18538428.400000002</v>
      </c>
      <c r="F10" s="124">
        <f>SUM(F8:F9)</f>
        <v>4037596730.6000004</v>
      </c>
      <c r="G10" s="69"/>
      <c r="H10" s="124">
        <f>SUM(H8:H9)</f>
        <v>1903565194.2</v>
      </c>
      <c r="I10" s="69"/>
      <c r="J10" s="124">
        <f t="shared" si="0"/>
        <v>5941161924.8000002</v>
      </c>
    </row>
    <row r="11" spans="1:10" x14ac:dyDescent="0.35">
      <c r="A11" s="102" t="s">
        <v>205</v>
      </c>
      <c r="B11" s="125">
        <v>10.77</v>
      </c>
      <c r="C11" s="125">
        <v>11.340999999999999</v>
      </c>
      <c r="D11" s="126">
        <v>11.339</v>
      </c>
      <c r="E11" s="127">
        <v>413.91160000000002</v>
      </c>
      <c r="F11" s="128" t="s">
        <v>75</v>
      </c>
      <c r="G11" s="74"/>
      <c r="H11" s="129">
        <v>11.06</v>
      </c>
      <c r="I11" s="68"/>
      <c r="J11" s="128" t="s">
        <v>75</v>
      </c>
    </row>
    <row r="12" spans="1:10" x14ac:dyDescent="0.35">
      <c r="B12" s="130"/>
      <c r="C12" s="130"/>
      <c r="D12" s="131"/>
      <c r="E12" s="35"/>
      <c r="F12" s="132"/>
      <c r="G12" s="66"/>
      <c r="H12" s="132"/>
      <c r="I12" s="66"/>
      <c r="J12" s="132"/>
    </row>
    <row r="13" spans="1:10" x14ac:dyDescent="0.35">
      <c r="A13" s="42" t="s">
        <v>74</v>
      </c>
      <c r="B13" s="364">
        <f>ROUND(B10*B11/1000,0)</f>
        <v>42286879</v>
      </c>
      <c r="C13" s="122">
        <f>ROUND(C10*C11/1000,0)/2</f>
        <v>254605.5</v>
      </c>
      <c r="D13" s="123">
        <f>ROUND(D10*D11/1000,0)/2</f>
        <v>271002</v>
      </c>
      <c r="E13" s="70">
        <f>ROUND(E10*E11/1000,0)</f>
        <v>7673271</v>
      </c>
      <c r="F13" s="124">
        <f>SUM(B13:E13)</f>
        <v>50485757.5</v>
      </c>
      <c r="G13" s="69"/>
      <c r="H13" s="124">
        <f>ROUND(H10*H11/1000,0)</f>
        <v>21053431</v>
      </c>
      <c r="I13" s="69"/>
      <c r="J13" s="124">
        <f>H13+F13</f>
        <v>71539188.5</v>
      </c>
    </row>
    <row r="14" spans="1:10" x14ac:dyDescent="0.35">
      <c r="A14" s="42" t="s">
        <v>130</v>
      </c>
      <c r="B14" s="119"/>
      <c r="C14" s="119">
        <v>11</v>
      </c>
      <c r="D14" s="120"/>
      <c r="E14" s="133"/>
      <c r="F14" s="121">
        <f>SUM(B14:E14)</f>
        <v>11</v>
      </c>
      <c r="G14" s="66"/>
      <c r="H14" s="134"/>
      <c r="I14" s="66"/>
      <c r="J14" s="121">
        <f>H14+F14</f>
        <v>11</v>
      </c>
    </row>
    <row r="15" spans="1:10" x14ac:dyDescent="0.35">
      <c r="A15" s="42" t="s">
        <v>131</v>
      </c>
      <c r="B15" s="122">
        <f>SUM(B13:B14)</f>
        <v>42286879</v>
      </c>
      <c r="C15" s="122">
        <f>SUM(C13:C14)</f>
        <v>254616.5</v>
      </c>
      <c r="D15" s="123">
        <f>SUM(D13:D14)</f>
        <v>271002</v>
      </c>
      <c r="E15" s="123">
        <f>SUM(E13:E14)</f>
        <v>7673271</v>
      </c>
      <c r="F15" s="124">
        <f>SUM(F13:F14)</f>
        <v>50485768.5</v>
      </c>
      <c r="G15" s="69"/>
      <c r="H15" s="124">
        <f>SUM(H13:H14)</f>
        <v>21053431</v>
      </c>
      <c r="I15" s="69"/>
      <c r="J15" s="124">
        <f>SUM(J13:J14)</f>
        <v>71539199.5</v>
      </c>
    </row>
    <row r="16" spans="1:10" x14ac:dyDescent="0.35">
      <c r="B16" s="122"/>
      <c r="C16" s="122"/>
      <c r="D16" s="123"/>
      <c r="E16" s="70"/>
      <c r="F16" s="135"/>
      <c r="G16" s="66"/>
      <c r="H16" s="135"/>
      <c r="I16" s="66"/>
      <c r="J16" s="124"/>
    </row>
    <row r="17" spans="1:13" x14ac:dyDescent="0.35">
      <c r="A17" s="42" t="s">
        <v>126</v>
      </c>
      <c r="B17" s="105">
        <v>455457</v>
      </c>
      <c r="C17" s="122"/>
      <c r="D17" s="123"/>
      <c r="E17" s="70"/>
      <c r="F17" s="124">
        <f>SUM(B17:E17)</f>
        <v>455457</v>
      </c>
      <c r="G17" s="69"/>
      <c r="H17" s="365">
        <v>82000</v>
      </c>
      <c r="I17" s="69"/>
      <c r="J17" s="124">
        <f t="shared" ref="J17:J18" si="2">H17+F17</f>
        <v>537457</v>
      </c>
    </row>
    <row r="18" spans="1:13" x14ac:dyDescent="0.35">
      <c r="A18" s="42" t="s">
        <v>125</v>
      </c>
      <c r="B18" s="122">
        <v>221441</v>
      </c>
      <c r="C18" s="122"/>
      <c r="D18" s="123"/>
      <c r="E18" s="70">
        <v>5000</v>
      </c>
      <c r="F18" s="124">
        <f>SUM(B18:E18)</f>
        <v>226441</v>
      </c>
      <c r="G18" s="69"/>
      <c r="H18" s="365">
        <v>6000</v>
      </c>
      <c r="I18" s="69"/>
      <c r="J18" s="124">
        <f t="shared" si="2"/>
        <v>232441</v>
      </c>
    </row>
    <row r="19" spans="1:13" x14ac:dyDescent="0.35">
      <c r="A19" s="42" t="s">
        <v>73</v>
      </c>
      <c r="B19" s="122">
        <v>41190</v>
      </c>
      <c r="C19" s="122"/>
      <c r="D19" s="123"/>
      <c r="E19" s="70">
        <v>0</v>
      </c>
      <c r="F19" s="124">
        <f>SUM(B19:E19)</f>
        <v>41190</v>
      </c>
      <c r="G19" s="69"/>
      <c r="H19" s="365">
        <v>2757</v>
      </c>
      <c r="I19" s="69"/>
      <c r="J19" s="124">
        <f>H19+F19</f>
        <v>43947</v>
      </c>
    </row>
    <row r="20" spans="1:13" x14ac:dyDescent="0.35">
      <c r="A20" s="42" t="s">
        <v>124</v>
      </c>
      <c r="B20" s="122"/>
      <c r="C20" s="122"/>
      <c r="D20" s="123"/>
      <c r="E20" s="70"/>
      <c r="F20" s="124">
        <f t="shared" ref="F20:F21" si="3">SUM(B20:E20)</f>
        <v>0</v>
      </c>
      <c r="G20" s="69"/>
      <c r="H20" s="365">
        <v>-1238701</v>
      </c>
      <c r="I20" s="69"/>
      <c r="J20" s="124">
        <f>F20+H20</f>
        <v>-1238701</v>
      </c>
    </row>
    <row r="21" spans="1:13" x14ac:dyDescent="0.35">
      <c r="A21" s="104" t="s">
        <v>157</v>
      </c>
      <c r="B21" s="122"/>
      <c r="C21" s="122"/>
      <c r="D21" s="123"/>
      <c r="E21" s="70"/>
      <c r="F21" s="124">
        <f t="shared" si="3"/>
        <v>0</v>
      </c>
      <c r="H21" s="124">
        <v>0</v>
      </c>
      <c r="J21" s="124">
        <f>F21+H21</f>
        <v>0</v>
      </c>
    </row>
    <row r="22" spans="1:13" x14ac:dyDescent="0.35">
      <c r="A22" s="42" t="s">
        <v>47</v>
      </c>
      <c r="B22" s="114">
        <f>SUM(B17:B21)</f>
        <v>718088</v>
      </c>
      <c r="C22" s="114">
        <v>0</v>
      </c>
      <c r="D22" s="115">
        <v>0</v>
      </c>
      <c r="E22" s="116">
        <f>SUM(E18:E21)</f>
        <v>5000</v>
      </c>
      <c r="F22" s="117">
        <f>SUM(F17:F21)</f>
        <v>723088</v>
      </c>
      <c r="G22" s="69"/>
      <c r="H22" s="117">
        <f>SUM(H17:H21)</f>
        <v>-1147944</v>
      </c>
      <c r="I22" s="69"/>
      <c r="J22" s="117">
        <f>SUM(J17:J21)</f>
        <v>-424856</v>
      </c>
    </row>
    <row r="23" spans="1:13" ht="19" thickBot="1" x14ac:dyDescent="0.5">
      <c r="A23" s="104" t="s">
        <v>206</v>
      </c>
      <c r="B23" s="366">
        <f>B15+B22</f>
        <v>43004967</v>
      </c>
      <c r="C23" s="367">
        <f>C15+C22</f>
        <v>254616.5</v>
      </c>
      <c r="D23" s="368">
        <f>D15+D22</f>
        <v>271002</v>
      </c>
      <c r="E23" s="367">
        <f>E15+E22</f>
        <v>7678271</v>
      </c>
      <c r="F23" s="369">
        <f>SUM(B23:E23)</f>
        <v>51208856.5</v>
      </c>
      <c r="G23" s="72"/>
      <c r="H23" s="369">
        <f>H15+H22</f>
        <v>19905487</v>
      </c>
      <c r="I23" s="72"/>
      <c r="J23" s="370">
        <f>F23+H23</f>
        <v>71114343.5</v>
      </c>
    </row>
    <row r="24" spans="1:13" x14ac:dyDescent="0.35">
      <c r="B24" s="137">
        <v>43004967</v>
      </c>
      <c r="C24" s="137">
        <v>254616.5</v>
      </c>
      <c r="D24" s="137">
        <v>271002</v>
      </c>
      <c r="E24" s="137">
        <v>7678271</v>
      </c>
      <c r="F24" s="137">
        <v>51208856.5</v>
      </c>
      <c r="G24" s="138"/>
      <c r="H24" s="137">
        <f>19905487</f>
        <v>19905487</v>
      </c>
      <c r="I24" s="138"/>
      <c r="J24" s="137">
        <v>72353044.5</v>
      </c>
    </row>
    <row r="25" spans="1:13" x14ac:dyDescent="0.35">
      <c r="A25" s="142" t="s">
        <v>158</v>
      </c>
      <c r="B25" s="139">
        <f>B23-B24</f>
        <v>0</v>
      </c>
      <c r="C25" s="139">
        <f t="shared" ref="C25:J25" si="4">C23-C24</f>
        <v>0</v>
      </c>
      <c r="D25" s="139">
        <f t="shared" si="4"/>
        <v>0</v>
      </c>
      <c r="E25" s="139">
        <f t="shared" si="4"/>
        <v>0</v>
      </c>
      <c r="F25" s="139">
        <f t="shared" si="4"/>
        <v>0</v>
      </c>
      <c r="G25" s="139"/>
      <c r="H25" s="139">
        <f t="shared" si="4"/>
        <v>0</v>
      </c>
      <c r="I25" s="139">
        <f t="shared" si="4"/>
        <v>0</v>
      </c>
      <c r="J25" s="139">
        <f t="shared" si="4"/>
        <v>-1238701</v>
      </c>
      <c r="K25" t="s">
        <v>175</v>
      </c>
      <c r="M25" s="356"/>
    </row>
    <row r="26" spans="1:13" x14ac:dyDescent="0.35">
      <c r="A26" s="142" t="s">
        <v>162</v>
      </c>
      <c r="B26" s="139">
        <f>ROUND(D63,0)</f>
        <v>0</v>
      </c>
      <c r="C26" s="145">
        <f>ROUND(H63,0)</f>
        <v>0</v>
      </c>
      <c r="D26" s="145">
        <f>ROUND(L63,0)</f>
        <v>0</v>
      </c>
      <c r="E26" s="145">
        <f>D95</f>
        <v>0</v>
      </c>
      <c r="F26" s="140"/>
      <c r="G26" s="141"/>
      <c r="H26" s="139">
        <f>ROUND(D125,0)</f>
        <v>0</v>
      </c>
      <c r="I26" s="141"/>
      <c r="J26" s="140"/>
    </row>
    <row r="27" spans="1:13" x14ac:dyDescent="0.35">
      <c r="A27" s="42"/>
      <c r="B27" s="32"/>
      <c r="C27" s="32"/>
      <c r="D27" s="32"/>
      <c r="E27" s="32"/>
      <c r="F27" s="32"/>
      <c r="G27" s="70"/>
      <c r="H27" s="32"/>
      <c r="I27" s="70"/>
      <c r="J27" s="32"/>
    </row>
    <row r="28" spans="1:13" x14ac:dyDescent="0.35">
      <c r="B28" s="32"/>
      <c r="C28" s="32"/>
      <c r="D28" s="32"/>
      <c r="E28" s="32"/>
    </row>
    <row r="30" spans="1:13" x14ac:dyDescent="0.35">
      <c r="B30" s="3"/>
      <c r="C30" s="3"/>
      <c r="D30" s="3"/>
      <c r="E30" s="3"/>
      <c r="F30" s="3"/>
      <c r="G30" s="71"/>
      <c r="H30" s="3"/>
      <c r="I30" s="71"/>
      <c r="J30" s="3"/>
    </row>
    <row r="31" spans="1:13" x14ac:dyDescent="0.35">
      <c r="B31" s="32"/>
      <c r="C31" s="32"/>
      <c r="D31" s="32"/>
      <c r="E31" s="32"/>
      <c r="F31" s="32"/>
      <c r="G31" s="70"/>
      <c r="H31" s="32"/>
      <c r="I31" s="70"/>
      <c r="J31" s="3"/>
    </row>
    <row r="32" spans="1:13" x14ac:dyDescent="0.35">
      <c r="B32" s="32"/>
      <c r="C32" s="32"/>
      <c r="D32" s="32"/>
      <c r="E32" s="32"/>
      <c r="F32" s="3"/>
      <c r="G32" s="71"/>
      <c r="H32" s="32"/>
      <c r="I32" s="70"/>
      <c r="J32" s="3"/>
    </row>
    <row r="33" spans="2:10" x14ac:dyDescent="0.35">
      <c r="B33" s="3"/>
      <c r="C33" s="3"/>
      <c r="D33" s="3"/>
      <c r="E33" s="3"/>
      <c r="F33" s="3"/>
      <c r="G33" s="71"/>
      <c r="H33" s="3"/>
      <c r="I33" s="71"/>
      <c r="J33" s="3"/>
    </row>
  </sheetData>
  <printOptions horizontalCentered="1"/>
  <pageMargins left="0.2" right="0.2" top="0.5" bottom="0.5" header="0.3" footer="0.3"/>
  <pageSetup paperSize="17" scale="5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" zoomScale="80" zoomScaleNormal="80" workbookViewId="0">
      <selection activeCell="B37" sqref="B37"/>
    </sheetView>
  </sheetViews>
  <sheetFormatPr defaultColWidth="9.1796875" defaultRowHeight="14.5" x14ac:dyDescent="0.35"/>
  <cols>
    <col min="1" max="1" width="10.81640625" style="212" bestFit="1" customWidth="1"/>
    <col min="2" max="2" width="14.26953125" style="212" bestFit="1" customWidth="1"/>
    <col min="3" max="3" width="13.7265625" style="212" bestFit="1" customWidth="1"/>
    <col min="4" max="5" width="13.453125" style="212" bestFit="1" customWidth="1"/>
    <col min="6" max="6" width="13.7265625" style="212" bestFit="1" customWidth="1"/>
    <col min="7" max="7" width="14.81640625" style="212" bestFit="1" customWidth="1"/>
    <col min="8" max="8" width="14.26953125" style="212" bestFit="1" customWidth="1"/>
    <col min="9" max="9" width="13" style="212" bestFit="1" customWidth="1"/>
    <col min="10" max="10" width="14.26953125" style="212" bestFit="1" customWidth="1"/>
    <col min="11" max="11" width="13.1796875" style="212" bestFit="1" customWidth="1"/>
    <col min="12" max="12" width="14.26953125" style="212" bestFit="1" customWidth="1"/>
    <col min="13" max="13" width="9.1796875" style="212"/>
    <col min="14" max="14" width="14.7265625" style="212" customWidth="1"/>
    <col min="15" max="15" width="12.7265625" style="212" bestFit="1" customWidth="1"/>
    <col min="16" max="16" width="11.54296875" style="212" bestFit="1" customWidth="1"/>
    <col min="17" max="16384" width="9.1796875" style="212"/>
  </cols>
  <sheetData>
    <row r="1" spans="1:16" ht="15" thickBot="1" x14ac:dyDescent="0.4">
      <c r="A1" s="210" t="s">
        <v>0</v>
      </c>
      <c r="B1" s="211" t="s">
        <v>207</v>
      </c>
      <c r="N1" s="211" t="s">
        <v>153</v>
      </c>
      <c r="P1" s="213"/>
    </row>
    <row r="2" spans="1:16" x14ac:dyDescent="0.35">
      <c r="N2" s="214" t="s">
        <v>154</v>
      </c>
      <c r="O2" s="215"/>
      <c r="P2" s="216"/>
    </row>
    <row r="3" spans="1:16" x14ac:dyDescent="0.35">
      <c r="C3" s="217" t="s">
        <v>80</v>
      </c>
      <c r="D3" s="218"/>
      <c r="E3" s="218"/>
      <c r="F3" s="218"/>
      <c r="G3" s="219"/>
      <c r="H3" s="220" t="s">
        <v>81</v>
      </c>
      <c r="I3" s="218"/>
      <c r="J3" s="218"/>
      <c r="K3" s="218"/>
      <c r="L3" s="221"/>
      <c r="N3" s="222"/>
      <c r="O3" s="223"/>
      <c r="P3" s="224"/>
    </row>
    <row r="4" spans="1:16" x14ac:dyDescent="0.35">
      <c r="B4" s="225" t="s">
        <v>82</v>
      </c>
      <c r="C4" s="226" t="s">
        <v>83</v>
      </c>
      <c r="D4" s="227" t="s">
        <v>84</v>
      </c>
      <c r="E4" s="227"/>
      <c r="F4" s="227" t="s">
        <v>83</v>
      </c>
      <c r="G4" s="228"/>
      <c r="H4" s="229"/>
      <c r="I4" s="229"/>
      <c r="J4" s="229"/>
      <c r="K4" s="229"/>
      <c r="L4" s="230"/>
      <c r="N4" s="231" t="s">
        <v>155</v>
      </c>
      <c r="O4" s="232"/>
      <c r="P4" s="216"/>
    </row>
    <row r="5" spans="1:16" x14ac:dyDescent="0.35">
      <c r="B5" s="225" t="s">
        <v>85</v>
      </c>
      <c r="C5" s="233" t="s">
        <v>86</v>
      </c>
      <c r="D5" s="225" t="s">
        <v>87</v>
      </c>
      <c r="E5" s="225"/>
      <c r="F5" s="225" t="s">
        <v>88</v>
      </c>
      <c r="G5" s="234" t="s">
        <v>89</v>
      </c>
      <c r="H5" s="232"/>
      <c r="I5" s="232"/>
      <c r="J5" s="232"/>
      <c r="K5" s="225" t="s">
        <v>90</v>
      </c>
      <c r="L5" s="235" t="s">
        <v>89</v>
      </c>
      <c r="N5" s="231" t="s">
        <v>94</v>
      </c>
      <c r="O5" s="232"/>
      <c r="P5" s="216"/>
    </row>
    <row r="6" spans="1:16" ht="16.5" x14ac:dyDescent="0.35">
      <c r="A6" s="236" t="s">
        <v>91</v>
      </c>
      <c r="B6" s="236" t="s">
        <v>92</v>
      </c>
      <c r="C6" s="237" t="s">
        <v>93</v>
      </c>
      <c r="D6" s="236" t="s">
        <v>94</v>
      </c>
      <c r="E6" s="236" t="s">
        <v>95</v>
      </c>
      <c r="F6" s="236" t="s">
        <v>163</v>
      </c>
      <c r="G6" s="238" t="s">
        <v>13</v>
      </c>
      <c r="H6" s="236" t="s">
        <v>96</v>
      </c>
      <c r="I6" s="236" t="s">
        <v>97</v>
      </c>
      <c r="J6" s="236" t="s">
        <v>95</v>
      </c>
      <c r="K6" s="236" t="s">
        <v>70</v>
      </c>
      <c r="L6" s="239" t="s">
        <v>13</v>
      </c>
      <c r="N6" s="240" t="s">
        <v>84</v>
      </c>
      <c r="O6" s="223"/>
      <c r="P6" s="224"/>
    </row>
    <row r="7" spans="1:16" x14ac:dyDescent="0.35">
      <c r="A7" s="241" t="s">
        <v>156</v>
      </c>
      <c r="C7" s="242" t="s">
        <v>98</v>
      </c>
      <c r="D7" s="243"/>
      <c r="E7" s="232"/>
      <c r="F7" s="232"/>
      <c r="G7" s="244"/>
      <c r="H7" s="232"/>
      <c r="I7" s="232"/>
      <c r="J7" s="232"/>
      <c r="K7" s="232"/>
      <c r="L7" s="245"/>
      <c r="N7" s="246"/>
      <c r="O7" s="232"/>
      <c r="P7" s="216"/>
    </row>
    <row r="8" spans="1:16" x14ac:dyDescent="0.35">
      <c r="A8" s="212" t="s">
        <v>99</v>
      </c>
      <c r="C8" s="247"/>
      <c r="D8" s="232"/>
      <c r="E8" s="232"/>
      <c r="F8" s="232"/>
      <c r="G8" s="248">
        <v>13671209</v>
      </c>
      <c r="H8" s="232"/>
      <c r="I8" s="232"/>
      <c r="J8" s="232"/>
      <c r="K8" s="232"/>
      <c r="L8" s="249">
        <v>6470027.0990000004</v>
      </c>
      <c r="N8" s="246"/>
      <c r="O8" s="232"/>
      <c r="P8" s="216"/>
    </row>
    <row r="9" spans="1:16" x14ac:dyDescent="0.35">
      <c r="A9" s="212" t="s">
        <v>100</v>
      </c>
      <c r="B9" s="250"/>
      <c r="C9" s="251">
        <f t="shared" ref="C9:C20" si="0">G29</f>
        <v>5768994</v>
      </c>
      <c r="D9" s="252">
        <f>+N9</f>
        <v>-5493479.5914779995</v>
      </c>
      <c r="E9" s="252"/>
      <c r="F9" s="252">
        <f t="shared" ref="F9:F20" si="1">SUM(C9:E9)</f>
        <v>275514.40852200054</v>
      </c>
      <c r="G9" s="253">
        <f>F9+G8</f>
        <v>13946723.408522001</v>
      </c>
      <c r="H9" s="252">
        <v>-1618353</v>
      </c>
      <c r="I9" s="252"/>
      <c r="J9" s="252"/>
      <c r="K9" s="252">
        <f>SUM(H9:J9)</f>
        <v>-1618353</v>
      </c>
      <c r="L9" s="249">
        <f>L8+K9</f>
        <v>4851674.0990000004</v>
      </c>
      <c r="N9" s="254">
        <v>-5493479.5914779995</v>
      </c>
      <c r="O9" s="232"/>
      <c r="P9" s="216"/>
    </row>
    <row r="10" spans="1:16" x14ac:dyDescent="0.35">
      <c r="A10" s="212" t="s">
        <v>101</v>
      </c>
      <c r="B10" s="255"/>
      <c r="C10" s="256">
        <f t="shared" si="0"/>
        <v>5754463</v>
      </c>
      <c r="D10" s="257">
        <f>N10-SUM($D$9:D9)</f>
        <v>-5246411.6153580006</v>
      </c>
      <c r="E10" s="257"/>
      <c r="F10" s="257">
        <f>SUM(C10:E10)</f>
        <v>508051.38464199938</v>
      </c>
      <c r="G10" s="253">
        <f>F10+G9</f>
        <v>14454774.793164</v>
      </c>
      <c r="H10" s="257">
        <v>-1618353</v>
      </c>
      <c r="I10" s="257"/>
      <c r="J10" s="257"/>
      <c r="K10" s="257">
        <f t="shared" ref="K10:K20" si="2">SUM(H10:J10)</f>
        <v>-1618353</v>
      </c>
      <c r="L10" s="249">
        <f t="shared" ref="L10:L20" si="3">L9+K10</f>
        <v>3233321.0990000004</v>
      </c>
      <c r="N10" s="258">
        <v>-10739891.206836</v>
      </c>
      <c r="O10" s="232"/>
      <c r="P10" s="216"/>
    </row>
    <row r="11" spans="1:16" x14ac:dyDescent="0.35">
      <c r="A11" s="212" t="s">
        <v>102</v>
      </c>
      <c r="B11" s="255"/>
      <c r="C11" s="256">
        <f t="shared" si="0"/>
        <v>6391587</v>
      </c>
      <c r="D11" s="257">
        <f>N11-SUM($D$9:D10)</f>
        <v>-5037959.081993999</v>
      </c>
      <c r="E11" s="257"/>
      <c r="F11" s="257">
        <f>SUM(C11:E11)</f>
        <v>1353627.918006001</v>
      </c>
      <c r="G11" s="253">
        <f t="shared" ref="G11:G20" si="4">F11+G10</f>
        <v>15808402.711170001</v>
      </c>
      <c r="H11" s="257">
        <v>-1618354</v>
      </c>
      <c r="I11" s="257">
        <v>2377373.42</v>
      </c>
      <c r="J11" s="257"/>
      <c r="K11" s="257">
        <f t="shared" si="2"/>
        <v>759019.41999999993</v>
      </c>
      <c r="L11" s="249">
        <f t="shared" si="3"/>
        <v>3992340.5190000003</v>
      </c>
      <c r="N11" s="258">
        <v>-15777850.288829999</v>
      </c>
      <c r="O11" s="232"/>
      <c r="P11" s="216"/>
    </row>
    <row r="12" spans="1:16" x14ac:dyDescent="0.35">
      <c r="A12" s="212" t="s">
        <v>103</v>
      </c>
      <c r="B12" s="255"/>
      <c r="C12" s="256">
        <f t="shared" si="0"/>
        <v>5961569</v>
      </c>
      <c r="D12" s="257">
        <f>N12-SUM($D$9:D11)</f>
        <v>-3913694.0758020002</v>
      </c>
      <c r="E12" s="257"/>
      <c r="F12" s="257">
        <f t="shared" si="1"/>
        <v>2047874.9241979998</v>
      </c>
      <c r="G12" s="253">
        <f>F12+G11</f>
        <v>17856277.635368001</v>
      </c>
      <c r="H12" s="257">
        <v>-1618354</v>
      </c>
      <c r="I12" s="257"/>
      <c r="J12" s="257"/>
      <c r="K12" s="257">
        <f t="shared" si="2"/>
        <v>-1618354</v>
      </c>
      <c r="L12" s="249">
        <f t="shared" si="3"/>
        <v>2373986.5190000003</v>
      </c>
      <c r="N12" s="258">
        <v>-19691544.364631999</v>
      </c>
      <c r="O12" s="232"/>
      <c r="P12" s="216"/>
    </row>
    <row r="13" spans="1:16" x14ac:dyDescent="0.35">
      <c r="A13" s="212" t="s">
        <v>104</v>
      </c>
      <c r="B13" s="255"/>
      <c r="C13" s="256">
        <f t="shared" si="0"/>
        <v>5682447</v>
      </c>
      <c r="D13" s="257">
        <f>N13-SUM($D$9:D12)</f>
        <v>-3763531.3751819991</v>
      </c>
      <c r="E13" s="257">
        <f>-J13</f>
        <v>-13671209</v>
      </c>
      <c r="F13" s="257">
        <f t="shared" si="1"/>
        <v>-11752293.375181999</v>
      </c>
      <c r="G13" s="253">
        <f>F13+G12</f>
        <v>6103984.2601860017</v>
      </c>
      <c r="H13" s="257">
        <v>-1337100</v>
      </c>
      <c r="I13" s="257"/>
      <c r="J13" s="257">
        <f>+G8</f>
        <v>13671209</v>
      </c>
      <c r="K13" s="257">
        <f t="shared" si="2"/>
        <v>12334109</v>
      </c>
      <c r="L13" s="249">
        <f t="shared" si="3"/>
        <v>14708095.519000001</v>
      </c>
      <c r="N13" s="258">
        <v>-23455075.739813998</v>
      </c>
      <c r="O13" s="232"/>
      <c r="P13" s="216"/>
    </row>
    <row r="14" spans="1:16" x14ac:dyDescent="0.35">
      <c r="A14" s="212" t="s">
        <v>105</v>
      </c>
      <c r="B14" s="255"/>
      <c r="C14" s="256">
        <f t="shared" si="0"/>
        <v>5648061</v>
      </c>
      <c r="D14" s="257">
        <f>N14-SUM($D$9:D13)</f>
        <v>-3549380.7163800001</v>
      </c>
      <c r="E14" s="257"/>
      <c r="F14" s="257">
        <f>SUM(C14:E14)</f>
        <v>2098680.2836199999</v>
      </c>
      <c r="G14" s="253">
        <f t="shared" si="4"/>
        <v>8202664.5438060015</v>
      </c>
      <c r="H14" s="257">
        <v>-1337099</v>
      </c>
      <c r="I14" s="257"/>
      <c r="J14" s="257"/>
      <c r="K14" s="257">
        <f t="shared" si="2"/>
        <v>-1337099</v>
      </c>
      <c r="L14" s="249">
        <f t="shared" si="3"/>
        <v>13370996.519000001</v>
      </c>
      <c r="N14" s="258">
        <v>-27004456.456193998</v>
      </c>
      <c r="O14" s="232"/>
      <c r="P14" s="216"/>
    </row>
    <row r="15" spans="1:16" x14ac:dyDescent="0.35">
      <c r="A15" s="212" t="s">
        <v>71</v>
      </c>
      <c r="B15" s="255"/>
      <c r="C15" s="256">
        <f t="shared" si="0"/>
        <v>6087490</v>
      </c>
      <c r="D15" s="257">
        <f>N15-SUM($D$9:D14)</f>
        <v>-4106066.5239420012</v>
      </c>
      <c r="E15" s="257"/>
      <c r="F15" s="257">
        <f t="shared" si="1"/>
        <v>1981423.4760579988</v>
      </c>
      <c r="G15" s="253">
        <f t="shared" si="4"/>
        <v>10184088.019864</v>
      </c>
      <c r="H15" s="257">
        <v>-1337100</v>
      </c>
      <c r="I15" s="257"/>
      <c r="J15" s="257"/>
      <c r="K15" s="257">
        <f t="shared" si="2"/>
        <v>-1337100</v>
      </c>
      <c r="L15" s="249">
        <f t="shared" si="3"/>
        <v>12033896.519000001</v>
      </c>
      <c r="N15" s="258">
        <v>-31110522.980136</v>
      </c>
      <c r="O15" s="232"/>
      <c r="P15" s="216"/>
    </row>
    <row r="16" spans="1:16" x14ac:dyDescent="0.35">
      <c r="A16" s="212" t="s">
        <v>106</v>
      </c>
      <c r="B16" s="255"/>
      <c r="C16" s="256">
        <f t="shared" si="0"/>
        <v>4093221</v>
      </c>
      <c r="D16" s="257">
        <f>N16-SUM($D$9:D15)</f>
        <v>-4090074.0582299978</v>
      </c>
      <c r="E16" s="257"/>
      <c r="F16" s="257">
        <f t="shared" si="1"/>
        <v>3146.9417700022459</v>
      </c>
      <c r="G16" s="253">
        <f t="shared" si="4"/>
        <v>10187234.961634003</v>
      </c>
      <c r="H16" s="257">
        <v>-1337101</v>
      </c>
      <c r="I16" s="257"/>
      <c r="J16" s="257"/>
      <c r="K16" s="257">
        <f t="shared" si="2"/>
        <v>-1337101</v>
      </c>
      <c r="L16" s="249">
        <f t="shared" si="3"/>
        <v>10696795.519000001</v>
      </c>
      <c r="N16" s="258">
        <v>-35200597.038365997</v>
      </c>
      <c r="O16" s="232"/>
      <c r="P16" s="216"/>
    </row>
    <row r="17" spans="1:16" x14ac:dyDescent="0.35">
      <c r="A17" s="212" t="s">
        <v>107</v>
      </c>
      <c r="B17" s="255"/>
      <c r="C17" s="256">
        <f t="shared" si="0"/>
        <v>5529418</v>
      </c>
      <c r="D17" s="257">
        <f>N17-SUM($D$9:D16)</f>
        <v>-3808272.5646900013</v>
      </c>
      <c r="E17" s="257"/>
      <c r="F17" s="257">
        <f t="shared" si="1"/>
        <v>1721145.4353099987</v>
      </c>
      <c r="G17" s="253">
        <f t="shared" si="4"/>
        <v>11908380.396944001</v>
      </c>
      <c r="H17" s="257">
        <v>-1337099</v>
      </c>
      <c r="I17" s="257"/>
      <c r="J17" s="257"/>
      <c r="K17" s="257">
        <f t="shared" si="2"/>
        <v>-1337099</v>
      </c>
      <c r="L17" s="249">
        <f t="shared" si="3"/>
        <v>9359696.5190000013</v>
      </c>
      <c r="N17" s="258">
        <v>-39008869.603055999</v>
      </c>
      <c r="O17" s="232"/>
      <c r="P17" s="216"/>
    </row>
    <row r="18" spans="1:16" x14ac:dyDescent="0.35">
      <c r="A18" s="212" t="s">
        <v>108</v>
      </c>
      <c r="B18" s="255"/>
      <c r="C18" s="256">
        <f t="shared" si="0"/>
        <v>5545959</v>
      </c>
      <c r="D18" s="257">
        <f>N18-SUM($D$9:D17)</f>
        <v>-4403404.2902999967</v>
      </c>
      <c r="E18" s="257"/>
      <c r="F18" s="257">
        <f t="shared" si="1"/>
        <v>1142554.7097000033</v>
      </c>
      <c r="G18" s="253">
        <f t="shared" si="4"/>
        <v>13050935.106644005</v>
      </c>
      <c r="H18" s="257">
        <v>-1337100</v>
      </c>
      <c r="I18" s="257"/>
      <c r="J18" s="257"/>
      <c r="K18" s="257">
        <f t="shared" si="2"/>
        <v>-1337100</v>
      </c>
      <c r="L18" s="249">
        <f t="shared" si="3"/>
        <v>8022596.5190000013</v>
      </c>
      <c r="N18" s="258">
        <v>-43412273.893355995</v>
      </c>
      <c r="O18" s="232"/>
      <c r="P18" s="216"/>
    </row>
    <row r="19" spans="1:16" x14ac:dyDescent="0.35">
      <c r="A19" s="212" t="s">
        <v>109</v>
      </c>
      <c r="B19" s="255"/>
      <c r="C19" s="256">
        <f t="shared" si="0"/>
        <v>6111868</v>
      </c>
      <c r="D19" s="257">
        <f>N19-SUM($D$9:D18)</f>
        <v>-5170783.5954840034</v>
      </c>
      <c r="E19" s="257"/>
      <c r="F19" s="257">
        <f>SUM(C19:E19)</f>
        <v>941084.40451599658</v>
      </c>
      <c r="G19" s="253">
        <f t="shared" si="4"/>
        <v>13992019.511160001</v>
      </c>
      <c r="H19" s="257">
        <v>-1337100</v>
      </c>
      <c r="I19" s="257"/>
      <c r="J19" s="257"/>
      <c r="K19" s="257">
        <f t="shared" si="2"/>
        <v>-1337100</v>
      </c>
      <c r="L19" s="249">
        <f t="shared" si="3"/>
        <v>6685496.5190000013</v>
      </c>
      <c r="N19" s="258">
        <v>-48583057.488839999</v>
      </c>
      <c r="O19" s="232"/>
      <c r="P19" s="216"/>
    </row>
    <row r="20" spans="1:16" x14ac:dyDescent="0.35">
      <c r="A20" s="212" t="s">
        <v>110</v>
      </c>
      <c r="B20" s="255"/>
      <c r="C20" s="259">
        <f t="shared" si="0"/>
        <v>5636047</v>
      </c>
      <c r="D20" s="257">
        <f>N20-SUM($D$9:D19)</f>
        <v>-5733198.0048359931</v>
      </c>
      <c r="E20" s="260"/>
      <c r="F20" s="260">
        <f t="shared" si="1"/>
        <v>-97151.004835993052</v>
      </c>
      <c r="G20" s="351">
        <f t="shared" si="4"/>
        <v>13894868.506324008</v>
      </c>
      <c r="H20" s="260">
        <v>-1337099</v>
      </c>
      <c r="I20" s="260">
        <v>0</v>
      </c>
      <c r="J20" s="260"/>
      <c r="K20" s="260">
        <f t="shared" si="2"/>
        <v>-1337099</v>
      </c>
      <c r="L20" s="350">
        <f t="shared" si="3"/>
        <v>5348397.5190000013</v>
      </c>
      <c r="N20" s="258">
        <v>-54316255.493675992</v>
      </c>
      <c r="O20" s="232"/>
      <c r="P20" s="216"/>
    </row>
    <row r="21" spans="1:16" x14ac:dyDescent="0.35">
      <c r="C21" s="255"/>
      <c r="D21" s="255"/>
      <c r="E21" s="255"/>
      <c r="F21" s="261"/>
      <c r="G21" s="357" t="s">
        <v>170</v>
      </c>
      <c r="H21" s="358"/>
      <c r="I21" s="358"/>
      <c r="J21" s="358"/>
      <c r="K21" s="358"/>
      <c r="L21" s="357" t="s">
        <v>170</v>
      </c>
      <c r="N21" s="246"/>
      <c r="O21" s="232"/>
      <c r="P21" s="216"/>
    </row>
    <row r="22" spans="1:16" ht="15" thickBot="1" x14ac:dyDescent="0.4">
      <c r="C22" s="255"/>
      <c r="D22" s="255"/>
      <c r="E22" s="255"/>
      <c r="F22" s="255"/>
      <c r="G22" s="244"/>
      <c r="H22" s="262">
        <f>SUM(H9:H21)</f>
        <v>-17170212</v>
      </c>
      <c r="I22" s="262">
        <f>SUM(I9:I21)</f>
        <v>2377373.42</v>
      </c>
      <c r="J22" s="262">
        <f>SUM(J9:J21)</f>
        <v>13671209</v>
      </c>
      <c r="K22" s="262">
        <f>SUM(K9:K21)</f>
        <v>-1121629.58</v>
      </c>
      <c r="N22" s="246"/>
      <c r="O22" s="232"/>
      <c r="P22" s="216"/>
    </row>
    <row r="23" spans="1:16" ht="15" thickTop="1" x14ac:dyDescent="0.35">
      <c r="C23" s="255"/>
      <c r="D23" s="255"/>
      <c r="E23" s="255"/>
      <c r="F23" s="255"/>
      <c r="G23" s="261"/>
      <c r="H23" s="250"/>
      <c r="I23" s="250"/>
      <c r="J23" s="250"/>
      <c r="K23" s="250"/>
      <c r="N23" s="246"/>
      <c r="O23" s="232"/>
      <c r="P23" s="216"/>
    </row>
    <row r="24" spans="1:16" ht="16.5" x14ac:dyDescent="0.35">
      <c r="A24" s="263" t="s">
        <v>164</v>
      </c>
      <c r="C24" s="255"/>
      <c r="D24" s="255"/>
      <c r="E24" s="255"/>
      <c r="F24" s="255"/>
      <c r="N24" s="246"/>
      <c r="O24" s="232"/>
      <c r="P24" s="216"/>
    </row>
    <row r="25" spans="1:16" x14ac:dyDescent="0.35">
      <c r="B25" s="264" t="s">
        <v>111</v>
      </c>
      <c r="C25" s="264"/>
      <c r="D25" s="265" t="s">
        <v>112</v>
      </c>
      <c r="E25" s="265" t="s">
        <v>113</v>
      </c>
      <c r="N25" s="246"/>
      <c r="O25" s="225" t="s">
        <v>155</v>
      </c>
      <c r="P25" s="266" t="s">
        <v>155</v>
      </c>
    </row>
    <row r="26" spans="1:16" x14ac:dyDescent="0.35">
      <c r="B26" s="264" t="s">
        <v>114</v>
      </c>
      <c r="C26" s="264"/>
      <c r="D26" s="265" t="s">
        <v>115</v>
      </c>
      <c r="E26" s="265" t="s">
        <v>116</v>
      </c>
      <c r="N26" s="246"/>
      <c r="O26" s="225" t="s">
        <v>112</v>
      </c>
      <c r="P26" s="266" t="s">
        <v>113</v>
      </c>
    </row>
    <row r="27" spans="1:16" x14ac:dyDescent="0.35">
      <c r="A27" s="241"/>
      <c r="B27" s="267" t="s">
        <v>117</v>
      </c>
      <c r="C27" s="267" t="s">
        <v>118</v>
      </c>
      <c r="D27" s="267" t="s">
        <v>119</v>
      </c>
      <c r="E27" s="267" t="s">
        <v>120</v>
      </c>
      <c r="F27" s="267" t="s">
        <v>96</v>
      </c>
      <c r="G27" s="267" t="s">
        <v>121</v>
      </c>
      <c r="N27" s="231" t="s">
        <v>155</v>
      </c>
      <c r="O27" s="225" t="s">
        <v>115</v>
      </c>
      <c r="P27" s="266" t="s">
        <v>116</v>
      </c>
    </row>
    <row r="28" spans="1:16" x14ac:dyDescent="0.35">
      <c r="A28" s="241" t="s">
        <v>156</v>
      </c>
      <c r="N28" s="231">
        <v>236</v>
      </c>
      <c r="O28" s="268" t="s">
        <v>119</v>
      </c>
      <c r="P28" s="269" t="s">
        <v>120</v>
      </c>
    </row>
    <row r="29" spans="1:16" x14ac:dyDescent="0.35">
      <c r="A29" s="212" t="s">
        <v>100</v>
      </c>
      <c r="B29" s="203">
        <f>N29/1*12</f>
        <v>49512648</v>
      </c>
      <c r="C29" s="250">
        <f>B29/12</f>
        <v>4126054</v>
      </c>
      <c r="D29" s="250">
        <f>+O29</f>
        <v>24587</v>
      </c>
      <c r="E29" s="250">
        <f>+P29</f>
        <v>0</v>
      </c>
      <c r="F29" s="255">
        <f t="shared" ref="F29:F40" si="5">-H9</f>
        <v>1618353</v>
      </c>
      <c r="G29" s="250">
        <f t="shared" ref="G29:G40" si="6">SUM(C29:F29)</f>
        <v>5768994</v>
      </c>
      <c r="N29" s="254">
        <v>4126054</v>
      </c>
      <c r="O29" s="252">
        <v>24587</v>
      </c>
      <c r="P29" s="270">
        <v>0</v>
      </c>
    </row>
    <row r="30" spans="1:16" x14ac:dyDescent="0.35">
      <c r="A30" s="212" t="s">
        <v>101</v>
      </c>
      <c r="B30" s="203">
        <f>N30/2*12</f>
        <v>49512642</v>
      </c>
      <c r="C30" s="255">
        <f>B30/12*2-C29</f>
        <v>4126053</v>
      </c>
      <c r="D30" s="255">
        <f>+O30-SUM($D$29:D29)</f>
        <v>10480</v>
      </c>
      <c r="E30" s="255">
        <f>P30-SUM($E$29:E29)</f>
        <v>-423</v>
      </c>
      <c r="F30" s="255">
        <f t="shared" si="5"/>
        <v>1618353</v>
      </c>
      <c r="G30" s="255">
        <f t="shared" si="6"/>
        <v>5754463</v>
      </c>
      <c r="N30" s="258">
        <v>8252107</v>
      </c>
      <c r="O30" s="257">
        <v>35067</v>
      </c>
      <c r="P30" s="271">
        <v>-423</v>
      </c>
    </row>
    <row r="31" spans="1:16" x14ac:dyDescent="0.35">
      <c r="A31" s="212" t="s">
        <v>102</v>
      </c>
      <c r="B31" s="203">
        <f>N31/3*12</f>
        <v>52101296</v>
      </c>
      <c r="C31" s="255">
        <f>B31/12*3-SUM($C$29:C30)</f>
        <v>4773217</v>
      </c>
      <c r="D31" s="255">
        <f>+O31-SUM($D$29:D30)</f>
        <v>489</v>
      </c>
      <c r="E31" s="255">
        <f>P31-SUM($E$29:E30)</f>
        <v>-473</v>
      </c>
      <c r="F31" s="255">
        <f t="shared" si="5"/>
        <v>1618354</v>
      </c>
      <c r="G31" s="255">
        <f t="shared" si="6"/>
        <v>6391587</v>
      </c>
      <c r="N31" s="258">
        <v>13025324</v>
      </c>
      <c r="O31" s="257">
        <v>35556</v>
      </c>
      <c r="P31" s="271">
        <v>-896</v>
      </c>
    </row>
    <row r="32" spans="1:16" x14ac:dyDescent="0.35">
      <c r="A32" s="212" t="s">
        <v>103</v>
      </c>
      <c r="B32" s="203">
        <f>N32/4*12</f>
        <v>52102530</v>
      </c>
      <c r="C32" s="255">
        <f>B32/12*4-SUM($C$29:C31)</f>
        <v>4342186</v>
      </c>
      <c r="D32" s="255">
        <f>+O32-SUM($D$29:D31)</f>
        <v>1029</v>
      </c>
      <c r="E32" s="255">
        <f>P32-SUM($E$29:E31)</f>
        <v>0</v>
      </c>
      <c r="F32" s="255">
        <f t="shared" si="5"/>
        <v>1618354</v>
      </c>
      <c r="G32" s="255">
        <f t="shared" si="6"/>
        <v>5961569</v>
      </c>
      <c r="N32" s="258">
        <v>17367510</v>
      </c>
      <c r="O32" s="257">
        <v>36585</v>
      </c>
      <c r="P32" s="271">
        <v>-896</v>
      </c>
    </row>
    <row r="33" spans="1:16" x14ac:dyDescent="0.35">
      <c r="A33" s="212" t="s">
        <v>104</v>
      </c>
      <c r="B33" s="203">
        <f>N33/5*12</f>
        <v>52100625.599999994</v>
      </c>
      <c r="C33" s="255">
        <f>B33/12*5-SUM($C$29:C32)</f>
        <v>4341084</v>
      </c>
      <c r="D33" s="255">
        <f xml:space="preserve"> O33-SUM($D$29:D32)</f>
        <v>4263</v>
      </c>
      <c r="E33" s="255">
        <f>P33-SUM($E$29:E32)</f>
        <v>0</v>
      </c>
      <c r="F33" s="255">
        <f t="shared" si="5"/>
        <v>1337100</v>
      </c>
      <c r="G33" s="255">
        <f t="shared" si="6"/>
        <v>5682447</v>
      </c>
      <c r="N33" s="258">
        <v>21708594</v>
      </c>
      <c r="O33" s="257">
        <v>40848</v>
      </c>
      <c r="P33" s="271">
        <v>-896</v>
      </c>
    </row>
    <row r="34" spans="1:16" x14ac:dyDescent="0.35">
      <c r="A34" s="212" t="s">
        <v>105</v>
      </c>
      <c r="B34" s="203">
        <f>N34/6*12</f>
        <v>52037154</v>
      </c>
      <c r="C34" s="255">
        <f>B34/12*6-SUM($C$29:C33)</f>
        <v>4309983</v>
      </c>
      <c r="D34" s="255">
        <f>O34-SUM($D$29:D33)</f>
        <v>979</v>
      </c>
      <c r="E34" s="255">
        <f>P34-SUM($E$29:E33)</f>
        <v>0</v>
      </c>
      <c r="F34" s="255">
        <f t="shared" si="5"/>
        <v>1337099</v>
      </c>
      <c r="G34" s="255">
        <f t="shared" si="6"/>
        <v>5648061</v>
      </c>
      <c r="N34" s="258">
        <v>26018577</v>
      </c>
      <c r="O34" s="257">
        <v>41827</v>
      </c>
      <c r="P34" s="271">
        <v>-896</v>
      </c>
    </row>
    <row r="35" spans="1:16" x14ac:dyDescent="0.35">
      <c r="A35" s="212" t="s">
        <v>71</v>
      </c>
      <c r="B35" s="203">
        <f>N35/7*12</f>
        <v>52746800.571428575</v>
      </c>
      <c r="C35" s="255">
        <f>B35/12*7-SUM($C$29:C34)</f>
        <v>4750390</v>
      </c>
      <c r="D35" s="255">
        <f>O35-SUM($D$29:D34)</f>
        <v>0</v>
      </c>
      <c r="E35" s="255">
        <f>P35-SUM($E$29:E34)</f>
        <v>0</v>
      </c>
      <c r="F35" s="255">
        <f t="shared" si="5"/>
        <v>1337100</v>
      </c>
      <c r="G35" s="255">
        <f t="shared" si="6"/>
        <v>6087490</v>
      </c>
      <c r="N35" s="258">
        <v>30768967</v>
      </c>
      <c r="O35" s="257">
        <v>41827</v>
      </c>
      <c r="P35" s="271">
        <v>-896</v>
      </c>
    </row>
    <row r="36" spans="1:16" x14ac:dyDescent="0.35">
      <c r="A36" s="212" t="s">
        <v>106</v>
      </c>
      <c r="B36" s="203">
        <f>N36/8*12</f>
        <v>50285658</v>
      </c>
      <c r="C36" s="255">
        <f>B36/12*8-SUM($C$29:C35)</f>
        <v>2754805</v>
      </c>
      <c r="D36" s="255">
        <f>O36-SUM($D$29:D35)</f>
        <v>1315</v>
      </c>
      <c r="E36" s="255">
        <f>P36-SUM($E$29:E35)</f>
        <v>0</v>
      </c>
      <c r="F36" s="255">
        <f t="shared" si="5"/>
        <v>1337101</v>
      </c>
      <c r="G36" s="255">
        <f t="shared" si="6"/>
        <v>4093221</v>
      </c>
      <c r="N36" s="258">
        <v>33523772</v>
      </c>
      <c r="O36" s="257">
        <v>43142</v>
      </c>
      <c r="P36" s="271">
        <v>-896</v>
      </c>
    </row>
    <row r="37" spans="1:16" x14ac:dyDescent="0.35">
      <c r="A37" s="212" t="s">
        <v>107</v>
      </c>
      <c r="B37" s="203">
        <f>N37/9*12</f>
        <v>50288058.666666664</v>
      </c>
      <c r="C37" s="255">
        <f>B37/12*9-SUM($C$29:C36)</f>
        <v>4192272</v>
      </c>
      <c r="D37" s="255">
        <f>O37-SUM($D$29:D36)</f>
        <v>47</v>
      </c>
      <c r="E37" s="255">
        <f>P37-SUM($E$29:E36)</f>
        <v>0</v>
      </c>
      <c r="F37" s="255">
        <f t="shared" si="5"/>
        <v>1337099</v>
      </c>
      <c r="G37" s="255">
        <f t="shared" si="6"/>
        <v>5529418</v>
      </c>
      <c r="N37" s="258">
        <v>37716044</v>
      </c>
      <c r="O37" s="257">
        <v>43189</v>
      </c>
      <c r="P37" s="271">
        <v>-896</v>
      </c>
    </row>
    <row r="38" spans="1:16" x14ac:dyDescent="0.35">
      <c r="A38" s="212" t="s">
        <v>108</v>
      </c>
      <c r="B38" s="203">
        <f>N38/10*12</f>
        <v>50289978</v>
      </c>
      <c r="C38" s="255">
        <f>B38/12*10-SUM($C$29:C37)</f>
        <v>4192271</v>
      </c>
      <c r="D38" s="255">
        <f>O38-SUM($D$29:D37)</f>
        <v>19286</v>
      </c>
      <c r="E38" s="255">
        <f>P38-SUM($E$29:E37)</f>
        <v>-2698</v>
      </c>
      <c r="F38" s="255">
        <f t="shared" si="5"/>
        <v>1337100</v>
      </c>
      <c r="G38" s="255">
        <f t="shared" si="6"/>
        <v>5545959</v>
      </c>
      <c r="N38" s="258">
        <v>41908315</v>
      </c>
      <c r="O38" s="257">
        <v>62475</v>
      </c>
      <c r="P38" s="271">
        <v>-3594</v>
      </c>
    </row>
    <row r="39" spans="1:16" x14ac:dyDescent="0.35">
      <c r="A39" s="212" t="s">
        <v>109</v>
      </c>
      <c r="B39" s="203">
        <f>N39/11*12</f>
        <v>50926644</v>
      </c>
      <c r="C39" s="255">
        <f>B39/12*11-SUM($C$29:C38)</f>
        <v>4774442</v>
      </c>
      <c r="D39" s="255">
        <f>O39-SUM($D$29:D38)</f>
        <v>326</v>
      </c>
      <c r="E39" s="255">
        <f>P39-SUM($E$29:E38)</f>
        <v>0</v>
      </c>
      <c r="F39" s="255">
        <f t="shared" si="5"/>
        <v>1337100</v>
      </c>
      <c r="G39" s="255">
        <f>SUM(C39:F39)</f>
        <v>6111868</v>
      </c>
      <c r="I39" s="272"/>
      <c r="K39" s="272"/>
      <c r="N39" s="258">
        <v>46682757</v>
      </c>
      <c r="O39" s="257">
        <v>62801</v>
      </c>
      <c r="P39" s="271">
        <v>-3594</v>
      </c>
    </row>
    <row r="40" spans="1:16" x14ac:dyDescent="0.35">
      <c r="A40" s="212" t="s">
        <v>110</v>
      </c>
      <c r="B40" s="352">
        <f>N40</f>
        <v>50982420</v>
      </c>
      <c r="C40" s="255">
        <f>B40/12*12-SUM($C$29:C39)</f>
        <v>4299663</v>
      </c>
      <c r="D40" s="255">
        <f>O40-SUM($D$29:D39)</f>
        <v>3268</v>
      </c>
      <c r="E40" s="255">
        <f>P40-SUM($E$29:E39)</f>
        <v>-3983</v>
      </c>
      <c r="F40" s="255">
        <f t="shared" si="5"/>
        <v>1337099</v>
      </c>
      <c r="G40" s="255">
        <f t="shared" si="6"/>
        <v>5636047</v>
      </c>
      <c r="I40" s="272"/>
      <c r="K40" s="272"/>
      <c r="N40" s="273">
        <v>50982420</v>
      </c>
      <c r="O40" s="274">
        <v>66069</v>
      </c>
      <c r="P40" s="359">
        <v>-7577</v>
      </c>
    </row>
    <row r="41" spans="1:16" x14ac:dyDescent="0.35">
      <c r="B41" s="352"/>
      <c r="C41" s="255"/>
      <c r="D41" s="255"/>
      <c r="E41" s="255"/>
      <c r="F41" s="255"/>
      <c r="G41" s="255"/>
      <c r="I41" s="272"/>
      <c r="K41" s="272"/>
      <c r="N41" s="257"/>
      <c r="O41" s="257"/>
      <c r="P41" s="257"/>
    </row>
    <row r="42" spans="1:16" x14ac:dyDescent="0.35">
      <c r="A42" s="212" t="s">
        <v>166</v>
      </c>
      <c r="C42" s="255"/>
      <c r="D42" s="255"/>
      <c r="E42" s="255"/>
      <c r="F42" s="255"/>
      <c r="I42" s="272"/>
      <c r="K42" s="272"/>
    </row>
    <row r="43" spans="1:16" x14ac:dyDescent="0.35">
      <c r="A43" s="212">
        <v>23600201</v>
      </c>
      <c r="B43" s="355">
        <v>43004966.270000003</v>
      </c>
      <c r="C43" s="250">
        <f>SUM(C29:C42)</f>
        <v>50982420</v>
      </c>
      <c r="D43" s="250">
        <f>SUM(D29:D42)</f>
        <v>66069</v>
      </c>
      <c r="E43" s="250">
        <f>SUM(E29:E42)</f>
        <v>-7577</v>
      </c>
      <c r="F43" s="250">
        <f>SUM(F29:F42)</f>
        <v>17170212</v>
      </c>
      <c r="G43" s="250">
        <f>SUM(G29:G42)</f>
        <v>68211124</v>
      </c>
      <c r="I43" s="272"/>
      <c r="K43" s="272"/>
    </row>
    <row r="44" spans="1:16" x14ac:dyDescent="0.35">
      <c r="A44" s="212" t="s">
        <v>167</v>
      </c>
      <c r="B44" s="276">
        <f>-'Est Pmt due Apr&amp;Oct 2021'!B18</f>
        <v>-221441</v>
      </c>
      <c r="C44" s="250"/>
      <c r="D44" s="250"/>
      <c r="E44" s="250"/>
      <c r="F44" s="250"/>
      <c r="G44" s="250"/>
      <c r="I44" s="272"/>
      <c r="J44" s="272"/>
      <c r="K44" s="272"/>
    </row>
    <row r="45" spans="1:16" x14ac:dyDescent="0.35">
      <c r="A45" s="212" t="s">
        <v>168</v>
      </c>
      <c r="B45" s="275">
        <f>+'Est Pmt due Apr&amp;Oct 2021'!E15</f>
        <v>7673271</v>
      </c>
      <c r="I45" s="272"/>
      <c r="K45" s="272"/>
    </row>
    <row r="46" spans="1:16" x14ac:dyDescent="0.35">
      <c r="A46" s="212" t="s">
        <v>169</v>
      </c>
      <c r="B46" s="275">
        <f>+'Est Pmt due Apr&amp;Oct 2021'!C15+'Est Pmt due Apr&amp;Oct 2021'!D15</f>
        <v>525618.5</v>
      </c>
      <c r="I46" s="272"/>
      <c r="K46" s="272"/>
    </row>
    <row r="47" spans="1:16" ht="15" thickBot="1" x14ac:dyDescent="0.4">
      <c r="B47" s="360">
        <f>SUM(B43:B46)</f>
        <v>50982414.770000003</v>
      </c>
      <c r="I47" s="272"/>
      <c r="K47" s="272"/>
    </row>
    <row r="48" spans="1:16" ht="15" thickTop="1" x14ac:dyDescent="0.35">
      <c r="B48" s="361">
        <f>+B40-B47</f>
        <v>5.2299999967217445</v>
      </c>
      <c r="I48" s="272"/>
      <c r="K48" s="272"/>
    </row>
    <row r="49" spans="2:12" x14ac:dyDescent="0.35">
      <c r="B49" s="275"/>
      <c r="I49" s="272"/>
      <c r="K49" s="272"/>
    </row>
    <row r="50" spans="2:12" x14ac:dyDescent="0.35">
      <c r="B50" s="275"/>
      <c r="I50" s="272"/>
      <c r="K50" s="272"/>
    </row>
    <row r="51" spans="2:12" x14ac:dyDescent="0.35">
      <c r="B51" s="275"/>
      <c r="I51" s="272"/>
      <c r="K51" s="272"/>
    </row>
    <row r="52" spans="2:12" x14ac:dyDescent="0.35">
      <c r="I52" s="272"/>
      <c r="K52" s="272"/>
    </row>
    <row r="53" spans="2:12" x14ac:dyDescent="0.35">
      <c r="I53" s="272"/>
      <c r="K53" s="272"/>
    </row>
    <row r="54" spans="2:12" x14ac:dyDescent="0.35">
      <c r="I54" s="272"/>
      <c r="K54" s="272"/>
    </row>
    <row r="55" spans="2:12" x14ac:dyDescent="0.35">
      <c r="L55" s="272"/>
    </row>
    <row r="56" spans="2:12" x14ac:dyDescent="0.35">
      <c r="L56" s="272"/>
    </row>
    <row r="57" spans="2:12" x14ac:dyDescent="0.35">
      <c r="L57" s="272"/>
    </row>
    <row r="58" spans="2:12" x14ac:dyDescent="0.35">
      <c r="L58" s="272"/>
    </row>
    <row r="59" spans="2:12" x14ac:dyDescent="0.35">
      <c r="I59" s="272"/>
      <c r="J59" s="272"/>
      <c r="K59" s="272"/>
      <c r="L59" s="27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10" zoomScale="90" zoomScaleNormal="90" workbookViewId="0">
      <selection activeCell="B37" sqref="B37"/>
    </sheetView>
  </sheetViews>
  <sheetFormatPr defaultColWidth="9.1796875" defaultRowHeight="14.5" x14ac:dyDescent="0.35"/>
  <cols>
    <col min="1" max="1" width="10.81640625" style="150" bestFit="1" customWidth="1"/>
    <col min="2" max="2" width="14.26953125" style="150" bestFit="1" customWidth="1"/>
    <col min="3" max="3" width="13.7265625" style="150" bestFit="1" customWidth="1"/>
    <col min="4" max="4" width="14.26953125" style="150" bestFit="1" customWidth="1"/>
    <col min="5" max="5" width="13.453125" style="150" bestFit="1" customWidth="1"/>
    <col min="6" max="6" width="13.7265625" style="150" bestFit="1" customWidth="1"/>
    <col min="7" max="7" width="13.54296875" style="150" bestFit="1" customWidth="1"/>
    <col min="8" max="8" width="13.453125" style="150" bestFit="1" customWidth="1"/>
    <col min="9" max="11" width="12.54296875" style="150" customWidth="1"/>
    <col min="12" max="12" width="13.26953125" style="150" bestFit="1" customWidth="1"/>
    <col min="13" max="13" width="9.1796875" style="150"/>
    <col min="14" max="14" width="23.1796875" style="150" bestFit="1" customWidth="1"/>
    <col min="15" max="16" width="12.26953125" style="150" bestFit="1" customWidth="1"/>
    <col min="17" max="16384" width="9.1796875" style="150"/>
  </cols>
  <sheetData>
    <row r="1" spans="1:16" ht="15" thickBot="1" x14ac:dyDescent="0.4">
      <c r="A1" s="148" t="s">
        <v>1</v>
      </c>
      <c r="B1" s="149" t="s">
        <v>207</v>
      </c>
      <c r="N1" s="149" t="s">
        <v>153</v>
      </c>
      <c r="P1" s="151"/>
    </row>
    <row r="2" spans="1:16" x14ac:dyDescent="0.35">
      <c r="N2" s="152" t="s">
        <v>154</v>
      </c>
      <c r="O2" s="153"/>
      <c r="P2" s="154"/>
    </row>
    <row r="3" spans="1:16" x14ac:dyDescent="0.35">
      <c r="C3" s="155" t="s">
        <v>122</v>
      </c>
      <c r="D3" s="156"/>
      <c r="E3" s="156"/>
      <c r="F3" s="156"/>
      <c r="G3" s="157"/>
      <c r="H3" s="158" t="s">
        <v>123</v>
      </c>
      <c r="I3" s="156"/>
      <c r="J3" s="156"/>
      <c r="K3" s="156"/>
      <c r="L3" s="159"/>
      <c r="N3" s="160"/>
      <c r="O3" s="161"/>
      <c r="P3" s="154"/>
    </row>
    <row r="4" spans="1:16" x14ac:dyDescent="0.35">
      <c r="B4" s="162" t="s">
        <v>82</v>
      </c>
      <c r="C4" s="163" t="s">
        <v>83</v>
      </c>
      <c r="D4" s="164" t="s">
        <v>84</v>
      </c>
      <c r="E4" s="164"/>
      <c r="F4" s="164" t="s">
        <v>83</v>
      </c>
      <c r="G4" s="165"/>
      <c r="H4" s="166"/>
      <c r="I4" s="166"/>
      <c r="J4" s="166"/>
      <c r="K4" s="166"/>
      <c r="L4" s="167"/>
      <c r="N4" s="168" t="s">
        <v>155</v>
      </c>
      <c r="O4" s="161"/>
      <c r="P4" s="154"/>
    </row>
    <row r="5" spans="1:16" x14ac:dyDescent="0.35">
      <c r="B5" s="162" t="s">
        <v>85</v>
      </c>
      <c r="C5" s="169" t="s">
        <v>86</v>
      </c>
      <c r="D5" s="162" t="s">
        <v>87</v>
      </c>
      <c r="E5" s="162"/>
      <c r="F5" s="162" t="s">
        <v>88</v>
      </c>
      <c r="G5" s="170" t="s">
        <v>89</v>
      </c>
      <c r="H5" s="161"/>
      <c r="I5" s="161"/>
      <c r="J5" s="161"/>
      <c r="K5" s="162" t="s">
        <v>90</v>
      </c>
      <c r="L5" s="171" t="s">
        <v>89</v>
      </c>
      <c r="N5" s="168" t="s">
        <v>94</v>
      </c>
      <c r="O5" s="161"/>
      <c r="P5" s="154"/>
    </row>
    <row r="6" spans="1:16" x14ac:dyDescent="0.35">
      <c r="A6" s="172" t="s">
        <v>91</v>
      </c>
      <c r="B6" s="172" t="s">
        <v>92</v>
      </c>
      <c r="C6" s="173" t="s">
        <v>93</v>
      </c>
      <c r="D6" s="172" t="s">
        <v>94</v>
      </c>
      <c r="E6" s="172" t="s">
        <v>95</v>
      </c>
      <c r="F6" s="172" t="s">
        <v>89</v>
      </c>
      <c r="G6" s="174" t="s">
        <v>13</v>
      </c>
      <c r="H6" s="172" t="s">
        <v>96</v>
      </c>
      <c r="I6" s="172" t="s">
        <v>97</v>
      </c>
      <c r="J6" s="172" t="s">
        <v>95</v>
      </c>
      <c r="K6" s="172" t="s">
        <v>70</v>
      </c>
      <c r="L6" s="175" t="s">
        <v>13</v>
      </c>
      <c r="N6" s="168" t="s">
        <v>84</v>
      </c>
      <c r="O6" s="161"/>
      <c r="P6" s="154"/>
    </row>
    <row r="7" spans="1:16" x14ac:dyDescent="0.35">
      <c r="A7" s="176" t="s">
        <v>156</v>
      </c>
      <c r="C7" s="177" t="s">
        <v>98</v>
      </c>
      <c r="D7" s="178"/>
      <c r="E7" s="161"/>
      <c r="F7" s="161"/>
      <c r="G7" s="179"/>
      <c r="H7" s="161"/>
      <c r="I7" s="161"/>
      <c r="J7" s="161"/>
      <c r="K7" s="161"/>
      <c r="L7" s="180"/>
      <c r="N7" s="160"/>
      <c r="O7" s="161"/>
      <c r="P7" s="154"/>
    </row>
    <row r="8" spans="1:16" x14ac:dyDescent="0.35">
      <c r="A8" s="150" t="s">
        <v>99</v>
      </c>
      <c r="C8" s="181"/>
      <c r="D8" s="161"/>
      <c r="E8" s="161"/>
      <c r="F8" s="161"/>
      <c r="G8" s="182">
        <v>692271</v>
      </c>
      <c r="H8" s="161"/>
      <c r="I8" s="161"/>
      <c r="J8" s="161"/>
      <c r="K8" s="161"/>
      <c r="L8" s="183">
        <v>1608796</v>
      </c>
      <c r="N8" s="160"/>
      <c r="O8" s="161"/>
      <c r="P8" s="154"/>
    </row>
    <row r="9" spans="1:16" x14ac:dyDescent="0.35">
      <c r="A9" s="150" t="s">
        <v>100</v>
      </c>
      <c r="B9" s="184"/>
      <c r="C9" s="185">
        <f t="shared" ref="C9:C20" si="0">G29</f>
        <v>1909389</v>
      </c>
      <c r="D9" s="186">
        <f>+N9</f>
        <v>-2841405.7188920001</v>
      </c>
      <c r="E9" s="186"/>
      <c r="F9" s="186">
        <f t="shared" ref="F9:F20" si="1">SUM(C9:E9)</f>
        <v>-932016.71889200015</v>
      </c>
      <c r="G9" s="187">
        <f>F9+G8</f>
        <v>-239745.71889200015</v>
      </c>
      <c r="H9" s="186">
        <v>-402199</v>
      </c>
      <c r="I9" s="186"/>
      <c r="J9" s="186"/>
      <c r="K9" s="186">
        <f>SUM(H9:J9)</f>
        <v>-402199</v>
      </c>
      <c r="L9" s="183">
        <f>L8+K9</f>
        <v>1206597</v>
      </c>
      <c r="N9" s="188">
        <v>-2841405.7188920001</v>
      </c>
      <c r="O9" s="161"/>
      <c r="P9" s="154"/>
    </row>
    <row r="10" spans="1:16" x14ac:dyDescent="0.35">
      <c r="A10" s="150" t="s">
        <v>101</v>
      </c>
      <c r="B10" s="189"/>
      <c r="C10" s="190">
        <f t="shared" si="0"/>
        <v>1906942</v>
      </c>
      <c r="D10" s="191">
        <f>N10-SUM($D$9:D9)</f>
        <v>-2699276.9197679996</v>
      </c>
      <c r="E10" s="191"/>
      <c r="F10" s="191">
        <f t="shared" si="1"/>
        <v>-792334.91976799956</v>
      </c>
      <c r="G10" s="187">
        <f>F10+G9</f>
        <v>-1032080.6386599997</v>
      </c>
      <c r="H10" s="191">
        <v>-402199</v>
      </c>
      <c r="I10" s="191"/>
      <c r="J10" s="191"/>
      <c r="K10" s="191">
        <f t="shared" ref="K10:K20" si="2">SUM(H10:J10)</f>
        <v>-402199</v>
      </c>
      <c r="L10" s="183">
        <f t="shared" ref="L10:L20" si="3">L9+K10</f>
        <v>804398</v>
      </c>
      <c r="N10" s="192">
        <v>-5540682.6386599997</v>
      </c>
      <c r="O10" s="161"/>
      <c r="P10" s="154"/>
    </row>
    <row r="11" spans="1:16" x14ac:dyDescent="0.35">
      <c r="A11" s="150" t="s">
        <v>102</v>
      </c>
      <c r="B11" s="189"/>
      <c r="C11" s="190">
        <f t="shared" si="0"/>
        <v>2221624</v>
      </c>
      <c r="D11" s="191">
        <f>N11-SUM($D$9:D10)</f>
        <v>-2465186.0206479998</v>
      </c>
      <c r="E11" s="191"/>
      <c r="F11" s="191">
        <f t="shared" si="1"/>
        <v>-243562.02064799983</v>
      </c>
      <c r="G11" s="187">
        <f t="shared" ref="G11:G20" si="4">F11+G10</f>
        <v>-1275642.6593079995</v>
      </c>
      <c r="H11" s="191">
        <v>-402200</v>
      </c>
      <c r="I11" s="191">
        <v>1471325</v>
      </c>
      <c r="J11" s="191"/>
      <c r="K11" s="191">
        <f t="shared" si="2"/>
        <v>1069125</v>
      </c>
      <c r="L11" s="183">
        <f t="shared" si="3"/>
        <v>1873523</v>
      </c>
      <c r="N11" s="192">
        <v>-8005868.6593079995</v>
      </c>
      <c r="O11" s="161"/>
      <c r="P11" s="154"/>
    </row>
    <row r="12" spans="1:16" x14ac:dyDescent="0.35">
      <c r="A12" s="150" t="s">
        <v>103</v>
      </c>
      <c r="B12" s="189"/>
      <c r="C12" s="190">
        <f t="shared" si="0"/>
        <v>2011785</v>
      </c>
      <c r="D12" s="191">
        <f>N12-SUM($D$9:D11)</f>
        <v>-1518024.690312</v>
      </c>
      <c r="E12" s="191"/>
      <c r="F12" s="191">
        <f t="shared" si="1"/>
        <v>493760.30968800001</v>
      </c>
      <c r="G12" s="187">
        <f>F12+G11</f>
        <v>-781882.34961999953</v>
      </c>
      <c r="H12" s="191">
        <v>-402200</v>
      </c>
      <c r="I12" s="191"/>
      <c r="J12" s="191"/>
      <c r="K12" s="191">
        <f t="shared" si="2"/>
        <v>-402200</v>
      </c>
      <c r="L12" s="183">
        <f t="shared" si="3"/>
        <v>1471323</v>
      </c>
      <c r="N12" s="192">
        <v>-9523893.3496199995</v>
      </c>
      <c r="O12" s="161"/>
      <c r="P12" s="154"/>
    </row>
    <row r="13" spans="1:16" x14ac:dyDescent="0.35">
      <c r="A13" s="150" t="s">
        <v>104</v>
      </c>
      <c r="B13" s="189"/>
      <c r="C13" s="190">
        <f t="shared" si="0"/>
        <v>1885759</v>
      </c>
      <c r="D13" s="191">
        <f>N13-SUM($D$9:D12)</f>
        <v>-832949.90409800038</v>
      </c>
      <c r="E13" s="191">
        <f>-J13</f>
        <v>-692271</v>
      </c>
      <c r="F13" s="191">
        <f t="shared" si="1"/>
        <v>360538.09590199962</v>
      </c>
      <c r="G13" s="187">
        <f>F13+G12</f>
        <v>-421344.25371799991</v>
      </c>
      <c r="H13" s="191">
        <v>-180300</v>
      </c>
      <c r="I13" s="191"/>
      <c r="J13" s="191">
        <f>G8</f>
        <v>692271</v>
      </c>
      <c r="K13" s="191">
        <f t="shared" si="2"/>
        <v>511971</v>
      </c>
      <c r="L13" s="183">
        <f t="shared" si="3"/>
        <v>1983294</v>
      </c>
      <c r="N13" s="192">
        <v>-10356843.253718</v>
      </c>
      <c r="O13" s="161"/>
      <c r="P13" s="154"/>
    </row>
    <row r="14" spans="1:16" x14ac:dyDescent="0.35">
      <c r="A14" s="150" t="s">
        <v>105</v>
      </c>
      <c r="B14" s="189"/>
      <c r="C14" s="190">
        <f t="shared" si="0"/>
        <v>1789885</v>
      </c>
      <c r="D14" s="191">
        <f>N14-SUM($D$9:D13)</f>
        <v>-653655.21340600029</v>
      </c>
      <c r="E14" s="191"/>
      <c r="F14" s="191">
        <f t="shared" si="1"/>
        <v>1136229.7865939997</v>
      </c>
      <c r="G14" s="187">
        <f t="shared" si="4"/>
        <v>714885.53287599981</v>
      </c>
      <c r="H14" s="191">
        <v>-180299</v>
      </c>
      <c r="I14" s="191"/>
      <c r="J14" s="191"/>
      <c r="K14" s="191">
        <f t="shared" si="2"/>
        <v>-180299</v>
      </c>
      <c r="L14" s="183">
        <f t="shared" si="3"/>
        <v>1802995</v>
      </c>
      <c r="N14" s="192">
        <v>-11010498.467124</v>
      </c>
      <c r="O14" s="161"/>
      <c r="P14" s="154"/>
    </row>
    <row r="15" spans="1:16" x14ac:dyDescent="0.35">
      <c r="A15" s="150" t="s">
        <v>71</v>
      </c>
      <c r="B15" s="189"/>
      <c r="C15" s="190">
        <f t="shared" si="0"/>
        <v>1789885</v>
      </c>
      <c r="D15" s="191">
        <f>N15-SUM($D$9:D14)</f>
        <v>-542948.8507039994</v>
      </c>
      <c r="E15" s="191"/>
      <c r="F15" s="191">
        <f t="shared" si="1"/>
        <v>1246936.1492960006</v>
      </c>
      <c r="G15" s="187">
        <f t="shared" si="4"/>
        <v>1961821.6821720004</v>
      </c>
      <c r="H15" s="191">
        <v>-180300</v>
      </c>
      <c r="I15" s="191"/>
      <c r="J15" s="191"/>
      <c r="K15" s="191">
        <f t="shared" si="2"/>
        <v>-180300</v>
      </c>
      <c r="L15" s="183">
        <f t="shared" si="3"/>
        <v>1622695</v>
      </c>
      <c r="N15" s="192">
        <v>-11553447.317828</v>
      </c>
      <c r="O15" s="161"/>
      <c r="P15" s="154"/>
    </row>
    <row r="16" spans="1:16" x14ac:dyDescent="0.35">
      <c r="A16" s="150" t="s">
        <v>106</v>
      </c>
      <c r="B16" s="189"/>
      <c r="C16" s="190">
        <f t="shared" si="0"/>
        <v>2271647</v>
      </c>
      <c r="D16" s="191">
        <f>N16-SUM($D$9:D15)</f>
        <v>-494095.5958639998</v>
      </c>
      <c r="E16" s="191"/>
      <c r="F16" s="191">
        <f t="shared" si="1"/>
        <v>1777551.4041360002</v>
      </c>
      <c r="G16" s="187">
        <f t="shared" si="4"/>
        <v>3739373.0863080006</v>
      </c>
      <c r="H16" s="191">
        <v>-180301</v>
      </c>
      <c r="I16" s="191"/>
      <c r="J16" s="191"/>
      <c r="K16" s="191">
        <f t="shared" si="2"/>
        <v>-180301</v>
      </c>
      <c r="L16" s="183">
        <f t="shared" si="3"/>
        <v>1442394</v>
      </c>
      <c r="N16" s="192">
        <v>-12047542.913691999</v>
      </c>
      <c r="O16" s="161"/>
      <c r="P16" s="154"/>
    </row>
    <row r="17" spans="1:16" x14ac:dyDescent="0.35">
      <c r="A17" s="150" t="s">
        <v>107</v>
      </c>
      <c r="B17" s="189"/>
      <c r="C17" s="190">
        <f t="shared" si="0"/>
        <v>1850105</v>
      </c>
      <c r="D17" s="191">
        <f>N17-SUM($D$9:D16)</f>
        <v>-562701.10553800128</v>
      </c>
      <c r="E17" s="191"/>
      <c r="F17" s="191">
        <f t="shared" si="1"/>
        <v>1287403.8944619987</v>
      </c>
      <c r="G17" s="187">
        <f t="shared" si="4"/>
        <v>5026776.9807699993</v>
      </c>
      <c r="H17" s="191">
        <v>-180299</v>
      </c>
      <c r="I17" s="191"/>
      <c r="J17" s="191"/>
      <c r="K17" s="191">
        <f t="shared" si="2"/>
        <v>-180299</v>
      </c>
      <c r="L17" s="183">
        <f t="shared" si="3"/>
        <v>1262095</v>
      </c>
      <c r="N17" s="192">
        <v>-12610244.019230001</v>
      </c>
      <c r="O17" s="161"/>
      <c r="P17" s="154"/>
    </row>
    <row r="18" spans="1:16" x14ac:dyDescent="0.35">
      <c r="A18" s="150" t="s">
        <v>108</v>
      </c>
      <c r="B18" s="189"/>
      <c r="C18" s="190">
        <f t="shared" si="0"/>
        <v>1850106.9999999963</v>
      </c>
      <c r="D18" s="191">
        <f>N18-SUM($D$9:D17)</f>
        <v>-1175474.4109419994</v>
      </c>
      <c r="E18" s="191"/>
      <c r="F18" s="191">
        <f t="shared" si="1"/>
        <v>674632.58905799687</v>
      </c>
      <c r="G18" s="187">
        <f t="shared" si="4"/>
        <v>5701409.5698279962</v>
      </c>
      <c r="H18" s="191">
        <v>-180300</v>
      </c>
      <c r="I18" s="191"/>
      <c r="J18" s="191"/>
      <c r="K18" s="191">
        <f t="shared" si="2"/>
        <v>-180300</v>
      </c>
      <c r="L18" s="183">
        <f t="shared" si="3"/>
        <v>1081795</v>
      </c>
      <c r="N18" s="192">
        <v>-13785718.430172</v>
      </c>
      <c r="O18" s="161"/>
      <c r="P18" s="154"/>
    </row>
    <row r="19" spans="1:16" x14ac:dyDescent="0.35">
      <c r="A19" s="150" t="s">
        <v>109</v>
      </c>
      <c r="B19" s="189"/>
      <c r="C19" s="190">
        <f t="shared" si="0"/>
        <v>1850122.0000000037</v>
      </c>
      <c r="D19" s="191">
        <f>N19-SUM($D$9:D18)</f>
        <v>-1975686.7543431185</v>
      </c>
      <c r="E19" s="191"/>
      <c r="F19" s="191">
        <f t="shared" si="1"/>
        <v>-125564.75434311479</v>
      </c>
      <c r="G19" s="187">
        <f t="shared" si="4"/>
        <v>5575844.8154848814</v>
      </c>
      <c r="H19" s="191">
        <v>-180300</v>
      </c>
      <c r="I19" s="191"/>
      <c r="J19" s="191"/>
      <c r="K19" s="191">
        <f t="shared" si="2"/>
        <v>-180300</v>
      </c>
      <c r="L19" s="183">
        <f t="shared" si="3"/>
        <v>901495</v>
      </c>
      <c r="N19" s="192">
        <v>-15761405.184515119</v>
      </c>
      <c r="O19" s="161"/>
      <c r="P19" s="154"/>
    </row>
    <row r="20" spans="1:16" x14ac:dyDescent="0.35">
      <c r="A20" s="150" t="s">
        <v>110</v>
      </c>
      <c r="B20" s="189"/>
      <c r="C20" s="193">
        <f t="shared" si="0"/>
        <v>1717920</v>
      </c>
      <c r="D20" s="191">
        <f>N20-SUM($D$9:D19)</f>
        <v>-2398060.9994120002</v>
      </c>
      <c r="E20" s="194">
        <v>0</v>
      </c>
      <c r="F20" s="194">
        <f t="shared" si="1"/>
        <v>-680140.99941200018</v>
      </c>
      <c r="G20" s="353">
        <f t="shared" si="4"/>
        <v>4895703.8160728812</v>
      </c>
      <c r="H20" s="194">
        <v>-180299</v>
      </c>
      <c r="I20" s="194"/>
      <c r="J20" s="194"/>
      <c r="K20" s="194">
        <f t="shared" si="2"/>
        <v>-180299</v>
      </c>
      <c r="L20" s="354">
        <f t="shared" si="3"/>
        <v>721196</v>
      </c>
      <c r="N20" s="192">
        <v>-18159466.183927119</v>
      </c>
      <c r="O20" s="161"/>
      <c r="P20" s="154"/>
    </row>
    <row r="21" spans="1:16" x14ac:dyDescent="0.35">
      <c r="C21" s="189"/>
      <c r="D21" s="189"/>
      <c r="E21" s="189"/>
      <c r="F21" s="195"/>
      <c r="G21" s="187"/>
      <c r="H21" s="161"/>
      <c r="I21" s="161"/>
      <c r="J21" s="161"/>
      <c r="K21" s="195"/>
      <c r="L21" s="189"/>
      <c r="N21" s="160"/>
      <c r="O21" s="161"/>
      <c r="P21" s="154"/>
    </row>
    <row r="22" spans="1:16" ht="15" thickBot="1" x14ac:dyDescent="0.4">
      <c r="C22" s="189"/>
      <c r="D22" s="189"/>
      <c r="E22" s="189"/>
      <c r="F22" s="189"/>
      <c r="G22" s="187"/>
      <c r="H22" s="196">
        <f>SUM(H9:H21)</f>
        <v>-3051196</v>
      </c>
      <c r="I22" s="196">
        <f>SUM(I9:I21)</f>
        <v>1471325</v>
      </c>
      <c r="J22" s="196">
        <f>SUM(J9:J21)</f>
        <v>692271</v>
      </c>
      <c r="K22" s="196">
        <f>SUM(K9:K21)</f>
        <v>-887600</v>
      </c>
      <c r="N22" s="160"/>
      <c r="O22" s="161"/>
      <c r="P22" s="154"/>
    </row>
    <row r="23" spans="1:16" ht="15" thickTop="1" x14ac:dyDescent="0.35">
      <c r="C23" s="189"/>
      <c r="D23" s="189"/>
      <c r="E23" s="189"/>
      <c r="F23" s="189"/>
      <c r="G23" s="195"/>
      <c r="H23" s="184"/>
      <c r="I23" s="184"/>
      <c r="J23" s="184"/>
      <c r="K23" s="184"/>
      <c r="N23" s="160"/>
      <c r="O23" s="161"/>
      <c r="P23" s="154"/>
    </row>
    <row r="24" spans="1:16" x14ac:dyDescent="0.35">
      <c r="C24" s="189"/>
      <c r="D24" s="189"/>
      <c r="E24" s="189"/>
      <c r="F24" s="189"/>
      <c r="N24" s="160"/>
      <c r="O24" s="161"/>
      <c r="P24" s="154"/>
    </row>
    <row r="25" spans="1:16" x14ac:dyDescent="0.35">
      <c r="B25" s="197" t="s">
        <v>111</v>
      </c>
      <c r="C25" s="197"/>
      <c r="D25" s="198" t="s">
        <v>112</v>
      </c>
      <c r="E25" s="198" t="s">
        <v>113</v>
      </c>
      <c r="N25" s="160"/>
      <c r="O25" s="162" t="s">
        <v>155</v>
      </c>
      <c r="P25" s="199" t="s">
        <v>155</v>
      </c>
    </row>
    <row r="26" spans="1:16" x14ac:dyDescent="0.35">
      <c r="B26" s="197" t="s">
        <v>114</v>
      </c>
      <c r="C26" s="197"/>
      <c r="D26" s="198" t="s">
        <v>115</v>
      </c>
      <c r="E26" s="198" t="s">
        <v>116</v>
      </c>
      <c r="N26" s="160"/>
      <c r="O26" s="162" t="s">
        <v>112</v>
      </c>
      <c r="P26" s="199" t="s">
        <v>113</v>
      </c>
    </row>
    <row r="27" spans="1:16" x14ac:dyDescent="0.35">
      <c r="B27" s="200" t="s">
        <v>117</v>
      </c>
      <c r="C27" s="200" t="s">
        <v>118</v>
      </c>
      <c r="D27" s="200" t="s">
        <v>119</v>
      </c>
      <c r="E27" s="200" t="s">
        <v>120</v>
      </c>
      <c r="F27" s="200" t="s">
        <v>96</v>
      </c>
      <c r="G27" s="200" t="s">
        <v>121</v>
      </c>
      <c r="N27" s="168" t="s">
        <v>155</v>
      </c>
      <c r="O27" s="162" t="s">
        <v>115</v>
      </c>
      <c r="P27" s="199" t="s">
        <v>116</v>
      </c>
    </row>
    <row r="28" spans="1:16" x14ac:dyDescent="0.35">
      <c r="A28" s="176" t="s">
        <v>156</v>
      </c>
      <c r="N28" s="168">
        <v>23600232</v>
      </c>
      <c r="O28" s="201" t="s">
        <v>119</v>
      </c>
      <c r="P28" s="202" t="s">
        <v>120</v>
      </c>
    </row>
    <row r="29" spans="1:16" x14ac:dyDescent="0.35">
      <c r="A29" s="150" t="s">
        <v>100</v>
      </c>
      <c r="B29" s="203">
        <f>N29/1*12</f>
        <v>18056904</v>
      </c>
      <c r="C29" s="184">
        <f>B29/12</f>
        <v>1504742</v>
      </c>
      <c r="D29" s="184">
        <f>+O29</f>
        <v>2448</v>
      </c>
      <c r="E29" s="184">
        <f>+P29</f>
        <v>0</v>
      </c>
      <c r="F29" s="189">
        <f t="shared" ref="F29:F40" si="5">-H9</f>
        <v>402199</v>
      </c>
      <c r="G29" s="184">
        <f t="shared" ref="G29:G40" si="6">SUM(C29:F29)</f>
        <v>1909389</v>
      </c>
      <c r="N29" s="188">
        <v>1504742</v>
      </c>
      <c r="O29" s="186">
        <v>2448</v>
      </c>
      <c r="P29" s="204">
        <v>0</v>
      </c>
    </row>
    <row r="30" spans="1:16" x14ac:dyDescent="0.35">
      <c r="A30" s="150" t="s">
        <v>101</v>
      </c>
      <c r="B30" s="203">
        <f>N30/2*12</f>
        <v>18056910</v>
      </c>
      <c r="C30" s="189">
        <f>B30/12*2-C29</f>
        <v>1504743</v>
      </c>
      <c r="D30" s="189">
        <f>+O30-SUM($D$29:D29)</f>
        <v>0</v>
      </c>
      <c r="E30" s="189">
        <f>P30-SUM($E$29:E29)</f>
        <v>0</v>
      </c>
      <c r="F30" s="189">
        <f t="shared" si="5"/>
        <v>402199</v>
      </c>
      <c r="G30" s="189">
        <f t="shared" si="6"/>
        <v>1906942</v>
      </c>
      <c r="N30" s="192">
        <v>3009485</v>
      </c>
      <c r="O30" s="191">
        <v>2448</v>
      </c>
      <c r="P30" s="204">
        <v>0</v>
      </c>
    </row>
    <row r="31" spans="1:16" x14ac:dyDescent="0.35">
      <c r="A31" s="150" t="s">
        <v>102</v>
      </c>
      <c r="B31" s="203">
        <f>N31/3*12</f>
        <v>19315032</v>
      </c>
      <c r="C31" s="189">
        <f>B31/12*3-SUM($C$29:C30)</f>
        <v>1819273</v>
      </c>
      <c r="D31" s="189">
        <f>+O31-SUM($D$29:D30)</f>
        <v>151</v>
      </c>
      <c r="E31" s="189">
        <f>P31-SUM($E$29:E30)</f>
        <v>0</v>
      </c>
      <c r="F31" s="189">
        <f t="shared" si="5"/>
        <v>402200</v>
      </c>
      <c r="G31" s="189">
        <f t="shared" si="6"/>
        <v>2221624</v>
      </c>
      <c r="N31" s="192">
        <v>4828758</v>
      </c>
      <c r="O31" s="191">
        <v>2599</v>
      </c>
      <c r="P31" s="204">
        <v>0</v>
      </c>
    </row>
    <row r="32" spans="1:16" x14ac:dyDescent="0.35">
      <c r="A32" s="150" t="s">
        <v>103</v>
      </c>
      <c r="B32" s="203">
        <f>N32/4*12</f>
        <v>19315029</v>
      </c>
      <c r="C32" s="189">
        <f>B32/12*4-SUM($C$29:C31)</f>
        <v>1609585</v>
      </c>
      <c r="D32" s="189">
        <f>+O32-SUM($D$29:D31)</f>
        <v>0</v>
      </c>
      <c r="E32" s="189">
        <f>P32-SUM($E$29:E31)</f>
        <v>0</v>
      </c>
      <c r="F32" s="189">
        <f t="shared" si="5"/>
        <v>402200</v>
      </c>
      <c r="G32" s="189">
        <f t="shared" si="6"/>
        <v>2011785</v>
      </c>
      <c r="N32" s="192">
        <v>6438343</v>
      </c>
      <c r="O32" s="191">
        <v>2599</v>
      </c>
      <c r="P32" s="204">
        <v>0</v>
      </c>
    </row>
    <row r="33" spans="1:16" x14ac:dyDescent="0.35">
      <c r="A33" s="150" t="s">
        <v>104</v>
      </c>
      <c r="B33" s="203">
        <f>N33/5*12</f>
        <v>19315029.600000001</v>
      </c>
      <c r="C33" s="189">
        <f>B33/12*5-SUM($C$29:C32)</f>
        <v>1609586</v>
      </c>
      <c r="D33" s="189">
        <f xml:space="preserve"> O33-SUM($D$29:D32)</f>
        <v>620</v>
      </c>
      <c r="E33" s="189">
        <f>P33-SUM($E$29:E32)</f>
        <v>95253</v>
      </c>
      <c r="F33" s="189">
        <f t="shared" si="5"/>
        <v>180300</v>
      </c>
      <c r="G33" s="189">
        <f t="shared" si="6"/>
        <v>1885759</v>
      </c>
      <c r="N33" s="192">
        <v>8047929</v>
      </c>
      <c r="O33" s="191">
        <v>3219</v>
      </c>
      <c r="P33" s="204">
        <v>95253</v>
      </c>
    </row>
    <row r="34" spans="1:16" x14ac:dyDescent="0.35">
      <c r="A34" s="150" t="s">
        <v>105</v>
      </c>
      <c r="B34" s="203">
        <f>N34/6*12</f>
        <v>19315030</v>
      </c>
      <c r="C34" s="189">
        <f>B34/12*6-SUM($C$29:C33)</f>
        <v>1609586</v>
      </c>
      <c r="D34" s="189">
        <f>O34-SUM($D$29:D33)</f>
        <v>0</v>
      </c>
      <c r="E34" s="189">
        <f>P34-SUM($E$29:E33)</f>
        <v>0</v>
      </c>
      <c r="F34" s="189">
        <f t="shared" si="5"/>
        <v>180299</v>
      </c>
      <c r="G34" s="189">
        <f t="shared" si="6"/>
        <v>1789885</v>
      </c>
      <c r="N34" s="192">
        <v>9657515</v>
      </c>
      <c r="O34" s="191">
        <v>3219</v>
      </c>
      <c r="P34" s="204">
        <v>95253</v>
      </c>
    </row>
    <row r="35" spans="1:16" x14ac:dyDescent="0.35">
      <c r="A35" s="150" t="s">
        <v>71</v>
      </c>
      <c r="B35" s="203">
        <f>N35/7*12</f>
        <v>19315028.571428571</v>
      </c>
      <c r="C35" s="189">
        <f>B35/12*7-SUM($C$29:C34)</f>
        <v>1609585</v>
      </c>
      <c r="D35" s="189">
        <f>O35-SUM($D$29:D34)</f>
        <v>0</v>
      </c>
      <c r="E35" s="189">
        <f>P35-SUM($E$29:E34)</f>
        <v>0</v>
      </c>
      <c r="F35" s="189">
        <f t="shared" si="5"/>
        <v>180300</v>
      </c>
      <c r="G35" s="189">
        <f t="shared" si="6"/>
        <v>1789885</v>
      </c>
      <c r="N35" s="192">
        <v>11267100</v>
      </c>
      <c r="O35" s="191">
        <v>3219</v>
      </c>
      <c r="P35" s="204">
        <v>95253</v>
      </c>
    </row>
    <row r="36" spans="1:16" x14ac:dyDescent="0.35">
      <c r="A36" s="150" t="s">
        <v>106</v>
      </c>
      <c r="B36" s="203">
        <f>N36/8*12</f>
        <v>20037669</v>
      </c>
      <c r="C36" s="189">
        <f>B36/12*8-SUM($C$29:C35)</f>
        <v>2091346</v>
      </c>
      <c r="D36" s="189">
        <f>O36-SUM($D$29:D35)</f>
        <v>0</v>
      </c>
      <c r="E36" s="189">
        <f>P36-SUM($E$29:E35)</f>
        <v>0</v>
      </c>
      <c r="F36" s="189">
        <f t="shared" si="5"/>
        <v>180301</v>
      </c>
      <c r="G36" s="189">
        <f t="shared" si="6"/>
        <v>2271647</v>
      </c>
      <c r="N36" s="192">
        <v>13358446</v>
      </c>
      <c r="O36" s="191">
        <v>3219</v>
      </c>
      <c r="P36" s="204">
        <v>95253</v>
      </c>
    </row>
    <row r="37" spans="1:16" x14ac:dyDescent="0.35">
      <c r="A37" s="150" t="s">
        <v>107</v>
      </c>
      <c r="B37" s="203">
        <f>N37/9*12</f>
        <v>20037669.333333332</v>
      </c>
      <c r="C37" s="189">
        <f>B37/12*9-SUM($C$29:C36)</f>
        <v>1669806</v>
      </c>
      <c r="D37" s="189">
        <f>O37-SUM($D$29:D36)</f>
        <v>0</v>
      </c>
      <c r="E37" s="189">
        <f>P37-SUM($E$29:E36)</f>
        <v>0</v>
      </c>
      <c r="F37" s="189">
        <f t="shared" si="5"/>
        <v>180299</v>
      </c>
      <c r="G37" s="189">
        <f t="shared" si="6"/>
        <v>1850105</v>
      </c>
      <c r="N37" s="192">
        <v>15028252</v>
      </c>
      <c r="O37" s="191">
        <v>3219</v>
      </c>
      <c r="P37" s="204">
        <v>95253</v>
      </c>
    </row>
    <row r="38" spans="1:16" x14ac:dyDescent="0.35">
      <c r="A38" s="150" t="s">
        <v>108</v>
      </c>
      <c r="B38" s="203">
        <f>N38/10*12</f>
        <v>20037670.799999997</v>
      </c>
      <c r="C38" s="189">
        <f>B38/12*10-SUM($C$29:C37)</f>
        <v>1669806.9999999963</v>
      </c>
      <c r="D38" s="189">
        <f>O38-SUM($D$29:D37)</f>
        <v>0</v>
      </c>
      <c r="E38" s="189">
        <f>P38-SUM($E$29:E37)</f>
        <v>0</v>
      </c>
      <c r="F38" s="189">
        <f t="shared" si="5"/>
        <v>180300</v>
      </c>
      <c r="G38" s="189">
        <f t="shared" si="6"/>
        <v>1850106.9999999963</v>
      </c>
      <c r="N38" s="192">
        <v>16698059</v>
      </c>
      <c r="O38" s="191">
        <v>3219</v>
      </c>
      <c r="P38" s="204">
        <v>95253</v>
      </c>
    </row>
    <row r="39" spans="1:16" x14ac:dyDescent="0.35">
      <c r="A39" s="150" t="s">
        <v>109</v>
      </c>
      <c r="B39" s="203">
        <f>N39/11*12</f>
        <v>20037668.727272727</v>
      </c>
      <c r="C39" s="189">
        <f>B39/12*11-SUM($C$29:C38)</f>
        <v>1669804.0000000037</v>
      </c>
      <c r="D39" s="189">
        <f>O39-SUM($D$29:D38)</f>
        <v>18</v>
      </c>
      <c r="E39" s="189">
        <f>P39-SUM($E$29:E38)</f>
        <v>0</v>
      </c>
      <c r="F39" s="189">
        <f t="shared" si="5"/>
        <v>180300</v>
      </c>
      <c r="G39" s="189">
        <f t="shared" si="6"/>
        <v>1850122.0000000037</v>
      </c>
      <c r="I39" s="205"/>
      <c r="K39" s="205"/>
      <c r="N39" s="192">
        <v>18367863</v>
      </c>
      <c r="O39" s="191">
        <v>3237</v>
      </c>
      <c r="P39" s="204">
        <v>95253</v>
      </c>
    </row>
    <row r="40" spans="1:16" ht="15" thickBot="1" x14ac:dyDescent="0.4">
      <c r="A40" s="150" t="s">
        <v>110</v>
      </c>
      <c r="B40" s="352">
        <f>N40</f>
        <v>19905487</v>
      </c>
      <c r="C40" s="189">
        <f>B40/12*12-SUM($C$29:C39)</f>
        <v>1537624</v>
      </c>
      <c r="D40" s="189">
        <f>O40-SUM($D$29:D39)</f>
        <v>-2</v>
      </c>
      <c r="E40" s="189">
        <f>P40-SUM($E$29:E39)</f>
        <v>-1</v>
      </c>
      <c r="F40" s="189">
        <f t="shared" si="5"/>
        <v>180299</v>
      </c>
      <c r="G40" s="189">
        <f t="shared" si="6"/>
        <v>1717920</v>
      </c>
      <c r="I40" s="205"/>
      <c r="K40" s="205"/>
      <c r="N40" s="206">
        <v>19905487</v>
      </c>
      <c r="O40" s="207">
        <v>3235</v>
      </c>
      <c r="P40" s="208">
        <v>95252</v>
      </c>
    </row>
    <row r="41" spans="1:16" x14ac:dyDescent="0.35">
      <c r="A41" s="195"/>
      <c r="B41" s="209" t="s">
        <v>171</v>
      </c>
      <c r="C41" s="209"/>
      <c r="D41" s="209"/>
      <c r="E41" s="209"/>
      <c r="F41" s="195"/>
      <c r="G41" s="209"/>
      <c r="I41" s="205"/>
      <c r="K41" s="205"/>
    </row>
    <row r="42" spans="1:16" x14ac:dyDescent="0.35">
      <c r="I42" s="205"/>
      <c r="K42" s="205"/>
    </row>
    <row r="43" spans="1:16" x14ac:dyDescent="0.35">
      <c r="I43" s="205"/>
      <c r="J43" s="205"/>
      <c r="K43" s="205"/>
    </row>
    <row r="44" spans="1:16" x14ac:dyDescent="0.35">
      <c r="I44" s="205"/>
      <c r="K44" s="205"/>
    </row>
    <row r="45" spans="1:16" x14ac:dyDescent="0.35">
      <c r="I45" s="205"/>
      <c r="K45" s="205"/>
    </row>
    <row r="46" spans="1:16" x14ac:dyDescent="0.35">
      <c r="I46" s="205"/>
      <c r="K46" s="205"/>
    </row>
    <row r="47" spans="1:16" x14ac:dyDescent="0.35">
      <c r="I47" s="205"/>
      <c r="K47" s="205"/>
    </row>
    <row r="48" spans="1:16" x14ac:dyDescent="0.35">
      <c r="I48" s="205"/>
      <c r="K48" s="205"/>
    </row>
    <row r="49" spans="9:12" x14ac:dyDescent="0.35">
      <c r="I49" s="205"/>
      <c r="K49" s="205"/>
    </row>
    <row r="50" spans="9:12" x14ac:dyDescent="0.35">
      <c r="I50" s="205"/>
      <c r="K50" s="205"/>
    </row>
    <row r="51" spans="9:12" x14ac:dyDescent="0.35">
      <c r="L51" s="205"/>
    </row>
    <row r="52" spans="9:12" x14ac:dyDescent="0.35">
      <c r="L52" s="205"/>
    </row>
    <row r="53" spans="9:12" x14ac:dyDescent="0.35">
      <c r="L53" s="205"/>
    </row>
    <row r="54" spans="9:12" x14ac:dyDescent="0.35">
      <c r="L54" s="205"/>
    </row>
    <row r="55" spans="9:12" x14ac:dyDescent="0.35">
      <c r="I55" s="205"/>
      <c r="J55" s="205"/>
      <c r="K55" s="205"/>
      <c r="L55" s="20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90" zoomScaleNormal="90" workbookViewId="0">
      <pane xSplit="2" ySplit="4" topLeftCell="C5" activePane="bottomRight" state="frozen"/>
      <selection activeCell="B37" sqref="B37"/>
      <selection pane="topRight" activeCell="B37" sqref="B37"/>
      <selection pane="bottomLeft" activeCell="B37" sqref="B37"/>
      <selection pane="bottomRight" activeCell="D6" sqref="D6"/>
    </sheetView>
  </sheetViews>
  <sheetFormatPr defaultRowHeight="14.5" x14ac:dyDescent="0.35"/>
  <cols>
    <col min="1" max="1" width="5.1796875" style="144" customWidth="1"/>
    <col min="2" max="2" width="46.26953125" bestFit="1" customWidth="1"/>
    <col min="3" max="3" width="8.81640625" style="8" bestFit="1" customWidth="1"/>
    <col min="4" max="6" width="13.26953125" bestFit="1" customWidth="1"/>
    <col min="7" max="7" width="3.7265625" customWidth="1"/>
    <col min="8" max="8" width="13.7265625" bestFit="1" customWidth="1"/>
    <col min="9" max="9" width="13.453125" bestFit="1" customWidth="1"/>
    <col min="10" max="10" width="13.1796875" bestFit="1" customWidth="1"/>
    <col min="12" max="12" width="4.54296875" customWidth="1"/>
    <col min="13" max="15" width="12.54296875" bestFit="1" customWidth="1"/>
    <col min="16" max="16" width="4.7265625" customWidth="1"/>
    <col min="17" max="19" width="12.26953125" bestFit="1" customWidth="1"/>
    <col min="20" max="20" width="5.26953125" customWidth="1"/>
    <col min="21" max="23" width="12.26953125" bestFit="1" customWidth="1"/>
  </cols>
  <sheetData>
    <row r="1" spans="1:11" ht="18.5" x14ac:dyDescent="0.45">
      <c r="A1" s="14" t="s">
        <v>200</v>
      </c>
      <c r="C1" s="15"/>
    </row>
    <row r="2" spans="1:11" ht="18.5" x14ac:dyDescent="0.45">
      <c r="B2" s="14"/>
      <c r="C2" s="15"/>
    </row>
    <row r="3" spans="1:11" x14ac:dyDescent="0.35">
      <c r="D3" s="13" t="s">
        <v>22</v>
      </c>
      <c r="E3" s="11"/>
      <c r="F3" s="12"/>
      <c r="H3" s="13" t="s">
        <v>23</v>
      </c>
      <c r="I3" s="12"/>
      <c r="J3" s="12"/>
    </row>
    <row r="4" spans="1:11" x14ac:dyDescent="0.35">
      <c r="D4" s="5" t="s">
        <v>0</v>
      </c>
      <c r="E4" s="5" t="s">
        <v>1</v>
      </c>
      <c r="F4" s="5" t="s">
        <v>2</v>
      </c>
      <c r="H4" s="5" t="s">
        <v>0</v>
      </c>
      <c r="I4" s="5" t="s">
        <v>1</v>
      </c>
      <c r="J4" s="5" t="s">
        <v>2</v>
      </c>
    </row>
    <row r="5" spans="1:11" x14ac:dyDescent="0.35">
      <c r="H5" s="9">
        <v>0.95238599999999995</v>
      </c>
      <c r="I5" s="9">
        <v>0.954538</v>
      </c>
      <c r="J5" s="9"/>
      <c r="K5" s="136"/>
    </row>
    <row r="6" spans="1:11" x14ac:dyDescent="0.35">
      <c r="A6" s="144">
        <v>1</v>
      </c>
      <c r="B6" t="s">
        <v>173</v>
      </c>
      <c r="C6" s="16"/>
      <c r="D6" s="34">
        <v>57126055.389853239</v>
      </c>
      <c r="E6" s="34">
        <v>21309018.70527197</v>
      </c>
      <c r="F6" s="34">
        <f>SUM(D6:E6)</f>
        <v>78435074.095125213</v>
      </c>
      <c r="G6" s="9"/>
      <c r="H6" s="34">
        <f>D6/$H$5</f>
        <v>59982040.254532553</v>
      </c>
      <c r="I6" s="34">
        <f>E6/$I$5</f>
        <v>22323908.220806263</v>
      </c>
      <c r="J6" s="34">
        <f>SUM(H6:I6)</f>
        <v>82305948.475338817</v>
      </c>
    </row>
    <row r="7" spans="1:11" x14ac:dyDescent="0.35">
      <c r="D7" s="9"/>
      <c r="E7" s="9"/>
      <c r="F7" s="9"/>
      <c r="G7" s="9"/>
      <c r="H7" s="9"/>
      <c r="I7" s="9"/>
      <c r="J7" s="9"/>
    </row>
    <row r="8" spans="1:11" x14ac:dyDescent="0.35">
      <c r="A8" s="144">
        <v>2</v>
      </c>
      <c r="B8" t="s">
        <v>3</v>
      </c>
      <c r="D8" s="9"/>
      <c r="E8" s="143"/>
      <c r="F8" s="9"/>
      <c r="G8" s="9"/>
      <c r="H8" s="9"/>
      <c r="I8" s="9"/>
      <c r="J8" s="9"/>
    </row>
    <row r="9" spans="1:11" x14ac:dyDescent="0.35">
      <c r="A9" s="144">
        <v>3</v>
      </c>
      <c r="B9" s="4" t="s">
        <v>201</v>
      </c>
      <c r="C9" s="101"/>
      <c r="D9" s="10">
        <v>54001769</v>
      </c>
      <c r="E9" s="10">
        <v>17602077</v>
      </c>
      <c r="F9" s="10">
        <f>SUM(D9:E9)</f>
        <v>71603846</v>
      </c>
      <c r="G9" s="9"/>
      <c r="H9" s="10">
        <f>D9/$H$5</f>
        <v>56701556.931748264</v>
      </c>
      <c r="I9" s="10">
        <f>E9/$I$5</f>
        <v>18440415.153718345</v>
      </c>
      <c r="J9" s="10">
        <f>SUM(H9:I9)</f>
        <v>75141972.085466608</v>
      </c>
    </row>
    <row r="10" spans="1:11" x14ac:dyDescent="0.35">
      <c r="A10" s="144">
        <v>4</v>
      </c>
      <c r="B10" s="4" t="s">
        <v>173</v>
      </c>
      <c r="C10" s="16" t="s">
        <v>24</v>
      </c>
      <c r="D10" s="10">
        <f>D6</f>
        <v>57126055.389853239</v>
      </c>
      <c r="E10" s="10">
        <f>E6</f>
        <v>21309018.70527197</v>
      </c>
      <c r="F10" s="10">
        <f>SUM(D10:E10)</f>
        <v>78435074.095125213</v>
      </c>
      <c r="G10" s="9"/>
      <c r="H10" s="10">
        <f>D10/$H$5</f>
        <v>59982040.254532553</v>
      </c>
      <c r="I10" s="10">
        <f>E10/$I$5</f>
        <v>22323908.220806263</v>
      </c>
      <c r="J10" s="10">
        <f>SUM(H10:I10)</f>
        <v>82305948.475338817</v>
      </c>
    </row>
    <row r="11" spans="1:11" x14ac:dyDescent="0.35">
      <c r="A11" s="144">
        <v>5</v>
      </c>
      <c r="B11" t="s">
        <v>174</v>
      </c>
      <c r="D11" s="10">
        <v>2519105.4467049497</v>
      </c>
      <c r="E11" s="10">
        <v>434141.46669341688</v>
      </c>
      <c r="F11" s="10">
        <f>SUM(D11:E11)</f>
        <v>2953246.9133983664</v>
      </c>
      <c r="G11" s="9"/>
      <c r="H11" s="10">
        <f>D11/$H$5</f>
        <v>2645046.700292686</v>
      </c>
      <c r="I11" s="10">
        <f>E11/$I$5</f>
        <v>454818.42178458779</v>
      </c>
      <c r="J11" s="10">
        <f>SUM(H11:I11)</f>
        <v>3099865.1220772737</v>
      </c>
    </row>
    <row r="12" spans="1:11" x14ac:dyDescent="0.35">
      <c r="D12" s="35"/>
      <c r="E12" s="35"/>
      <c r="F12" s="35"/>
      <c r="G12" s="9"/>
      <c r="H12" s="94">
        <v>0</v>
      </c>
      <c r="I12" s="94">
        <v>0</v>
      </c>
      <c r="J12" s="95" t="s">
        <v>128</v>
      </c>
    </row>
    <row r="13" spans="1:11" x14ac:dyDescent="0.35">
      <c r="A13" s="144">
        <v>6</v>
      </c>
      <c r="B13" t="s">
        <v>129</v>
      </c>
      <c r="C13" s="16" t="s">
        <v>26</v>
      </c>
      <c r="D13" s="10">
        <f>D9-D10+D11</f>
        <v>-605180.94314828934</v>
      </c>
      <c r="E13" s="10">
        <f>E9-E10+E11</f>
        <v>-3272800.2385785538</v>
      </c>
      <c r="F13" s="10">
        <f>SUM(D13:E13)</f>
        <v>-3877981.1817268431</v>
      </c>
      <c r="G13" s="9"/>
      <c r="H13" s="10">
        <f>H9-H10+H11</f>
        <v>-635436.62249160372</v>
      </c>
      <c r="I13" s="10">
        <f>I9-I10+I11</f>
        <v>-3428674.6453033308</v>
      </c>
      <c r="J13" s="10">
        <f>SUM(H13:I13)</f>
        <v>-4064111.2677949346</v>
      </c>
    </row>
    <row r="14" spans="1:11" x14ac:dyDescent="0.35">
      <c r="D14" s="35"/>
      <c r="E14" s="35"/>
      <c r="F14" s="35"/>
      <c r="G14" s="9"/>
      <c r="H14" s="35"/>
      <c r="I14" s="35"/>
      <c r="J14" s="35"/>
    </row>
    <row r="15" spans="1:11" ht="15" thickBot="1" x14ac:dyDescent="0.4">
      <c r="A15" s="144">
        <v>7</v>
      </c>
      <c r="B15" t="s">
        <v>21</v>
      </c>
      <c r="C15" s="16" t="s">
        <v>25</v>
      </c>
      <c r="D15" s="36">
        <f>D6+D13</f>
        <v>56520874.446704946</v>
      </c>
      <c r="E15" s="36">
        <f>E6+E13</f>
        <v>18036218.466693416</v>
      </c>
      <c r="F15" s="36">
        <f>SUM(D15:E15)</f>
        <v>74557092.913398355</v>
      </c>
      <c r="G15" s="9"/>
      <c r="H15" s="36">
        <f>H6+H13</f>
        <v>59346603.632040948</v>
      </c>
      <c r="I15" s="36">
        <f>I6+I13</f>
        <v>18895233.575502932</v>
      </c>
      <c r="J15" s="36">
        <f>SUM(H15:I15)</f>
        <v>78241837.20754388</v>
      </c>
    </row>
    <row r="16" spans="1:11" ht="15" thickTop="1" x14ac:dyDescent="0.35">
      <c r="D16" s="9"/>
      <c r="E16" s="9"/>
      <c r="F16" s="9"/>
      <c r="G16" s="9"/>
      <c r="H16" s="9"/>
      <c r="I16" s="9"/>
      <c r="J16" s="9"/>
    </row>
    <row r="17" spans="1:11" x14ac:dyDescent="0.35">
      <c r="D17" s="9"/>
      <c r="E17" s="9"/>
      <c r="F17" s="9"/>
      <c r="G17" s="9"/>
      <c r="H17" s="9"/>
      <c r="I17" s="9"/>
      <c r="J17" s="9"/>
    </row>
    <row r="18" spans="1:11" x14ac:dyDescent="0.35">
      <c r="A18" s="144">
        <v>8</v>
      </c>
      <c r="B18" t="s">
        <v>4</v>
      </c>
      <c r="C18" s="16" t="s">
        <v>152</v>
      </c>
      <c r="D18" s="34">
        <f>D15-D19</f>
        <v>42849664.672506221</v>
      </c>
      <c r="E18" s="34">
        <f>E15-E19</f>
        <v>17343945.531315416</v>
      </c>
      <c r="F18" s="34">
        <f>SUM(D18:E18)</f>
        <v>60193610.203821637</v>
      </c>
      <c r="G18" s="9"/>
      <c r="H18" s="34">
        <f>H15-H19</f>
        <v>44991909.449011452</v>
      </c>
      <c r="I18" s="34">
        <f>I15-I19</f>
        <v>18169989.598439682</v>
      </c>
      <c r="J18" s="34">
        <f>SUM(H18:I18)</f>
        <v>63161899.047451138</v>
      </c>
    </row>
    <row r="19" spans="1:11" x14ac:dyDescent="0.35">
      <c r="A19" s="144">
        <v>9</v>
      </c>
      <c r="B19" t="s">
        <v>5</v>
      </c>
      <c r="C19" s="101"/>
      <c r="D19" s="10">
        <v>13671209.774198726</v>
      </c>
      <c r="E19" s="10">
        <v>692272.93537800107</v>
      </c>
      <c r="F19" s="10">
        <f>SUM(D19:E19)</f>
        <v>14363482.709576726</v>
      </c>
      <c r="G19" s="9"/>
      <c r="H19" s="1">
        <f>D19/$H$5</f>
        <v>14354694.183029493</v>
      </c>
      <c r="I19" s="1">
        <f>E19/$I$5</f>
        <v>725243.97706325061</v>
      </c>
      <c r="J19" s="10">
        <f>SUM(H19:I19)</f>
        <v>15079938.160092743</v>
      </c>
    </row>
    <row r="20" spans="1:11" x14ac:dyDescent="0.35">
      <c r="D20" s="35"/>
      <c r="E20" s="35"/>
      <c r="F20" s="35"/>
      <c r="G20" s="9"/>
      <c r="H20" s="35"/>
      <c r="I20" s="35"/>
      <c r="J20" s="35"/>
    </row>
    <row r="21" spans="1:11" ht="15" thickBot="1" x14ac:dyDescent="0.4">
      <c r="A21" s="144">
        <v>10</v>
      </c>
      <c r="B21" t="s">
        <v>21</v>
      </c>
      <c r="C21" s="16" t="s">
        <v>27</v>
      </c>
      <c r="D21" s="40">
        <f>SUM(D18:D20)</f>
        <v>56520874.446704946</v>
      </c>
      <c r="E21" s="40">
        <f>SUM(E18:E20)</f>
        <v>18036218.466693416</v>
      </c>
      <c r="F21" s="40">
        <f>SUM(D21:E21)</f>
        <v>74557092.913398355</v>
      </c>
      <c r="H21" s="40">
        <f>SUM(H18:H19)</f>
        <v>59346603.632040948</v>
      </c>
      <c r="I21" s="40">
        <f>SUM(I18:I19)</f>
        <v>18895233.575502932</v>
      </c>
      <c r="J21" s="40">
        <f>SUM(H21:I21)</f>
        <v>78241837.20754388</v>
      </c>
    </row>
    <row r="22" spans="1:11" ht="15" thickTop="1" x14ac:dyDescent="0.35">
      <c r="D22" s="9"/>
      <c r="E22" s="9"/>
      <c r="F22" s="9"/>
    </row>
    <row r="23" spans="1:11" x14ac:dyDescent="0.35">
      <c r="D23" s="34"/>
      <c r="E23" s="34"/>
      <c r="F23" s="34"/>
    </row>
    <row r="24" spans="1:11" x14ac:dyDescent="0.35">
      <c r="A24" s="144">
        <v>11</v>
      </c>
      <c r="B24" t="s">
        <v>6</v>
      </c>
    </row>
    <row r="25" spans="1:11" x14ac:dyDescent="0.35">
      <c r="A25" s="144">
        <f>+A24+1</f>
        <v>12</v>
      </c>
      <c r="B25" s="4" t="s">
        <v>7</v>
      </c>
      <c r="D25" s="3">
        <v>-1731890</v>
      </c>
      <c r="E25" s="3">
        <v>-2537186</v>
      </c>
      <c r="F25" s="3">
        <f>SUM(D25:E25)</f>
        <v>-4269076</v>
      </c>
      <c r="H25" s="1">
        <f>D25/$H$5</f>
        <v>-1818474.8620832311</v>
      </c>
      <c r="I25" s="1">
        <f>E25/$I$5</f>
        <v>-2658025.1388629894</v>
      </c>
      <c r="J25" s="3">
        <f>SUM(H25:I25)</f>
        <v>-4476500.00094622</v>
      </c>
    </row>
    <row r="26" spans="1:11" x14ac:dyDescent="0.35">
      <c r="A26" s="144">
        <f t="shared" ref="A26:A27" si="0">+A25+1</f>
        <v>13</v>
      </c>
      <c r="B26" s="4" t="s">
        <v>9</v>
      </c>
      <c r="D26" s="3">
        <v>1126709.0568517144</v>
      </c>
      <c r="E26" s="3">
        <v>-735614.23857855517</v>
      </c>
      <c r="F26" s="3">
        <f>SUM(D26:E26)</f>
        <v>391094.81827315921</v>
      </c>
      <c r="H26" s="1">
        <f>D26/$H$5</f>
        <v>1183038.2395916304</v>
      </c>
      <c r="I26" s="1">
        <f>E26/$I$5</f>
        <v>-770649.50644034625</v>
      </c>
      <c r="J26" s="3">
        <f>SUM(H26:I26)</f>
        <v>412388.73315128416</v>
      </c>
    </row>
    <row r="27" spans="1:11" ht="15" thickBot="1" x14ac:dyDescent="0.4">
      <c r="A27" s="144">
        <f t="shared" si="0"/>
        <v>14</v>
      </c>
      <c r="B27" t="s">
        <v>8</v>
      </c>
      <c r="D27" s="6">
        <f>SUM(D25:D26)</f>
        <v>-605180.94314828562</v>
      </c>
      <c r="E27" s="6">
        <f>SUM(E25:E26)</f>
        <v>-3272800.2385785552</v>
      </c>
      <c r="F27" s="6">
        <f>SUM(D27:E27)</f>
        <v>-3877981.1817268408</v>
      </c>
      <c r="H27" s="6">
        <f>SUM(H25:H26)</f>
        <v>-635436.62249160069</v>
      </c>
      <c r="I27" s="6">
        <f>SUM(I25:I26)</f>
        <v>-3428674.6453033355</v>
      </c>
      <c r="J27" s="6">
        <f>SUM(H27:I27)</f>
        <v>-4064111.267794936</v>
      </c>
    </row>
    <row r="28" spans="1:11" ht="15" thickTop="1" x14ac:dyDescent="0.35">
      <c r="D28" s="18">
        <f>D27-D13</f>
        <v>3.7252902984619141E-9</v>
      </c>
      <c r="E28" s="18">
        <f>E27-E13</f>
        <v>0</v>
      </c>
      <c r="F28" s="18">
        <f>F27-F13</f>
        <v>0</v>
      </c>
      <c r="G28" s="17"/>
      <c r="H28" s="19">
        <f>H27-H13</f>
        <v>3.0267983675003052E-9</v>
      </c>
      <c r="I28" s="18">
        <f>I27-I13</f>
        <v>-4.6566128730773926E-9</v>
      </c>
      <c r="J28" s="18">
        <f>J27-J13</f>
        <v>0</v>
      </c>
      <c r="K28" s="17"/>
    </row>
    <row r="29" spans="1:11" x14ac:dyDescent="0.35">
      <c r="D29" s="297"/>
      <c r="E29" s="297"/>
      <c r="H29" s="2"/>
      <c r="I29" s="2"/>
      <c r="J29" s="2"/>
    </row>
    <row r="30" spans="1:11" x14ac:dyDescent="0.35">
      <c r="A30" s="144">
        <f>+A27+1</f>
        <v>15</v>
      </c>
      <c r="B30" s="7" t="s">
        <v>78</v>
      </c>
      <c r="C30" s="16"/>
      <c r="H30" s="20">
        <f>H27/H6</f>
        <v>-1.0593781401818585E-2</v>
      </c>
      <c r="I30" s="20">
        <f>I27/I6</f>
        <v>-0.15358756232959928</v>
      </c>
    </row>
    <row r="31" spans="1:11" x14ac:dyDescent="0.35">
      <c r="A31" s="144">
        <f>+A30+1</f>
        <v>16</v>
      </c>
      <c r="B31" s="7" t="s">
        <v>79</v>
      </c>
      <c r="H31" s="144" t="str">
        <f>IF(ABS(H30)&gt;1%,"yes","no")</f>
        <v>yes</v>
      </c>
      <c r="I31" s="144" t="str">
        <f>IF(ABS(I30)&gt;1%,"yes","no")</f>
        <v>yes</v>
      </c>
    </row>
    <row r="32" spans="1:11" x14ac:dyDescent="0.35">
      <c r="A32" s="144">
        <f t="shared" ref="A32:A33" si="1">+A31+1</f>
        <v>17</v>
      </c>
      <c r="B32" s="21" t="s">
        <v>28</v>
      </c>
    </row>
    <row r="33" spans="1:2" x14ac:dyDescent="0.35">
      <c r="A33" s="144">
        <f t="shared" si="1"/>
        <v>18</v>
      </c>
      <c r="B33" s="21" t="s">
        <v>29</v>
      </c>
    </row>
    <row r="35" spans="1:2" x14ac:dyDescent="0.35">
      <c r="B35" s="22"/>
    </row>
    <row r="36" spans="1:2" x14ac:dyDescent="0.35">
      <c r="B36" s="22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0" zoomScaleNormal="80" workbookViewId="0">
      <pane xSplit="3" ySplit="6" topLeftCell="D7" activePane="bottomRight" state="frozen"/>
      <selection activeCell="B37" sqref="B37"/>
      <selection pane="topRight" activeCell="B37" sqref="B37"/>
      <selection pane="bottomLeft" activeCell="B37" sqref="B37"/>
      <selection pane="bottomRight" activeCell="J41" sqref="J41"/>
    </sheetView>
  </sheetViews>
  <sheetFormatPr defaultColWidth="5.54296875" defaultRowHeight="14.5" x14ac:dyDescent="0.35"/>
  <cols>
    <col min="1" max="1" width="4.26953125" bestFit="1" customWidth="1"/>
    <col min="2" max="2" width="33.26953125" bestFit="1" customWidth="1"/>
    <col min="3" max="3" width="11" bestFit="1" customWidth="1"/>
    <col min="4" max="4" width="17.1796875" bestFit="1" customWidth="1"/>
    <col min="5" max="5" width="17" bestFit="1" customWidth="1"/>
    <col min="6" max="6" width="14.26953125" bestFit="1" customWidth="1"/>
    <col min="7" max="7" width="13.7265625" bestFit="1" customWidth="1"/>
    <col min="8" max="8" width="13" bestFit="1" customWidth="1"/>
    <col min="10" max="10" width="17.81640625" bestFit="1" customWidth="1"/>
    <col min="11" max="11" width="18" bestFit="1" customWidth="1"/>
    <col min="12" max="12" width="14.26953125" bestFit="1" customWidth="1"/>
    <col min="13" max="13" width="15.26953125" customWidth="1"/>
    <col min="14" max="14" width="13" bestFit="1" customWidth="1"/>
    <col min="16" max="16" width="13" bestFit="1" customWidth="1"/>
  </cols>
  <sheetData>
    <row r="1" spans="1:19" x14ac:dyDescent="0.35">
      <c r="A1" s="371" t="s">
        <v>40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1:19" x14ac:dyDescent="0.35">
      <c r="A2" s="372" t="s">
        <v>151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</row>
    <row r="3" spans="1:19" x14ac:dyDescent="0.35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9"/>
      <c r="R3" s="9"/>
      <c r="S3" s="9"/>
    </row>
    <row r="4" spans="1:19" x14ac:dyDescent="0.35">
      <c r="E4" s="9"/>
      <c r="K4" s="83"/>
    </row>
    <row r="5" spans="1:19" ht="58" x14ac:dyDescent="0.35">
      <c r="A5" s="330" t="s">
        <v>39</v>
      </c>
      <c r="B5" s="330" t="s">
        <v>10</v>
      </c>
      <c r="C5" s="330" t="s">
        <v>38</v>
      </c>
      <c r="D5" s="31" t="s">
        <v>190</v>
      </c>
      <c r="E5" s="31" t="s">
        <v>191</v>
      </c>
      <c r="F5" s="146" t="s">
        <v>37</v>
      </c>
      <c r="G5" s="147" t="s">
        <v>192</v>
      </c>
      <c r="H5" s="331" t="s">
        <v>193</v>
      </c>
      <c r="I5" s="332"/>
      <c r="J5" s="333" t="s">
        <v>194</v>
      </c>
      <c r="K5" s="31" t="s">
        <v>195</v>
      </c>
      <c r="L5" s="332" t="s">
        <v>37</v>
      </c>
      <c r="M5" s="331" t="s">
        <v>196</v>
      </c>
      <c r="N5" s="331" t="s">
        <v>127</v>
      </c>
      <c r="O5" s="332"/>
      <c r="P5" s="332" t="s">
        <v>36</v>
      </c>
    </row>
    <row r="6" spans="1:19" x14ac:dyDescent="0.35">
      <c r="A6" s="144"/>
      <c r="B6" s="144"/>
      <c r="C6" s="144"/>
      <c r="D6" s="144" t="s">
        <v>34</v>
      </c>
      <c r="E6" s="44" t="s">
        <v>33</v>
      </c>
      <c r="F6" s="334" t="s">
        <v>35</v>
      </c>
      <c r="G6" s="335" t="s">
        <v>31</v>
      </c>
      <c r="H6" s="144" t="s">
        <v>30</v>
      </c>
      <c r="I6" s="144"/>
      <c r="J6" s="144" t="s">
        <v>34</v>
      </c>
      <c r="K6" s="44" t="s">
        <v>33</v>
      </c>
      <c r="L6" s="334" t="s">
        <v>32</v>
      </c>
      <c r="M6" s="335" t="s">
        <v>31</v>
      </c>
      <c r="N6" s="144" t="s">
        <v>30</v>
      </c>
      <c r="O6" s="144"/>
      <c r="P6" s="144"/>
      <c r="Q6" s="144"/>
      <c r="R6" s="144"/>
      <c r="S6" s="144"/>
    </row>
    <row r="7" spans="1:19" x14ac:dyDescent="0.35">
      <c r="A7" s="144"/>
      <c r="B7" s="144"/>
      <c r="C7" s="144"/>
      <c r="D7" s="144"/>
      <c r="E7" s="44"/>
      <c r="F7" s="334"/>
      <c r="G7" s="335"/>
      <c r="H7" s="144"/>
      <c r="I7" s="144"/>
      <c r="J7" s="144"/>
      <c r="K7" s="44"/>
      <c r="L7" s="334"/>
      <c r="M7" s="335"/>
      <c r="N7" s="144"/>
      <c r="O7" s="144"/>
      <c r="P7" s="144"/>
      <c r="Q7" s="144"/>
      <c r="R7" s="144"/>
      <c r="S7" s="144"/>
    </row>
    <row r="8" spans="1:19" x14ac:dyDescent="0.35">
      <c r="A8" s="144">
        <v>1</v>
      </c>
      <c r="B8" s="30" t="s">
        <v>45</v>
      </c>
      <c r="C8" s="29">
        <v>7</v>
      </c>
      <c r="D8" s="336">
        <v>4253593000</v>
      </c>
      <c r="E8" s="336">
        <v>4184180200.8421755</v>
      </c>
      <c r="F8" s="49">
        <f>D8-E8</f>
        <v>69412799.157824516</v>
      </c>
      <c r="G8" s="337">
        <v>3.228E-3</v>
      </c>
      <c r="H8" s="51">
        <f>+G8*F8</f>
        <v>224064.51568145753</v>
      </c>
      <c r="I8" s="51"/>
      <c r="J8" s="338">
        <v>6616915000</v>
      </c>
      <c r="K8" s="338">
        <v>6789421330.0844231</v>
      </c>
      <c r="L8" s="49">
        <f>J8-K8</f>
        <v>-172506330.08442307</v>
      </c>
      <c r="M8" s="339">
        <v>3.209E-3</v>
      </c>
      <c r="N8" s="51">
        <f>+M8*L8</f>
        <v>-553572.81324091367</v>
      </c>
      <c r="O8" s="51"/>
      <c r="P8" s="51">
        <f>H8+N8</f>
        <v>-329508.29755945614</v>
      </c>
      <c r="Q8" s="340"/>
      <c r="S8" s="341"/>
    </row>
    <row r="9" spans="1:19" x14ac:dyDescent="0.35">
      <c r="A9" s="144">
        <f t="shared" ref="A9:A35" si="0">+A8+1</f>
        <v>2</v>
      </c>
      <c r="B9" s="26" t="s">
        <v>48</v>
      </c>
      <c r="C9" s="25"/>
      <c r="D9" s="52">
        <f>SUM(D8:D8)</f>
        <v>4253593000</v>
      </c>
      <c r="E9" s="52">
        <f>SUM(E8:E8)</f>
        <v>4184180200.8421755</v>
      </c>
      <c r="F9" s="52">
        <f>SUM(F8:F8)</f>
        <v>69412799.157824516</v>
      </c>
      <c r="G9" s="50"/>
      <c r="H9" s="53">
        <f>SUM(H8:H8)</f>
        <v>224064.51568145753</v>
      </c>
      <c r="I9" s="54"/>
      <c r="J9" s="52">
        <f>SUM(J8:J8)</f>
        <v>6616915000</v>
      </c>
      <c r="K9" s="52">
        <f>SUM(K8:K8)</f>
        <v>6789421330.0844231</v>
      </c>
      <c r="L9" s="52">
        <f>SUM(L8:L8)</f>
        <v>-172506330.08442307</v>
      </c>
      <c r="M9" s="50"/>
      <c r="N9" s="53">
        <f>SUM(N8:N8)</f>
        <v>-553572.81324091367</v>
      </c>
      <c r="O9" s="54"/>
      <c r="P9" s="53">
        <f>SUM(P8:P8)</f>
        <v>-329508.29755945614</v>
      </c>
      <c r="Q9" s="340"/>
      <c r="S9" s="341"/>
    </row>
    <row r="10" spans="1:19" x14ac:dyDescent="0.35">
      <c r="A10" s="144">
        <f t="shared" si="0"/>
        <v>3</v>
      </c>
      <c r="B10" s="24"/>
      <c r="C10" s="25"/>
      <c r="D10" s="55"/>
      <c r="E10" s="55"/>
      <c r="F10" s="55"/>
      <c r="G10" s="50"/>
      <c r="H10" s="54"/>
      <c r="I10" s="54"/>
      <c r="J10" s="55"/>
      <c r="K10" s="55"/>
      <c r="L10" s="55"/>
      <c r="M10" s="50"/>
      <c r="N10" s="54"/>
      <c r="O10" s="54"/>
      <c r="P10" s="54"/>
      <c r="Q10" s="340"/>
      <c r="S10" s="341"/>
    </row>
    <row r="11" spans="1:19" x14ac:dyDescent="0.35">
      <c r="A11" s="144">
        <f t="shared" si="0"/>
        <v>4</v>
      </c>
      <c r="B11" s="23" t="s">
        <v>49</v>
      </c>
      <c r="C11" s="25"/>
      <c r="D11" s="55"/>
      <c r="E11" s="55"/>
      <c r="F11" s="55"/>
      <c r="G11" s="50"/>
      <c r="H11" s="54"/>
      <c r="I11" s="54"/>
      <c r="J11" s="55"/>
      <c r="K11" s="55"/>
      <c r="L11" s="55"/>
      <c r="M11" s="50"/>
      <c r="N11" s="54"/>
      <c r="O11" s="54"/>
      <c r="P11" s="54"/>
      <c r="Q11" s="340"/>
      <c r="S11" s="341"/>
    </row>
    <row r="12" spans="1:19" x14ac:dyDescent="0.35">
      <c r="A12" s="144">
        <f t="shared" si="0"/>
        <v>5</v>
      </c>
      <c r="B12" s="23" t="s">
        <v>50</v>
      </c>
      <c r="C12" s="25" t="s">
        <v>51</v>
      </c>
      <c r="D12" s="336">
        <v>1029438000</v>
      </c>
      <c r="E12" s="342">
        <v>879989458.10619104</v>
      </c>
      <c r="F12" s="55">
        <f>D12-E12</f>
        <v>149448541.89380896</v>
      </c>
      <c r="G12" s="337">
        <v>2.4450000000000001E-3</v>
      </c>
      <c r="H12" s="51">
        <f>+G12*F12</f>
        <v>365401.68493036291</v>
      </c>
      <c r="I12" s="51"/>
      <c r="J12" s="338">
        <v>1850151000</v>
      </c>
      <c r="K12" s="338">
        <v>1651659464.9039159</v>
      </c>
      <c r="L12" s="55">
        <f>J12-K12</f>
        <v>198491535.09608412</v>
      </c>
      <c r="M12" s="339">
        <v>2.6420000000000003E-3</v>
      </c>
      <c r="N12" s="51">
        <f>+M12*L12</f>
        <v>524414.6357238543</v>
      </c>
      <c r="O12" s="51"/>
      <c r="P12" s="51">
        <f>H12+N12</f>
        <v>889816.32065421715</v>
      </c>
      <c r="Q12" s="340"/>
      <c r="S12" s="341"/>
    </row>
    <row r="13" spans="1:19" x14ac:dyDescent="0.35">
      <c r="A13" s="144">
        <f t="shared" si="0"/>
        <v>6</v>
      </c>
      <c r="B13" s="28" t="s">
        <v>52</v>
      </c>
      <c r="C13" s="25" t="s">
        <v>53</v>
      </c>
      <c r="D13" s="336">
        <v>1031952000</v>
      </c>
      <c r="E13" s="342">
        <v>910089293.56480229</v>
      </c>
      <c r="F13" s="55">
        <f>D13-E13</f>
        <v>121862706.43519771</v>
      </c>
      <c r="G13" s="337">
        <v>2.1359999999999999E-3</v>
      </c>
      <c r="H13" s="51">
        <f>+G13*F13</f>
        <v>260298.74094558231</v>
      </c>
      <c r="I13" s="51"/>
      <c r="J13" s="338">
        <v>2015653000</v>
      </c>
      <c r="K13" s="338">
        <v>1798311143.1453443</v>
      </c>
      <c r="L13" s="55">
        <f>J13-K13</f>
        <v>217341856.85465574</v>
      </c>
      <c r="M13" s="339">
        <v>2.2929999999999999E-3</v>
      </c>
      <c r="N13" s="51">
        <f>+M13*L13</f>
        <v>498364.87776772561</v>
      </c>
      <c r="O13" s="51"/>
      <c r="P13" s="51">
        <f>H13+N13</f>
        <v>758663.61871330789</v>
      </c>
      <c r="Q13" s="340"/>
      <c r="S13" s="341"/>
    </row>
    <row r="14" spans="1:19" x14ac:dyDescent="0.35">
      <c r="A14" s="144">
        <f t="shared" si="0"/>
        <v>7</v>
      </c>
      <c r="B14" s="28" t="s">
        <v>54</v>
      </c>
      <c r="C14" s="25" t="s">
        <v>55</v>
      </c>
      <c r="D14" s="336">
        <v>586714000</v>
      </c>
      <c r="E14" s="342">
        <v>582563373.95989656</v>
      </c>
      <c r="F14" s="55">
        <f>D14-E14</f>
        <v>4150626.0401034355</v>
      </c>
      <c r="G14" s="337">
        <v>2.0959999999999998E-3</v>
      </c>
      <c r="H14" s="51">
        <f>+G14*F14</f>
        <v>8699.7121800568002</v>
      </c>
      <c r="I14" s="51"/>
      <c r="J14" s="338">
        <v>1212955000</v>
      </c>
      <c r="K14" s="338">
        <v>1152179355.6711538</v>
      </c>
      <c r="L14" s="55">
        <f>J14-K14</f>
        <v>60775644.328846216</v>
      </c>
      <c r="M14" s="339">
        <v>2.264E-3</v>
      </c>
      <c r="N14" s="51">
        <f>+M14*L14</f>
        <v>137596.05876050782</v>
      </c>
      <c r="O14" s="51"/>
      <c r="P14" s="51">
        <f>H14+N14</f>
        <v>146295.77094056463</v>
      </c>
      <c r="Q14" s="340"/>
      <c r="S14" s="341"/>
    </row>
    <row r="15" spans="1:19" x14ac:dyDescent="0.35">
      <c r="A15" s="144">
        <f t="shared" si="0"/>
        <v>8</v>
      </c>
      <c r="B15" s="28" t="s">
        <v>56</v>
      </c>
      <c r="C15" s="25">
        <v>29</v>
      </c>
      <c r="D15" s="336">
        <v>1248000</v>
      </c>
      <c r="E15" s="342">
        <v>3275073.6704761907</v>
      </c>
      <c r="F15" s="55">
        <f>D15-E15</f>
        <v>-2027073.6704761907</v>
      </c>
      <c r="G15" s="337">
        <v>2.1359999999999999E-3</v>
      </c>
      <c r="H15" s="51">
        <f>+G15*F15</f>
        <v>-4329.8293601371433</v>
      </c>
      <c r="I15" s="51"/>
      <c r="J15" s="338">
        <v>13850000</v>
      </c>
      <c r="K15" s="338">
        <v>9243858.0960000008</v>
      </c>
      <c r="L15" s="55">
        <f>J15-K15</f>
        <v>4606141.9039999992</v>
      </c>
      <c r="M15" s="339">
        <v>2.2929999999999999E-3</v>
      </c>
      <c r="N15" s="51">
        <f>+M15*L15</f>
        <v>10561.883385871997</v>
      </c>
      <c r="O15" s="51"/>
      <c r="P15" s="51">
        <f>H15+N15</f>
        <v>6232.0540257348539</v>
      </c>
      <c r="Q15" s="340"/>
      <c r="S15" s="341"/>
    </row>
    <row r="16" spans="1:19" x14ac:dyDescent="0.35">
      <c r="A16" s="144">
        <f t="shared" si="0"/>
        <v>9</v>
      </c>
      <c r="B16" s="26" t="s">
        <v>57</v>
      </c>
      <c r="C16" s="25"/>
      <c r="D16" s="52">
        <f>SUM(D12:D15)</f>
        <v>2649352000</v>
      </c>
      <c r="E16" s="52">
        <f>SUM(E12:E15)</f>
        <v>2375917199.3013659</v>
      </c>
      <c r="F16" s="52">
        <f>SUM(F12:F15)</f>
        <v>273434800.69863391</v>
      </c>
      <c r="G16" s="50"/>
      <c r="H16" s="53">
        <f>SUM(H12:H15)</f>
        <v>630070.30869586498</v>
      </c>
      <c r="I16" s="54"/>
      <c r="J16" s="52">
        <f>SUM(J12:J15)</f>
        <v>5092609000</v>
      </c>
      <c r="K16" s="52">
        <f>SUM(K12:K15)</f>
        <v>4611393821.8164139</v>
      </c>
      <c r="L16" s="52">
        <f>SUM(L12:L15)</f>
        <v>481215178.18358606</v>
      </c>
      <c r="M16" s="50"/>
      <c r="N16" s="53">
        <f>SUM(N12:N15)</f>
        <v>1170937.4556379598</v>
      </c>
      <c r="O16" s="54"/>
      <c r="P16" s="53">
        <f>SUM(P12:P15)</f>
        <v>1801007.7643338244</v>
      </c>
      <c r="Q16" s="340"/>
      <c r="S16" s="341"/>
    </row>
    <row r="17" spans="1:19" x14ac:dyDescent="0.35">
      <c r="A17" s="144">
        <f t="shared" si="0"/>
        <v>10</v>
      </c>
      <c r="B17" s="27"/>
      <c r="C17" s="25"/>
      <c r="D17" s="55"/>
      <c r="E17" s="55"/>
      <c r="F17" s="55"/>
      <c r="G17" s="50"/>
      <c r="H17" s="54"/>
      <c r="I17" s="54"/>
      <c r="J17" s="55"/>
      <c r="K17" s="55"/>
      <c r="L17" s="55"/>
      <c r="M17" s="50"/>
      <c r="N17" s="54"/>
      <c r="O17" s="54"/>
      <c r="P17" s="54"/>
      <c r="Q17" s="340"/>
      <c r="S17" s="341"/>
    </row>
    <row r="18" spans="1:19" x14ac:dyDescent="0.35">
      <c r="A18" s="144">
        <f t="shared" si="0"/>
        <v>11</v>
      </c>
      <c r="B18" s="23" t="s">
        <v>58</v>
      </c>
      <c r="C18" s="25"/>
      <c r="D18" s="55"/>
      <c r="E18" s="55"/>
      <c r="F18" s="55"/>
      <c r="G18" s="50"/>
      <c r="H18" s="54"/>
      <c r="I18" s="54"/>
      <c r="J18" s="55"/>
      <c r="K18" s="55"/>
      <c r="L18" s="55"/>
      <c r="M18" s="50"/>
      <c r="N18" s="54"/>
      <c r="O18" s="54"/>
      <c r="P18" s="54"/>
      <c r="Q18" s="340"/>
      <c r="S18" s="341"/>
    </row>
    <row r="19" spans="1:19" x14ac:dyDescent="0.35">
      <c r="A19" s="144">
        <f t="shared" si="0"/>
        <v>12</v>
      </c>
      <c r="B19" s="23" t="s">
        <v>59</v>
      </c>
      <c r="C19" s="25" t="s">
        <v>60</v>
      </c>
      <c r="D19" s="336">
        <v>445385000</v>
      </c>
      <c r="E19" s="342">
        <v>399730165.62418628</v>
      </c>
      <c r="F19" s="55">
        <f>D19-E19</f>
        <v>45654834.375813723</v>
      </c>
      <c r="G19" s="337">
        <v>1.9780000000000002E-3</v>
      </c>
      <c r="H19" s="51">
        <f>+G19*F19</f>
        <v>90305.262395359547</v>
      </c>
      <c r="I19" s="51"/>
      <c r="J19" s="338">
        <v>880648000</v>
      </c>
      <c r="K19" s="338">
        <v>796905448.79073691</v>
      </c>
      <c r="L19" s="55">
        <f>J19-K19</f>
        <v>83742551.209263086</v>
      </c>
      <c r="M19" s="339">
        <v>2.1180000000000001E-3</v>
      </c>
      <c r="N19" s="51">
        <f>+M19*L19</f>
        <v>177366.72346121923</v>
      </c>
      <c r="O19" s="51"/>
      <c r="P19" s="51">
        <f>H19+N19</f>
        <v>267671.9858565788</v>
      </c>
      <c r="Q19" s="340"/>
      <c r="S19" s="341"/>
    </row>
    <row r="20" spans="1:19" x14ac:dyDescent="0.35">
      <c r="A20" s="144">
        <f t="shared" si="0"/>
        <v>13</v>
      </c>
      <c r="B20" s="28" t="s">
        <v>56</v>
      </c>
      <c r="C20" s="25">
        <v>35</v>
      </c>
      <c r="D20" s="336">
        <v>12000</v>
      </c>
      <c r="E20" s="342">
        <v>732199.2</v>
      </c>
      <c r="F20" s="55">
        <f>D20-E20</f>
        <v>-720199.2</v>
      </c>
      <c r="G20" s="337">
        <v>1.9780000000000002E-3</v>
      </c>
      <c r="H20" s="51">
        <f>+G20*F20</f>
        <v>-1424.5540176</v>
      </c>
      <c r="I20" s="51"/>
      <c r="J20" s="338">
        <v>4554000</v>
      </c>
      <c r="K20" s="338">
        <v>4054320</v>
      </c>
      <c r="L20" s="55">
        <f>J20-K20</f>
        <v>499680</v>
      </c>
      <c r="M20" s="339">
        <v>2.1180000000000001E-3</v>
      </c>
      <c r="N20" s="51">
        <f>+M20*L20</f>
        <v>1058.32224</v>
      </c>
      <c r="O20" s="51"/>
      <c r="P20" s="51">
        <f>H20+N20</f>
        <v>-366.23177759999999</v>
      </c>
      <c r="Q20" s="340"/>
      <c r="S20" s="341"/>
    </row>
    <row r="21" spans="1:19" x14ac:dyDescent="0.35">
      <c r="A21" s="144">
        <f t="shared" si="0"/>
        <v>14</v>
      </c>
      <c r="B21" s="26" t="s">
        <v>61</v>
      </c>
      <c r="C21" s="25">
        <v>43</v>
      </c>
      <c r="D21" s="336">
        <v>52262000</v>
      </c>
      <c r="E21" s="342">
        <v>50916365.420000002</v>
      </c>
      <c r="F21" s="55">
        <f>D21-E21</f>
        <v>1345634.5799999982</v>
      </c>
      <c r="G21" s="337">
        <v>2.8159999999999999E-3</v>
      </c>
      <c r="H21" s="51">
        <f>+G21*F21</f>
        <v>3789.306977279995</v>
      </c>
      <c r="I21" s="51"/>
      <c r="J21" s="338">
        <v>66557000</v>
      </c>
      <c r="K21" s="338">
        <v>57828125.375</v>
      </c>
      <c r="L21" s="55">
        <f>J21-K21</f>
        <v>8728874.625</v>
      </c>
      <c r="M21" s="339">
        <v>3.0140000000000002E-3</v>
      </c>
      <c r="N21" s="51">
        <f>+M21*L21</f>
        <v>26308.82811975</v>
      </c>
      <c r="O21" s="51"/>
      <c r="P21" s="51">
        <f>H21+N21</f>
        <v>30098.135097029994</v>
      </c>
      <c r="Q21" s="340"/>
      <c r="S21" s="341"/>
    </row>
    <row r="22" spans="1:19" x14ac:dyDescent="0.35">
      <c r="A22" s="144">
        <f t="shared" si="0"/>
        <v>15</v>
      </c>
      <c r="B22" s="26" t="s">
        <v>62</v>
      </c>
      <c r="C22" s="25"/>
      <c r="D22" s="52">
        <f>SUM(D19:D21)</f>
        <v>497659000</v>
      </c>
      <c r="E22" s="52">
        <f>SUM(E19:E21)</f>
        <v>451378730.24418628</v>
      </c>
      <c r="F22" s="52">
        <f>SUM(F19:F21)</f>
        <v>46280269.755813718</v>
      </c>
      <c r="G22" s="50"/>
      <c r="H22" s="53">
        <f>SUM(H19:H21)</f>
        <v>92670.015355039533</v>
      </c>
      <c r="I22" s="54"/>
      <c r="J22" s="52">
        <f>SUM(J19:J21)</f>
        <v>951759000</v>
      </c>
      <c r="K22" s="52">
        <f>SUM(K19:K21)</f>
        <v>858787894.16573691</v>
      </c>
      <c r="L22" s="52">
        <f>SUM(L19:L21)</f>
        <v>92971105.834263086</v>
      </c>
      <c r="M22" s="50"/>
      <c r="N22" s="53">
        <f>SUM(N19:N21)</f>
        <v>204733.87382096922</v>
      </c>
      <c r="O22" s="54"/>
      <c r="P22" s="53">
        <f>SUM(P19:P21)</f>
        <v>297403.88917600876</v>
      </c>
      <c r="Q22" s="340"/>
      <c r="S22" s="341"/>
    </row>
    <row r="23" spans="1:19" x14ac:dyDescent="0.35">
      <c r="A23" s="144">
        <f t="shared" si="0"/>
        <v>16</v>
      </c>
      <c r="B23" s="24"/>
      <c r="C23" s="25"/>
      <c r="D23" s="56"/>
      <c r="E23" s="56"/>
      <c r="F23" s="56"/>
      <c r="G23" s="50"/>
      <c r="H23" s="57"/>
      <c r="I23" s="57"/>
      <c r="J23" s="56"/>
      <c r="K23" s="56"/>
      <c r="L23" s="56"/>
      <c r="M23" s="50"/>
      <c r="N23" s="57"/>
      <c r="O23" s="57"/>
      <c r="P23" s="57"/>
      <c r="Q23" s="340"/>
      <c r="S23" s="341"/>
    </row>
    <row r="24" spans="1:19" x14ac:dyDescent="0.35">
      <c r="A24" s="144">
        <f t="shared" si="0"/>
        <v>17</v>
      </c>
      <c r="B24" s="27" t="s">
        <v>63</v>
      </c>
      <c r="C24" s="343" t="s">
        <v>197</v>
      </c>
      <c r="D24" s="344">
        <v>206468000</v>
      </c>
      <c r="E24" s="344">
        <v>150117465.21563634</v>
      </c>
      <c r="F24" s="52">
        <f>D24-E24</f>
        <v>56350534.784363657</v>
      </c>
      <c r="G24" s="337">
        <v>2.186E-3</v>
      </c>
      <c r="H24" s="51">
        <f>+G24*F24</f>
        <v>123182.26903861895</v>
      </c>
      <c r="I24" s="51"/>
      <c r="J24" s="345">
        <v>404726000</v>
      </c>
      <c r="K24" s="345">
        <v>282314635.50772727</v>
      </c>
      <c r="L24" s="52">
        <f>J24-K24</f>
        <v>122411364.49227273</v>
      </c>
      <c r="M24" s="339">
        <v>2.0800000000000003E-3</v>
      </c>
      <c r="N24" s="51">
        <f>+M24*L24</f>
        <v>254615.63814392732</v>
      </c>
      <c r="O24" s="51"/>
      <c r="P24" s="51">
        <f>H24+N24</f>
        <v>377797.90718254627</v>
      </c>
      <c r="Q24" s="340"/>
      <c r="S24" s="341"/>
    </row>
    <row r="25" spans="1:19" x14ac:dyDescent="0.35">
      <c r="A25" s="144">
        <f t="shared" si="0"/>
        <v>18</v>
      </c>
      <c r="B25" s="23"/>
      <c r="C25" s="25"/>
      <c r="D25" s="56"/>
      <c r="E25" s="56"/>
      <c r="F25" s="56"/>
      <c r="G25" s="50"/>
      <c r="H25" s="57"/>
      <c r="I25" s="57"/>
      <c r="J25" s="56"/>
      <c r="K25" s="56"/>
      <c r="L25" s="56"/>
      <c r="M25" s="50"/>
      <c r="N25" s="57"/>
      <c r="O25" s="57"/>
      <c r="P25" s="57"/>
      <c r="Q25" s="340"/>
      <c r="S25" s="341"/>
    </row>
    <row r="26" spans="1:19" x14ac:dyDescent="0.35">
      <c r="A26" s="144">
        <f t="shared" si="0"/>
        <v>19</v>
      </c>
      <c r="B26" s="23" t="s">
        <v>64</v>
      </c>
      <c r="C26" s="25"/>
      <c r="D26" s="55"/>
      <c r="E26" s="55"/>
      <c r="F26" s="55"/>
      <c r="G26" s="50"/>
      <c r="H26" s="54"/>
      <c r="I26" s="54"/>
      <c r="J26" s="55"/>
      <c r="K26" s="55"/>
      <c r="L26" s="55"/>
      <c r="M26" s="50"/>
      <c r="N26" s="54"/>
      <c r="O26" s="54"/>
      <c r="P26" s="54"/>
      <c r="Q26" s="340"/>
      <c r="S26" s="341"/>
    </row>
    <row r="27" spans="1:19" x14ac:dyDescent="0.35">
      <c r="A27" s="144">
        <f t="shared" si="0"/>
        <v>20</v>
      </c>
      <c r="B27" s="23" t="s">
        <v>46</v>
      </c>
      <c r="C27" s="25">
        <v>46</v>
      </c>
      <c r="D27" s="342">
        <v>25631000</v>
      </c>
      <c r="E27" s="342">
        <v>27451893.408000004</v>
      </c>
      <c r="F27" s="55">
        <f>D27-E27</f>
        <v>-1820893.4080000035</v>
      </c>
      <c r="G27" s="337">
        <v>1.5579999999999999E-3</v>
      </c>
      <c r="H27" s="51">
        <f>+G27*F27</f>
        <v>-2836.9519296640055</v>
      </c>
      <c r="I27" s="51"/>
      <c r="J27" s="346">
        <v>47679000</v>
      </c>
      <c r="K27" s="346">
        <v>66459505.445999995</v>
      </c>
      <c r="L27" s="55">
        <f>J27-K27</f>
        <v>-18780505.445999995</v>
      </c>
      <c r="M27" s="339">
        <v>1.6779999999999998E-3</v>
      </c>
      <c r="N27" s="51">
        <f>+M27*L27</f>
        <v>-31513.688138387988</v>
      </c>
      <c r="O27" s="51"/>
      <c r="P27" s="51">
        <f>H27+N27</f>
        <v>-34350.640068051995</v>
      </c>
      <c r="Q27" s="340"/>
      <c r="S27" s="341"/>
    </row>
    <row r="28" spans="1:19" x14ac:dyDescent="0.35">
      <c r="A28" s="144">
        <f t="shared" si="0"/>
        <v>21</v>
      </c>
      <c r="B28" s="28" t="s">
        <v>59</v>
      </c>
      <c r="C28" s="25">
        <v>49</v>
      </c>
      <c r="D28" s="342">
        <v>178455000</v>
      </c>
      <c r="E28" s="342">
        <v>193126976.42000002</v>
      </c>
      <c r="F28" s="55">
        <f>D28-E28</f>
        <v>-14671976.420000017</v>
      </c>
      <c r="G28" s="337">
        <v>1.5579999999999999E-3</v>
      </c>
      <c r="H28" s="51">
        <f>+G28*F28</f>
        <v>-22858.939262360025</v>
      </c>
      <c r="I28" s="51"/>
      <c r="J28" s="346">
        <v>380126000</v>
      </c>
      <c r="K28" s="346">
        <v>343991140.65099996</v>
      </c>
      <c r="L28" s="55">
        <f>J28-K28</f>
        <v>36134859.349000037</v>
      </c>
      <c r="M28" s="339">
        <v>1.6779999999999998E-3</v>
      </c>
      <c r="N28" s="51">
        <f>+M28*L28</f>
        <v>60634.293987622055</v>
      </c>
      <c r="O28" s="51"/>
      <c r="P28" s="51">
        <f>H28+N28</f>
        <v>37775.354725262034</v>
      </c>
      <c r="Q28" s="340"/>
      <c r="S28" s="341"/>
    </row>
    <row r="29" spans="1:19" x14ac:dyDescent="0.35">
      <c r="A29" s="144">
        <f t="shared" si="0"/>
        <v>22</v>
      </c>
      <c r="B29" s="28" t="s">
        <v>65</v>
      </c>
      <c r="C29" s="25"/>
      <c r="D29" s="52">
        <f>SUM(D27:D28)</f>
        <v>204086000</v>
      </c>
      <c r="E29" s="52">
        <f>SUM(E27:E28)</f>
        <v>220578869.82800001</v>
      </c>
      <c r="F29" s="52">
        <f>SUM(F27:F28)</f>
        <v>-16492869.82800002</v>
      </c>
      <c r="G29" s="50"/>
      <c r="H29" s="53">
        <f>SUM(H27:H28)</f>
        <v>-25695.891192024032</v>
      </c>
      <c r="I29" s="54"/>
      <c r="J29" s="52">
        <f>SUM(J27:J28)</f>
        <v>427805000</v>
      </c>
      <c r="K29" s="52">
        <f>SUM(K27:K28)</f>
        <v>410450646.09699994</v>
      </c>
      <c r="L29" s="52">
        <f>SUM(L27:L28)</f>
        <v>17354353.903000042</v>
      </c>
      <c r="M29" s="50"/>
      <c r="N29" s="53">
        <f>SUM(N27:N28)</f>
        <v>29120.605849234067</v>
      </c>
      <c r="O29" s="54"/>
      <c r="P29" s="53">
        <f>SUM(P27:P28)</f>
        <v>3424.7146572100391</v>
      </c>
      <c r="Q29" s="340"/>
      <c r="S29" s="341"/>
    </row>
    <row r="30" spans="1:19" x14ac:dyDescent="0.35">
      <c r="A30" s="144">
        <f t="shared" si="0"/>
        <v>23</v>
      </c>
      <c r="B30" s="27"/>
      <c r="C30" s="25"/>
      <c r="D30" s="56"/>
      <c r="E30" s="56"/>
      <c r="F30" s="56"/>
      <c r="G30" s="50"/>
      <c r="H30" s="57"/>
      <c r="I30" s="57"/>
      <c r="J30" s="56"/>
      <c r="K30" s="56"/>
      <c r="L30" s="56"/>
      <c r="M30" s="50"/>
      <c r="N30" s="57"/>
      <c r="O30" s="57"/>
      <c r="P30" s="57"/>
      <c r="Q30" s="340"/>
      <c r="S30" s="341"/>
    </row>
    <row r="31" spans="1:19" x14ac:dyDescent="0.35">
      <c r="A31" s="144">
        <f t="shared" si="0"/>
        <v>24</v>
      </c>
      <c r="B31" s="23" t="s">
        <v>66</v>
      </c>
      <c r="C31" s="25" t="s">
        <v>67</v>
      </c>
      <c r="D31" s="344">
        <v>22341000</v>
      </c>
      <c r="E31" s="344">
        <v>22418078.082500003</v>
      </c>
      <c r="F31" s="52">
        <f>D31-E31</f>
        <v>-77078.082500003278</v>
      </c>
      <c r="G31" s="337">
        <v>9.1549999999999999E-3</v>
      </c>
      <c r="H31" s="51">
        <f>+G31*F31</f>
        <v>-705.64984528752996</v>
      </c>
      <c r="I31" s="51"/>
      <c r="J31" s="345">
        <v>46023000</v>
      </c>
      <c r="K31" s="345">
        <v>46940320.576000005</v>
      </c>
      <c r="L31" s="52">
        <f>J31-K31</f>
        <v>-917320.57600000501</v>
      </c>
      <c r="M31" s="339">
        <v>9.5250000000000005E-3</v>
      </c>
      <c r="N31" s="51">
        <f>+M31*L31</f>
        <v>-8737.4784864000485</v>
      </c>
      <c r="O31" s="51"/>
      <c r="P31" s="51">
        <f>H31+N31</f>
        <v>-9443.1283316875779</v>
      </c>
      <c r="Q31" s="340"/>
      <c r="S31" s="341"/>
    </row>
    <row r="32" spans="1:19" x14ac:dyDescent="0.35">
      <c r="A32" s="144">
        <f t="shared" si="0"/>
        <v>25</v>
      </c>
      <c r="B32" s="23"/>
      <c r="C32" s="25"/>
      <c r="D32" s="56"/>
      <c r="E32" s="56"/>
      <c r="F32" s="56"/>
      <c r="G32" s="50"/>
      <c r="H32" s="57"/>
      <c r="I32" s="57"/>
      <c r="J32" s="56"/>
      <c r="K32" s="56"/>
      <c r="L32" s="56"/>
      <c r="M32" s="50"/>
      <c r="N32" s="57"/>
      <c r="O32" s="57"/>
      <c r="P32" s="57"/>
      <c r="Q32" s="340"/>
      <c r="S32" s="341"/>
    </row>
    <row r="33" spans="1:19" x14ac:dyDescent="0.35">
      <c r="A33" s="144">
        <f t="shared" si="0"/>
        <v>26</v>
      </c>
      <c r="B33" s="28" t="s">
        <v>68</v>
      </c>
      <c r="C33" s="343" t="s">
        <v>198</v>
      </c>
      <c r="D33" s="344">
        <v>672332000</v>
      </c>
      <c r="E33" s="344">
        <v>613822817.30299997</v>
      </c>
      <c r="F33" s="52">
        <f>D33-E33</f>
        <v>58509182.697000027</v>
      </c>
      <c r="G33" s="337">
        <v>2.4999999999999998E-5</v>
      </c>
      <c r="H33" s="51">
        <f>+G33*F33</f>
        <v>1462.7295674250006</v>
      </c>
      <c r="I33" s="51"/>
      <c r="J33" s="345">
        <v>1359146000</v>
      </c>
      <c r="K33" s="345">
        <v>1290872317.3080001</v>
      </c>
      <c r="L33" s="52">
        <f>J33-K33</f>
        <v>68273682.691999912</v>
      </c>
      <c r="M33" s="339">
        <v>2.5000000000000001E-5</v>
      </c>
      <c r="N33" s="51">
        <f>+M33*L33</f>
        <v>1706.8420672999978</v>
      </c>
      <c r="O33" s="51"/>
      <c r="P33" s="51">
        <f>H33+N33</f>
        <v>3169.5716347249981</v>
      </c>
      <c r="Q33" s="340"/>
      <c r="S33" s="341"/>
    </row>
    <row r="34" spans="1:19" x14ac:dyDescent="0.35">
      <c r="A34" s="144">
        <f t="shared" si="0"/>
        <v>27</v>
      </c>
      <c r="B34" s="24"/>
      <c r="C34" s="23"/>
      <c r="D34" s="56"/>
      <c r="E34" s="56"/>
      <c r="F34" s="56"/>
      <c r="G34" s="50"/>
      <c r="H34" s="57"/>
      <c r="I34" s="57"/>
      <c r="J34" s="56"/>
      <c r="K34" s="56"/>
      <c r="L34" s="56"/>
      <c r="M34" s="50"/>
      <c r="N34" s="57"/>
      <c r="O34" s="57"/>
      <c r="P34" s="57"/>
      <c r="Q34" s="340"/>
      <c r="S34" s="341"/>
    </row>
    <row r="35" spans="1:19" ht="15" thickBot="1" x14ac:dyDescent="0.4">
      <c r="A35" s="144">
        <f t="shared" si="0"/>
        <v>28</v>
      </c>
      <c r="B35" s="23" t="s">
        <v>69</v>
      </c>
      <c r="C35" s="23"/>
      <c r="D35" s="58">
        <f>SUM(D9,D16,D22,D24,D29,D31,D33)</f>
        <v>8505831000</v>
      </c>
      <c r="E35" s="58">
        <f>SUM(E9,E16,E22,E24,E29,E31,E33)</f>
        <v>8018413360.816864</v>
      </c>
      <c r="F35" s="58">
        <f>SUM(F9,F16,F22,F24,F29,F31,F33)</f>
        <v>487417639.18313581</v>
      </c>
      <c r="G35" s="50"/>
      <c r="H35" s="59">
        <f>SUM(H9,H16,H22,H24,H29,H31,H33)</f>
        <v>1045048.2973010944</v>
      </c>
      <c r="I35" s="54"/>
      <c r="J35" s="58">
        <f>SUM(J9,J16,J22,J24,J29,J31,J33)</f>
        <v>14898983000</v>
      </c>
      <c r="K35" s="58">
        <f>SUM(K9,K16,K22,K24,K29,K31,K33)</f>
        <v>14290180965.555302</v>
      </c>
      <c r="L35" s="58">
        <f>SUM(L9,L16,L22,L24,L29,L31,L33)</f>
        <v>608802034.44469881</v>
      </c>
      <c r="M35" s="50"/>
      <c r="N35" s="59">
        <f>SUM(N9,N16,N22,N24,N29,N31,N33)</f>
        <v>1098804.1237920769</v>
      </c>
      <c r="O35" s="54"/>
      <c r="P35" s="59">
        <f>SUM(P9,P16,P22,P24,P29,P31,P33)</f>
        <v>2143852.4210931705</v>
      </c>
      <c r="Q35" s="340"/>
      <c r="S35" s="341"/>
    </row>
    <row r="36" spans="1:19" ht="15" thickTop="1" x14ac:dyDescent="0.35">
      <c r="D36" s="341"/>
      <c r="E36" s="9"/>
      <c r="F36" s="51"/>
    </row>
    <row r="37" spans="1:19" x14ac:dyDescent="0.35">
      <c r="D37" s="347">
        <v>0</v>
      </c>
      <c r="E37" s="347">
        <v>0</v>
      </c>
      <c r="F37" s="2"/>
      <c r="J37" s="348">
        <v>0</v>
      </c>
      <c r="K37" s="348">
        <v>0</v>
      </c>
    </row>
    <row r="38" spans="1:19" x14ac:dyDescent="0.35">
      <c r="E38" s="9"/>
    </row>
    <row r="39" spans="1:19" x14ac:dyDescent="0.35">
      <c r="E39" s="9"/>
      <c r="F39" s="340"/>
    </row>
    <row r="40" spans="1:19" x14ac:dyDescent="0.35">
      <c r="E40" s="9"/>
      <c r="F40" s="340"/>
    </row>
    <row r="41" spans="1:19" x14ac:dyDescent="0.35">
      <c r="E41" s="9"/>
      <c r="F41" s="340"/>
    </row>
  </sheetData>
  <mergeCells count="3">
    <mergeCell ref="A1:P1"/>
    <mergeCell ref="A2:P2"/>
    <mergeCell ref="A3:P3"/>
  </mergeCells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B37" sqref="B37"/>
    </sheetView>
  </sheetViews>
  <sheetFormatPr defaultColWidth="9.1796875" defaultRowHeight="14.15" customHeight="1" x14ac:dyDescent="0.35"/>
  <cols>
    <col min="1" max="1" width="9.81640625" style="81" bestFit="1" customWidth="1"/>
    <col min="2" max="2" width="38" style="81" bestFit="1" customWidth="1"/>
    <col min="3" max="5" width="14.1796875" style="81" customWidth="1"/>
    <col min="6" max="6" width="14.26953125" style="81" customWidth="1"/>
    <col min="7" max="7" width="13.453125" style="81" customWidth="1"/>
    <col min="8" max="8" width="3" style="81" customWidth="1"/>
    <col min="9" max="13" width="14.1796875" style="81" customWidth="1"/>
    <col min="14" max="14" width="2.81640625" style="81" customWidth="1"/>
    <col min="15" max="15" width="14.1796875" style="81" customWidth="1"/>
    <col min="16" max="16384" width="9.1796875" style="81"/>
  </cols>
  <sheetData>
    <row r="1" spans="1:15" ht="14.5" x14ac:dyDescent="0.35">
      <c r="A1" s="374" t="s">
        <v>40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ht="14.5" x14ac:dyDescent="0.35">
      <c r="A2" s="374" t="s">
        <v>159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5" ht="14.5" x14ac:dyDescent="0.35">
      <c r="A3" s="374" t="s">
        <v>160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</row>
    <row r="4" spans="1:15" ht="14.5" x14ac:dyDescent="0.35">
      <c r="A4" s="375" t="s">
        <v>213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</row>
    <row r="5" spans="1:15" ht="14.5" x14ac:dyDescent="0.35">
      <c r="C5" s="277"/>
      <c r="D5" s="277"/>
      <c r="E5" s="277"/>
    </row>
    <row r="6" spans="1:15" ht="58" x14ac:dyDescent="0.35">
      <c r="A6" s="278" t="s">
        <v>41</v>
      </c>
      <c r="B6" s="279" t="s">
        <v>10</v>
      </c>
      <c r="C6" s="280" t="s">
        <v>214</v>
      </c>
      <c r="D6" s="280" t="s">
        <v>215</v>
      </c>
      <c r="E6" s="281" t="s">
        <v>42</v>
      </c>
      <c r="F6" s="280" t="s">
        <v>165</v>
      </c>
      <c r="G6" s="281" t="s">
        <v>216</v>
      </c>
      <c r="I6" s="280" t="s">
        <v>217</v>
      </c>
      <c r="J6" s="280" t="s">
        <v>218</v>
      </c>
      <c r="K6" s="281" t="s">
        <v>42</v>
      </c>
      <c r="L6" s="280" t="s">
        <v>189</v>
      </c>
      <c r="M6" s="281" t="s">
        <v>219</v>
      </c>
      <c r="O6" s="280" t="s">
        <v>132</v>
      </c>
    </row>
    <row r="7" spans="1:15" ht="14.5" x14ac:dyDescent="0.35">
      <c r="A7" s="282" t="s">
        <v>161</v>
      </c>
      <c r="B7" s="81" t="s">
        <v>45</v>
      </c>
      <c r="C7" s="283">
        <v>309296856</v>
      </c>
      <c r="D7" s="283">
        <v>297257754.93542403</v>
      </c>
      <c r="E7" s="284">
        <f>C7-D7</f>
        <v>12039101.06457597</v>
      </c>
      <c r="F7" s="285">
        <v>2.2350000000000002E-2</v>
      </c>
      <c r="G7" s="286">
        <f t="shared" ref="G7:G19" si="0">E7*F7</f>
        <v>269073.90879327297</v>
      </c>
      <c r="I7" s="327">
        <v>315779369</v>
      </c>
      <c r="J7" s="283">
        <v>295552499.70809656</v>
      </c>
      <c r="K7" s="284">
        <f t="shared" ref="K7:K19" si="1">I7-J7</f>
        <v>20226869.291903436</v>
      </c>
      <c r="L7" s="285">
        <v>1.9710000000000002E-2</v>
      </c>
      <c r="M7" s="286">
        <f t="shared" ref="M7:M19" si="2">K7*L7</f>
        <v>398671.59374341677</v>
      </c>
      <c r="O7" s="286">
        <f>G7+M7</f>
        <v>667745.50253668975</v>
      </c>
    </row>
    <row r="8" spans="1:15" ht="14.5" x14ac:dyDescent="0.35">
      <c r="A8" s="282">
        <v>53</v>
      </c>
      <c r="B8" s="81" t="s">
        <v>133</v>
      </c>
      <c r="C8" s="283">
        <v>0</v>
      </c>
      <c r="D8" s="283">
        <v>0</v>
      </c>
      <c r="E8" s="284">
        <f t="shared" ref="E8:E19" si="3">C8-D8</f>
        <v>0</v>
      </c>
      <c r="F8" s="285">
        <v>2.2350000000000002E-2</v>
      </c>
      <c r="G8" s="286">
        <f t="shared" si="0"/>
        <v>0</v>
      </c>
      <c r="I8" s="327">
        <v>0</v>
      </c>
      <c r="J8" s="283">
        <v>0</v>
      </c>
      <c r="K8" s="284">
        <f t="shared" si="1"/>
        <v>0</v>
      </c>
      <c r="L8" s="285">
        <v>1.9710000000000002E-2</v>
      </c>
      <c r="M8" s="286">
        <f t="shared" si="2"/>
        <v>0</v>
      </c>
      <c r="O8" s="286">
        <f t="shared" ref="O8:O19" si="4">G8+M8</f>
        <v>0</v>
      </c>
    </row>
    <row r="9" spans="1:15" ht="14.5" x14ac:dyDescent="0.35">
      <c r="A9" s="282">
        <v>31</v>
      </c>
      <c r="B9" s="81" t="s">
        <v>134</v>
      </c>
      <c r="C9" s="283">
        <v>109539482</v>
      </c>
      <c r="D9" s="283">
        <v>104547415.37611414</v>
      </c>
      <c r="E9" s="284">
        <f t="shared" si="3"/>
        <v>4992066.6238858551</v>
      </c>
      <c r="F9" s="285">
        <v>2.528E-2</v>
      </c>
      <c r="G9" s="286">
        <f t="shared" si="0"/>
        <v>126199.44425183441</v>
      </c>
      <c r="I9" s="327">
        <v>131889835</v>
      </c>
      <c r="J9" s="283">
        <v>108712772.7002293</v>
      </c>
      <c r="K9" s="284">
        <f t="shared" si="1"/>
        <v>23177062.299770698</v>
      </c>
      <c r="L9" s="285">
        <v>2.1250000000000002E-2</v>
      </c>
      <c r="M9" s="286">
        <f t="shared" si="2"/>
        <v>492512.57387012738</v>
      </c>
      <c r="O9" s="286">
        <f t="shared" si="4"/>
        <v>618712.01812196174</v>
      </c>
    </row>
    <row r="10" spans="1:15" ht="14.5" x14ac:dyDescent="0.35">
      <c r="A10" s="282" t="s">
        <v>135</v>
      </c>
      <c r="B10" s="81" t="s">
        <v>136</v>
      </c>
      <c r="C10" s="283">
        <v>7279</v>
      </c>
      <c r="D10" s="283">
        <v>20174.909999999996</v>
      </c>
      <c r="E10" s="284">
        <f t="shared" si="3"/>
        <v>-12895.909999999996</v>
      </c>
      <c r="F10" s="285">
        <v>2.528E-2</v>
      </c>
      <c r="G10" s="286">
        <f t="shared" si="0"/>
        <v>-326.00860479999989</v>
      </c>
      <c r="I10" s="327">
        <v>14490</v>
      </c>
      <c r="J10" s="283">
        <v>22362.530000000006</v>
      </c>
      <c r="K10" s="284">
        <f t="shared" si="1"/>
        <v>-7872.5300000000061</v>
      </c>
      <c r="L10" s="285">
        <v>2.1250000000000002E-2</v>
      </c>
      <c r="M10" s="286">
        <f t="shared" si="2"/>
        <v>-167.29126250000013</v>
      </c>
      <c r="O10" s="286">
        <f t="shared" si="4"/>
        <v>-493.29986730000002</v>
      </c>
    </row>
    <row r="11" spans="1:15" ht="14.5" x14ac:dyDescent="0.35">
      <c r="A11" s="282">
        <v>41</v>
      </c>
      <c r="B11" s="81" t="s">
        <v>137</v>
      </c>
      <c r="C11" s="283">
        <v>27955025</v>
      </c>
      <c r="D11" s="283">
        <v>27244441.550375607</v>
      </c>
      <c r="E11" s="284">
        <f t="shared" si="3"/>
        <v>710583.44962439314</v>
      </c>
      <c r="F11" s="285">
        <v>8.94E-3</v>
      </c>
      <c r="G11" s="286">
        <f t="shared" si="0"/>
        <v>6352.6160396420746</v>
      </c>
      <c r="I11" s="327">
        <v>39827917</v>
      </c>
      <c r="J11" s="283">
        <v>32052428.32668782</v>
      </c>
      <c r="K11" s="284">
        <f t="shared" si="1"/>
        <v>7775488.6733121797</v>
      </c>
      <c r="L11" s="285">
        <v>7.5500000000000003E-3</v>
      </c>
      <c r="M11" s="286">
        <f t="shared" si="2"/>
        <v>58704.939483506962</v>
      </c>
      <c r="O11" s="286">
        <f t="shared" si="4"/>
        <v>65057.555523149036</v>
      </c>
    </row>
    <row r="12" spans="1:15" ht="14.5" x14ac:dyDescent="0.35">
      <c r="A12" s="282" t="s">
        <v>138</v>
      </c>
      <c r="B12" s="81" t="s">
        <v>139</v>
      </c>
      <c r="C12" s="283">
        <v>8497398</v>
      </c>
      <c r="D12" s="283">
        <v>7528462.04</v>
      </c>
      <c r="E12" s="284">
        <f t="shared" si="3"/>
        <v>968935.96</v>
      </c>
      <c r="F12" s="285">
        <v>8.94E-3</v>
      </c>
      <c r="G12" s="286">
        <f t="shared" si="0"/>
        <v>8662.2874823999991</v>
      </c>
      <c r="I12" s="327">
        <v>15470076</v>
      </c>
      <c r="J12" s="283">
        <v>12607344.449999999</v>
      </c>
      <c r="K12" s="284">
        <f t="shared" si="1"/>
        <v>2862731.5500000007</v>
      </c>
      <c r="L12" s="285">
        <v>7.5500000000000003E-3</v>
      </c>
      <c r="M12" s="286">
        <f t="shared" si="2"/>
        <v>21613.623202500006</v>
      </c>
      <c r="O12" s="286">
        <f t="shared" si="4"/>
        <v>30275.910684900005</v>
      </c>
    </row>
    <row r="13" spans="1:15" ht="14.5" x14ac:dyDescent="0.35">
      <c r="A13" s="282">
        <v>85</v>
      </c>
      <c r="B13" s="81" t="s">
        <v>140</v>
      </c>
      <c r="C13" s="283">
        <v>7033851</v>
      </c>
      <c r="D13" s="283">
        <v>5873975.1503216438</v>
      </c>
      <c r="E13" s="284">
        <f t="shared" si="3"/>
        <v>1159875.8496783562</v>
      </c>
      <c r="F13" s="285">
        <v>5.0499999999999998E-3</v>
      </c>
      <c r="G13" s="286">
        <f t="shared" si="0"/>
        <v>5857.3730408756983</v>
      </c>
      <c r="I13" s="327">
        <v>8484509</v>
      </c>
      <c r="J13" s="283">
        <v>12035365.848736957</v>
      </c>
      <c r="K13" s="284">
        <f t="shared" si="1"/>
        <v>-3550856.8487369567</v>
      </c>
      <c r="L13" s="285">
        <v>4.3800000000000002E-3</v>
      </c>
      <c r="M13" s="286">
        <f t="shared" si="2"/>
        <v>-15552.752997467871</v>
      </c>
      <c r="O13" s="286">
        <f t="shared" si="4"/>
        <v>-9695.3799565921727</v>
      </c>
    </row>
    <row r="14" spans="1:15" ht="14.5" x14ac:dyDescent="0.35">
      <c r="A14" s="282" t="s">
        <v>141</v>
      </c>
      <c r="B14" s="81" t="s">
        <v>142</v>
      </c>
      <c r="C14" s="283">
        <v>29082711</v>
      </c>
      <c r="D14" s="283">
        <v>22822195.660000004</v>
      </c>
      <c r="E14" s="284">
        <f t="shared" si="3"/>
        <v>6260515.3399999961</v>
      </c>
      <c r="F14" s="285">
        <v>5.0499999999999998E-3</v>
      </c>
      <c r="G14" s="286">
        <f t="shared" si="0"/>
        <v>31615.602466999979</v>
      </c>
      <c r="I14" s="327">
        <v>50985795</v>
      </c>
      <c r="J14" s="283">
        <v>44206600.039999999</v>
      </c>
      <c r="K14" s="284">
        <f t="shared" si="1"/>
        <v>6779194.9600000009</v>
      </c>
      <c r="L14" s="285">
        <v>4.3800000000000002E-3</v>
      </c>
      <c r="M14" s="286">
        <f t="shared" si="2"/>
        <v>29692.873924800006</v>
      </c>
      <c r="O14" s="286">
        <f t="shared" si="4"/>
        <v>61308.476391799981</v>
      </c>
    </row>
    <row r="15" spans="1:15" ht="14.5" x14ac:dyDescent="0.35">
      <c r="A15" s="282">
        <v>86</v>
      </c>
      <c r="B15" s="81" t="s">
        <v>143</v>
      </c>
      <c r="C15" s="283">
        <v>4367250</v>
      </c>
      <c r="D15" s="283">
        <v>2867502.0450192639</v>
      </c>
      <c r="E15" s="284">
        <f t="shared" si="3"/>
        <v>1499747.9549807361</v>
      </c>
      <c r="F15" s="285">
        <v>7.6699999999999997E-3</v>
      </c>
      <c r="G15" s="286">
        <f t="shared" si="0"/>
        <v>11503.066814702246</v>
      </c>
      <c r="I15" s="327">
        <v>3890648</v>
      </c>
      <c r="J15" s="283">
        <v>2670688.3875906677</v>
      </c>
      <c r="K15" s="284">
        <f t="shared" si="1"/>
        <v>1219959.6124093323</v>
      </c>
      <c r="L15" s="285">
        <v>7.8900000000000012E-3</v>
      </c>
      <c r="M15" s="286">
        <f t="shared" si="2"/>
        <v>9625.4813419096336</v>
      </c>
      <c r="O15" s="286">
        <f t="shared" si="4"/>
        <v>21128.54815661188</v>
      </c>
    </row>
    <row r="16" spans="1:15" ht="14.5" x14ac:dyDescent="0.35">
      <c r="A16" s="282" t="s">
        <v>144</v>
      </c>
      <c r="B16" s="81" t="s">
        <v>145</v>
      </c>
      <c r="C16" s="283">
        <v>90282</v>
      </c>
      <c r="D16" s="283">
        <v>228013.55999999997</v>
      </c>
      <c r="E16" s="284">
        <f t="shared" si="3"/>
        <v>-137731.55999999997</v>
      </c>
      <c r="F16" s="285">
        <v>7.6699999999999997E-3</v>
      </c>
      <c r="G16" s="286">
        <f t="shared" si="0"/>
        <v>-1056.4010651999997</v>
      </c>
      <c r="I16" s="327">
        <v>127641</v>
      </c>
      <c r="J16" s="283">
        <v>1043802.56</v>
      </c>
      <c r="K16" s="284">
        <f t="shared" si="1"/>
        <v>-916161.56</v>
      </c>
      <c r="L16" s="285">
        <v>7.8900000000000012E-3</v>
      </c>
      <c r="M16" s="286">
        <f t="shared" si="2"/>
        <v>-7228.5147084000018</v>
      </c>
      <c r="O16" s="286">
        <f t="shared" si="4"/>
        <v>-8284.9157736000016</v>
      </c>
    </row>
    <row r="17" spans="1:15" ht="14.5" x14ac:dyDescent="0.35">
      <c r="A17" s="282">
        <v>87</v>
      </c>
      <c r="B17" s="81" t="s">
        <v>146</v>
      </c>
      <c r="C17" s="283">
        <v>8307667</v>
      </c>
      <c r="D17" s="283">
        <v>7996587.8525</v>
      </c>
      <c r="E17" s="284">
        <f t="shared" si="3"/>
        <v>311079.14749999996</v>
      </c>
      <c r="F17" s="285">
        <v>2.7299999999999998E-3</v>
      </c>
      <c r="G17" s="286">
        <f t="shared" si="0"/>
        <v>849.24607267499982</v>
      </c>
      <c r="I17" s="327">
        <v>13774336</v>
      </c>
      <c r="J17" s="283">
        <v>13796436.895</v>
      </c>
      <c r="K17" s="284">
        <f t="shared" si="1"/>
        <v>-22100.894999999553</v>
      </c>
      <c r="L17" s="285">
        <v>2.31E-3</v>
      </c>
      <c r="M17" s="286">
        <f t="shared" si="2"/>
        <v>-51.05306744999897</v>
      </c>
      <c r="O17" s="286">
        <f t="shared" si="4"/>
        <v>798.19300522500089</v>
      </c>
    </row>
    <row r="18" spans="1:15" ht="14.5" x14ac:dyDescent="0.35">
      <c r="A18" s="282" t="s">
        <v>147</v>
      </c>
      <c r="B18" s="81" t="s">
        <v>148</v>
      </c>
      <c r="C18" s="283">
        <v>34470894</v>
      </c>
      <c r="D18" s="283">
        <v>30973942.280000001</v>
      </c>
      <c r="E18" s="284">
        <f t="shared" si="3"/>
        <v>3496951.7199999988</v>
      </c>
      <c r="F18" s="285">
        <v>2.7299999999999998E-3</v>
      </c>
      <c r="G18" s="286">
        <f t="shared" si="0"/>
        <v>9546.6781955999959</v>
      </c>
      <c r="I18" s="327">
        <v>66282651</v>
      </c>
      <c r="J18" s="283">
        <v>61496957.950000003</v>
      </c>
      <c r="K18" s="284">
        <f t="shared" si="1"/>
        <v>4785693.049999997</v>
      </c>
      <c r="L18" s="285">
        <v>2.31E-3</v>
      </c>
      <c r="M18" s="286">
        <f t="shared" si="2"/>
        <v>11054.950945499993</v>
      </c>
      <c r="O18" s="286">
        <f t="shared" si="4"/>
        <v>20601.629141099991</v>
      </c>
    </row>
    <row r="19" spans="1:15" ht="14.5" x14ac:dyDescent="0.35">
      <c r="A19" s="287">
        <v>99</v>
      </c>
      <c r="B19" s="279" t="s">
        <v>43</v>
      </c>
      <c r="C19" s="283">
        <v>14087493</v>
      </c>
      <c r="D19" s="283">
        <v>12629062.779999997</v>
      </c>
      <c r="E19" s="284">
        <f t="shared" si="3"/>
        <v>1458430.2200000025</v>
      </c>
      <c r="F19" s="288">
        <v>3.4299999999999999E-3</v>
      </c>
      <c r="G19" s="286">
        <f t="shared" si="0"/>
        <v>5002.4156546000086</v>
      </c>
      <c r="I19" s="327">
        <v>21050896</v>
      </c>
      <c r="J19" s="283">
        <v>18750811</v>
      </c>
      <c r="K19" s="284">
        <f t="shared" si="1"/>
        <v>2300085</v>
      </c>
      <c r="L19" s="288">
        <v>2.9099999999999998E-3</v>
      </c>
      <c r="M19" s="286">
        <f t="shared" si="2"/>
        <v>6693.2473499999996</v>
      </c>
      <c r="O19" s="289">
        <f t="shared" si="4"/>
        <v>11695.663004600008</v>
      </c>
    </row>
    <row r="20" spans="1:15" ht="14.5" x14ac:dyDescent="0.35">
      <c r="A20" s="81" t="s">
        <v>44</v>
      </c>
      <c r="C20" s="290">
        <f>SUM(C7:C19)</f>
        <v>552736188</v>
      </c>
      <c r="D20" s="290">
        <f>SUM(D7:D19)</f>
        <v>519989528.13975477</v>
      </c>
      <c r="E20" s="290">
        <f>SUM(E7:E19)</f>
        <v>32746659.86024531</v>
      </c>
      <c r="G20" s="291">
        <f>SUM(G7:G19)</f>
        <v>473280.22914260242</v>
      </c>
      <c r="I20" s="290">
        <f>SUM(I7:I19)</f>
        <v>667578163</v>
      </c>
      <c r="J20" s="290">
        <f>SUM(J7:J19)</f>
        <v>602948070.3963412</v>
      </c>
      <c r="K20" s="290">
        <f>SUM(K7:K19)</f>
        <v>64630092.603658691</v>
      </c>
      <c r="M20" s="291">
        <f>SUM(M7:M19)</f>
        <v>1005569.6718259429</v>
      </c>
      <c r="O20" s="286">
        <f>SUM(O7:O19)</f>
        <v>1478849.9009685447</v>
      </c>
    </row>
    <row r="21" spans="1:15" ht="14.5" x14ac:dyDescent="0.35">
      <c r="A21" s="292" t="s">
        <v>172</v>
      </c>
      <c r="C21" s="328">
        <v>0</v>
      </c>
      <c r="D21" s="284">
        <v>0</v>
      </c>
      <c r="E21" s="284"/>
      <c r="I21" s="329">
        <v>0</v>
      </c>
    </row>
    <row r="22" spans="1:15" ht="43.5" x14ac:dyDescent="0.35">
      <c r="A22" s="278" t="s">
        <v>41</v>
      </c>
      <c r="B22" s="279" t="s">
        <v>10</v>
      </c>
      <c r="C22" s="280" t="s">
        <v>220</v>
      </c>
      <c r="D22" s="280" t="s">
        <v>221</v>
      </c>
      <c r="E22" s="281" t="s">
        <v>149</v>
      </c>
      <c r="F22" s="280" t="str">
        <f>F6</f>
        <v>Schedule 140 Rates Effective May 1, 2019</v>
      </c>
      <c r="G22" s="281" t="str">
        <f>G6</f>
        <v>Jan - Apr 2020 Variance ($)</v>
      </c>
      <c r="I22" s="280" t="s">
        <v>222</v>
      </c>
      <c r="J22" s="280" t="s">
        <v>223</v>
      </c>
      <c r="K22" s="281" t="s">
        <v>149</v>
      </c>
      <c r="L22" s="280" t="str">
        <f>L6</f>
        <v>Schedule 140 Rates Effective May 1, 2020</v>
      </c>
      <c r="M22" s="281" t="str">
        <f>M6</f>
        <v>May - Dec 2020 Variance ($)</v>
      </c>
      <c r="O22" s="280" t="s">
        <v>132</v>
      </c>
    </row>
    <row r="23" spans="1:15" ht="14.5" x14ac:dyDescent="0.35">
      <c r="A23" s="282" t="s">
        <v>150</v>
      </c>
      <c r="B23" s="81" t="s">
        <v>72</v>
      </c>
      <c r="C23" s="283">
        <v>112639.33333333333</v>
      </c>
      <c r="D23" s="283">
        <v>104588.64252082846</v>
      </c>
      <c r="E23" s="284">
        <f>C23-D23</f>
        <v>8050.6908125048649</v>
      </c>
      <c r="F23" s="293">
        <v>0.52</v>
      </c>
      <c r="G23" s="286">
        <f>E23*F23</f>
        <v>4186.3592225025295</v>
      </c>
      <c r="I23" s="283">
        <v>194636</v>
      </c>
      <c r="J23" s="283">
        <v>182485.228456538</v>
      </c>
      <c r="K23" s="284">
        <f>I23-J23</f>
        <v>12150.771543462004</v>
      </c>
      <c r="L23" s="293">
        <v>0.51</v>
      </c>
      <c r="M23" s="286">
        <f>K23*L23</f>
        <v>6196.893487165622</v>
      </c>
      <c r="O23" s="286">
        <f>G23+M23</f>
        <v>10383.252709668152</v>
      </c>
    </row>
    <row r="24" spans="1:15" ht="14.5" x14ac:dyDescent="0.35">
      <c r="A24" s="282"/>
      <c r="C24" s="294"/>
      <c r="D24" s="283"/>
      <c r="E24" s="284"/>
      <c r="F24" s="295"/>
      <c r="G24" s="286"/>
      <c r="I24" s="294"/>
      <c r="J24" s="283"/>
      <c r="K24" s="284"/>
      <c r="L24" s="295"/>
      <c r="M24" s="286"/>
      <c r="O24" s="286"/>
    </row>
    <row r="26" spans="1:15" ht="14.15" customHeight="1" thickBot="1" x14ac:dyDescent="0.4">
      <c r="M26" s="81" t="s">
        <v>2</v>
      </c>
      <c r="O26" s="296">
        <f>O20+O23</f>
        <v>1489233.1536782128</v>
      </c>
    </row>
    <row r="27" spans="1:15" ht="14.15" customHeight="1" thickTop="1" x14ac:dyDescent="0.35"/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61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7" sqref="B37"/>
    </sheetView>
  </sheetViews>
  <sheetFormatPr defaultColWidth="9.1796875" defaultRowHeight="14.5" x14ac:dyDescent="0.35"/>
  <cols>
    <col min="1" max="1" width="61.7265625" style="9" bestFit="1" customWidth="1"/>
    <col min="2" max="2" width="9.1796875" style="9"/>
    <col min="3" max="3" width="7.26953125" style="9" bestFit="1" customWidth="1"/>
    <col min="4" max="4" width="7.453125" style="9" bestFit="1" customWidth="1"/>
    <col min="5" max="16384" width="9.1796875" style="9"/>
  </cols>
  <sheetData>
    <row r="1" spans="1:4" x14ac:dyDescent="0.35">
      <c r="A1" s="304"/>
      <c r="B1" s="299" t="s">
        <v>185</v>
      </c>
      <c r="C1" s="316"/>
      <c r="D1" s="300"/>
    </row>
    <row r="2" spans="1:4" x14ac:dyDescent="0.35">
      <c r="A2" s="317" t="s">
        <v>186</v>
      </c>
      <c r="B2" s="318"/>
      <c r="C2" s="318"/>
      <c r="D2" s="318"/>
    </row>
    <row r="3" spans="1:4" x14ac:dyDescent="0.35">
      <c r="A3" s="317" t="s">
        <v>187</v>
      </c>
      <c r="B3" s="318"/>
      <c r="C3" s="318"/>
      <c r="D3" s="318"/>
    </row>
    <row r="4" spans="1:4" x14ac:dyDescent="0.35">
      <c r="A4" s="317" t="s">
        <v>179</v>
      </c>
      <c r="B4" s="318"/>
      <c r="C4" s="318"/>
      <c r="D4" s="318"/>
    </row>
    <row r="5" spans="1:4" x14ac:dyDescent="0.35">
      <c r="A5" s="317" t="s">
        <v>180</v>
      </c>
      <c r="B5" s="318"/>
      <c r="C5" s="318"/>
      <c r="D5" s="318"/>
    </row>
    <row r="6" spans="1:4" x14ac:dyDescent="0.35">
      <c r="A6" s="317" t="s">
        <v>14</v>
      </c>
      <c r="B6" s="317"/>
      <c r="C6" s="317"/>
      <c r="D6" s="317"/>
    </row>
    <row r="7" spans="1:4" x14ac:dyDescent="0.35">
      <c r="A7" s="318"/>
      <c r="B7" s="318"/>
      <c r="C7" s="318"/>
      <c r="D7" s="318"/>
    </row>
    <row r="8" spans="1:4" x14ac:dyDescent="0.35">
      <c r="A8" s="318"/>
      <c r="B8" s="318"/>
      <c r="C8" s="318"/>
      <c r="D8" s="304"/>
    </row>
    <row r="9" spans="1:4" x14ac:dyDescent="0.35">
      <c r="A9" s="303"/>
      <c r="B9" s="303"/>
      <c r="C9" s="304"/>
      <c r="D9" s="304"/>
    </row>
    <row r="10" spans="1:4" x14ac:dyDescent="0.35">
      <c r="A10" s="305" t="s">
        <v>17</v>
      </c>
      <c r="B10" s="305"/>
      <c r="C10" s="306"/>
      <c r="D10" s="306"/>
    </row>
    <row r="11" spans="1:4" x14ac:dyDescent="0.35">
      <c r="A11" s="304"/>
      <c r="B11" s="304"/>
      <c r="C11" s="304"/>
      <c r="D11" s="304"/>
    </row>
    <row r="12" spans="1:4" x14ac:dyDescent="0.35">
      <c r="A12" s="319" t="s">
        <v>18</v>
      </c>
      <c r="B12" s="320"/>
      <c r="C12" s="320"/>
      <c r="D12" s="321">
        <v>8.4790000000000004E-3</v>
      </c>
    </row>
    <row r="13" spans="1:4" x14ac:dyDescent="0.35">
      <c r="A13" s="319" t="s">
        <v>19</v>
      </c>
      <c r="B13" s="320"/>
      <c r="C13" s="320"/>
      <c r="D13" s="321">
        <v>2E-3</v>
      </c>
    </row>
    <row r="14" spans="1:4" x14ac:dyDescent="0.35">
      <c r="A14" s="319" t="s">
        <v>188</v>
      </c>
      <c r="B14" s="304"/>
      <c r="C14" s="322">
        <v>3.8733999999999998E-2</v>
      </c>
      <c r="D14" s="323">
        <v>3.8406000000000003E-2</v>
      </c>
    </row>
    <row r="15" spans="1:4" x14ac:dyDescent="0.35">
      <c r="A15" s="319"/>
      <c r="B15" s="320"/>
      <c r="C15" s="320"/>
      <c r="D15" s="324"/>
    </row>
    <row r="16" spans="1:4" x14ac:dyDescent="0.35">
      <c r="A16" s="319" t="s">
        <v>20</v>
      </c>
      <c r="B16" s="320"/>
      <c r="C16" s="320"/>
      <c r="D16" s="321">
        <v>4.8884999999999998E-2</v>
      </c>
    </row>
    <row r="17" spans="1:4" x14ac:dyDescent="0.35">
      <c r="A17" s="320"/>
      <c r="B17" s="320"/>
      <c r="C17" s="320"/>
      <c r="D17" s="321"/>
    </row>
    <row r="18" spans="1:4" x14ac:dyDescent="0.35">
      <c r="A18" s="320" t="s">
        <v>182</v>
      </c>
      <c r="B18" s="320"/>
      <c r="C18" s="320"/>
      <c r="D18" s="321">
        <v>0.95111500000000004</v>
      </c>
    </row>
    <row r="19" spans="1:4" x14ac:dyDescent="0.35">
      <c r="A19" s="319" t="s">
        <v>183</v>
      </c>
      <c r="B19" s="320"/>
      <c r="C19" s="325">
        <v>0.21</v>
      </c>
      <c r="D19" s="321">
        <v>0.19973399999999999</v>
      </c>
    </row>
    <row r="20" spans="1:4" ht="15" thickBot="1" x14ac:dyDescent="0.4">
      <c r="A20" s="319" t="s">
        <v>184</v>
      </c>
      <c r="B20" s="320"/>
      <c r="C20" s="320"/>
      <c r="D20" s="326">
        <v>0.75138099999999997</v>
      </c>
    </row>
    <row r="21" spans="1:4" ht="15" thickTop="1" x14ac:dyDescent="0.35"/>
  </sheetData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37" sqref="B37"/>
    </sheetView>
  </sheetViews>
  <sheetFormatPr defaultColWidth="9.1796875" defaultRowHeight="14.5" x14ac:dyDescent="0.35"/>
  <cols>
    <col min="1" max="1" width="5" style="9" bestFit="1" customWidth="1"/>
    <col min="2" max="2" width="75.453125" style="9" bestFit="1" customWidth="1"/>
    <col min="3" max="3" width="9.1796875" style="9"/>
    <col min="4" max="4" width="8.453125" style="9" bestFit="1" customWidth="1"/>
    <col min="5" max="5" width="9.54296875" style="9" bestFit="1" customWidth="1"/>
    <col min="6" max="16384" width="9.1796875" style="9"/>
  </cols>
  <sheetData>
    <row r="1" spans="1:5" x14ac:dyDescent="0.35">
      <c r="A1" s="298"/>
      <c r="B1" s="298"/>
      <c r="C1" s="298"/>
      <c r="D1" s="299" t="s">
        <v>176</v>
      </c>
      <c r="E1" s="300"/>
    </row>
    <row r="2" spans="1:5" x14ac:dyDescent="0.35">
      <c r="A2" s="301" t="s">
        <v>177</v>
      </c>
      <c r="B2" s="301"/>
      <c r="C2" s="302"/>
      <c r="D2" s="302"/>
      <c r="E2" s="302"/>
    </row>
    <row r="3" spans="1:5" x14ac:dyDescent="0.35">
      <c r="A3" s="301" t="s">
        <v>178</v>
      </c>
      <c r="B3" s="301"/>
      <c r="C3" s="302"/>
      <c r="D3" s="302"/>
      <c r="E3" s="302"/>
    </row>
    <row r="4" spans="1:5" x14ac:dyDescent="0.35">
      <c r="A4" s="301" t="s">
        <v>179</v>
      </c>
      <c r="B4" s="301"/>
      <c r="C4" s="302"/>
      <c r="D4" s="302"/>
      <c r="E4" s="302"/>
    </row>
    <row r="5" spans="1:5" x14ac:dyDescent="0.35">
      <c r="A5" s="301" t="s">
        <v>180</v>
      </c>
      <c r="B5" s="301"/>
      <c r="C5" s="302"/>
      <c r="D5" s="302"/>
      <c r="E5" s="302"/>
    </row>
    <row r="6" spans="1:5" x14ac:dyDescent="0.35">
      <c r="A6" s="301" t="s">
        <v>14</v>
      </c>
      <c r="B6" s="301"/>
      <c r="C6" s="301"/>
      <c r="D6" s="301"/>
      <c r="E6" s="301"/>
    </row>
    <row r="7" spans="1:5" x14ac:dyDescent="0.35">
      <c r="A7" s="302"/>
      <c r="B7" s="302"/>
      <c r="C7" s="302"/>
      <c r="D7" s="302"/>
      <c r="E7" s="302"/>
    </row>
    <row r="8" spans="1:5" x14ac:dyDescent="0.35">
      <c r="A8" s="302"/>
      <c r="B8" s="302"/>
      <c r="C8" s="302"/>
      <c r="D8" s="302"/>
      <c r="E8" s="298"/>
    </row>
    <row r="9" spans="1:5" x14ac:dyDescent="0.35">
      <c r="A9" s="303" t="s">
        <v>15</v>
      </c>
      <c r="B9" s="303"/>
      <c r="C9" s="303"/>
      <c r="D9" s="304"/>
      <c r="E9" s="304"/>
    </row>
    <row r="10" spans="1:5" x14ac:dyDescent="0.35">
      <c r="A10" s="305" t="s">
        <v>16</v>
      </c>
      <c r="B10" s="305" t="s">
        <v>17</v>
      </c>
      <c r="C10" s="305"/>
      <c r="D10" s="306"/>
      <c r="E10" s="306"/>
    </row>
    <row r="11" spans="1:5" x14ac:dyDescent="0.35">
      <c r="A11" s="298"/>
      <c r="B11" s="298"/>
      <c r="C11" s="298"/>
      <c r="D11" s="298"/>
      <c r="E11" s="298"/>
    </row>
    <row r="12" spans="1:5" x14ac:dyDescent="0.35">
      <c r="A12" s="307">
        <v>1</v>
      </c>
      <c r="B12" s="308" t="s">
        <v>18</v>
      </c>
      <c r="C12" s="309"/>
      <c r="D12" s="309"/>
      <c r="E12" s="310">
        <v>5.1240000000000001E-3</v>
      </c>
    </row>
    <row r="13" spans="1:5" x14ac:dyDescent="0.35">
      <c r="A13" s="307">
        <v>2</v>
      </c>
      <c r="B13" s="308" t="s">
        <v>19</v>
      </c>
      <c r="C13" s="309"/>
      <c r="D13" s="309"/>
      <c r="E13" s="310">
        <v>2E-3</v>
      </c>
    </row>
    <row r="14" spans="1:5" x14ac:dyDescent="0.35">
      <c r="A14" s="307">
        <v>3</v>
      </c>
      <c r="B14" s="308" t="s">
        <v>181</v>
      </c>
      <c r="C14" s="298"/>
      <c r="D14" s="311">
        <v>3.8519999999999999E-2</v>
      </c>
      <c r="E14" s="312">
        <v>3.8323000000000003E-2</v>
      </c>
    </row>
    <row r="15" spans="1:5" x14ac:dyDescent="0.35">
      <c r="A15" s="307">
        <v>4</v>
      </c>
      <c r="B15" s="308"/>
      <c r="C15" s="309"/>
      <c r="D15" s="309"/>
      <c r="E15" s="313"/>
    </row>
    <row r="16" spans="1:5" x14ac:dyDescent="0.35">
      <c r="A16" s="307">
        <v>5</v>
      </c>
      <c r="B16" s="308" t="s">
        <v>20</v>
      </c>
      <c r="C16" s="309"/>
      <c r="D16" s="309"/>
      <c r="E16" s="310">
        <v>4.5447000000000001E-2</v>
      </c>
    </row>
    <row r="17" spans="1:5" x14ac:dyDescent="0.35">
      <c r="A17" s="307">
        <v>6</v>
      </c>
      <c r="B17" s="309"/>
      <c r="C17" s="309"/>
      <c r="D17" s="309"/>
      <c r="E17" s="310"/>
    </row>
    <row r="18" spans="1:5" x14ac:dyDescent="0.35">
      <c r="A18" s="307">
        <v>7</v>
      </c>
      <c r="B18" s="309" t="s">
        <v>182</v>
      </c>
      <c r="C18" s="309"/>
      <c r="D18" s="309"/>
      <c r="E18" s="310">
        <v>0.95455299999999998</v>
      </c>
    </row>
    <row r="19" spans="1:5" x14ac:dyDescent="0.35">
      <c r="A19" s="307">
        <v>8</v>
      </c>
      <c r="B19" s="308" t="s">
        <v>183</v>
      </c>
      <c r="C19" s="309"/>
      <c r="D19" s="314">
        <v>0.21</v>
      </c>
      <c r="E19" s="310">
        <v>0.200456</v>
      </c>
    </row>
    <row r="20" spans="1:5" ht="15" thickBot="1" x14ac:dyDescent="0.4">
      <c r="A20" s="307">
        <v>9</v>
      </c>
      <c r="B20" s="308" t="s">
        <v>184</v>
      </c>
      <c r="C20" s="309"/>
      <c r="D20" s="309"/>
      <c r="E20" s="315">
        <v>0.75409700000000002</v>
      </c>
    </row>
    <row r="21" spans="1:5" ht="15" thickTop="1" x14ac:dyDescent="0.35"/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A302F8A4DB840BD538F4440233148" ma:contentTypeVersion="44" ma:contentTypeDescription="" ma:contentTypeScope="" ma:versionID="520c0c09c666f0177a724b696d8c5f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21229B-23B8-4D60-B30E-097E759DF32F}"/>
</file>

<file path=customXml/itemProps2.xml><?xml version="1.0" encoding="utf-8"?>
<ds:datastoreItem xmlns:ds="http://schemas.openxmlformats.org/officeDocument/2006/customXml" ds:itemID="{0C044E6D-5CEC-42CD-9E03-10EAFB4EF9B8}"/>
</file>

<file path=customXml/itemProps3.xml><?xml version="1.0" encoding="utf-8"?>
<ds:datastoreItem xmlns:ds="http://schemas.openxmlformats.org/officeDocument/2006/customXml" ds:itemID="{30822C60-96AB-42FE-B18F-D0444E476BC8}"/>
</file>

<file path=customXml/itemProps4.xml><?xml version="1.0" encoding="utf-8"?>
<ds:datastoreItem xmlns:ds="http://schemas.openxmlformats.org/officeDocument/2006/customXml" ds:itemID="{B1809F4A-F902-4144-9EAE-E6FEF7C3E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2021 Rev Req Estimate</vt:lpstr>
      <vt:lpstr>Est Pmt due Apr&amp;Oct 2021</vt:lpstr>
      <vt:lpstr>Electric summary 2021</vt:lpstr>
      <vt:lpstr>Gas summary 2021</vt:lpstr>
      <vt:lpstr>2020 FINAL Rev Req </vt:lpstr>
      <vt:lpstr>Elec Load Variance 2020</vt:lpstr>
      <vt:lpstr>Gas Load Variance 2020</vt:lpstr>
      <vt:lpstr>E Conv Fctr 2021</vt:lpstr>
      <vt:lpstr>G Conv Fctr 2021</vt:lpstr>
      <vt:lpstr>'Gas Load Variance 2020'!Print_Area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2021-03-30T22:10:36Z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0x0101006E56B4D1795A2E4DB2F0B01679ED314A00690A302F8A4DB840BD538F4440233148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