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customProperty5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xl/customProperty23.bin" ContentType="application/vnd.openxmlformats-officedocument.spreadsheetml.customProperty"/>
  <Override PartName="/xl/calcChain.xml" ContentType="application/vnd.openxmlformats-officedocument.spreadsheetml.calcChain+xml"/>
  <Override PartName="/xl/customProperty22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ustomProperty21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9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9.bin" ContentType="application/vnd.openxmlformats-officedocument.spreadsheetml.customProperty"/>
  <Override PartName="/xl/comments2.xml" ContentType="application/vnd.openxmlformats-officedocument.spreadsheetml.comments+xml"/>
  <Override PartName="/xl/customProperty20.bin" ContentType="application/vnd.openxmlformats-officedocument.spreadsheetml.customProperty"/>
  <Override PartName="/xl/customProperty18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Decoupling\2021 Decoupling Filing\Filed 03-31-2021\"/>
    </mc:Choice>
  </mc:AlternateContent>
  <bookViews>
    <workbookView xWindow="9270" yWindow="105" windowWidth="12480" windowHeight="8280" tabRatio="921"/>
  </bookViews>
  <sheets>
    <sheet name="Delivery Rate Change Calc" sheetId="56" r:id="rId1"/>
    <sheet name="Summary of Rates" sheetId="57" r:id="rId2"/>
    <sheet name="RateDev (31,31T,41,41T,86,86T)" sheetId="58" r:id="rId3"/>
    <sheet name="Rate Test" sheetId="59" r:id="rId4"/>
    <sheet name="Earnings Test Alloc" sheetId="15" r:id="rId5"/>
    <sheet name="Rate Impacts--&gt;" sheetId="46" r:id="rId6"/>
    <sheet name="Rate Sch Impacts Sch 142" sheetId="52" r:id="rId7"/>
    <sheet name="Sch 142 Revenue Impacts" sheetId="60" r:id="rId8"/>
    <sheet name="Typical Res Bill SCH 142" sheetId="53" r:id="rId9"/>
    <sheet name="Balances -&gt;" sheetId="51" r:id="rId10"/>
    <sheet name="Deferral Balance" sheetId="61" r:id="rId11"/>
    <sheet name="Historic Account Balances" sheetId="23" r:id="rId12"/>
    <sheet name="Amort Estimate" sheetId="62" r:id="rId13"/>
    <sheet name="Work Papers--&gt;" sheetId="36" r:id="rId14"/>
    <sheet name="Sch23&amp;53 Deferral Calc" sheetId="40" r:id="rId15"/>
    <sheet name="Sch31&amp;31T Deferral Calc" sheetId="41" r:id="rId16"/>
    <sheet name="Sch 41&amp;86 Deferral Calc" sheetId="42" r:id="rId17"/>
    <sheet name="F2020 Forecast" sheetId="21" r:id="rId18"/>
    <sheet name="2020 Weather Adj" sheetId="55" r:id="rId19"/>
    <sheet name="2020 Gas Margin Calc" sheetId="18" r:id="rId20"/>
    <sheet name="2019 GRC Volumetric DeliveryRev" sheetId="22" r:id="rId21"/>
    <sheet name="2019 GRC Conversion Factor" sheetId="26" r:id="rId22"/>
    <sheet name="2020 Gas Earnings Test" sheetId="48" r:id="rId23"/>
  </sheets>
  <definedNames>
    <definedName name="ee" localSheetId="18" hidden="1">{#N/A,#N/A,FALSE,"Month ";#N/A,#N/A,FALSE,"YTD";#N/A,#N/A,FALSE,"12 mo ended"}</definedName>
    <definedName name="ee" localSheetId="12" hidden="1">{#N/A,#N/A,FALSE,"Month ";#N/A,#N/A,FALSE,"YTD";#N/A,#N/A,FALSE,"12 mo ended"}</definedName>
    <definedName name="ee" localSheetId="10" hidden="1">{#N/A,#N/A,FALSE,"Month ";#N/A,#N/A,FALSE,"YTD";#N/A,#N/A,FALSE,"12 mo ended"}</definedName>
    <definedName name="ee" localSheetId="0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7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fdasfdas" localSheetId="1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8" hidden="1">{#N/A,#N/A,FALSE,"Month ";#N/A,#N/A,FALSE,"YTD";#N/A,#N/A,FALSE,"12 mo ended"}</definedName>
    <definedName name="fdsafdasfdsa" localSheetId="12" hidden="1">{#N/A,#N/A,FALSE,"Month ";#N/A,#N/A,FALSE,"YTD";#N/A,#N/A,FALSE,"12 mo ended"}</definedName>
    <definedName name="fdsafdasfdsa" localSheetId="10" hidden="1">{#N/A,#N/A,FALSE,"Month ";#N/A,#N/A,FALSE,"YTD";#N/A,#N/A,FALSE,"12 mo ended"}</definedName>
    <definedName name="fdsafdasfdsa" localSheetId="0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7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k" localSheetId="1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localSheetId="1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localSheetId="18" hidden="1">{#N/A,#N/A,FALSE,"Pg 6b CustCount_Gas";#N/A,#N/A,FALSE,"QA";#N/A,#N/A,FALSE,"Report";#N/A,#N/A,FALSE,"forecast"}</definedName>
    <definedName name="we" localSheetId="12" hidden="1">{#N/A,#N/A,FALSE,"Pg 6b CustCount_Gas";#N/A,#N/A,FALSE,"QA";#N/A,#N/A,FALSE,"Report";#N/A,#N/A,FALSE,"forecast"}</definedName>
    <definedName name="we" localSheetId="10" hidden="1">{#N/A,#N/A,FALSE,"Pg 6b CustCount_Gas";#N/A,#N/A,FALSE,"QA";#N/A,#N/A,FALSE,"Report";#N/A,#N/A,FALSE,"forecast"}</definedName>
    <definedName name="we" localSheetId="0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7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Customer._.Counts._.Electric." localSheetId="1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8" hidden="1">{#N/A,#N/A,FALSE,"Pg 6b CustCount_Gas";#N/A,#N/A,FALSE,"QA";#N/A,#N/A,FALSE,"Report";#N/A,#N/A,FALSE,"forecast"}</definedName>
    <definedName name="wrn.Customer._.Counts._.Gas." localSheetId="12" hidden="1">{#N/A,#N/A,FALSE,"Pg 6b CustCount_Gas";#N/A,#N/A,FALSE,"QA";#N/A,#N/A,FALSE,"Report";#N/A,#N/A,FALSE,"forecast"}</definedName>
    <definedName name="wrn.Customer._.Counts._.Gas." localSheetId="10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18" hidden="1">{#N/A,#N/A,FALSE,"Coversheet";#N/A,#N/A,FALSE,"QA"}</definedName>
    <definedName name="wrn.Incentive._.Overhead." localSheetId="12" hidden="1">{#N/A,#N/A,FALSE,"Coversheet";#N/A,#N/A,FALSE,"QA"}</definedName>
    <definedName name="wrn.Incentive._.Overhead." localSheetId="10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7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MARGIN_WO_QTR." localSheetId="18" hidden="1">{#N/A,#N/A,FALSE,"Month ";#N/A,#N/A,FALSE,"YTD";#N/A,#N/A,FALSE,"12 mo ended"}</definedName>
    <definedName name="wrn.MARGIN_WO_QTR." localSheetId="12" hidden="1">{#N/A,#N/A,FALSE,"Month ";#N/A,#N/A,FALSE,"YTD";#N/A,#N/A,FALSE,"12 mo ended"}</definedName>
    <definedName name="wrn.MARGIN_WO_QTR." localSheetId="10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</definedNames>
  <calcPr calcId="162913" iterate="1" calcOnSave="0"/>
</workbook>
</file>

<file path=xl/calcChain.xml><?xml version="1.0" encoding="utf-8"?>
<calcChain xmlns="http://schemas.openxmlformats.org/spreadsheetml/2006/main">
  <c r="A2" i="62" l="1"/>
  <c r="A4" i="62"/>
  <c r="E7" i="62"/>
  <c r="A9" i="62"/>
  <c r="A10" i="62" s="1"/>
  <c r="A11" i="62" s="1"/>
  <c r="A12" i="62" s="1"/>
  <c r="A13" i="62" s="1"/>
  <c r="A14" i="62" s="1"/>
  <c r="A15" i="62" s="1"/>
  <c r="A16" i="62" s="1"/>
  <c r="A17" i="62" s="1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2" i="61"/>
  <c r="A4" i="61"/>
  <c r="A10" i="61"/>
  <c r="A11" i="61" s="1"/>
  <c r="A12" i="61" s="1"/>
  <c r="A13" i="61" s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D12" i="61"/>
  <c r="E12" i="61"/>
  <c r="F12" i="61"/>
  <c r="D14" i="61"/>
  <c r="E14" i="61"/>
  <c r="F14" i="61"/>
  <c r="A2" i="60"/>
  <c r="A4" i="60"/>
  <c r="D9" i="60"/>
  <c r="D15" i="60"/>
  <c r="D20" i="60"/>
  <c r="G24" i="60"/>
  <c r="G28" i="60"/>
  <c r="G33" i="60"/>
  <c r="G36" i="60"/>
  <c r="D25" i="60" l="1"/>
  <c r="G25" i="60" s="1"/>
  <c r="G55" i="60"/>
  <c r="G52" i="60"/>
  <c r="G47" i="60"/>
  <c r="D61" i="60"/>
  <c r="G15" i="60"/>
  <c r="G54" i="60"/>
  <c r="G48" i="60"/>
  <c r="D60" i="60"/>
  <c r="G37" i="60"/>
  <c r="G29" i="60"/>
  <c r="G27" i="60"/>
  <c r="G11" i="60"/>
  <c r="D45" i="60"/>
  <c r="G45" i="60" s="1"/>
  <c r="D34" i="60"/>
  <c r="H34" i="60" s="1"/>
  <c r="G19" i="60"/>
  <c r="G44" i="60"/>
  <c r="G14" i="60"/>
  <c r="G38" i="60"/>
  <c r="H20" i="60"/>
  <c r="G20" i="60"/>
  <c r="A2" i="59"/>
  <c r="A4" i="59"/>
  <c r="A12" i="59"/>
  <c r="A13" i="59"/>
  <c r="C15" i="59" s="1"/>
  <c r="A14" i="59"/>
  <c r="A15" i="59"/>
  <c r="A16" i="59" s="1"/>
  <c r="A17" i="59" s="1"/>
  <c r="A18" i="59" s="1"/>
  <c r="A19" i="59" s="1"/>
  <c r="D10" i="62"/>
  <c r="E10" i="62" s="1"/>
  <c r="D19" i="62"/>
  <c r="E19" i="62" s="1"/>
  <c r="D28" i="62"/>
  <c r="E28" i="62" s="1"/>
  <c r="G56" i="60" l="1"/>
  <c r="G21" i="60"/>
  <c r="G30" i="60"/>
  <c r="G16" i="60"/>
  <c r="G34" i="60"/>
  <c r="G39" i="60" s="1"/>
  <c r="G49" i="60"/>
  <c r="G58" i="60"/>
  <c r="C21" i="59"/>
  <c r="A20" i="59"/>
  <c r="A21" i="59" s="1"/>
  <c r="A2" i="58"/>
  <c r="A4" i="58"/>
  <c r="A12" i="58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A34" i="58" s="1"/>
  <c r="A35" i="58" s="1"/>
  <c r="A36" i="58" s="1"/>
  <c r="A37" i="58" s="1"/>
  <c r="A38" i="58" s="1"/>
  <c r="A39" i="58" s="1"/>
  <c r="A40" i="58" s="1"/>
  <c r="A41" i="58" s="1"/>
  <c r="A42" i="58" s="1"/>
  <c r="A43" i="58" s="1"/>
  <c r="A44" i="58" s="1"/>
  <c r="A45" i="58" s="1"/>
  <c r="A46" i="58" s="1"/>
  <c r="A47" i="58" s="1"/>
  <c r="A48" i="58" s="1"/>
  <c r="A49" i="58" s="1"/>
  <c r="A50" i="58" s="1"/>
  <c r="A51" i="58" s="1"/>
  <c r="G41" i="60" l="1"/>
  <c r="G60" i="60"/>
  <c r="A22" i="59"/>
  <c r="A23" i="59" s="1"/>
  <c r="A24" i="59" s="1"/>
  <c r="A25" i="59" s="1"/>
  <c r="C23" i="59"/>
  <c r="C27" i="59" l="1"/>
  <c r="A26" i="59"/>
  <c r="A27" i="59" s="1"/>
  <c r="A28" i="59" l="1"/>
  <c r="A29" i="59" s="1"/>
  <c r="C29" i="59"/>
  <c r="A2" i="57" l="1"/>
  <c r="A4" i="57"/>
  <c r="A11" i="57"/>
  <c r="A12" i="57" s="1"/>
  <c r="A13" i="57" s="1"/>
  <c r="A14" i="57" s="1"/>
  <c r="A15" i="57" s="1"/>
  <c r="A16" i="57" s="1"/>
  <c r="A17" i="57" s="1"/>
  <c r="A18" i="57" s="1"/>
  <c r="A19" i="57" s="1"/>
  <c r="A20" i="57" s="1"/>
  <c r="A21" i="57" s="1"/>
  <c r="A22" i="57" s="1"/>
  <c r="A12" i="56"/>
  <c r="A13" i="56"/>
  <c r="A14" i="56"/>
  <c r="A15" i="56"/>
  <c r="A16" i="56"/>
  <c r="A17" i="56"/>
  <c r="A18" i="56"/>
  <c r="A19" i="56"/>
  <c r="A20" i="56" s="1"/>
  <c r="CV114" i="23"/>
  <c r="CW114" i="23"/>
  <c r="CV105" i="23"/>
  <c r="CV84" i="23"/>
  <c r="CW84" i="23"/>
  <c r="CV74" i="23"/>
  <c r="CV66" i="23"/>
  <c r="CV47" i="23"/>
  <c r="CV38" i="23"/>
  <c r="CV30" i="23"/>
  <c r="CV13" i="23"/>
  <c r="O28" i="42"/>
  <c r="O30" i="42"/>
  <c r="P30" i="42"/>
  <c r="CW38" i="23" s="1"/>
  <c r="N22" i="42"/>
  <c r="O22" i="42"/>
  <c r="N18" i="42"/>
  <c r="O18" i="42" s="1"/>
  <c r="P10" i="42"/>
  <c r="P14" i="42" s="1"/>
  <c r="P28" i="42" s="1"/>
  <c r="CW74" i="23" s="1"/>
  <c r="O10" i="42"/>
  <c r="O14" i="42" s="1"/>
  <c r="O6" i="42"/>
  <c r="P6" i="42" s="1"/>
  <c r="O22" i="41"/>
  <c r="O18" i="41"/>
  <c r="P30" i="41"/>
  <c r="CW30" i="23" s="1"/>
  <c r="O30" i="41"/>
  <c r="P10" i="41"/>
  <c r="P14" i="41" s="1"/>
  <c r="P28" i="41" s="1"/>
  <c r="CW66" i="23" s="1"/>
  <c r="O10" i="41"/>
  <c r="O14" i="41" s="1"/>
  <c r="O6" i="41"/>
  <c r="P6" i="41" s="1"/>
  <c r="P18" i="40"/>
  <c r="P20" i="40" s="1"/>
  <c r="P14" i="40"/>
  <c r="P10" i="40"/>
  <c r="O32" i="40"/>
  <c r="P32" i="40"/>
  <c r="P42" i="40" s="1"/>
  <c r="CW13" i="23" s="1"/>
  <c r="O42" i="40"/>
  <c r="O18" i="40"/>
  <c r="O14" i="40"/>
  <c r="O10" i="40"/>
  <c r="O6" i="40"/>
  <c r="P6" i="40" s="1"/>
  <c r="A23" i="57" l="1"/>
  <c r="A24" i="57" s="1"/>
  <c r="A25" i="57" s="1"/>
  <c r="A26" i="57" s="1"/>
  <c r="A27" i="57" s="1"/>
  <c r="A28" i="57" s="1"/>
  <c r="A29" i="57" s="1"/>
  <c r="A30" i="57" s="1"/>
  <c r="A31" i="57" s="1"/>
  <c r="A32" i="57" s="1"/>
  <c r="A33" i="57" s="1"/>
  <c r="A34" i="57" s="1"/>
  <c r="A35" i="57" s="1"/>
  <c r="A36" i="57" s="1"/>
  <c r="A37" i="57" s="1"/>
  <c r="A38" i="57" s="1"/>
  <c r="A39" i="57" s="1"/>
  <c r="A40" i="57" s="1"/>
  <c r="A41" i="57" s="1"/>
  <c r="A42" i="57" s="1"/>
  <c r="A43" i="57" s="1"/>
  <c r="A44" i="57" s="1"/>
  <c r="A45" i="57" s="1"/>
  <c r="A46" i="57" s="1"/>
  <c r="A47" i="57" s="1"/>
  <c r="A48" i="57" s="1"/>
  <c r="A49" i="57" s="1"/>
  <c r="A50" i="57" s="1"/>
  <c r="A51" i="57" s="1"/>
  <c r="A52" i="57" s="1"/>
  <c r="A53" i="57" s="1"/>
  <c r="A54" i="57" s="1"/>
  <c r="A55" i="57" s="1"/>
  <c r="A56" i="57" s="1"/>
  <c r="P18" i="42"/>
  <c r="P22" i="42"/>
  <c r="P22" i="41"/>
  <c r="A21" i="56"/>
  <c r="A22" i="56" s="1"/>
  <c r="A23" i="56" s="1"/>
  <c r="A24" i="56" s="1"/>
  <c r="A25" i="56" s="1"/>
  <c r="A26" i="56" s="1"/>
  <c r="A27" i="56" s="1"/>
  <c r="A28" i="56" s="1"/>
  <c r="A29" i="56" s="1"/>
  <c r="A30" i="56" s="1"/>
  <c r="C20" i="56"/>
  <c r="CW105" i="23"/>
  <c r="P18" i="41"/>
  <c r="O28" i="41"/>
  <c r="P22" i="40"/>
  <c r="P40" i="40" s="1"/>
  <c r="CW47" i="23" s="1"/>
  <c r="O20" i="40"/>
  <c r="O22" i="40" s="1"/>
  <c r="O34" i="40" s="1"/>
  <c r="P34" i="40" s="1"/>
  <c r="A31" i="56" l="1"/>
  <c r="A32" i="56" s="1"/>
  <c r="A33" i="56" s="1"/>
  <c r="A34" i="56" s="1"/>
  <c r="A35" i="56" s="1"/>
  <c r="A36" i="56" s="1"/>
  <c r="C32" i="56"/>
  <c r="C24" i="56"/>
  <c r="C30" i="56"/>
  <c r="O40" i="40"/>
  <c r="C36" i="56" l="1"/>
  <c r="O26" i="40"/>
  <c r="P26" i="40" s="1"/>
  <c r="E6" i="55" l="1"/>
  <c r="F6" i="55" s="1"/>
  <c r="G6" i="55" s="1"/>
  <c r="H6" i="55"/>
  <c r="I6" i="55" s="1"/>
  <c r="J6" i="55" s="1"/>
  <c r="K6" i="55"/>
  <c r="L6" i="55" s="1"/>
  <c r="M6" i="55" s="1"/>
  <c r="N6" i="55" s="1"/>
  <c r="O6" i="55" s="1"/>
  <c r="D128" i="55"/>
  <c r="D180" i="55" s="1"/>
  <c r="F128" i="55"/>
  <c r="F180" i="55" s="1"/>
  <c r="H128" i="55"/>
  <c r="H180" i="55" s="1"/>
  <c r="J128" i="55"/>
  <c r="J180" i="55" s="1"/>
  <c r="K128" i="55"/>
  <c r="K180" i="55" s="1"/>
  <c r="L128" i="55"/>
  <c r="L180" i="55" s="1"/>
  <c r="N128" i="55"/>
  <c r="N180" i="55" s="1"/>
  <c r="O128" i="55"/>
  <c r="O180" i="55" s="1"/>
  <c r="D129" i="55"/>
  <c r="E129" i="55"/>
  <c r="F129" i="55"/>
  <c r="G129" i="55"/>
  <c r="H129" i="55"/>
  <c r="I129" i="55"/>
  <c r="J129" i="55"/>
  <c r="K129" i="55"/>
  <c r="L129" i="55"/>
  <c r="M129" i="55"/>
  <c r="N129" i="55"/>
  <c r="O129" i="55"/>
  <c r="D130" i="55"/>
  <c r="E130" i="55"/>
  <c r="G130" i="55"/>
  <c r="H130" i="55"/>
  <c r="I130" i="55"/>
  <c r="J130" i="55"/>
  <c r="K130" i="55"/>
  <c r="L130" i="55"/>
  <c r="M130" i="55"/>
  <c r="N130" i="55"/>
  <c r="O130" i="55"/>
  <c r="O184" i="55" s="1"/>
  <c r="O220" i="55" s="1"/>
  <c r="D133" i="55"/>
  <c r="F133" i="55"/>
  <c r="G133" i="55"/>
  <c r="H133" i="55"/>
  <c r="J133" i="55"/>
  <c r="K133" i="55"/>
  <c r="L133" i="55"/>
  <c r="M133" i="55"/>
  <c r="N133" i="55"/>
  <c r="O133" i="55"/>
  <c r="D134" i="55"/>
  <c r="E134" i="55"/>
  <c r="F134" i="55"/>
  <c r="H134" i="55"/>
  <c r="I134" i="55"/>
  <c r="J134" i="55"/>
  <c r="K134" i="55"/>
  <c r="L134" i="55"/>
  <c r="N134" i="55"/>
  <c r="O134" i="55"/>
  <c r="D135" i="55"/>
  <c r="G135" i="55"/>
  <c r="H135" i="55"/>
  <c r="I135" i="55"/>
  <c r="J135" i="55"/>
  <c r="K135" i="55"/>
  <c r="L135" i="55"/>
  <c r="N135" i="55"/>
  <c r="O135" i="55"/>
  <c r="D131" i="55"/>
  <c r="E131" i="55"/>
  <c r="H131" i="55"/>
  <c r="H244" i="55" s="1"/>
  <c r="I131" i="55"/>
  <c r="K131" i="55"/>
  <c r="L131" i="55"/>
  <c r="M131" i="55"/>
  <c r="O131" i="55"/>
  <c r="O189" i="55" s="1"/>
  <c r="O224" i="55" s="1"/>
  <c r="D132" i="55"/>
  <c r="F132" i="55"/>
  <c r="G132" i="55"/>
  <c r="H132" i="55"/>
  <c r="I132" i="55"/>
  <c r="J132" i="55"/>
  <c r="K132" i="55"/>
  <c r="L132" i="55"/>
  <c r="N132" i="55"/>
  <c r="O132" i="55"/>
  <c r="D136" i="55"/>
  <c r="E136" i="55"/>
  <c r="F136" i="55"/>
  <c r="G136" i="55"/>
  <c r="H136" i="55"/>
  <c r="I136" i="55"/>
  <c r="J136" i="55"/>
  <c r="K136" i="55"/>
  <c r="L136" i="55"/>
  <c r="M136" i="55"/>
  <c r="N136" i="55"/>
  <c r="O136" i="55"/>
  <c r="D137" i="55"/>
  <c r="E137" i="55"/>
  <c r="F137" i="55"/>
  <c r="G137" i="55"/>
  <c r="H137" i="55"/>
  <c r="I137" i="55"/>
  <c r="J137" i="55"/>
  <c r="K137" i="55"/>
  <c r="L137" i="55"/>
  <c r="M137" i="55"/>
  <c r="N137" i="55"/>
  <c r="O137" i="55"/>
  <c r="D138" i="55"/>
  <c r="F138" i="55"/>
  <c r="F192" i="55" s="1"/>
  <c r="F227" i="55" s="1"/>
  <c r="G138" i="55"/>
  <c r="H138" i="55"/>
  <c r="I138" i="55"/>
  <c r="I192" i="55" s="1"/>
  <c r="I227" i="55" s="1"/>
  <c r="J138" i="55"/>
  <c r="K138" i="55"/>
  <c r="K192" i="55" s="1"/>
  <c r="K227" i="55" s="1"/>
  <c r="L138" i="55"/>
  <c r="M138" i="55"/>
  <c r="N138" i="55"/>
  <c r="O138" i="55"/>
  <c r="O192" i="55" s="1"/>
  <c r="O227" i="55" s="1"/>
  <c r="D139" i="55"/>
  <c r="F139" i="55"/>
  <c r="G139" i="55"/>
  <c r="H139" i="55"/>
  <c r="I139" i="55"/>
  <c r="J139" i="55"/>
  <c r="K139" i="55"/>
  <c r="L139" i="55"/>
  <c r="M139" i="55"/>
  <c r="N139" i="55"/>
  <c r="O139" i="55"/>
  <c r="E67" i="55"/>
  <c r="F67" i="55"/>
  <c r="E199" i="55"/>
  <c r="F199" i="55"/>
  <c r="H199" i="55"/>
  <c r="J199" i="55"/>
  <c r="N199" i="55"/>
  <c r="F68" i="55"/>
  <c r="J68" i="55"/>
  <c r="N68" i="55"/>
  <c r="F69" i="55"/>
  <c r="N69" i="55"/>
  <c r="D202" i="55"/>
  <c r="E202" i="55"/>
  <c r="F202" i="55"/>
  <c r="G202" i="55"/>
  <c r="H202" i="55"/>
  <c r="I202" i="55"/>
  <c r="J202" i="55"/>
  <c r="K202" i="55"/>
  <c r="L202" i="55"/>
  <c r="M202" i="55"/>
  <c r="N202" i="55"/>
  <c r="O202" i="55"/>
  <c r="F74" i="55"/>
  <c r="J74" i="55"/>
  <c r="N74" i="55"/>
  <c r="F75" i="55"/>
  <c r="N75" i="55"/>
  <c r="F76" i="55"/>
  <c r="D200" i="55"/>
  <c r="I77" i="55"/>
  <c r="J77" i="55"/>
  <c r="L200" i="55"/>
  <c r="H201" i="55"/>
  <c r="L201" i="55"/>
  <c r="M70" i="55"/>
  <c r="D203" i="55"/>
  <c r="H203" i="55"/>
  <c r="H204" i="55"/>
  <c r="G205" i="55"/>
  <c r="K205" i="55"/>
  <c r="O205" i="55"/>
  <c r="G206" i="55"/>
  <c r="K206" i="55"/>
  <c r="O206" i="55"/>
  <c r="D207" i="55"/>
  <c r="E207" i="55"/>
  <c r="F207" i="55"/>
  <c r="G207" i="55"/>
  <c r="H207" i="55"/>
  <c r="I207" i="55"/>
  <c r="J207" i="55"/>
  <c r="K207" i="55"/>
  <c r="L207" i="55"/>
  <c r="N207" i="55"/>
  <c r="O207" i="55"/>
  <c r="D71" i="55"/>
  <c r="E71" i="55"/>
  <c r="I71" i="55"/>
  <c r="I72" i="55"/>
  <c r="M72" i="55"/>
  <c r="H73" i="55"/>
  <c r="E208" i="55"/>
  <c r="E209" i="55"/>
  <c r="I209" i="55"/>
  <c r="M209" i="55"/>
  <c r="D210" i="55"/>
  <c r="E210" i="55"/>
  <c r="F210" i="55"/>
  <c r="G210" i="55"/>
  <c r="H210" i="55"/>
  <c r="I210" i="55"/>
  <c r="J210" i="55"/>
  <c r="K210" i="55"/>
  <c r="L210" i="55"/>
  <c r="M210" i="55"/>
  <c r="N210" i="55"/>
  <c r="O210" i="55"/>
  <c r="E211" i="55"/>
  <c r="I211" i="55"/>
  <c r="M211" i="55"/>
  <c r="D212" i="55"/>
  <c r="E212" i="55"/>
  <c r="G212" i="55"/>
  <c r="H212" i="55"/>
  <c r="I212" i="55"/>
  <c r="K212" i="55"/>
  <c r="L212" i="55"/>
  <c r="M212" i="55"/>
  <c r="O212" i="55"/>
  <c r="D70" i="55"/>
  <c r="E70" i="55"/>
  <c r="D83" i="55"/>
  <c r="E128" i="55"/>
  <c r="I128" i="55"/>
  <c r="I180" i="55" s="1"/>
  <c r="M128" i="55"/>
  <c r="B129" i="55"/>
  <c r="C129" i="55"/>
  <c r="F130" i="55"/>
  <c r="E132" i="55"/>
  <c r="M132" i="55"/>
  <c r="M247" i="55" s="1"/>
  <c r="B133" i="55"/>
  <c r="C133" i="55"/>
  <c r="E133" i="55"/>
  <c r="I133" i="55"/>
  <c r="B134" i="55"/>
  <c r="C134" i="55"/>
  <c r="M134" i="55"/>
  <c r="B135" i="55"/>
  <c r="C135" i="55"/>
  <c r="E135" i="55"/>
  <c r="M135" i="55"/>
  <c r="E138" i="55"/>
  <c r="P161" i="55"/>
  <c r="P165" i="55"/>
  <c r="P166" i="55"/>
  <c r="P170" i="55"/>
  <c r="P173" i="55"/>
  <c r="E184" i="55"/>
  <c r="E220" i="55" s="1"/>
  <c r="I184" i="55"/>
  <c r="I220" i="55" s="1"/>
  <c r="M184" i="55"/>
  <c r="M220" i="55" s="1"/>
  <c r="P185" i="55"/>
  <c r="E189" i="55"/>
  <c r="E224" i="55" s="1"/>
  <c r="M199" i="55"/>
  <c r="M207" i="55"/>
  <c r="E247" i="55" l="1"/>
  <c r="K83" i="55"/>
  <c r="D209" i="55"/>
  <c r="D204" i="55"/>
  <c r="D211" i="55"/>
  <c r="H206" i="55"/>
  <c r="D199" i="55"/>
  <c r="O209" i="55"/>
  <c r="K204" i="55"/>
  <c r="D247" i="55"/>
  <c r="L184" i="55"/>
  <c r="L220" i="55" s="1"/>
  <c r="L243" i="55"/>
  <c r="H184" i="55"/>
  <c r="H220" i="55" s="1"/>
  <c r="H243" i="55"/>
  <c r="D184" i="55"/>
  <c r="D243" i="55"/>
  <c r="H242" i="55"/>
  <c r="K200" i="55"/>
  <c r="G247" i="55"/>
  <c r="K189" i="55"/>
  <c r="K224" i="55" s="1"/>
  <c r="K244" i="55"/>
  <c r="G242" i="55"/>
  <c r="N247" i="55"/>
  <c r="J247" i="55"/>
  <c r="F247" i="55"/>
  <c r="N184" i="55"/>
  <c r="N220" i="55" s="1"/>
  <c r="N243" i="55"/>
  <c r="J184" i="55"/>
  <c r="J220" i="55" s="1"/>
  <c r="J243" i="55"/>
  <c r="N242" i="55"/>
  <c r="J242" i="55"/>
  <c r="F242" i="55"/>
  <c r="L206" i="55"/>
  <c r="H205" i="55"/>
  <c r="D205" i="55"/>
  <c r="D201" i="55"/>
  <c r="D213" i="55" s="1"/>
  <c r="D73" i="55"/>
  <c r="D105" i="55" s="1"/>
  <c r="L247" i="55"/>
  <c r="H247" i="55"/>
  <c r="L244" i="55"/>
  <c r="D189" i="55"/>
  <c r="D224" i="55" s="1"/>
  <c r="D244" i="55"/>
  <c r="L242" i="55"/>
  <c r="D242" i="55"/>
  <c r="K247" i="55"/>
  <c r="K184" i="55"/>
  <c r="K220" i="55" s="1"/>
  <c r="K243" i="55"/>
  <c r="G184" i="55"/>
  <c r="G220" i="55" s="1"/>
  <c r="G243" i="55"/>
  <c r="K242" i="55"/>
  <c r="F184" i="55"/>
  <c r="F220" i="55" s="1"/>
  <c r="F243" i="55"/>
  <c r="I247" i="55"/>
  <c r="M189" i="55"/>
  <c r="M224" i="55" s="1"/>
  <c r="M244" i="55"/>
  <c r="I189" i="55"/>
  <c r="I224" i="55" s="1"/>
  <c r="I244" i="55"/>
  <c r="E244" i="55"/>
  <c r="M243" i="55"/>
  <c r="I243" i="55"/>
  <c r="E243" i="55"/>
  <c r="M242" i="55"/>
  <c r="I242" i="55"/>
  <c r="E242" i="55"/>
  <c r="L209" i="55"/>
  <c r="L199" i="55"/>
  <c r="L73" i="55"/>
  <c r="H71" i="55"/>
  <c r="E192" i="55"/>
  <c r="E227" i="55" s="1"/>
  <c r="H209" i="55"/>
  <c r="H208" i="55"/>
  <c r="L205" i="55"/>
  <c r="H211" i="55"/>
  <c r="I205" i="55"/>
  <c r="I204" i="55"/>
  <c r="I203" i="55"/>
  <c r="E201" i="55"/>
  <c r="M203" i="55"/>
  <c r="M208" i="55"/>
  <c r="M206" i="55"/>
  <c r="E206" i="55"/>
  <c r="M204" i="55"/>
  <c r="I201" i="55"/>
  <c r="M200" i="55"/>
  <c r="I208" i="55"/>
  <c r="L83" i="55"/>
  <c r="E76" i="55"/>
  <c r="O75" i="55"/>
  <c r="O74" i="55"/>
  <c r="G74" i="55"/>
  <c r="G68" i="55"/>
  <c r="D208" i="55"/>
  <c r="J211" i="55"/>
  <c r="N209" i="55"/>
  <c r="N208" i="55"/>
  <c r="N203" i="55"/>
  <c r="P16" i="55"/>
  <c r="I199" i="55"/>
  <c r="I70" i="55"/>
  <c r="E77" i="55"/>
  <c r="F211" i="55"/>
  <c r="F209" i="55"/>
  <c r="F203" i="55"/>
  <c r="M76" i="55"/>
  <c r="O211" i="55"/>
  <c r="K211" i="55"/>
  <c r="G209" i="55"/>
  <c r="O204" i="55"/>
  <c r="G204" i="55"/>
  <c r="O201" i="55"/>
  <c r="O68" i="55"/>
  <c r="H76" i="55"/>
  <c r="D76" i="55"/>
  <c r="D108" i="55" s="1"/>
  <c r="L74" i="55"/>
  <c r="L106" i="55" s="1"/>
  <c r="L120" i="55" s="1"/>
  <c r="L249" i="55" s="1"/>
  <c r="H74" i="55"/>
  <c r="D74" i="55"/>
  <c r="D106" i="55" s="1"/>
  <c r="D120" i="55" s="1"/>
  <c r="D186" i="55" s="1"/>
  <c r="L69" i="55"/>
  <c r="H69" i="55"/>
  <c r="D69" i="55"/>
  <c r="D102" i="55" s="1"/>
  <c r="D116" i="55" s="1"/>
  <c r="D68" i="55"/>
  <c r="D101" i="55" s="1"/>
  <c r="N211" i="55"/>
  <c r="J209" i="55"/>
  <c r="F206" i="55"/>
  <c r="O78" i="55"/>
  <c r="G78" i="55"/>
  <c r="G192" i="55"/>
  <c r="G227" i="55" s="1"/>
  <c r="O73" i="55"/>
  <c r="O72" i="55"/>
  <c r="K70" i="55"/>
  <c r="K110" i="55" s="1"/>
  <c r="K124" i="55" s="1"/>
  <c r="K155" i="55" s="1"/>
  <c r="J206" i="55"/>
  <c r="N73" i="55"/>
  <c r="F73" i="55"/>
  <c r="K75" i="55"/>
  <c r="K107" i="55" s="1"/>
  <c r="K121" i="55" s="1"/>
  <c r="K250" i="55" s="1"/>
  <c r="G75" i="55"/>
  <c r="K74" i="55"/>
  <c r="O200" i="55"/>
  <c r="O83" i="55"/>
  <c r="G83" i="55"/>
  <c r="I200" i="55"/>
  <c r="G211" i="55"/>
  <c r="K209" i="55"/>
  <c r="K78" i="55"/>
  <c r="K111" i="55" s="1"/>
  <c r="K125" i="55" s="1"/>
  <c r="K252" i="55" s="1"/>
  <c r="K72" i="55"/>
  <c r="K104" i="55" s="1"/>
  <c r="K118" i="55" s="1"/>
  <c r="K246" i="55" s="1"/>
  <c r="O70" i="55"/>
  <c r="G70" i="55"/>
  <c r="K77" i="55"/>
  <c r="K109" i="55" s="1"/>
  <c r="K123" i="55" s="1"/>
  <c r="K154" i="55" s="1"/>
  <c r="G77" i="55"/>
  <c r="N206" i="55"/>
  <c r="J205" i="55"/>
  <c r="J203" i="55"/>
  <c r="J73" i="55"/>
  <c r="F83" i="55"/>
  <c r="F101" i="55" s="1"/>
  <c r="F115" i="55" s="1"/>
  <c r="N76" i="55"/>
  <c r="L204" i="55"/>
  <c r="L203" i="55"/>
  <c r="J192" i="55"/>
  <c r="J227" i="55" s="1"/>
  <c r="J75" i="55"/>
  <c r="P50" i="55"/>
  <c r="I206" i="55"/>
  <c r="M205" i="55"/>
  <c r="E205" i="55"/>
  <c r="E204" i="55"/>
  <c r="M201" i="55"/>
  <c r="E200" i="55"/>
  <c r="E203" i="55"/>
  <c r="P37" i="55"/>
  <c r="P137" i="55"/>
  <c r="E72" i="55"/>
  <c r="M77" i="55"/>
  <c r="J76" i="55"/>
  <c r="J69" i="55"/>
  <c r="J67" i="55"/>
  <c r="L211" i="55"/>
  <c r="L208" i="55"/>
  <c r="D110" i="55"/>
  <c r="D124" i="55" s="1"/>
  <c r="D155" i="55" s="1"/>
  <c r="D206" i="55"/>
  <c r="M192" i="55"/>
  <c r="M227" i="55" s="1"/>
  <c r="N67" i="55"/>
  <c r="N72" i="55"/>
  <c r="J72" i="55"/>
  <c r="N71" i="55"/>
  <c r="O76" i="55"/>
  <c r="K76" i="55"/>
  <c r="K108" i="55" s="1"/>
  <c r="K122" i="55" s="1"/>
  <c r="K251" i="55" s="1"/>
  <c r="K201" i="55"/>
  <c r="G69" i="55"/>
  <c r="K68" i="55"/>
  <c r="K101" i="55" s="1"/>
  <c r="K115" i="55" s="1"/>
  <c r="K240" i="55" s="1"/>
  <c r="G200" i="55"/>
  <c r="O199" i="55"/>
  <c r="K199" i="55"/>
  <c r="G199" i="55"/>
  <c r="L67" i="55"/>
  <c r="H67" i="55"/>
  <c r="L72" i="55"/>
  <c r="H72" i="55"/>
  <c r="D72" i="55"/>
  <c r="D104" i="55" s="1"/>
  <c r="L71" i="55"/>
  <c r="L103" i="55" s="1"/>
  <c r="L117" i="55" s="1"/>
  <c r="L245" i="55" s="1"/>
  <c r="I68" i="55"/>
  <c r="M67" i="55"/>
  <c r="I67" i="55"/>
  <c r="D220" i="55"/>
  <c r="P220" i="55" s="1"/>
  <c r="G72" i="55"/>
  <c r="P24" i="55"/>
  <c r="G131" i="55"/>
  <c r="G33" i="55"/>
  <c r="P20" i="55"/>
  <c r="G134" i="55"/>
  <c r="N192" i="55"/>
  <c r="N227" i="55" s="1"/>
  <c r="P27" i="55"/>
  <c r="O140" i="55"/>
  <c r="O244" i="55"/>
  <c r="P53" i="55"/>
  <c r="H77" i="55"/>
  <c r="H200" i="55"/>
  <c r="P132" i="55"/>
  <c r="P58" i="55"/>
  <c r="J71" i="55"/>
  <c r="J208" i="55"/>
  <c r="F71" i="55"/>
  <c r="F208" i="55"/>
  <c r="P61" i="55"/>
  <c r="M78" i="55"/>
  <c r="I78" i="55"/>
  <c r="I140" i="55"/>
  <c r="G128" i="55"/>
  <c r="G180" i="55" s="1"/>
  <c r="G32" i="55"/>
  <c r="G201" i="55"/>
  <c r="H83" i="55"/>
  <c r="H105" i="55" s="1"/>
  <c r="H119" i="55" s="1"/>
  <c r="H248" i="55" s="1"/>
  <c r="P42" i="55"/>
  <c r="P8" i="55"/>
  <c r="P210" i="55"/>
  <c r="N205" i="55"/>
  <c r="F205" i="55"/>
  <c r="N204" i="55"/>
  <c r="J204" i="55"/>
  <c r="F204" i="55"/>
  <c r="D103" i="55"/>
  <c r="D117" i="55" s="1"/>
  <c r="D245" i="55" s="1"/>
  <c r="O71" i="55"/>
  <c r="O103" i="55" s="1"/>
  <c r="O117" i="55" s="1"/>
  <c r="K71" i="55"/>
  <c r="K103" i="55" s="1"/>
  <c r="K117" i="55" s="1"/>
  <c r="K245" i="55" s="1"/>
  <c r="P45" i="55"/>
  <c r="K73" i="55"/>
  <c r="K105" i="55" s="1"/>
  <c r="K119" i="55" s="1"/>
  <c r="K248" i="55" s="1"/>
  <c r="G73" i="55"/>
  <c r="G105" i="55" s="1"/>
  <c r="G119" i="55" s="1"/>
  <c r="G248" i="55" s="1"/>
  <c r="L70" i="55"/>
  <c r="L110" i="55" s="1"/>
  <c r="L124" i="55" s="1"/>
  <c r="L155" i="55" s="1"/>
  <c r="H70" i="55"/>
  <c r="L77" i="55"/>
  <c r="D77" i="55"/>
  <c r="I76" i="55"/>
  <c r="M75" i="55"/>
  <c r="I75" i="55"/>
  <c r="M74" i="55"/>
  <c r="I74" i="55"/>
  <c r="P11" i="55"/>
  <c r="L75" i="55"/>
  <c r="H75" i="55"/>
  <c r="D75" i="55"/>
  <c r="D107" i="55" s="1"/>
  <c r="M69" i="55"/>
  <c r="I69" i="55"/>
  <c r="L78" i="55"/>
  <c r="L111" i="55" s="1"/>
  <c r="L125" i="55" s="1"/>
  <c r="L252" i="55" s="1"/>
  <c r="H78" i="55"/>
  <c r="D78" i="55"/>
  <c r="D111" i="55" s="1"/>
  <c r="D125" i="55" s="1"/>
  <c r="D252" i="55" s="1"/>
  <c r="O69" i="55"/>
  <c r="K69" i="55"/>
  <c r="K102" i="55" s="1"/>
  <c r="K116" i="55" s="1"/>
  <c r="K241" i="55" s="1"/>
  <c r="L68" i="55"/>
  <c r="H68" i="55"/>
  <c r="L192" i="55"/>
  <c r="L227" i="55" s="1"/>
  <c r="H192" i="55"/>
  <c r="H227" i="55" s="1"/>
  <c r="D192" i="55"/>
  <c r="D227" i="55" s="1"/>
  <c r="N83" i="55"/>
  <c r="N107" i="55" s="1"/>
  <c r="N121" i="55" s="1"/>
  <c r="J83" i="55"/>
  <c r="O106" i="55"/>
  <c r="O120" i="55" s="1"/>
  <c r="O249" i="55" s="1"/>
  <c r="N78" i="55"/>
  <c r="J78" i="55"/>
  <c r="O208" i="55"/>
  <c r="K208" i="55"/>
  <c r="G208" i="55"/>
  <c r="O64" i="55"/>
  <c r="K203" i="55"/>
  <c r="G203" i="55"/>
  <c r="O33" i="55"/>
  <c r="M71" i="55"/>
  <c r="O67" i="55"/>
  <c r="G67" i="55"/>
  <c r="P202" i="55"/>
  <c r="P31" i="55"/>
  <c r="P133" i="55"/>
  <c r="P15" i="55"/>
  <c r="E75" i="55"/>
  <c r="P14" i="55"/>
  <c r="E74" i="55"/>
  <c r="K106" i="55"/>
  <c r="K120" i="55" s="1"/>
  <c r="K249" i="55" s="1"/>
  <c r="E78" i="55"/>
  <c r="P63" i="55"/>
  <c r="F78" i="55"/>
  <c r="N70" i="55"/>
  <c r="N201" i="55"/>
  <c r="J70" i="55"/>
  <c r="J201" i="55"/>
  <c r="F70" i="55"/>
  <c r="F201" i="55"/>
  <c r="N77" i="55"/>
  <c r="N64" i="55"/>
  <c r="P47" i="55"/>
  <c r="F77" i="55"/>
  <c r="F64" i="55"/>
  <c r="D32" i="55"/>
  <c r="N33" i="55"/>
  <c r="N131" i="55"/>
  <c r="J131" i="55"/>
  <c r="J244" i="55" s="1"/>
  <c r="J33" i="55"/>
  <c r="F33" i="55"/>
  <c r="F131" i="55"/>
  <c r="F244" i="55" s="1"/>
  <c r="P21" i="55"/>
  <c r="F135" i="55"/>
  <c r="P135" i="55" s="1"/>
  <c r="O77" i="55"/>
  <c r="O32" i="55"/>
  <c r="L76" i="55"/>
  <c r="L32" i="55"/>
  <c r="O242" i="55"/>
  <c r="P207" i="55"/>
  <c r="J140" i="55"/>
  <c r="L140" i="55"/>
  <c r="L189" i="55"/>
  <c r="L224" i="55" s="1"/>
  <c r="P30" i="55"/>
  <c r="E139" i="55"/>
  <c r="P19" i="55"/>
  <c r="O247" i="55"/>
  <c r="O243" i="55"/>
  <c r="N212" i="55"/>
  <c r="J212" i="55"/>
  <c r="F212" i="55"/>
  <c r="O203" i="55"/>
  <c r="N200" i="55"/>
  <c r="J200" i="55"/>
  <c r="F200" i="55"/>
  <c r="P138" i="55"/>
  <c r="H140" i="55"/>
  <c r="H189" i="55"/>
  <c r="H224" i="55" s="1"/>
  <c r="K140" i="55"/>
  <c r="M180" i="55"/>
  <c r="M140" i="55"/>
  <c r="E180" i="55"/>
  <c r="P130" i="55"/>
  <c r="P129" i="55"/>
  <c r="P81" i="55"/>
  <c r="P136" i="55"/>
  <c r="D140" i="55"/>
  <c r="P82" i="55"/>
  <c r="D109" i="55"/>
  <c r="P62" i="55"/>
  <c r="P57" i="55"/>
  <c r="P56" i="55"/>
  <c r="P46" i="55"/>
  <c r="G76" i="55"/>
  <c r="E69" i="55"/>
  <c r="P41" i="55"/>
  <c r="M64" i="55"/>
  <c r="M68" i="55"/>
  <c r="I64" i="55"/>
  <c r="P40" i="55"/>
  <c r="E64" i="55"/>
  <c r="E68" i="55"/>
  <c r="G71" i="55"/>
  <c r="P54" i="55"/>
  <c r="P49" i="55"/>
  <c r="P48" i="55"/>
  <c r="K64" i="55"/>
  <c r="G64" i="55"/>
  <c r="P38" i="55"/>
  <c r="L64" i="55"/>
  <c r="H64" i="55"/>
  <c r="D64" i="55"/>
  <c r="D67" i="55"/>
  <c r="P28" i="55"/>
  <c r="P23" i="55"/>
  <c r="M33" i="55"/>
  <c r="I33" i="55"/>
  <c r="P22" i="55"/>
  <c r="E33" i="55"/>
  <c r="P12" i="55"/>
  <c r="P55" i="55"/>
  <c r="F72" i="55"/>
  <c r="J64" i="55"/>
  <c r="P39" i="55"/>
  <c r="P29" i="55"/>
  <c r="K33" i="55"/>
  <c r="P13" i="55"/>
  <c r="K67" i="55"/>
  <c r="K100" i="55" s="1"/>
  <c r="K114" i="55" s="1"/>
  <c r="K239" i="55" s="1"/>
  <c r="K32" i="55"/>
  <c r="H32" i="55"/>
  <c r="M83" i="55"/>
  <c r="I83" i="55"/>
  <c r="E83" i="55"/>
  <c r="E103" i="55" s="1"/>
  <c r="E117" i="55" s="1"/>
  <c r="E245" i="55" s="1"/>
  <c r="P59" i="55"/>
  <c r="P51" i="55"/>
  <c r="P43" i="55"/>
  <c r="P25" i="55"/>
  <c r="L33" i="55"/>
  <c r="H33" i="55"/>
  <c r="D33" i="55"/>
  <c r="P17" i="55"/>
  <c r="N32" i="55"/>
  <c r="J32" i="55"/>
  <c r="P9" i="55"/>
  <c r="F32" i="55"/>
  <c r="P60" i="55"/>
  <c r="P52" i="55"/>
  <c r="P44" i="55"/>
  <c r="P36" i="55"/>
  <c r="M73" i="55"/>
  <c r="I73" i="55"/>
  <c r="P26" i="55"/>
  <c r="E73" i="55"/>
  <c r="P18" i="55"/>
  <c r="M32" i="55"/>
  <c r="I32" i="55"/>
  <c r="E32" i="55"/>
  <c r="P10" i="55"/>
  <c r="I107" i="55" l="1"/>
  <c r="I121" i="55" s="1"/>
  <c r="I250" i="55" s="1"/>
  <c r="P128" i="55"/>
  <c r="L102" i="55"/>
  <c r="L116" i="55" s="1"/>
  <c r="O100" i="55"/>
  <c r="O114" i="55" s="1"/>
  <c r="O239" i="55" s="1"/>
  <c r="D241" i="55"/>
  <c r="F103" i="55"/>
  <c r="F117" i="55" s="1"/>
  <c r="F245" i="55" s="1"/>
  <c r="F111" i="55"/>
  <c r="F125" i="55" s="1"/>
  <c r="F252" i="55" s="1"/>
  <c r="H213" i="55"/>
  <c r="L105" i="55"/>
  <c r="L119" i="55" s="1"/>
  <c r="L248" i="55" s="1"/>
  <c r="N102" i="55"/>
  <c r="N116" i="55" s="1"/>
  <c r="P184" i="55"/>
  <c r="P209" i="55"/>
  <c r="D147" i="55"/>
  <c r="J105" i="55"/>
  <c r="J119" i="55" s="1"/>
  <c r="J248" i="55" s="1"/>
  <c r="O107" i="55"/>
  <c r="O121" i="55" s="1"/>
  <c r="L241" i="55"/>
  <c r="N140" i="55"/>
  <c r="N244" i="55"/>
  <c r="N152" i="55"/>
  <c r="N168" i="55" s="1"/>
  <c r="N250" i="55"/>
  <c r="G189" i="55"/>
  <c r="G224" i="55" s="1"/>
  <c r="G244" i="55"/>
  <c r="F146" i="55"/>
  <c r="D151" i="55"/>
  <c r="D167" i="55" s="1"/>
  <c r="D249" i="55"/>
  <c r="L151" i="55"/>
  <c r="L167" i="55" s="1"/>
  <c r="O110" i="55"/>
  <c r="O124" i="55" s="1"/>
  <c r="O155" i="55" s="1"/>
  <c r="F105" i="55"/>
  <c r="F119" i="55" s="1"/>
  <c r="F248" i="55" s="1"/>
  <c r="O104" i="55"/>
  <c r="O118" i="55" s="1"/>
  <c r="O191" i="55" s="1"/>
  <c r="O226" i="55" s="1"/>
  <c r="L147" i="55"/>
  <c r="L164" i="55" s="1"/>
  <c r="L183" i="55"/>
  <c r="L219" i="55" s="1"/>
  <c r="L186" i="55"/>
  <c r="L221" i="55" s="1"/>
  <c r="L107" i="55"/>
  <c r="L121" i="55" s="1"/>
  <c r="L250" i="55" s="1"/>
  <c r="L100" i="55"/>
  <c r="L114" i="55" s="1"/>
  <c r="L239" i="55" s="1"/>
  <c r="M111" i="55"/>
  <c r="M125" i="55" s="1"/>
  <c r="M252" i="55" s="1"/>
  <c r="L109" i="55"/>
  <c r="L123" i="55" s="1"/>
  <c r="L154" i="55" s="1"/>
  <c r="O108" i="55"/>
  <c r="O122" i="55" s="1"/>
  <c r="O153" i="55" s="1"/>
  <c r="O169" i="55" s="1"/>
  <c r="E213" i="55"/>
  <c r="O105" i="55"/>
  <c r="O119" i="55" s="1"/>
  <c r="O193" i="55" s="1"/>
  <c r="O228" i="55" s="1"/>
  <c r="L108" i="55"/>
  <c r="L122" i="55" s="1"/>
  <c r="L101" i="55"/>
  <c r="L115" i="55" s="1"/>
  <c r="L104" i="55"/>
  <c r="L118" i="55" s="1"/>
  <c r="L246" i="55" s="1"/>
  <c r="H104" i="55"/>
  <c r="H118" i="55" s="1"/>
  <c r="H246" i="55" s="1"/>
  <c r="H111" i="55"/>
  <c r="H125" i="55" s="1"/>
  <c r="H110" i="55"/>
  <c r="H124" i="55" s="1"/>
  <c r="H155" i="55" s="1"/>
  <c r="I213" i="55"/>
  <c r="I214" i="55" s="1"/>
  <c r="G109" i="55"/>
  <c r="G123" i="55" s="1"/>
  <c r="G154" i="55" s="1"/>
  <c r="G106" i="55"/>
  <c r="G120" i="55" s="1"/>
  <c r="O251" i="55"/>
  <c r="G110" i="55"/>
  <c r="G124" i="55" s="1"/>
  <c r="G155" i="55" s="1"/>
  <c r="J107" i="55"/>
  <c r="J121" i="55" s="1"/>
  <c r="O152" i="55"/>
  <c r="O168" i="55" s="1"/>
  <c r="O250" i="55"/>
  <c r="O187" i="55"/>
  <c r="O222" i="55" s="1"/>
  <c r="F100" i="55"/>
  <c r="F114" i="55" s="1"/>
  <c r="G213" i="55"/>
  <c r="G214" i="55" s="1"/>
  <c r="H103" i="55"/>
  <c r="H117" i="55" s="1"/>
  <c r="G107" i="55"/>
  <c r="G121" i="55" s="1"/>
  <c r="F106" i="55"/>
  <c r="F120" i="55" s="1"/>
  <c r="O246" i="55"/>
  <c r="F109" i="55"/>
  <c r="F123" i="55" s="1"/>
  <c r="F154" i="55" s="1"/>
  <c r="G111" i="55"/>
  <c r="G125" i="55" s="1"/>
  <c r="G252" i="55" s="1"/>
  <c r="L193" i="55"/>
  <c r="L228" i="55" s="1"/>
  <c r="O102" i="55"/>
  <c r="O116" i="55" s="1"/>
  <c r="O147" i="55" s="1"/>
  <c r="P204" i="55"/>
  <c r="P205" i="55"/>
  <c r="K213" i="55"/>
  <c r="K214" i="55" s="1"/>
  <c r="G102" i="55"/>
  <c r="G116" i="55" s="1"/>
  <c r="N103" i="55"/>
  <c r="N117" i="55" s="1"/>
  <c r="N245" i="55" s="1"/>
  <c r="N100" i="55"/>
  <c r="N114" i="55" s="1"/>
  <c r="L213" i="55"/>
  <c r="L214" i="55" s="1"/>
  <c r="M213" i="55"/>
  <c r="M214" i="55" s="1"/>
  <c r="D183" i="55"/>
  <c r="D219" i="55" s="1"/>
  <c r="P75" i="55"/>
  <c r="F102" i="55"/>
  <c r="F116" i="55" s="1"/>
  <c r="E214" i="55"/>
  <c r="G108" i="55"/>
  <c r="G122" i="55" s="1"/>
  <c r="N213" i="55"/>
  <c r="N214" i="55" s="1"/>
  <c r="H107" i="55"/>
  <c r="H121" i="55" s="1"/>
  <c r="F104" i="55"/>
  <c r="F118" i="55" s="1"/>
  <c r="O101" i="55"/>
  <c r="O115" i="55" s="1"/>
  <c r="F108" i="55"/>
  <c r="F122" i="55" s="1"/>
  <c r="G101" i="55"/>
  <c r="G115" i="55" s="1"/>
  <c r="F107" i="55"/>
  <c r="F121" i="55" s="1"/>
  <c r="O109" i="55"/>
  <c r="O123" i="55" s="1"/>
  <c r="O154" i="55" s="1"/>
  <c r="F110" i="55"/>
  <c r="F124" i="55" s="1"/>
  <c r="F155" i="55" s="1"/>
  <c r="N110" i="55"/>
  <c r="N124" i="55" s="1"/>
  <c r="N155" i="55" s="1"/>
  <c r="G100" i="55"/>
  <c r="G114" i="55" s="1"/>
  <c r="J103" i="55"/>
  <c r="J117" i="55" s="1"/>
  <c r="J245" i="55" s="1"/>
  <c r="G104" i="55"/>
  <c r="G118" i="55" s="1"/>
  <c r="G149" i="55" s="1"/>
  <c r="G172" i="55" s="1"/>
  <c r="P211" i="55"/>
  <c r="J108" i="55"/>
  <c r="J122" i="55" s="1"/>
  <c r="J188" i="55" s="1"/>
  <c r="J223" i="55" s="1"/>
  <c r="O111" i="55"/>
  <c r="O125" i="55" s="1"/>
  <c r="I111" i="55"/>
  <c r="I125" i="55" s="1"/>
  <c r="P78" i="55"/>
  <c r="H102" i="55"/>
  <c r="H116" i="55" s="1"/>
  <c r="P206" i="55"/>
  <c r="I105" i="55"/>
  <c r="I119" i="55" s="1"/>
  <c r="I150" i="55" s="1"/>
  <c r="I174" i="55" s="1"/>
  <c r="P199" i="55"/>
  <c r="P203" i="55"/>
  <c r="L148" i="55"/>
  <c r="L171" i="55" s="1"/>
  <c r="L190" i="55"/>
  <c r="L225" i="55" s="1"/>
  <c r="M105" i="55"/>
  <c r="M119" i="55" s="1"/>
  <c r="M248" i="55" s="1"/>
  <c r="P33" i="55"/>
  <c r="P227" i="55"/>
  <c r="M106" i="55"/>
  <c r="M120" i="55" s="1"/>
  <c r="P70" i="55"/>
  <c r="P134" i="55"/>
  <c r="P212" i="55"/>
  <c r="P131" i="55"/>
  <c r="P192" i="55"/>
  <c r="X20" i="52" s="1"/>
  <c r="H101" i="55"/>
  <c r="H115" i="55" s="1"/>
  <c r="P208" i="55"/>
  <c r="H109" i="55"/>
  <c r="H123" i="55" s="1"/>
  <c r="H154" i="55" s="1"/>
  <c r="H106" i="55"/>
  <c r="H120" i="55" s="1"/>
  <c r="H249" i="55" s="1"/>
  <c r="H150" i="55"/>
  <c r="H174" i="55" s="1"/>
  <c r="H193" i="55"/>
  <c r="H228" i="55" s="1"/>
  <c r="J102" i="55"/>
  <c r="J116" i="55" s="1"/>
  <c r="J100" i="55"/>
  <c r="J114" i="55" s="1"/>
  <c r="J104" i="55"/>
  <c r="J118" i="55" s="1"/>
  <c r="J109" i="55"/>
  <c r="J123" i="55" s="1"/>
  <c r="J154" i="55" s="1"/>
  <c r="J111" i="55"/>
  <c r="J125" i="55" s="1"/>
  <c r="J252" i="55" s="1"/>
  <c r="L149" i="55"/>
  <c r="L172" i="55" s="1"/>
  <c r="L191" i="55"/>
  <c r="L226" i="55" s="1"/>
  <c r="E102" i="55"/>
  <c r="E116" i="55" s="1"/>
  <c r="I103" i="55"/>
  <c r="I117" i="55" s="1"/>
  <c r="J101" i="55"/>
  <c r="J115" i="55" s="1"/>
  <c r="J146" i="55" s="1"/>
  <c r="G140" i="55"/>
  <c r="P200" i="55"/>
  <c r="P242" i="55"/>
  <c r="F140" i="55"/>
  <c r="N111" i="55"/>
  <c r="N125" i="55" s="1"/>
  <c r="N252" i="55" s="1"/>
  <c r="L187" i="55"/>
  <c r="L222" i="55" s="1"/>
  <c r="J106" i="55"/>
  <c r="J120" i="55" s="1"/>
  <c r="J249" i="55" s="1"/>
  <c r="N187" i="55"/>
  <c r="N222" i="55" s="1"/>
  <c r="L194" i="55"/>
  <c r="L229" i="55" s="1"/>
  <c r="L156" i="55"/>
  <c r="L175" i="55" s="1"/>
  <c r="N101" i="55"/>
  <c r="N115" i="55" s="1"/>
  <c r="N105" i="55"/>
  <c r="N119" i="55" s="1"/>
  <c r="P247" i="55"/>
  <c r="N108" i="55"/>
  <c r="N122" i="55" s="1"/>
  <c r="M103" i="55"/>
  <c r="M117" i="55" s="1"/>
  <c r="H214" i="55"/>
  <c r="N106" i="55"/>
  <c r="N120" i="55" s="1"/>
  <c r="N249" i="55" s="1"/>
  <c r="M101" i="55"/>
  <c r="M115" i="55" s="1"/>
  <c r="I102" i="55"/>
  <c r="I116" i="55" s="1"/>
  <c r="I110" i="55"/>
  <c r="I124" i="55" s="1"/>
  <c r="I155" i="55" s="1"/>
  <c r="M100" i="55"/>
  <c r="M114" i="55" s="1"/>
  <c r="M239" i="55" s="1"/>
  <c r="P83" i="55"/>
  <c r="N104" i="55"/>
  <c r="N118" i="55" s="1"/>
  <c r="N246" i="55" s="1"/>
  <c r="J213" i="55"/>
  <c r="J214" i="55" s="1"/>
  <c r="N109" i="55"/>
  <c r="N123" i="55" s="1"/>
  <c r="N154" i="55" s="1"/>
  <c r="J110" i="55"/>
  <c r="J124" i="55" s="1"/>
  <c r="J155" i="55" s="1"/>
  <c r="O186" i="55"/>
  <c r="O221" i="55" s="1"/>
  <c r="O151" i="55"/>
  <c r="O167" i="55" s="1"/>
  <c r="D194" i="55"/>
  <c r="D229" i="55" s="1"/>
  <c r="D156" i="55"/>
  <c r="D175" i="55" s="1"/>
  <c r="H100" i="55"/>
  <c r="H114" i="55" s="1"/>
  <c r="H239" i="55" s="1"/>
  <c r="H108" i="55"/>
  <c r="H122" i="55" s="1"/>
  <c r="H251" i="55" s="1"/>
  <c r="G103" i="55"/>
  <c r="G117" i="55" s="1"/>
  <c r="G245" i="55" s="1"/>
  <c r="P71" i="55"/>
  <c r="K152" i="55"/>
  <c r="K168" i="55" s="1"/>
  <c r="K187" i="55"/>
  <c r="K222" i="55" s="1"/>
  <c r="N191" i="55"/>
  <c r="N226" i="55" s="1"/>
  <c r="P32" i="55"/>
  <c r="F156" i="55"/>
  <c r="F175" i="55" s="1"/>
  <c r="F194" i="55"/>
  <c r="F229" i="55" s="1"/>
  <c r="K186" i="55"/>
  <c r="K221" i="55" s="1"/>
  <c r="K151" i="55"/>
  <c r="K167" i="55" s="1"/>
  <c r="E107" i="55"/>
  <c r="E121" i="55" s="1"/>
  <c r="E250" i="55" s="1"/>
  <c r="D214" i="55"/>
  <c r="E148" i="55"/>
  <c r="E171" i="55" s="1"/>
  <c r="E190" i="55"/>
  <c r="E225" i="55" s="1"/>
  <c r="G153" i="55"/>
  <c r="G169" i="55" s="1"/>
  <c r="D123" i="55"/>
  <c r="E100" i="55"/>
  <c r="E114" i="55" s="1"/>
  <c r="E239" i="55" s="1"/>
  <c r="E109" i="55"/>
  <c r="E123" i="55" s="1"/>
  <c r="E154" i="55" s="1"/>
  <c r="E110" i="55"/>
  <c r="E108" i="55"/>
  <c r="E122" i="55" s="1"/>
  <c r="E251" i="55" s="1"/>
  <c r="E104" i="55"/>
  <c r="E118" i="55" s="1"/>
  <c r="E246" i="55" s="1"/>
  <c r="G186" i="55"/>
  <c r="G221" i="55" s="1"/>
  <c r="O148" i="55"/>
  <c r="O171" i="55" s="1"/>
  <c r="O190" i="55"/>
  <c r="O225" i="55" s="1"/>
  <c r="O245" i="55"/>
  <c r="F152" i="55"/>
  <c r="F168" i="55" s="1"/>
  <c r="G150" i="55"/>
  <c r="G174" i="55" s="1"/>
  <c r="G193" i="55"/>
  <c r="G228" i="55" s="1"/>
  <c r="I109" i="55"/>
  <c r="I123" i="55" s="1"/>
  <c r="I154" i="55" s="1"/>
  <c r="I100" i="55"/>
  <c r="I114" i="55" s="1"/>
  <c r="I239" i="55" s="1"/>
  <c r="I104" i="55"/>
  <c r="I118" i="55" s="1"/>
  <c r="I246" i="55" s="1"/>
  <c r="K145" i="55"/>
  <c r="K126" i="55"/>
  <c r="K142" i="55" s="1"/>
  <c r="K253" i="55" s="1"/>
  <c r="K181" i="55"/>
  <c r="D118" i="55"/>
  <c r="D246" i="55" s="1"/>
  <c r="D115" i="55"/>
  <c r="D119" i="55"/>
  <c r="D248" i="55" s="1"/>
  <c r="K183" i="55"/>
  <c r="K219" i="55" s="1"/>
  <c r="K147" i="55"/>
  <c r="K164" i="55" s="1"/>
  <c r="D100" i="55"/>
  <c r="P67" i="55"/>
  <c r="M108" i="55"/>
  <c r="M122" i="55" s="1"/>
  <c r="M251" i="55" s="1"/>
  <c r="D121" i="55"/>
  <c r="D250" i="55" s="1"/>
  <c r="N148" i="55"/>
  <c r="N171" i="55" s="1"/>
  <c r="N190" i="55"/>
  <c r="N225" i="55" s="1"/>
  <c r="I108" i="55"/>
  <c r="I122" i="55" s="1"/>
  <c r="I251" i="55" s="1"/>
  <c r="I101" i="55"/>
  <c r="I115" i="55" s="1"/>
  <c r="F193" i="55"/>
  <c r="F228" i="55" s="1"/>
  <c r="O213" i="55"/>
  <c r="O214" i="55" s="1"/>
  <c r="P76" i="55"/>
  <c r="J189" i="55"/>
  <c r="J224" i="55" s="1"/>
  <c r="K148" i="55"/>
  <c r="K171" i="55" s="1"/>
  <c r="K190" i="55"/>
  <c r="K225" i="55" s="1"/>
  <c r="P74" i="55"/>
  <c r="E106" i="55"/>
  <c r="E105" i="55"/>
  <c r="E119" i="55" s="1"/>
  <c r="E248" i="55" s="1"/>
  <c r="P73" i="55"/>
  <c r="K156" i="55"/>
  <c r="K175" i="55" s="1"/>
  <c r="K194" i="55"/>
  <c r="K229" i="55" s="1"/>
  <c r="P72" i="55"/>
  <c r="J148" i="55"/>
  <c r="J171" i="55" s="1"/>
  <c r="J190" i="55"/>
  <c r="J225" i="55" s="1"/>
  <c r="N147" i="55"/>
  <c r="P68" i="55"/>
  <c r="E101" i="55"/>
  <c r="E115" i="55" s="1"/>
  <c r="M181" i="55"/>
  <c r="M217" i="55" s="1"/>
  <c r="D148" i="55"/>
  <c r="D190" i="55"/>
  <c r="P180" i="55"/>
  <c r="I152" i="55"/>
  <c r="I168" i="55" s="1"/>
  <c r="I187" i="55"/>
  <c r="I222" i="55" s="1"/>
  <c r="D221" i="55"/>
  <c r="M102" i="55"/>
  <c r="M116" i="55" s="1"/>
  <c r="M109" i="55"/>
  <c r="M123" i="55" s="1"/>
  <c r="M154" i="55" s="1"/>
  <c r="M110" i="55"/>
  <c r="M124" i="55" s="1"/>
  <c r="M155" i="55" s="1"/>
  <c r="O181" i="55"/>
  <c r="K182" i="55"/>
  <c r="K218" i="55" s="1"/>
  <c r="K146" i="55"/>
  <c r="K163" i="55" s="1"/>
  <c r="J150" i="55"/>
  <c r="J174" i="55" s="1"/>
  <c r="J193" i="55"/>
  <c r="J228" i="55" s="1"/>
  <c r="P64" i="55"/>
  <c r="O146" i="55"/>
  <c r="O163" i="55" s="1"/>
  <c r="O182" i="55"/>
  <c r="O218" i="55" s="1"/>
  <c r="O240" i="55"/>
  <c r="K150" i="55"/>
  <c r="K174" i="55" s="1"/>
  <c r="K193" i="55"/>
  <c r="K228" i="55" s="1"/>
  <c r="K191" i="55"/>
  <c r="K226" i="55" s="1"/>
  <c r="K149" i="55"/>
  <c r="K172" i="55" s="1"/>
  <c r="M104" i="55"/>
  <c r="M118" i="55" s="1"/>
  <c r="M246" i="55" s="1"/>
  <c r="P77" i="55"/>
  <c r="F148" i="55"/>
  <c r="F171" i="55" s="1"/>
  <c r="F190" i="55"/>
  <c r="F225" i="55" s="1"/>
  <c r="P69" i="55"/>
  <c r="D164" i="55"/>
  <c r="F213" i="55"/>
  <c r="F214" i="55" s="1"/>
  <c r="P243" i="55"/>
  <c r="E140" i="55"/>
  <c r="P139" i="55"/>
  <c r="K153" i="55"/>
  <c r="K169" i="55" s="1"/>
  <c r="K188" i="55"/>
  <c r="K223" i="55" s="1"/>
  <c r="D122" i="55"/>
  <c r="D251" i="55" s="1"/>
  <c r="F189" i="55"/>
  <c r="N189" i="55"/>
  <c r="N224" i="55" s="1"/>
  <c r="P201" i="55"/>
  <c r="E111" i="55"/>
  <c r="M107" i="55"/>
  <c r="M121" i="55" s="1"/>
  <c r="M250" i="55" s="1"/>
  <c r="I106" i="55"/>
  <c r="I120" i="55" s="1"/>
  <c r="I249" i="55" s="1"/>
  <c r="O145" i="55" l="1"/>
  <c r="N183" i="55"/>
  <c r="N219" i="55" s="1"/>
  <c r="M193" i="55"/>
  <c r="M228" i="55" s="1"/>
  <c r="L240" i="55"/>
  <c r="L150" i="55"/>
  <c r="L174" i="55" s="1"/>
  <c r="J241" i="55"/>
  <c r="H241" i="55"/>
  <c r="J240" i="55"/>
  <c r="E240" i="55"/>
  <c r="I240" i="55"/>
  <c r="D240" i="55"/>
  <c r="F182" i="55"/>
  <c r="F218" i="55" s="1"/>
  <c r="L126" i="55"/>
  <c r="L142" i="55" s="1"/>
  <c r="L253" i="55" s="1"/>
  <c r="O164" i="55"/>
  <c r="L181" i="55"/>
  <c r="L217" i="55" s="1"/>
  <c r="O188" i="55"/>
  <c r="O223" i="55" s="1"/>
  <c r="O150" i="55"/>
  <c r="O174" i="55" s="1"/>
  <c r="L146" i="55"/>
  <c r="L163" i="55" s="1"/>
  <c r="L145" i="55"/>
  <c r="L162" i="55" s="1"/>
  <c r="J149" i="55"/>
  <c r="J172" i="55" s="1"/>
  <c r="J246" i="55"/>
  <c r="H146" i="55"/>
  <c r="H240" i="55"/>
  <c r="I156" i="55"/>
  <c r="I175" i="55" s="1"/>
  <c r="I252" i="55"/>
  <c r="G191" i="55"/>
  <c r="G226" i="55" s="1"/>
  <c r="G246" i="55"/>
  <c r="F188" i="55"/>
  <c r="F223" i="55" s="1"/>
  <c r="F251" i="55"/>
  <c r="N181" i="55"/>
  <c r="N239" i="55"/>
  <c r="F151" i="55"/>
  <c r="F167" i="55" s="1"/>
  <c r="F249" i="55"/>
  <c r="F145" i="55"/>
  <c r="F239" i="55"/>
  <c r="J187" i="55"/>
  <c r="J222" i="55" s="1"/>
  <c r="J250" i="55"/>
  <c r="N145" i="55"/>
  <c r="F150" i="55"/>
  <c r="F174" i="55" s="1"/>
  <c r="I194" i="55"/>
  <c r="I229" i="55" s="1"/>
  <c r="M194" i="55"/>
  <c r="M229" i="55" s="1"/>
  <c r="N193" i="55"/>
  <c r="N228" i="55" s="1"/>
  <c r="N248" i="55"/>
  <c r="I190" i="55"/>
  <c r="I225" i="55" s="1"/>
  <c r="I245" i="55"/>
  <c r="J145" i="55"/>
  <c r="J239" i="55"/>
  <c r="G188" i="55"/>
  <c r="G223" i="55" s="1"/>
  <c r="G251" i="55"/>
  <c r="G152" i="55"/>
  <c r="G168" i="55" s="1"/>
  <c r="G250" i="55"/>
  <c r="M151" i="55"/>
  <c r="M167" i="55" s="1"/>
  <c r="M249" i="55"/>
  <c r="I193" i="55"/>
  <c r="I228" i="55" s="1"/>
  <c r="I248" i="55"/>
  <c r="J153" i="55"/>
  <c r="J169" i="55" s="1"/>
  <c r="J251" i="55"/>
  <c r="G181" i="55"/>
  <c r="G217" i="55" s="1"/>
  <c r="G239" i="55"/>
  <c r="F187" i="55"/>
  <c r="F222" i="55" s="1"/>
  <c r="F250" i="55"/>
  <c r="F149" i="55"/>
  <c r="F172" i="55" s="1"/>
  <c r="F246" i="55"/>
  <c r="G147" i="55"/>
  <c r="G164" i="55" s="1"/>
  <c r="G241" i="55"/>
  <c r="F163" i="55"/>
  <c r="H148" i="55"/>
  <c r="H171" i="55" s="1"/>
  <c r="H245" i="55"/>
  <c r="O248" i="55"/>
  <c r="M156" i="55"/>
  <c r="M175" i="55" s="1"/>
  <c r="I147" i="55"/>
  <c r="I164" i="55" s="1"/>
  <c r="I241" i="55"/>
  <c r="M148" i="55"/>
  <c r="M171" i="55" s="1"/>
  <c r="M245" i="55"/>
  <c r="N146" i="55"/>
  <c r="N163" i="55" s="1"/>
  <c r="N240" i="55"/>
  <c r="H149" i="55"/>
  <c r="H172" i="55" s="1"/>
  <c r="E147" i="55"/>
  <c r="M241" i="55"/>
  <c r="J152" i="55"/>
  <c r="J168" i="55" s="1"/>
  <c r="M146" i="55"/>
  <c r="M163" i="55" s="1"/>
  <c r="M240" i="55"/>
  <c r="N188" i="55"/>
  <c r="N223" i="55" s="1"/>
  <c r="N251" i="55"/>
  <c r="H191" i="55"/>
  <c r="H226" i="55" s="1"/>
  <c r="H147" i="55"/>
  <c r="H164" i="55" s="1"/>
  <c r="G146" i="55"/>
  <c r="G163" i="55" s="1"/>
  <c r="G240" i="55"/>
  <c r="H152" i="55"/>
  <c r="H168" i="55" s="1"/>
  <c r="H250" i="55"/>
  <c r="F147" i="55"/>
  <c r="F164" i="55" s="1"/>
  <c r="F241" i="55"/>
  <c r="G151" i="55"/>
  <c r="G167" i="55" s="1"/>
  <c r="G249" i="55"/>
  <c r="H156" i="55"/>
  <c r="H175" i="55" s="1"/>
  <c r="H252" i="55"/>
  <c r="L153" i="55"/>
  <c r="L169" i="55" s="1"/>
  <c r="L251" i="55"/>
  <c r="F240" i="55"/>
  <c r="N241" i="55"/>
  <c r="M186" i="55"/>
  <c r="M221" i="55" s="1"/>
  <c r="N186" i="55"/>
  <c r="N221" i="55" s="1"/>
  <c r="H183" i="55"/>
  <c r="H219" i="55" s="1"/>
  <c r="O149" i="55"/>
  <c r="O172" i="55" s="1"/>
  <c r="L188" i="55"/>
  <c r="L223" i="55" s="1"/>
  <c r="L182" i="55"/>
  <c r="L218" i="55" s="1"/>
  <c r="L152" i="55"/>
  <c r="L168" i="55" s="1"/>
  <c r="G187" i="55"/>
  <c r="G222" i="55" s="1"/>
  <c r="F153" i="55"/>
  <c r="F169" i="55" s="1"/>
  <c r="N149" i="55"/>
  <c r="N172" i="55" s="1"/>
  <c r="H190" i="55"/>
  <c r="H225" i="55" s="1"/>
  <c r="O241" i="55"/>
  <c r="O183" i="55"/>
  <c r="O219" i="55" s="1"/>
  <c r="I148" i="55"/>
  <c r="I171" i="55" s="1"/>
  <c r="F191" i="55"/>
  <c r="F226" i="55" s="1"/>
  <c r="N153" i="55"/>
  <c r="N169" i="55" s="1"/>
  <c r="G183" i="55"/>
  <c r="G219" i="55" s="1"/>
  <c r="G145" i="55"/>
  <c r="G162" i="55" s="1"/>
  <c r="H194" i="55"/>
  <c r="H229" i="55" s="1"/>
  <c r="M190" i="55"/>
  <c r="M225" i="55" s="1"/>
  <c r="P140" i="55"/>
  <c r="G182" i="55"/>
  <c r="G218" i="55" s="1"/>
  <c r="H182" i="55"/>
  <c r="H218" i="55" s="1"/>
  <c r="L234" i="55"/>
  <c r="P213" i="55"/>
  <c r="P214" i="55" s="1"/>
  <c r="N182" i="55"/>
  <c r="N218" i="55" s="1"/>
  <c r="M150" i="55"/>
  <c r="M174" i="55" s="1"/>
  <c r="F181" i="55"/>
  <c r="F217" i="55" s="1"/>
  <c r="F126" i="55"/>
  <c r="F142" i="55" s="1"/>
  <c r="F253" i="55" s="1"/>
  <c r="F186" i="55"/>
  <c r="F221" i="55" s="1"/>
  <c r="F183" i="55"/>
  <c r="F219" i="55" s="1"/>
  <c r="H187" i="55"/>
  <c r="H222" i="55" s="1"/>
  <c r="H163" i="55"/>
  <c r="O252" i="55"/>
  <c r="O156" i="55"/>
  <c r="O175" i="55" s="1"/>
  <c r="O194" i="55"/>
  <c r="O229" i="55" s="1"/>
  <c r="O234" i="55" s="1"/>
  <c r="N150" i="55"/>
  <c r="N174" i="55" s="1"/>
  <c r="O126" i="55"/>
  <c r="O142" i="55" s="1"/>
  <c r="O253" i="55" s="1"/>
  <c r="N164" i="55"/>
  <c r="G126" i="55"/>
  <c r="G142" i="55" s="1"/>
  <c r="G253" i="55" s="1"/>
  <c r="G194" i="55"/>
  <c r="G229" i="55" s="1"/>
  <c r="G156" i="55"/>
  <c r="G175" i="55" s="1"/>
  <c r="M145" i="55"/>
  <c r="M162" i="55" s="1"/>
  <c r="J191" i="55"/>
  <c r="J226" i="55" s="1"/>
  <c r="J126" i="55"/>
  <c r="J142" i="55" s="1"/>
  <c r="J253" i="55" s="1"/>
  <c r="H151" i="55"/>
  <c r="H167" i="55" s="1"/>
  <c r="H186" i="55"/>
  <c r="H221" i="55" s="1"/>
  <c r="J183" i="55"/>
  <c r="J219" i="55" s="1"/>
  <c r="P244" i="55"/>
  <c r="N126" i="55"/>
  <c r="N142" i="55" s="1"/>
  <c r="N253" i="55" s="1"/>
  <c r="N156" i="55"/>
  <c r="N175" i="55" s="1"/>
  <c r="N194" i="55"/>
  <c r="N229" i="55" s="1"/>
  <c r="N234" i="55" s="1"/>
  <c r="J182" i="55"/>
  <c r="J218" i="55" s="1"/>
  <c r="J163" i="55"/>
  <c r="P103" i="55"/>
  <c r="P117" i="55" s="1"/>
  <c r="J181" i="55"/>
  <c r="J217" i="55" s="1"/>
  <c r="P105" i="55"/>
  <c r="I183" i="55"/>
  <c r="I219" i="55" s="1"/>
  <c r="J147" i="55"/>
  <c r="J164" i="55" s="1"/>
  <c r="H153" i="55"/>
  <c r="H169" i="55" s="1"/>
  <c r="H188" i="55"/>
  <c r="H223" i="55" s="1"/>
  <c r="M182" i="55"/>
  <c r="M218" i="55" s="1"/>
  <c r="N151" i="55"/>
  <c r="N167" i="55" s="1"/>
  <c r="J186" i="55"/>
  <c r="J221" i="55" s="1"/>
  <c r="J151" i="55"/>
  <c r="J167" i="55" s="1"/>
  <c r="H145" i="55"/>
  <c r="H181" i="55"/>
  <c r="H126" i="55"/>
  <c r="H142" i="55" s="1"/>
  <c r="H253" i="55" s="1"/>
  <c r="J194" i="55"/>
  <c r="J229" i="55" s="1"/>
  <c r="J156" i="55"/>
  <c r="J175" i="55" s="1"/>
  <c r="P122" i="55"/>
  <c r="D153" i="55"/>
  <c r="D188" i="55"/>
  <c r="M149" i="55"/>
  <c r="M172" i="55" s="1"/>
  <c r="M191" i="55"/>
  <c r="M226" i="55" s="1"/>
  <c r="P246" i="55"/>
  <c r="M147" i="55"/>
  <c r="M164" i="55" s="1"/>
  <c r="M183" i="55"/>
  <c r="M219" i="55" s="1"/>
  <c r="P106" i="55"/>
  <c r="E120" i="55"/>
  <c r="E249" i="55" s="1"/>
  <c r="P249" i="55" s="1"/>
  <c r="P107" i="55"/>
  <c r="P100" i="55"/>
  <c r="D114" i="55"/>
  <c r="D239" i="55" s="1"/>
  <c r="P104" i="55"/>
  <c r="P118" i="55" s="1"/>
  <c r="K162" i="55"/>
  <c r="K176" i="55" s="1"/>
  <c r="K157" i="55"/>
  <c r="P123" i="55"/>
  <c r="D154" i="55"/>
  <c r="P154" i="55" s="1"/>
  <c r="K234" i="55"/>
  <c r="M153" i="55"/>
  <c r="M169" i="55" s="1"/>
  <c r="M188" i="55"/>
  <c r="M223" i="55" s="1"/>
  <c r="P101" i="55"/>
  <c r="K217" i="55"/>
  <c r="K195" i="55"/>
  <c r="K196" i="55" s="1"/>
  <c r="I191" i="55"/>
  <c r="I226" i="55" s="1"/>
  <c r="I149" i="55"/>
  <c r="I172" i="55" s="1"/>
  <c r="E149" i="55"/>
  <c r="E172" i="55" s="1"/>
  <c r="E191" i="55"/>
  <c r="E226" i="55" s="1"/>
  <c r="E181" i="55"/>
  <c r="E145" i="55"/>
  <c r="P109" i="55"/>
  <c r="E152" i="55"/>
  <c r="E168" i="55" s="1"/>
  <c r="E187" i="55"/>
  <c r="E222" i="55" s="1"/>
  <c r="I151" i="55"/>
  <c r="I167" i="55" s="1"/>
  <c r="I186" i="55"/>
  <c r="I221" i="55" s="1"/>
  <c r="E146" i="55"/>
  <c r="E163" i="55" s="1"/>
  <c r="E182" i="55"/>
  <c r="E218" i="55" s="1"/>
  <c r="I188" i="55"/>
  <c r="I223" i="55" s="1"/>
  <c r="I153" i="55"/>
  <c r="I169" i="55" s="1"/>
  <c r="D152" i="55"/>
  <c r="P121" i="55"/>
  <c r="D187" i="55"/>
  <c r="P119" i="55"/>
  <c r="D150" i="55"/>
  <c r="D193" i="55"/>
  <c r="D191" i="55"/>
  <c r="D149" i="55"/>
  <c r="P110" i="55"/>
  <c r="E124" i="55"/>
  <c r="E241" i="55" s="1"/>
  <c r="P102" i="55"/>
  <c r="P116" i="55"/>
  <c r="M152" i="55"/>
  <c r="M168" i="55" s="1"/>
  <c r="M187" i="55"/>
  <c r="M222" i="55" s="1"/>
  <c r="P250" i="55"/>
  <c r="P108" i="55"/>
  <c r="N162" i="55"/>
  <c r="I146" i="55"/>
  <c r="I163" i="55" s="1"/>
  <c r="I182" i="55"/>
  <c r="I218" i="55" s="1"/>
  <c r="E125" i="55"/>
  <c r="E252" i="55" s="1"/>
  <c r="P111" i="55"/>
  <c r="O217" i="55"/>
  <c r="D225" i="55"/>
  <c r="P189" i="55"/>
  <c r="X17" i="52" s="1"/>
  <c r="F224" i="55"/>
  <c r="O162" i="55"/>
  <c r="X11" i="52"/>
  <c r="N217" i="55"/>
  <c r="D171" i="55"/>
  <c r="M126" i="55"/>
  <c r="M142" i="55" s="1"/>
  <c r="M253" i="55" s="1"/>
  <c r="E150" i="55"/>
  <c r="E174" i="55" s="1"/>
  <c r="E193" i="55"/>
  <c r="E228" i="55" s="1"/>
  <c r="F162" i="55"/>
  <c r="J162" i="55"/>
  <c r="D146" i="55"/>
  <c r="P115" i="55"/>
  <c r="D182" i="55"/>
  <c r="I126" i="55"/>
  <c r="I142" i="55" s="1"/>
  <c r="I253" i="55" s="1"/>
  <c r="I181" i="55"/>
  <c r="I145" i="55"/>
  <c r="E188" i="55"/>
  <c r="E223" i="55" s="1"/>
  <c r="E153" i="55"/>
  <c r="E169" i="55" s="1"/>
  <c r="G148" i="55"/>
  <c r="G190" i="55"/>
  <c r="G225" i="55" s="1"/>
  <c r="P240" i="55" l="1"/>
  <c r="H234" i="55"/>
  <c r="P248" i="55"/>
  <c r="P245" i="55"/>
  <c r="L157" i="55"/>
  <c r="L176" i="55"/>
  <c r="F176" i="55"/>
  <c r="F157" i="55"/>
  <c r="F177" i="55" s="1"/>
  <c r="I234" i="55"/>
  <c r="P239" i="55"/>
  <c r="L230" i="55"/>
  <c r="L231" i="55" s="1"/>
  <c r="P147" i="55"/>
  <c r="P148" i="55"/>
  <c r="L195" i="55"/>
  <c r="L196" i="55" s="1"/>
  <c r="O195" i="55"/>
  <c r="O196" i="55" s="1"/>
  <c r="L233" i="55"/>
  <c r="P241" i="55"/>
  <c r="F195" i="55"/>
  <c r="F196" i="55" s="1"/>
  <c r="O176" i="55"/>
  <c r="O177" i="55" s="1"/>
  <c r="P251" i="55"/>
  <c r="O157" i="55"/>
  <c r="P252" i="55"/>
  <c r="J234" i="55"/>
  <c r="L235" i="55"/>
  <c r="M234" i="55"/>
  <c r="G234" i="55"/>
  <c r="N157" i="55"/>
  <c r="N158" i="55" s="1"/>
  <c r="E126" i="55"/>
  <c r="E142" i="55" s="1"/>
  <c r="E253" i="55" s="1"/>
  <c r="J157" i="55"/>
  <c r="J158" i="55" s="1"/>
  <c r="N176" i="55"/>
  <c r="J195" i="55"/>
  <c r="J196" i="55" s="1"/>
  <c r="N195" i="55"/>
  <c r="N196" i="55" s="1"/>
  <c r="M230" i="55"/>
  <c r="H217" i="55"/>
  <c r="H233" i="55" s="1"/>
  <c r="H235" i="55" s="1"/>
  <c r="H195" i="55"/>
  <c r="H196" i="55" s="1"/>
  <c r="J176" i="55"/>
  <c r="J177" i="55" s="1"/>
  <c r="M195" i="55"/>
  <c r="M196" i="55" s="1"/>
  <c r="H162" i="55"/>
  <c r="H176" i="55" s="1"/>
  <c r="H157" i="55"/>
  <c r="P182" i="55"/>
  <c r="E13" i="59" s="1"/>
  <c r="D218" i="55"/>
  <c r="P218" i="55" s="1"/>
  <c r="F234" i="55"/>
  <c r="P224" i="55"/>
  <c r="I157" i="55"/>
  <c r="I162" i="55"/>
  <c r="I176" i="55" s="1"/>
  <c r="N230" i="55"/>
  <c r="N233" i="55"/>
  <c r="N235" i="55" s="1"/>
  <c r="O158" i="55"/>
  <c r="P190" i="55"/>
  <c r="X18" i="52" s="1"/>
  <c r="D172" i="55"/>
  <c r="P172" i="55" s="1"/>
  <c r="P149" i="55"/>
  <c r="P114" i="55"/>
  <c r="D126" i="55"/>
  <c r="D181" i="55"/>
  <c r="D145" i="55"/>
  <c r="M233" i="55"/>
  <c r="M235" i="55" s="1"/>
  <c r="I195" i="55"/>
  <c r="I196" i="55" s="1"/>
  <c r="I217" i="55"/>
  <c r="M157" i="55"/>
  <c r="E151" i="55"/>
  <c r="E186" i="55"/>
  <c r="P120" i="55"/>
  <c r="P188" i="55"/>
  <c r="X16" i="52" s="1"/>
  <c r="D223" i="55"/>
  <c r="P223" i="55" s="1"/>
  <c r="P225" i="55"/>
  <c r="D174" i="55"/>
  <c r="P174" i="55" s="1"/>
  <c r="P150" i="55"/>
  <c r="P152" i="55"/>
  <c r="D168" i="55"/>
  <c r="P168" i="55" s="1"/>
  <c r="E217" i="55"/>
  <c r="K230" i="55"/>
  <c r="K231" i="55" s="1"/>
  <c r="K233" i="55"/>
  <c r="K235" i="55" s="1"/>
  <c r="K177" i="55"/>
  <c r="K158" i="55"/>
  <c r="G171" i="55"/>
  <c r="G176" i="55" s="1"/>
  <c r="G157" i="55"/>
  <c r="P146" i="55"/>
  <c r="D163" i="55"/>
  <c r="P163" i="55" s="1"/>
  <c r="F158" i="55"/>
  <c r="G195" i="55"/>
  <c r="G196" i="55" s="1"/>
  <c r="D226" i="55"/>
  <c r="P226" i="55" s="1"/>
  <c r="P191" i="55"/>
  <c r="X19" i="52" s="1"/>
  <c r="D222" i="55"/>
  <c r="P222" i="55" s="1"/>
  <c r="P187" i="55"/>
  <c r="X15" i="52" s="1"/>
  <c r="L158" i="55"/>
  <c r="L177" i="55"/>
  <c r="M176" i="55"/>
  <c r="O233" i="55"/>
  <c r="O235" i="55" s="1"/>
  <c r="O230" i="55"/>
  <c r="P125" i="55"/>
  <c r="E156" i="55"/>
  <c r="E194" i="55"/>
  <c r="G233" i="55"/>
  <c r="G230" i="55"/>
  <c r="P124" i="55"/>
  <c r="E155" i="55"/>
  <c r="E183" i="55"/>
  <c r="P193" i="55"/>
  <c r="X21" i="52" s="1"/>
  <c r="D228" i="55"/>
  <c r="P228" i="55" s="1"/>
  <c r="E162" i="55"/>
  <c r="J230" i="55"/>
  <c r="J233" i="55"/>
  <c r="F233" i="55"/>
  <c r="F230" i="55"/>
  <c r="F231" i="55" s="1"/>
  <c r="D169" i="55"/>
  <c r="P169" i="55" s="1"/>
  <c r="P153" i="55"/>
  <c r="M236" i="55" l="1"/>
  <c r="L236" i="55"/>
  <c r="O231" i="55"/>
  <c r="J235" i="55"/>
  <c r="J236" i="55" s="1"/>
  <c r="G235" i="55"/>
  <c r="G236" i="55" s="1"/>
  <c r="P171" i="55"/>
  <c r="K236" i="55"/>
  <c r="N177" i="55"/>
  <c r="J231" i="55"/>
  <c r="D234" i="55"/>
  <c r="H177" i="55"/>
  <c r="H158" i="55"/>
  <c r="H230" i="55"/>
  <c r="H231" i="55" s="1"/>
  <c r="E157" i="55"/>
  <c r="E158" i="55" s="1"/>
  <c r="M231" i="55"/>
  <c r="N231" i="55"/>
  <c r="P126" i="55"/>
  <c r="P142" i="55" s="1"/>
  <c r="D142" i="55"/>
  <c r="D253" i="55" s="1"/>
  <c r="P253" i="55" s="1"/>
  <c r="E167" i="55"/>
  <c r="P167" i="55" s="1"/>
  <c r="P151" i="55"/>
  <c r="M158" i="55"/>
  <c r="M177" i="55"/>
  <c r="D157" i="55"/>
  <c r="D162" i="55"/>
  <c r="P145" i="55"/>
  <c r="I158" i="55"/>
  <c r="I177" i="55"/>
  <c r="X12" i="52"/>
  <c r="E219" i="55"/>
  <c r="P219" i="55" s="1"/>
  <c r="P183" i="55"/>
  <c r="F13" i="59" s="1"/>
  <c r="E175" i="55"/>
  <c r="P175" i="55" s="1"/>
  <c r="P156" i="55"/>
  <c r="E221" i="55"/>
  <c r="P221" i="55" s="1"/>
  <c r="P186" i="55"/>
  <c r="X14" i="52" s="1"/>
  <c r="F235" i="55"/>
  <c r="F236" i="55" s="1"/>
  <c r="P155" i="55"/>
  <c r="E164" i="55"/>
  <c r="P164" i="55" s="1"/>
  <c r="G158" i="55"/>
  <c r="G177" i="55"/>
  <c r="G231" i="55"/>
  <c r="E229" i="55"/>
  <c r="P194" i="55"/>
  <c r="X22" i="52" s="1"/>
  <c r="O236" i="55"/>
  <c r="E195" i="55"/>
  <c r="E196" i="55" s="1"/>
  <c r="I233" i="55"/>
  <c r="I235" i="55" s="1"/>
  <c r="I230" i="55"/>
  <c r="I231" i="55" s="1"/>
  <c r="P181" i="55"/>
  <c r="D13" i="59" s="1"/>
  <c r="D195" i="55"/>
  <c r="D217" i="55"/>
  <c r="N236" i="55"/>
  <c r="H236" i="55" l="1"/>
  <c r="I236" i="55"/>
  <c r="E176" i="55"/>
  <c r="E177" i="55" s="1"/>
  <c r="P229" i="55"/>
  <c r="E234" i="55"/>
  <c r="P234" i="55" s="1"/>
  <c r="X10" i="52"/>
  <c r="P195" i="55"/>
  <c r="P196" i="55" s="1"/>
  <c r="E230" i="55"/>
  <c r="E231" i="55" s="1"/>
  <c r="P217" i="55"/>
  <c r="D230" i="55"/>
  <c r="D231" i="55" s="1"/>
  <c r="D233" i="55"/>
  <c r="D196" i="55"/>
  <c r="X13" i="52"/>
  <c r="D176" i="55"/>
  <c r="P162" i="55"/>
  <c r="P176" i="55" s="1"/>
  <c r="E233" i="55"/>
  <c r="P157" i="55"/>
  <c r="D158" i="55"/>
  <c r="D177" i="55"/>
  <c r="P230" i="55" l="1"/>
  <c r="P231" i="55" s="1"/>
  <c r="E235" i="55"/>
  <c r="E236" i="55" s="1"/>
  <c r="P177" i="55"/>
  <c r="P158" i="55"/>
  <c r="D235" i="55"/>
  <c r="D236" i="55" s="1"/>
  <c r="P233" i="55"/>
  <c r="P235" i="55" s="1"/>
  <c r="P236" i="55" l="1"/>
  <c r="L30" i="42" l="1"/>
  <c r="N10" i="42"/>
  <c r="N14" i="42" s="1"/>
  <c r="M10" i="42"/>
  <c r="M14" i="42" s="1"/>
  <c r="L10" i="42"/>
  <c r="L14" i="42" s="1"/>
  <c r="L28" i="42" s="1"/>
  <c r="K10" i="42"/>
  <c r="K14" i="42" s="1"/>
  <c r="J10" i="42"/>
  <c r="J14" i="42" s="1"/>
  <c r="I10" i="42"/>
  <c r="I14" i="42" s="1"/>
  <c r="H10" i="42"/>
  <c r="H14" i="42" s="1"/>
  <c r="G10" i="42"/>
  <c r="G14" i="42" s="1"/>
  <c r="F10" i="42"/>
  <c r="F14" i="42" s="1"/>
  <c r="E10" i="42"/>
  <c r="E14" i="42" s="1"/>
  <c r="D10" i="42"/>
  <c r="D14" i="42" s="1"/>
  <c r="C10" i="42"/>
  <c r="C14" i="42" s="1"/>
  <c r="L30" i="41"/>
  <c r="N10" i="41"/>
  <c r="N14" i="41" s="1"/>
  <c r="M10" i="41"/>
  <c r="M14" i="41" s="1"/>
  <c r="L10" i="41"/>
  <c r="L14" i="41" s="1"/>
  <c r="L28" i="41" s="1"/>
  <c r="K10" i="41"/>
  <c r="K14" i="41" s="1"/>
  <c r="J10" i="41"/>
  <c r="J14" i="41" s="1"/>
  <c r="I10" i="41"/>
  <c r="I14" i="41" s="1"/>
  <c r="H10" i="41"/>
  <c r="H14" i="41" s="1"/>
  <c r="G10" i="41"/>
  <c r="G14" i="41" s="1"/>
  <c r="F10" i="41"/>
  <c r="F14" i="41" s="1"/>
  <c r="E10" i="41"/>
  <c r="E14" i="41" s="1"/>
  <c r="D10" i="41"/>
  <c r="D14" i="41" s="1"/>
  <c r="C10" i="41"/>
  <c r="C14" i="41" s="1"/>
  <c r="L14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Q8" i="40"/>
  <c r="D18" i="42" l="1"/>
  <c r="D18" i="41"/>
  <c r="D22" i="41"/>
  <c r="D22" i="42" l="1"/>
  <c r="E18" i="42"/>
  <c r="E22" i="42"/>
  <c r="E22" i="41"/>
  <c r="E18" i="41"/>
  <c r="F22" i="41"/>
  <c r="F22" i="42" l="1"/>
  <c r="G22" i="41"/>
  <c r="F18" i="41"/>
  <c r="G18" i="41" s="1"/>
  <c r="G22" i="42" l="1"/>
  <c r="H22" i="42" s="1"/>
  <c r="F18" i="42"/>
  <c r="G18" i="42" s="1"/>
  <c r="H18" i="42" s="1"/>
  <c r="H22" i="41"/>
  <c r="I22" i="41" s="1"/>
  <c r="H18" i="41"/>
  <c r="I18" i="41" s="1"/>
  <c r="I22" i="42" l="1"/>
  <c r="I18" i="42"/>
  <c r="J18" i="41"/>
  <c r="J22" i="42" l="1"/>
  <c r="J22" i="41"/>
  <c r="K22" i="42" l="1"/>
  <c r="J18" i="42"/>
  <c r="K18" i="42" s="1"/>
  <c r="L22" i="42" l="1"/>
  <c r="M22" i="42" l="1"/>
  <c r="L18" i="42"/>
  <c r="M18" i="42" l="1"/>
  <c r="K18" i="41" l="1"/>
  <c r="K22" i="41"/>
  <c r="L22" i="41" l="1"/>
  <c r="M22" i="41" s="1"/>
  <c r="L18" i="41"/>
  <c r="M18" i="41" s="1"/>
  <c r="N18" i="41" l="1"/>
  <c r="N22" i="41"/>
  <c r="BX122" i="23" l="1"/>
  <c r="BY122" i="23"/>
  <c r="BZ122" i="23"/>
  <c r="CA122" i="23"/>
  <c r="CB122" i="23"/>
  <c r="CC122" i="23"/>
  <c r="CD122" i="23"/>
  <c r="CE122" i="23"/>
  <c r="CF122" i="23"/>
  <c r="CG122" i="23"/>
  <c r="CH122" i="23"/>
  <c r="CI122" i="23"/>
  <c r="BX115" i="23" l="1"/>
  <c r="BY115" i="23"/>
  <c r="BZ115" i="23"/>
  <c r="CA115" i="23"/>
  <c r="CB115" i="23"/>
  <c r="CC115" i="23"/>
  <c r="CD115" i="23"/>
  <c r="CE115" i="23"/>
  <c r="CF115" i="23"/>
  <c r="CG115" i="23"/>
  <c r="CH115" i="23"/>
  <c r="CI115" i="23"/>
  <c r="BX106" i="23"/>
  <c r="BY106" i="23"/>
  <c r="BZ106" i="23"/>
  <c r="CA106" i="23"/>
  <c r="CB106" i="23"/>
  <c r="CC106" i="23"/>
  <c r="CD106" i="23"/>
  <c r="CE106" i="23"/>
  <c r="CF106" i="23"/>
  <c r="CF120" i="23" s="1"/>
  <c r="CG106" i="23"/>
  <c r="CH106" i="23"/>
  <c r="CI106" i="23"/>
  <c r="BX97" i="23"/>
  <c r="BY97" i="23"/>
  <c r="BZ97" i="23"/>
  <c r="CA97" i="23"/>
  <c r="CB97" i="23"/>
  <c r="CC97" i="23"/>
  <c r="CD97" i="23"/>
  <c r="CE97" i="23"/>
  <c r="CF97" i="23"/>
  <c r="CG97" i="23"/>
  <c r="CH97" i="23"/>
  <c r="CI97" i="23"/>
  <c r="CJ97" i="23"/>
  <c r="BX98" i="23"/>
  <c r="BY89" i="23" s="1"/>
  <c r="BY98" i="23" s="1"/>
  <c r="BZ89" i="23" s="1"/>
  <c r="BZ98" i="23" s="1"/>
  <c r="CA89" i="23" s="1"/>
  <c r="CA98" i="23" s="1"/>
  <c r="CB89" i="23" s="1"/>
  <c r="CB98" i="23" s="1"/>
  <c r="CC89" i="23" s="1"/>
  <c r="CC98" i="23" s="1"/>
  <c r="CD89" i="23" s="1"/>
  <c r="CD98" i="23" s="1"/>
  <c r="CE89" i="23" s="1"/>
  <c r="CE98" i="23" s="1"/>
  <c r="CF89" i="23" s="1"/>
  <c r="CF98" i="23" s="1"/>
  <c r="CG89" i="23" s="1"/>
  <c r="CG98" i="23" s="1"/>
  <c r="CH89" i="23" s="1"/>
  <c r="CH98" i="23" s="1"/>
  <c r="CI89" i="23" s="1"/>
  <c r="CI98" i="23" s="1"/>
  <c r="CJ89" i="23" s="1"/>
  <c r="CJ98" i="23" s="1"/>
  <c r="BX89" i="23"/>
  <c r="BX85" i="23"/>
  <c r="BY85" i="23"/>
  <c r="BZ85" i="23"/>
  <c r="CA85" i="23"/>
  <c r="CB85" i="23"/>
  <c r="CC85" i="23"/>
  <c r="CD85" i="23"/>
  <c r="CE85" i="23"/>
  <c r="CF85" i="23"/>
  <c r="CG85" i="23"/>
  <c r="CH85" i="23"/>
  <c r="CI85" i="23"/>
  <c r="BX75" i="23"/>
  <c r="BY75" i="23"/>
  <c r="BZ75" i="23"/>
  <c r="CA75" i="23"/>
  <c r="CB75" i="23"/>
  <c r="CC75" i="23"/>
  <c r="CD75" i="23"/>
  <c r="CE75" i="23"/>
  <c r="CF75" i="23"/>
  <c r="CG75" i="23"/>
  <c r="CH75" i="23"/>
  <c r="CI75" i="23"/>
  <c r="BX76" i="23"/>
  <c r="BY71" i="23" s="1"/>
  <c r="BY76" i="23" s="1"/>
  <c r="BZ71" i="23" s="1"/>
  <c r="BX71" i="23"/>
  <c r="BX67" i="23"/>
  <c r="BY67" i="23"/>
  <c r="BZ67" i="23"/>
  <c r="CA67" i="23"/>
  <c r="CB67" i="23"/>
  <c r="CC67" i="23"/>
  <c r="CD67" i="23"/>
  <c r="CE67" i="23"/>
  <c r="CF67" i="23"/>
  <c r="CG67" i="23"/>
  <c r="CH67" i="23"/>
  <c r="CI67" i="23"/>
  <c r="BX68" i="23"/>
  <c r="BY63" i="23" s="1"/>
  <c r="BY68" i="23" s="1"/>
  <c r="BZ63" i="23" s="1"/>
  <c r="BZ68" i="23" s="1"/>
  <c r="CA63" i="23" s="1"/>
  <c r="CA68" i="23" s="1"/>
  <c r="CB63" i="23" s="1"/>
  <c r="CB68" i="23" s="1"/>
  <c r="CC63" i="23" s="1"/>
  <c r="CC68" i="23" s="1"/>
  <c r="CD63" i="23" s="1"/>
  <c r="CD68" i="23" s="1"/>
  <c r="CE63" i="23" s="1"/>
  <c r="CE68" i="23" s="1"/>
  <c r="CF63" i="23" s="1"/>
  <c r="CF68" i="23" s="1"/>
  <c r="CG63" i="23" s="1"/>
  <c r="CG68" i="23" s="1"/>
  <c r="CH63" i="23" s="1"/>
  <c r="CH68" i="23" s="1"/>
  <c r="CI63" i="23" s="1"/>
  <c r="CI68" i="23" s="1"/>
  <c r="CJ63" i="23" s="1"/>
  <c r="BX63" i="23"/>
  <c r="BX59" i="23"/>
  <c r="BX60" i="23" s="1"/>
  <c r="BY52" i="23" s="1"/>
  <c r="BY59" i="23"/>
  <c r="BZ59" i="23"/>
  <c r="CA59" i="23"/>
  <c r="CB59" i="23"/>
  <c r="CC59" i="23"/>
  <c r="CD59" i="23"/>
  <c r="CE59" i="23"/>
  <c r="CF59" i="23"/>
  <c r="CG59" i="23"/>
  <c r="CH59" i="23"/>
  <c r="CI59" i="23"/>
  <c r="CJ59" i="23"/>
  <c r="BX52" i="23"/>
  <c r="BX48" i="23"/>
  <c r="BY48" i="23"/>
  <c r="BZ48" i="23"/>
  <c r="CA48" i="23"/>
  <c r="CB48" i="23"/>
  <c r="CC48" i="23"/>
  <c r="CD48" i="23"/>
  <c r="CE48" i="23"/>
  <c r="CF48" i="23"/>
  <c r="CG48" i="23"/>
  <c r="CH48" i="23"/>
  <c r="CI48" i="23"/>
  <c r="BX39" i="23"/>
  <c r="BY39" i="23"/>
  <c r="BZ39" i="23"/>
  <c r="CA39" i="23"/>
  <c r="CB39" i="23"/>
  <c r="CC39" i="23"/>
  <c r="CD39" i="23"/>
  <c r="CE39" i="23"/>
  <c r="CF39" i="23"/>
  <c r="CG39" i="23"/>
  <c r="CH39" i="23"/>
  <c r="CI39" i="23"/>
  <c r="BX31" i="23"/>
  <c r="BX32" i="23" s="1"/>
  <c r="BY27" i="23" s="1"/>
  <c r="BY31" i="23"/>
  <c r="BZ31" i="23"/>
  <c r="CA31" i="23"/>
  <c r="CB31" i="23"/>
  <c r="CC31" i="23"/>
  <c r="CD31" i="23"/>
  <c r="CE31" i="23"/>
  <c r="CF31" i="23"/>
  <c r="CG31" i="23"/>
  <c r="CH31" i="23"/>
  <c r="CI31" i="23"/>
  <c r="BX27" i="23"/>
  <c r="BX23" i="23"/>
  <c r="BY23" i="23"/>
  <c r="BZ23" i="23"/>
  <c r="CA23" i="23"/>
  <c r="CB23" i="23"/>
  <c r="CC23" i="23"/>
  <c r="CD23" i="23"/>
  <c r="CE23" i="23"/>
  <c r="CF23" i="23"/>
  <c r="CG23" i="23"/>
  <c r="CH23" i="23"/>
  <c r="CI23" i="23"/>
  <c r="CJ23" i="23"/>
  <c r="BX14" i="23"/>
  <c r="BY14" i="23"/>
  <c r="BZ14" i="23"/>
  <c r="CA14" i="23"/>
  <c r="CB14" i="23"/>
  <c r="CC14" i="23"/>
  <c r="CD14" i="23"/>
  <c r="CE14" i="23"/>
  <c r="CF14" i="23"/>
  <c r="CG14" i="23"/>
  <c r="CH14" i="23"/>
  <c r="CI14" i="23"/>
  <c r="G23" i="53"/>
  <c r="D24" i="53"/>
  <c r="CI120" i="23" l="1"/>
  <c r="CE120" i="23"/>
  <c r="CA120" i="23"/>
  <c r="CB120" i="23"/>
  <c r="CH120" i="23"/>
  <c r="CG120" i="23"/>
  <c r="CC120" i="23"/>
  <c r="BY120" i="23"/>
  <c r="CD120" i="23"/>
  <c r="BZ120" i="23"/>
  <c r="BX120" i="23"/>
  <c r="BZ76" i="23"/>
  <c r="CA71" i="23" s="1"/>
  <c r="CA76" i="23" s="1"/>
  <c r="CB71" i="23" s="1"/>
  <c r="CB76" i="23" s="1"/>
  <c r="CC71" i="23" s="1"/>
  <c r="CC76" i="23" s="1"/>
  <c r="CD71" i="23" s="1"/>
  <c r="CD76" i="23" s="1"/>
  <c r="CE71" i="23" s="1"/>
  <c r="CE76" i="23" s="1"/>
  <c r="CF71" i="23" s="1"/>
  <c r="CF76" i="23" s="1"/>
  <c r="CG71" i="23" s="1"/>
  <c r="CG76" i="23" s="1"/>
  <c r="CH71" i="23" s="1"/>
  <c r="CH76" i="23" s="1"/>
  <c r="CI71" i="23" s="1"/>
  <c r="CI76" i="23" s="1"/>
  <c r="CJ71" i="23" s="1"/>
  <c r="BY60" i="23"/>
  <c r="BZ52" i="23" s="1"/>
  <c r="BZ60" i="23" s="1"/>
  <c r="CA52" i="23" s="1"/>
  <c r="CA60" i="23" s="1"/>
  <c r="CB52" i="23" s="1"/>
  <c r="CB60" i="23" s="1"/>
  <c r="CC52" i="23" s="1"/>
  <c r="CC60" i="23" s="1"/>
  <c r="CD52" i="23" s="1"/>
  <c r="CD60" i="23" s="1"/>
  <c r="CE52" i="23" s="1"/>
  <c r="CE60" i="23" s="1"/>
  <c r="CF52" i="23" s="1"/>
  <c r="CF60" i="23" s="1"/>
  <c r="CG52" i="23" s="1"/>
  <c r="CG60" i="23" s="1"/>
  <c r="CH52" i="23" s="1"/>
  <c r="CH60" i="23" s="1"/>
  <c r="CI52" i="23" s="1"/>
  <c r="CI60" i="23" s="1"/>
  <c r="CJ52" i="23" s="1"/>
  <c r="CJ60" i="23" s="1"/>
  <c r="BY32" i="23"/>
  <c r="BZ27" i="23" s="1"/>
  <c r="BZ32" i="23" s="1"/>
  <c r="CA27" i="23" s="1"/>
  <c r="CA32" i="23" s="1"/>
  <c r="CB27" i="23" s="1"/>
  <c r="CB32" i="23"/>
  <c r="CC27" i="23" s="1"/>
  <c r="CC32" i="23" s="1"/>
  <c r="CD27" i="23" s="1"/>
  <c r="CD32" i="23" s="1"/>
  <c r="CE27" i="23" s="1"/>
  <c r="CE32" i="23" s="1"/>
  <c r="CF27" i="23" s="1"/>
  <c r="CF32" i="23" s="1"/>
  <c r="CG27" i="23" s="1"/>
  <c r="CG32" i="23" s="1"/>
  <c r="CH27" i="23" s="1"/>
  <c r="CH32" i="23" s="1"/>
  <c r="CI27" i="23" s="1"/>
  <c r="CI32" i="23" s="1"/>
  <c r="CJ27" i="23" s="1"/>
  <c r="O23" i="52" l="1"/>
  <c r="Q8" i="42" l="1"/>
  <c r="D13" i="18" s="1"/>
  <c r="D12" i="18"/>
  <c r="D11" i="18"/>
  <c r="Q8" i="41"/>
  <c r="A2" i="53"/>
  <c r="A4" i="53"/>
  <c r="A1" i="53"/>
  <c r="F22" i="52" l="1"/>
  <c r="G35" i="53" l="1"/>
  <c r="G34" i="53"/>
  <c r="D36" i="53"/>
  <c r="BL115" i="23" l="1"/>
  <c r="BM115" i="23"/>
  <c r="BN115" i="23"/>
  <c r="BO115" i="23"/>
  <c r="BP115" i="23"/>
  <c r="BQ115" i="23"/>
  <c r="BR115" i="23"/>
  <c r="BS115" i="23"/>
  <c r="BT115" i="23"/>
  <c r="BU115" i="23"/>
  <c r="BV115" i="23"/>
  <c r="BW115" i="23"/>
  <c r="BL106" i="23"/>
  <c r="BM106" i="23"/>
  <c r="BN106" i="23"/>
  <c r="BO106" i="23"/>
  <c r="BP106" i="23"/>
  <c r="BQ106" i="23"/>
  <c r="BR106" i="23"/>
  <c r="BS106" i="23"/>
  <c r="BT106" i="23"/>
  <c r="BU106" i="23"/>
  <c r="BV106" i="23"/>
  <c r="BW106" i="23"/>
  <c r="BL97" i="23"/>
  <c r="BM97" i="23"/>
  <c r="BN97" i="23"/>
  <c r="BO97" i="23"/>
  <c r="BP97" i="23"/>
  <c r="BQ97" i="23"/>
  <c r="BR97" i="23"/>
  <c r="BS97" i="23"/>
  <c r="BT97" i="23"/>
  <c r="BU97" i="23"/>
  <c r="BV97" i="23"/>
  <c r="BW97" i="23"/>
  <c r="BL85" i="23"/>
  <c r="BM85" i="23"/>
  <c r="BN85" i="23"/>
  <c r="BO85" i="23"/>
  <c r="BP85" i="23"/>
  <c r="BQ85" i="23"/>
  <c r="BR85" i="23"/>
  <c r="BS85" i="23"/>
  <c r="BT85" i="23"/>
  <c r="BU85" i="23"/>
  <c r="BV85" i="23"/>
  <c r="BW85" i="23"/>
  <c r="BL75" i="23"/>
  <c r="BM75" i="23"/>
  <c r="BN75" i="23"/>
  <c r="BO75" i="23"/>
  <c r="BP75" i="23"/>
  <c r="BQ75" i="23"/>
  <c r="BR75" i="23"/>
  <c r="BS75" i="23"/>
  <c r="BT75" i="23"/>
  <c r="BU75" i="23"/>
  <c r="BV75" i="23"/>
  <c r="BW75" i="23"/>
  <c r="BL67" i="23"/>
  <c r="BM67" i="23"/>
  <c r="BN67" i="23"/>
  <c r="BO67" i="23"/>
  <c r="BP67" i="23"/>
  <c r="BQ67" i="23"/>
  <c r="BR67" i="23"/>
  <c r="BS67" i="23"/>
  <c r="BT67" i="23"/>
  <c r="BU67" i="23"/>
  <c r="BV67" i="23"/>
  <c r="BW67" i="23"/>
  <c r="BL59" i="23"/>
  <c r="BM59" i="23"/>
  <c r="BN59" i="23"/>
  <c r="BO59" i="23"/>
  <c r="BP59" i="23"/>
  <c r="BQ59" i="23"/>
  <c r="BR59" i="23"/>
  <c r="BS59" i="23"/>
  <c r="BT59" i="23"/>
  <c r="BU59" i="23"/>
  <c r="BV59" i="23"/>
  <c r="BW59" i="23"/>
  <c r="BL48" i="23"/>
  <c r="BM48" i="23"/>
  <c r="BN48" i="23"/>
  <c r="BO48" i="23"/>
  <c r="BP48" i="23"/>
  <c r="BQ48" i="23"/>
  <c r="BR48" i="23"/>
  <c r="BS48" i="23"/>
  <c r="BT48" i="23"/>
  <c r="BU48" i="23"/>
  <c r="BV48" i="23"/>
  <c r="BW48" i="23"/>
  <c r="BL39" i="23"/>
  <c r="BM39" i="23"/>
  <c r="BN39" i="23"/>
  <c r="BO39" i="23"/>
  <c r="BP39" i="23"/>
  <c r="BQ39" i="23"/>
  <c r="BR39" i="23"/>
  <c r="BS39" i="23"/>
  <c r="BT39" i="23"/>
  <c r="BU39" i="23"/>
  <c r="BV39" i="23"/>
  <c r="BW39" i="23"/>
  <c r="BL31" i="23"/>
  <c r="BM31" i="23"/>
  <c r="BN31" i="23"/>
  <c r="BO31" i="23"/>
  <c r="BP31" i="23"/>
  <c r="BQ31" i="23"/>
  <c r="BR31" i="23"/>
  <c r="BS31" i="23"/>
  <c r="BT31" i="23"/>
  <c r="BU31" i="23"/>
  <c r="BV31" i="23"/>
  <c r="BW31" i="23"/>
  <c r="BL23" i="23"/>
  <c r="BM23" i="23"/>
  <c r="BN23" i="23"/>
  <c r="BO23" i="23"/>
  <c r="BP23" i="23"/>
  <c r="BQ23" i="23"/>
  <c r="BR23" i="23"/>
  <c r="BS23" i="23"/>
  <c r="BT23" i="23"/>
  <c r="BU23" i="23"/>
  <c r="BV23" i="23"/>
  <c r="BW23" i="23"/>
  <c r="BL14" i="23"/>
  <c r="BM14" i="23"/>
  <c r="BN14" i="23"/>
  <c r="BO14" i="23"/>
  <c r="BP14" i="23"/>
  <c r="BQ14" i="23"/>
  <c r="BR14" i="23"/>
  <c r="BS14" i="23"/>
  <c r="BT14" i="23"/>
  <c r="BU14" i="23"/>
  <c r="BV14" i="23"/>
  <c r="BW14" i="23"/>
  <c r="BS120" i="23" l="1"/>
  <c r="BV120" i="23"/>
  <c r="BR120" i="23"/>
  <c r="BN120" i="23"/>
  <c r="BO120" i="23"/>
  <c r="BU120" i="23"/>
  <c r="BQ120" i="23"/>
  <c r="BM120" i="23"/>
  <c r="BW120" i="23"/>
  <c r="BT120" i="23"/>
  <c r="BP120" i="23"/>
  <c r="BL120" i="23"/>
  <c r="A2" i="18"/>
  <c r="C6" i="42"/>
  <c r="C6" i="41"/>
  <c r="E46" i="21" l="1"/>
  <c r="I46" i="21"/>
  <c r="M46" i="21"/>
  <c r="B46" i="21"/>
  <c r="C47" i="21"/>
  <c r="F46" i="21"/>
  <c r="G47" i="21"/>
  <c r="J46" i="21"/>
  <c r="K47" i="21"/>
  <c r="N46" i="21"/>
  <c r="O47" i="21"/>
  <c r="C46" i="21"/>
  <c r="D47" i="21"/>
  <c r="G46" i="21"/>
  <c r="H47" i="21"/>
  <c r="K46" i="21"/>
  <c r="L47" i="21"/>
  <c r="O46" i="21"/>
  <c r="D46" i="21"/>
  <c r="E47" i="21"/>
  <c r="H46" i="21"/>
  <c r="I47" i="21"/>
  <c r="L46" i="21"/>
  <c r="M47" i="21"/>
  <c r="P8" i="21" l="1"/>
  <c r="D48" i="21"/>
  <c r="F48" i="21"/>
  <c r="B48" i="21"/>
  <c r="M48" i="21"/>
  <c r="E48" i="21"/>
  <c r="H48" i="21"/>
  <c r="N47" i="21"/>
  <c r="F47" i="21"/>
  <c r="I48" i="21"/>
  <c r="J48" i="21"/>
  <c r="J47" i="21"/>
  <c r="L48" i="21"/>
  <c r="O48" i="21"/>
  <c r="K48" i="21"/>
  <c r="G48" i="21"/>
  <c r="C48" i="21"/>
  <c r="N48" i="21"/>
  <c r="B47" i="21"/>
  <c r="A4" i="18" l="1"/>
  <c r="A4" i="21"/>
  <c r="E36" i="53" l="1"/>
  <c r="G33" i="53"/>
  <c r="G32" i="53"/>
  <c r="G30" i="53"/>
  <c r="H30" i="53" s="1"/>
  <c r="E30" i="53"/>
  <c r="G28" i="53"/>
  <c r="H28" i="53" s="1"/>
  <c r="E28" i="53"/>
  <c r="D26" i="53"/>
  <c r="D37" i="53" s="1"/>
  <c r="G25" i="53"/>
  <c r="G22" i="53"/>
  <c r="G21" i="53"/>
  <c r="G20" i="53"/>
  <c r="G19" i="53"/>
  <c r="G18" i="53"/>
  <c r="G17" i="53"/>
  <c r="D14" i="53"/>
  <c r="G13" i="53"/>
  <c r="H13" i="53" s="1"/>
  <c r="E13" i="53"/>
  <c r="G12" i="53"/>
  <c r="H12" i="53" s="1"/>
  <c r="E12" i="53"/>
  <c r="G11" i="53"/>
  <c r="G14" i="53" s="1"/>
  <c r="E11" i="53"/>
  <c r="T32" i="52"/>
  <c r="D32" i="52"/>
  <c r="T31" i="52"/>
  <c r="E31" i="52"/>
  <c r="E30" i="52"/>
  <c r="T29" i="52"/>
  <c r="D29" i="52"/>
  <c r="D28" i="52"/>
  <c r="E27" i="52"/>
  <c r="E26" i="52"/>
  <c r="D26" i="52"/>
  <c r="E32" i="52"/>
  <c r="F21" i="52"/>
  <c r="D30" i="52"/>
  <c r="F19" i="52"/>
  <c r="E28" i="52"/>
  <c r="F15" i="52"/>
  <c r="H15" i="52" s="1"/>
  <c r="F14" i="52"/>
  <c r="H14" i="52" s="1"/>
  <c r="E29" i="52"/>
  <c r="P23" i="52"/>
  <c r="L23" i="52"/>
  <c r="F13" i="52"/>
  <c r="H13" i="52" s="1"/>
  <c r="M23" i="52"/>
  <c r="F12" i="52"/>
  <c r="H12" i="52" s="1"/>
  <c r="I23" i="52"/>
  <c r="F11" i="52"/>
  <c r="E23" i="52"/>
  <c r="R23" i="52"/>
  <c r="K23" i="52"/>
  <c r="J23" i="52"/>
  <c r="F10" i="52"/>
  <c r="H10" i="52" s="1"/>
  <c r="D23" i="52"/>
  <c r="F23" i="52" l="1"/>
  <c r="H11" i="52"/>
  <c r="S11" i="52" s="1"/>
  <c r="H21" i="52"/>
  <c r="S21" i="52" s="1"/>
  <c r="H19" i="52"/>
  <c r="S19" i="52" s="1"/>
  <c r="G36" i="53"/>
  <c r="H36" i="53"/>
  <c r="E14" i="53"/>
  <c r="H11" i="53"/>
  <c r="H14" i="53" s="1"/>
  <c r="E26" i="53"/>
  <c r="E37" i="53" s="1"/>
  <c r="D43" i="53"/>
  <c r="E33" i="52"/>
  <c r="G23" i="52"/>
  <c r="N23" i="52"/>
  <c r="D31" i="52"/>
  <c r="F16" i="52"/>
  <c r="H16" i="52" s="1"/>
  <c r="F18" i="52"/>
  <c r="H22" i="52"/>
  <c r="S14" i="52"/>
  <c r="W14" i="52" s="1"/>
  <c r="D27" i="52"/>
  <c r="F17" i="52"/>
  <c r="F20" i="52"/>
  <c r="H26" i="52" l="1"/>
  <c r="H29" i="52"/>
  <c r="U19" i="52"/>
  <c r="W19" i="52"/>
  <c r="U21" i="52"/>
  <c r="W21" i="52"/>
  <c r="U11" i="52"/>
  <c r="W11" i="52"/>
  <c r="Y11" i="52" s="1"/>
  <c r="H20" i="52"/>
  <c r="S20" i="52" s="1"/>
  <c r="W20" i="52" s="1"/>
  <c r="Y20" i="52" s="1"/>
  <c r="H18" i="52"/>
  <c r="H28" i="52" s="1"/>
  <c r="H17" i="52"/>
  <c r="S17" i="52" s="1"/>
  <c r="W17" i="52" s="1"/>
  <c r="Y17" i="52" s="1"/>
  <c r="D33" i="52"/>
  <c r="E39" i="53"/>
  <c r="S15" i="52"/>
  <c r="H32" i="52"/>
  <c r="S22" i="52"/>
  <c r="W22" i="52" s="1"/>
  <c r="S29" i="52"/>
  <c r="U29" i="52" s="1"/>
  <c r="U14" i="52"/>
  <c r="S16" i="52"/>
  <c r="W16" i="52" s="1"/>
  <c r="H31" i="52"/>
  <c r="S12" i="52"/>
  <c r="W12" i="52" s="1"/>
  <c r="S13" i="52"/>
  <c r="W13" i="52" s="1"/>
  <c r="H27" i="52" l="1"/>
  <c r="H23" i="52"/>
  <c r="H30" i="52"/>
  <c r="S18" i="52"/>
  <c r="W18" i="52" s="1"/>
  <c r="S30" i="52"/>
  <c r="W15" i="52"/>
  <c r="S31" i="52"/>
  <c r="U31" i="52" s="1"/>
  <c r="U16" i="52"/>
  <c r="S27" i="52"/>
  <c r="Q23" i="52"/>
  <c r="S10" i="52"/>
  <c r="W10" i="52" s="1"/>
  <c r="U22" i="52"/>
  <c r="S32" i="52"/>
  <c r="U32" i="52" s="1"/>
  <c r="H33" i="52" l="1"/>
  <c r="S28" i="52"/>
  <c r="Y22" i="52"/>
  <c r="S23" i="52"/>
  <c r="S26" i="52"/>
  <c r="S33" i="52" l="1"/>
  <c r="Y12" i="52"/>
  <c r="E11" i="59" s="1"/>
  <c r="E15" i="59" s="1"/>
  <c r="Y16" i="52"/>
  <c r="Y10" i="52"/>
  <c r="D11" i="59" s="1"/>
  <c r="D15" i="59" s="1"/>
  <c r="Y18" i="52"/>
  <c r="Y15" i="52"/>
  <c r="Y14" i="52"/>
  <c r="Y21" i="52"/>
  <c r="Y19" i="52"/>
  <c r="Y13" i="52"/>
  <c r="F11" i="59" s="1"/>
  <c r="F15" i="59" s="1"/>
  <c r="D16" i="26" l="1"/>
  <c r="D18" i="26" s="1"/>
  <c r="D18" i="61" l="1"/>
  <c r="D13" i="62"/>
  <c r="D19" i="26"/>
  <c r="D21" i="26" s="1"/>
  <c r="D31" i="62" l="1"/>
  <c r="E13" i="62"/>
  <c r="E22" i="62"/>
  <c r="E31" i="62"/>
  <c r="D22" i="62"/>
  <c r="E18" i="61"/>
  <c r="F18" i="61"/>
  <c r="D24" i="61"/>
  <c r="D16" i="56" s="1"/>
  <c r="D22" i="61"/>
  <c r="D14" i="56" s="1"/>
  <c r="D119" i="23"/>
  <c r="F24" i="61" l="1"/>
  <c r="F16" i="56" s="1"/>
  <c r="F22" i="61"/>
  <c r="F14" i="56" s="1"/>
  <c r="E24" i="61"/>
  <c r="E16" i="56" s="1"/>
  <c r="E22" i="61"/>
  <c r="E14" i="56" s="1"/>
  <c r="BD19" i="23"/>
  <c r="CJ114" i="23" l="1"/>
  <c r="CJ115" i="23" s="1"/>
  <c r="CK114" i="23"/>
  <c r="CK115" i="23" s="1"/>
  <c r="CL114" i="23"/>
  <c r="CL115" i="23" s="1"/>
  <c r="CM114" i="23"/>
  <c r="CM115" i="23" s="1"/>
  <c r="CN114" i="23"/>
  <c r="CN115" i="23" s="1"/>
  <c r="CO114" i="23"/>
  <c r="CO115" i="23" s="1"/>
  <c r="CP114" i="23"/>
  <c r="CP115" i="23" s="1"/>
  <c r="CQ114" i="23"/>
  <c r="CQ115" i="23" s="1"/>
  <c r="CR114" i="23"/>
  <c r="CR115" i="23" s="1"/>
  <c r="CS114" i="23"/>
  <c r="CS115" i="23" s="1"/>
  <c r="CT114" i="23"/>
  <c r="CT115" i="23" s="1"/>
  <c r="BJ115" i="23"/>
  <c r="BI115" i="23"/>
  <c r="BH115" i="23"/>
  <c r="BG115" i="23"/>
  <c r="BF115" i="23"/>
  <c r="BE115" i="23"/>
  <c r="BD115" i="23"/>
  <c r="BC115" i="23"/>
  <c r="BB115" i="23"/>
  <c r="BA115" i="23"/>
  <c r="AZ115" i="23"/>
  <c r="AY115" i="23"/>
  <c r="AX115" i="23"/>
  <c r="AW115" i="23"/>
  <c r="AV115" i="23"/>
  <c r="AU115" i="23"/>
  <c r="AT115" i="23"/>
  <c r="AS115" i="23"/>
  <c r="AR115" i="23"/>
  <c r="AQ115" i="23"/>
  <c r="AP115" i="23"/>
  <c r="AO115" i="23"/>
  <c r="AN115" i="23"/>
  <c r="AM115" i="23"/>
  <c r="AL115" i="23"/>
  <c r="AK115" i="23"/>
  <c r="AJ115" i="23"/>
  <c r="AI115" i="23"/>
  <c r="AH115" i="23"/>
  <c r="AG115" i="23"/>
  <c r="AF115" i="23"/>
  <c r="AE115" i="23"/>
  <c r="AD115" i="23"/>
  <c r="AC115" i="23"/>
  <c r="AB115" i="23"/>
  <c r="AA115" i="23"/>
  <c r="Z115" i="23"/>
  <c r="Y115" i="23"/>
  <c r="X115" i="23"/>
  <c r="W115" i="23"/>
  <c r="V115" i="23"/>
  <c r="U115" i="23"/>
  <c r="T115" i="23"/>
  <c r="S115" i="23"/>
  <c r="R115" i="23"/>
  <c r="Q115" i="23"/>
  <c r="P115" i="23"/>
  <c r="O115" i="23"/>
  <c r="N115" i="23"/>
  <c r="M115" i="23"/>
  <c r="L115" i="23"/>
  <c r="K115" i="23"/>
  <c r="J115" i="23"/>
  <c r="I115" i="23"/>
  <c r="H115" i="23"/>
  <c r="G115" i="23"/>
  <c r="F115" i="23"/>
  <c r="E115" i="23"/>
  <c r="D115" i="23"/>
  <c r="D116" i="23" s="1"/>
  <c r="E110" i="23" s="1"/>
  <c r="BK115" i="23"/>
  <c r="CJ105" i="23"/>
  <c r="CJ106" i="23" s="1"/>
  <c r="CK105" i="23"/>
  <c r="CK106" i="23" s="1"/>
  <c r="CL105" i="23"/>
  <c r="CL106" i="23" s="1"/>
  <c r="CM105" i="23"/>
  <c r="CM106" i="23" s="1"/>
  <c r="CN105" i="23"/>
  <c r="CN106" i="23" s="1"/>
  <c r="CO105" i="23"/>
  <c r="CO106" i="23" s="1"/>
  <c r="CP105" i="23"/>
  <c r="CP106" i="23" s="1"/>
  <c r="CQ105" i="23"/>
  <c r="CQ106" i="23" s="1"/>
  <c r="CR105" i="23"/>
  <c r="CR106" i="23" s="1"/>
  <c r="CS105" i="23"/>
  <c r="CS106" i="23" s="1"/>
  <c r="CT105" i="23"/>
  <c r="CT106" i="23" s="1"/>
  <c r="BJ106" i="23"/>
  <c r="BI106" i="23"/>
  <c r="BH106" i="23"/>
  <c r="BG106" i="23"/>
  <c r="BF106" i="23"/>
  <c r="BE106" i="23"/>
  <c r="BD106" i="23"/>
  <c r="BC106" i="23"/>
  <c r="BB106" i="23"/>
  <c r="BA106" i="23"/>
  <c r="AZ106" i="23"/>
  <c r="AY106" i="23"/>
  <c r="AX106" i="23"/>
  <c r="AW106" i="23"/>
  <c r="AV106" i="23"/>
  <c r="AU106" i="23"/>
  <c r="AT106" i="23"/>
  <c r="AS106" i="23"/>
  <c r="AR106" i="23"/>
  <c r="AQ106" i="23"/>
  <c r="AP106" i="23"/>
  <c r="AO106" i="23"/>
  <c r="AN106" i="23"/>
  <c r="AM106" i="23"/>
  <c r="AL106" i="23"/>
  <c r="AK106" i="23"/>
  <c r="AJ106" i="23"/>
  <c r="AI106" i="23"/>
  <c r="AH106" i="23"/>
  <c r="AG106" i="23"/>
  <c r="AF106" i="23"/>
  <c r="AE106" i="23"/>
  <c r="AD106" i="23"/>
  <c r="AC106" i="23"/>
  <c r="AB106" i="23"/>
  <c r="AA106" i="23"/>
  <c r="Z106" i="23"/>
  <c r="Y106" i="23"/>
  <c r="X106" i="23"/>
  <c r="W106" i="23"/>
  <c r="V106" i="23"/>
  <c r="U106" i="23"/>
  <c r="T106" i="23"/>
  <c r="S106" i="23"/>
  <c r="R106" i="23"/>
  <c r="Q106" i="23"/>
  <c r="P106" i="23"/>
  <c r="O106" i="23"/>
  <c r="N106" i="23"/>
  <c r="M106" i="23"/>
  <c r="L106" i="23"/>
  <c r="K106" i="23"/>
  <c r="J106" i="23"/>
  <c r="I106" i="23"/>
  <c r="H106" i="23"/>
  <c r="G106" i="23"/>
  <c r="F106" i="23"/>
  <c r="E106" i="23"/>
  <c r="D106" i="23"/>
  <c r="D107" i="23" s="1"/>
  <c r="E101" i="23" s="1"/>
  <c r="BK106" i="23"/>
  <c r="CN97" i="23"/>
  <c r="CO97" i="23"/>
  <c r="CP97" i="23"/>
  <c r="CQ97" i="23"/>
  <c r="CR97" i="23"/>
  <c r="CS97" i="23"/>
  <c r="CT97" i="23"/>
  <c r="CU97" i="23"/>
  <c r="CV97" i="23"/>
  <c r="CW97" i="23"/>
  <c r="CX97" i="23"/>
  <c r="CY97" i="23"/>
  <c r="CM97" i="23"/>
  <c r="CL97" i="23"/>
  <c r="CK97" i="23"/>
  <c r="AY97" i="23"/>
  <c r="AX97" i="23"/>
  <c r="AW97" i="23"/>
  <c r="AV97" i="23"/>
  <c r="AU97" i="23"/>
  <c r="AT97" i="23"/>
  <c r="AS97" i="23"/>
  <c r="AR97" i="23"/>
  <c r="AQ97" i="23"/>
  <c r="AP97" i="23"/>
  <c r="AO97" i="23"/>
  <c r="AN97" i="23"/>
  <c r="AM97" i="23"/>
  <c r="AL97" i="23"/>
  <c r="AK97" i="23"/>
  <c r="AJ97" i="23"/>
  <c r="AI97" i="23"/>
  <c r="AH97" i="23"/>
  <c r="AG97" i="23"/>
  <c r="AF97" i="23"/>
  <c r="AE97" i="23"/>
  <c r="AD97" i="23"/>
  <c r="AC97" i="23"/>
  <c r="AB97" i="23"/>
  <c r="AA97" i="23"/>
  <c r="Z97" i="23"/>
  <c r="Y97" i="23"/>
  <c r="X97" i="23"/>
  <c r="W97" i="23"/>
  <c r="V97" i="23"/>
  <c r="U97" i="23"/>
  <c r="T97" i="23"/>
  <c r="S97" i="23"/>
  <c r="R97" i="23"/>
  <c r="Q97" i="23"/>
  <c r="P97" i="23"/>
  <c r="O97" i="23"/>
  <c r="N97" i="23"/>
  <c r="M97" i="23"/>
  <c r="L97" i="23"/>
  <c r="K97" i="23"/>
  <c r="J97" i="23"/>
  <c r="I97" i="23"/>
  <c r="H97" i="23"/>
  <c r="G97" i="23"/>
  <c r="F97" i="23"/>
  <c r="E97" i="23"/>
  <c r="D97" i="23"/>
  <c r="D98" i="23" s="1"/>
  <c r="E89" i="23" s="1"/>
  <c r="BK97" i="23"/>
  <c r="BJ97" i="23"/>
  <c r="BI97" i="23"/>
  <c r="BH97" i="23"/>
  <c r="BG97" i="23"/>
  <c r="BF97" i="23"/>
  <c r="BE97" i="23"/>
  <c r="BD97" i="23"/>
  <c r="BC97" i="23"/>
  <c r="BB97" i="23"/>
  <c r="BA97" i="23"/>
  <c r="AZ97" i="23"/>
  <c r="CJ84" i="23"/>
  <c r="CJ85" i="23" s="1"/>
  <c r="CK84" i="23"/>
  <c r="CK85" i="23" s="1"/>
  <c r="CL84" i="23"/>
  <c r="CL85" i="23" s="1"/>
  <c r="CM84" i="23"/>
  <c r="CM85" i="23" s="1"/>
  <c r="CN84" i="23"/>
  <c r="CN85" i="23" s="1"/>
  <c r="CO84" i="23"/>
  <c r="CO85" i="23" s="1"/>
  <c r="CP84" i="23"/>
  <c r="CP85" i="23" s="1"/>
  <c r="CQ84" i="23"/>
  <c r="CQ85" i="23" s="1"/>
  <c r="CR84" i="23"/>
  <c r="CR85" i="23" s="1"/>
  <c r="CS84" i="23"/>
  <c r="CS85" i="23" s="1"/>
  <c r="CT84" i="23"/>
  <c r="CT85" i="23" s="1"/>
  <c r="CX85" i="23"/>
  <c r="AY85" i="23"/>
  <c r="AX85" i="23"/>
  <c r="AW85" i="23"/>
  <c r="AV85" i="23"/>
  <c r="AU85" i="23"/>
  <c r="AT85" i="23"/>
  <c r="AS85" i="23"/>
  <c r="AR85" i="23"/>
  <c r="AQ85" i="23"/>
  <c r="AP85" i="23"/>
  <c r="AO85" i="23"/>
  <c r="AN85" i="23"/>
  <c r="AM85" i="23"/>
  <c r="AL85" i="23"/>
  <c r="AK85" i="23"/>
  <c r="AJ85" i="23"/>
  <c r="AI85" i="23"/>
  <c r="AH85" i="23"/>
  <c r="AG85" i="23"/>
  <c r="AF85" i="23"/>
  <c r="AE85" i="23"/>
  <c r="AD85" i="23"/>
  <c r="AC85" i="23"/>
  <c r="AB85" i="23"/>
  <c r="AA85" i="23"/>
  <c r="Z85" i="23"/>
  <c r="Y85" i="23"/>
  <c r="X85" i="23"/>
  <c r="W85" i="23"/>
  <c r="V85" i="23"/>
  <c r="U85" i="23"/>
  <c r="T85" i="23"/>
  <c r="S85" i="23"/>
  <c r="R85" i="23"/>
  <c r="Q85" i="23"/>
  <c r="P85" i="23"/>
  <c r="O85" i="23"/>
  <c r="N85" i="23"/>
  <c r="M85" i="23"/>
  <c r="L85" i="23"/>
  <c r="K85" i="23"/>
  <c r="J85" i="23"/>
  <c r="I85" i="23"/>
  <c r="H85" i="23"/>
  <c r="G85" i="23"/>
  <c r="F85" i="23"/>
  <c r="E85" i="23"/>
  <c r="D85" i="23"/>
  <c r="D86" i="23" s="1"/>
  <c r="E79" i="23" s="1"/>
  <c r="BK85" i="23"/>
  <c r="BJ85" i="23"/>
  <c r="BI85" i="23"/>
  <c r="BH85" i="23"/>
  <c r="BG85" i="23"/>
  <c r="BF85" i="23"/>
  <c r="BE85" i="23"/>
  <c r="BC85" i="23"/>
  <c r="BB85" i="23"/>
  <c r="BA85" i="23"/>
  <c r="AZ85" i="23"/>
  <c r="BD85" i="23"/>
  <c r="CU84" i="23"/>
  <c r="CW85" i="23"/>
  <c r="CY85" i="23"/>
  <c r="J48" i="23"/>
  <c r="BJ67" i="23"/>
  <c r="BI67" i="23"/>
  <c r="BH67" i="23"/>
  <c r="BG67" i="23"/>
  <c r="BF67" i="23"/>
  <c r="BE67" i="23"/>
  <c r="BD67" i="23"/>
  <c r="BC67" i="23"/>
  <c r="BB67" i="23"/>
  <c r="BA67" i="23"/>
  <c r="AZ67" i="23"/>
  <c r="AY67" i="23"/>
  <c r="AX67" i="23"/>
  <c r="AW67" i="23"/>
  <c r="AV67" i="23"/>
  <c r="AU67" i="23"/>
  <c r="AT67" i="23"/>
  <c r="AS67" i="23"/>
  <c r="AR67" i="23"/>
  <c r="AQ67" i="23"/>
  <c r="AP67" i="23"/>
  <c r="AO67" i="23"/>
  <c r="AN67" i="23"/>
  <c r="AM67" i="23"/>
  <c r="AL67" i="23"/>
  <c r="AK67" i="23"/>
  <c r="AJ67" i="23"/>
  <c r="AI67" i="23"/>
  <c r="AH67" i="23"/>
  <c r="AG67" i="23"/>
  <c r="AF67" i="23"/>
  <c r="AE67" i="23"/>
  <c r="AD67" i="23"/>
  <c r="AC67" i="23"/>
  <c r="AB67" i="23"/>
  <c r="AA67" i="23"/>
  <c r="Z67" i="23"/>
  <c r="Y67" i="23"/>
  <c r="X67" i="23"/>
  <c r="W67" i="23"/>
  <c r="V67" i="23"/>
  <c r="U67" i="23"/>
  <c r="T67" i="23"/>
  <c r="S67" i="23"/>
  <c r="R67" i="23"/>
  <c r="Q67" i="23"/>
  <c r="P67" i="23"/>
  <c r="O67" i="23"/>
  <c r="N67" i="23"/>
  <c r="M67" i="23"/>
  <c r="L67" i="23"/>
  <c r="K67" i="23"/>
  <c r="J67" i="23"/>
  <c r="I67" i="23"/>
  <c r="H67" i="23"/>
  <c r="G67" i="23"/>
  <c r="F67" i="23"/>
  <c r="E67" i="23"/>
  <c r="D67" i="23"/>
  <c r="D68" i="23" s="1"/>
  <c r="E63" i="23" s="1"/>
  <c r="BK67" i="23"/>
  <c r="CL59" i="23"/>
  <c r="CM59" i="23"/>
  <c r="CN59" i="23"/>
  <c r="CO59" i="23"/>
  <c r="CP59" i="23"/>
  <c r="CQ59" i="23"/>
  <c r="CR59" i="23"/>
  <c r="CS59" i="23"/>
  <c r="CT59" i="23"/>
  <c r="CU59" i="23"/>
  <c r="CV59" i="23"/>
  <c r="CW59" i="23"/>
  <c r="CX59" i="23"/>
  <c r="CY59" i="23"/>
  <c r="CK59" i="23"/>
  <c r="AY59" i="23"/>
  <c r="AX59" i="23"/>
  <c r="AW59" i="23"/>
  <c r="AV59" i="23"/>
  <c r="AU59" i="23"/>
  <c r="AT59" i="23"/>
  <c r="AS59" i="23"/>
  <c r="AR59" i="23"/>
  <c r="AQ59" i="23"/>
  <c r="AP59" i="23"/>
  <c r="AO59" i="23"/>
  <c r="AN59" i="23"/>
  <c r="AM59" i="23"/>
  <c r="AL59" i="23"/>
  <c r="AK59" i="23"/>
  <c r="AJ59" i="23"/>
  <c r="AI59" i="23"/>
  <c r="AH59" i="23"/>
  <c r="AG59" i="23"/>
  <c r="AF59" i="23"/>
  <c r="AE59" i="23"/>
  <c r="AD59" i="23"/>
  <c r="AC59" i="23"/>
  <c r="AB59" i="23"/>
  <c r="AA59" i="23"/>
  <c r="Z59" i="23"/>
  <c r="Y59" i="23"/>
  <c r="X59" i="23"/>
  <c r="W59" i="23"/>
  <c r="V59" i="23"/>
  <c r="U59" i="23"/>
  <c r="T59" i="23"/>
  <c r="S59" i="23"/>
  <c r="R59" i="23"/>
  <c r="Q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D60" i="23" s="1"/>
  <c r="E52" i="23" s="1"/>
  <c r="BK59" i="23"/>
  <c r="BJ59" i="23"/>
  <c r="BI59" i="23"/>
  <c r="BH59" i="23"/>
  <c r="BG59" i="23"/>
  <c r="BF59" i="23"/>
  <c r="BE59" i="23"/>
  <c r="BD59" i="23"/>
  <c r="BC59" i="23"/>
  <c r="BB59" i="23"/>
  <c r="BA59" i="23"/>
  <c r="AZ59" i="23"/>
  <c r="CL23" i="23"/>
  <c r="CM23" i="23"/>
  <c r="CN23" i="23"/>
  <c r="CO23" i="23"/>
  <c r="CP23" i="23"/>
  <c r="CQ23" i="23"/>
  <c r="CR23" i="23"/>
  <c r="CS23" i="23"/>
  <c r="CT23" i="23"/>
  <c r="CU23" i="23"/>
  <c r="CV23" i="23"/>
  <c r="CW23" i="23"/>
  <c r="CX23" i="23"/>
  <c r="CY23" i="23"/>
  <c r="E68" i="23" l="1"/>
  <c r="F63" i="23" s="1"/>
  <c r="E107" i="23"/>
  <c r="F101" i="23" s="1"/>
  <c r="F107" i="23" s="1"/>
  <c r="G101" i="23" s="1"/>
  <c r="G107" i="23" s="1"/>
  <c r="H101" i="23" s="1"/>
  <c r="H107" i="23" s="1"/>
  <c r="I101" i="23" s="1"/>
  <c r="I107" i="23" s="1"/>
  <c r="J101" i="23" s="1"/>
  <c r="J107" i="23" s="1"/>
  <c r="K101" i="23" s="1"/>
  <c r="K107" i="23" s="1"/>
  <c r="L101" i="23" s="1"/>
  <c r="L107" i="23" s="1"/>
  <c r="M101" i="23" s="1"/>
  <c r="M107" i="23" s="1"/>
  <c r="N101" i="23" s="1"/>
  <c r="N107" i="23" s="1"/>
  <c r="O101" i="23" s="1"/>
  <c r="O107" i="23" s="1"/>
  <c r="P101" i="23" s="1"/>
  <c r="P107" i="23" s="1"/>
  <c r="Q101" i="23" s="1"/>
  <c r="Q107" i="23" s="1"/>
  <c r="R101" i="23" s="1"/>
  <c r="R107" i="23" s="1"/>
  <c r="S101" i="23" s="1"/>
  <c r="S107" i="23" s="1"/>
  <c r="T101" i="23" s="1"/>
  <c r="T107" i="23" s="1"/>
  <c r="U101" i="23" s="1"/>
  <c r="U107" i="23" s="1"/>
  <c r="V101" i="23" s="1"/>
  <c r="V107" i="23" s="1"/>
  <c r="W101" i="23" s="1"/>
  <c r="W107" i="23" s="1"/>
  <c r="X101" i="23" s="1"/>
  <c r="X107" i="23" s="1"/>
  <c r="Y101" i="23" s="1"/>
  <c r="Y107" i="23" s="1"/>
  <c r="Z101" i="23" s="1"/>
  <c r="Z107" i="23" s="1"/>
  <c r="AA101" i="23" s="1"/>
  <c r="AA107" i="23" s="1"/>
  <c r="AB101" i="23" s="1"/>
  <c r="AB107" i="23" s="1"/>
  <c r="AC101" i="23" s="1"/>
  <c r="AC107" i="23" s="1"/>
  <c r="AD101" i="23" s="1"/>
  <c r="AD107" i="23" s="1"/>
  <c r="AE101" i="23" s="1"/>
  <c r="AE107" i="23" s="1"/>
  <c r="AF101" i="23" s="1"/>
  <c r="AF107" i="23" s="1"/>
  <c r="AG101" i="23" s="1"/>
  <c r="AG107" i="23" s="1"/>
  <c r="AH101" i="23" s="1"/>
  <c r="AH107" i="23" s="1"/>
  <c r="AI101" i="23" s="1"/>
  <c r="AI107" i="23" s="1"/>
  <c r="AJ101" i="23" s="1"/>
  <c r="AJ107" i="23" s="1"/>
  <c r="AK101" i="23" s="1"/>
  <c r="AK107" i="23" s="1"/>
  <c r="AL101" i="23" s="1"/>
  <c r="AL107" i="23" s="1"/>
  <c r="AM101" i="23" s="1"/>
  <c r="AM107" i="23" s="1"/>
  <c r="AN101" i="23" s="1"/>
  <c r="AN107" i="23" s="1"/>
  <c r="AO101" i="23" s="1"/>
  <c r="AO107" i="23" s="1"/>
  <c r="AP101" i="23" s="1"/>
  <c r="AP107" i="23" s="1"/>
  <c r="AQ101" i="23" s="1"/>
  <c r="AQ107" i="23" s="1"/>
  <c r="AR101" i="23" s="1"/>
  <c r="AR107" i="23" s="1"/>
  <c r="AS101" i="23" s="1"/>
  <c r="AS107" i="23" s="1"/>
  <c r="AT101" i="23" s="1"/>
  <c r="AT107" i="23" s="1"/>
  <c r="AU101" i="23" s="1"/>
  <c r="AU107" i="23" s="1"/>
  <c r="AV101" i="23" s="1"/>
  <c r="AV107" i="23" s="1"/>
  <c r="AW101" i="23" s="1"/>
  <c r="AW107" i="23" s="1"/>
  <c r="AX101" i="23" s="1"/>
  <c r="AX107" i="23" s="1"/>
  <c r="AY101" i="23" s="1"/>
  <c r="AY107" i="23" s="1"/>
  <c r="AZ101" i="23" s="1"/>
  <c r="AZ107" i="23" s="1"/>
  <c r="BA101" i="23" s="1"/>
  <c r="BA107" i="23" s="1"/>
  <c r="BB101" i="23" s="1"/>
  <c r="BB107" i="23" s="1"/>
  <c r="BC101" i="23" s="1"/>
  <c r="BC107" i="23" s="1"/>
  <c r="BD101" i="23" s="1"/>
  <c r="BD107" i="23" s="1"/>
  <c r="BE101" i="23" s="1"/>
  <c r="BE107" i="23" s="1"/>
  <c r="BF101" i="23" s="1"/>
  <c r="BF107" i="23" s="1"/>
  <c r="BG101" i="23" s="1"/>
  <c r="BG107" i="23" s="1"/>
  <c r="BH101" i="23" s="1"/>
  <c r="BH107" i="23" s="1"/>
  <c r="BI101" i="23" s="1"/>
  <c r="BI107" i="23" s="1"/>
  <c r="BJ101" i="23" s="1"/>
  <c r="BJ107" i="23" s="1"/>
  <c r="BK101" i="23" s="1"/>
  <c r="BK107" i="23" s="1"/>
  <c r="E98" i="23"/>
  <c r="F89" i="23" s="1"/>
  <c r="F98" i="23" s="1"/>
  <c r="G89" i="23" s="1"/>
  <c r="G98" i="23" s="1"/>
  <c r="H89" i="23" s="1"/>
  <c r="H98" i="23" s="1"/>
  <c r="I89" i="23" s="1"/>
  <c r="I98" i="23" s="1"/>
  <c r="J89" i="23" s="1"/>
  <c r="J98" i="23" s="1"/>
  <c r="K89" i="23" s="1"/>
  <c r="K98" i="23" s="1"/>
  <c r="L89" i="23" s="1"/>
  <c r="L98" i="23" s="1"/>
  <c r="M89" i="23" s="1"/>
  <c r="M98" i="23" s="1"/>
  <c r="N89" i="23" s="1"/>
  <c r="N98" i="23" s="1"/>
  <c r="O89" i="23" s="1"/>
  <c r="O98" i="23" s="1"/>
  <c r="P89" i="23" s="1"/>
  <c r="P98" i="23" s="1"/>
  <c r="Q89" i="23" s="1"/>
  <c r="Q98" i="23" s="1"/>
  <c r="R89" i="23" s="1"/>
  <c r="R98" i="23" s="1"/>
  <c r="S89" i="23" s="1"/>
  <c r="S98" i="23" s="1"/>
  <c r="T89" i="23" s="1"/>
  <c r="T98" i="23" s="1"/>
  <c r="U89" i="23" s="1"/>
  <c r="U98" i="23" s="1"/>
  <c r="V89" i="23" s="1"/>
  <c r="V98" i="23" s="1"/>
  <c r="W89" i="23" s="1"/>
  <c r="W98" i="23" s="1"/>
  <c r="X89" i="23" s="1"/>
  <c r="X98" i="23" s="1"/>
  <c r="Y89" i="23" s="1"/>
  <c r="Y98" i="23" s="1"/>
  <c r="Z89" i="23" s="1"/>
  <c r="Z98" i="23" s="1"/>
  <c r="AA89" i="23" s="1"/>
  <c r="AA98" i="23" s="1"/>
  <c r="AB89" i="23" s="1"/>
  <c r="AB98" i="23" s="1"/>
  <c r="AC89" i="23" s="1"/>
  <c r="AC98" i="23" s="1"/>
  <c r="AD89" i="23" s="1"/>
  <c r="AD98" i="23" s="1"/>
  <c r="AE89" i="23" s="1"/>
  <c r="AE98" i="23" s="1"/>
  <c r="AF89" i="23" s="1"/>
  <c r="AF98" i="23" s="1"/>
  <c r="AG89" i="23" s="1"/>
  <c r="AG98" i="23" s="1"/>
  <c r="AH89" i="23" s="1"/>
  <c r="AH98" i="23" s="1"/>
  <c r="AI89" i="23" s="1"/>
  <c r="AI98" i="23" s="1"/>
  <c r="AJ89" i="23" s="1"/>
  <c r="AJ98" i="23" s="1"/>
  <c r="AK89" i="23" s="1"/>
  <c r="AK98" i="23" s="1"/>
  <c r="AL89" i="23" s="1"/>
  <c r="AL98" i="23" s="1"/>
  <c r="AM89" i="23" s="1"/>
  <c r="AM98" i="23" s="1"/>
  <c r="AN89" i="23" s="1"/>
  <c r="AN98" i="23" s="1"/>
  <c r="AO89" i="23" s="1"/>
  <c r="AO98" i="23" s="1"/>
  <c r="AP89" i="23" s="1"/>
  <c r="AP98" i="23" s="1"/>
  <c r="AQ89" i="23" s="1"/>
  <c r="AQ98" i="23" s="1"/>
  <c r="AR89" i="23" s="1"/>
  <c r="AR98" i="23" s="1"/>
  <c r="AS89" i="23" s="1"/>
  <c r="AS98" i="23" s="1"/>
  <c r="AT89" i="23" s="1"/>
  <c r="AT98" i="23" s="1"/>
  <c r="AU89" i="23" s="1"/>
  <c r="AU98" i="23" s="1"/>
  <c r="AV89" i="23" s="1"/>
  <c r="AV98" i="23" s="1"/>
  <c r="AW89" i="23" s="1"/>
  <c r="AW98" i="23" s="1"/>
  <c r="AX89" i="23" s="1"/>
  <c r="AX98" i="23" s="1"/>
  <c r="AY89" i="23" s="1"/>
  <c r="AY98" i="23" s="1"/>
  <c r="AZ89" i="23" s="1"/>
  <c r="AZ98" i="23" s="1"/>
  <c r="BA89" i="23" s="1"/>
  <c r="BA98" i="23" s="1"/>
  <c r="BB89" i="23" s="1"/>
  <c r="BB98" i="23" s="1"/>
  <c r="BC89" i="23" s="1"/>
  <c r="BC98" i="23" s="1"/>
  <c r="BD89" i="23" s="1"/>
  <c r="BD98" i="23" s="1"/>
  <c r="BE89" i="23" s="1"/>
  <c r="BE98" i="23" s="1"/>
  <c r="BF89" i="23" s="1"/>
  <c r="BF98" i="23" s="1"/>
  <c r="BG89" i="23" s="1"/>
  <c r="BG98" i="23" s="1"/>
  <c r="BH89" i="23" s="1"/>
  <c r="BH98" i="23" s="1"/>
  <c r="BI89" i="23" s="1"/>
  <c r="BI98" i="23" s="1"/>
  <c r="BJ89" i="23" s="1"/>
  <c r="BJ98" i="23" s="1"/>
  <c r="BK89" i="23" s="1"/>
  <c r="BK98" i="23" s="1"/>
  <c r="BL89" i="23" s="1"/>
  <c r="BL98" i="23" s="1"/>
  <c r="BM89" i="23" s="1"/>
  <c r="BM98" i="23" s="1"/>
  <c r="BN89" i="23" s="1"/>
  <c r="BN98" i="23" s="1"/>
  <c r="BO89" i="23" s="1"/>
  <c r="BO98" i="23" s="1"/>
  <c r="BP89" i="23" s="1"/>
  <c r="BP98" i="23" s="1"/>
  <c r="BQ89" i="23" s="1"/>
  <c r="BQ98" i="23" s="1"/>
  <c r="BR89" i="23" s="1"/>
  <c r="BR98" i="23" s="1"/>
  <c r="BS89" i="23" s="1"/>
  <c r="BS98" i="23" s="1"/>
  <c r="BT89" i="23" s="1"/>
  <c r="BT98" i="23" s="1"/>
  <c r="BU89" i="23" s="1"/>
  <c r="BU98" i="23" s="1"/>
  <c r="BV89" i="23" s="1"/>
  <c r="BV98" i="23" s="1"/>
  <c r="BW89" i="23" s="1"/>
  <c r="BW98" i="23" s="1"/>
  <c r="E116" i="23"/>
  <c r="F110" i="23" s="1"/>
  <c r="F116" i="23" s="1"/>
  <c r="G110" i="23" s="1"/>
  <c r="G116" i="23" s="1"/>
  <c r="H110" i="23" s="1"/>
  <c r="H116" i="23" s="1"/>
  <c r="I110" i="23" s="1"/>
  <c r="I116" i="23" s="1"/>
  <c r="J110" i="23" s="1"/>
  <c r="J116" i="23" s="1"/>
  <c r="K110" i="23" s="1"/>
  <c r="K116" i="23" s="1"/>
  <c r="L110" i="23" s="1"/>
  <c r="L116" i="23" s="1"/>
  <c r="M110" i="23" s="1"/>
  <c r="M116" i="23" s="1"/>
  <c r="N110" i="23" s="1"/>
  <c r="N116" i="23" s="1"/>
  <c r="O110" i="23" s="1"/>
  <c r="O116" i="23" s="1"/>
  <c r="P110" i="23" s="1"/>
  <c r="P116" i="23" s="1"/>
  <c r="Q110" i="23" s="1"/>
  <c r="Q116" i="23" s="1"/>
  <c r="R110" i="23" s="1"/>
  <c r="R116" i="23" s="1"/>
  <c r="S110" i="23" s="1"/>
  <c r="S116" i="23" s="1"/>
  <c r="T110" i="23" s="1"/>
  <c r="T116" i="23" s="1"/>
  <c r="U110" i="23" s="1"/>
  <c r="U116" i="23" s="1"/>
  <c r="V110" i="23" s="1"/>
  <c r="V116" i="23" s="1"/>
  <c r="W110" i="23" s="1"/>
  <c r="W116" i="23" s="1"/>
  <c r="X110" i="23" s="1"/>
  <c r="X116" i="23" s="1"/>
  <c r="Y110" i="23" s="1"/>
  <c r="Y116" i="23" s="1"/>
  <c r="Z110" i="23" s="1"/>
  <c r="Z116" i="23" s="1"/>
  <c r="AA110" i="23" s="1"/>
  <c r="AA116" i="23" s="1"/>
  <c r="AB110" i="23" s="1"/>
  <c r="AB116" i="23" s="1"/>
  <c r="AC110" i="23" s="1"/>
  <c r="AC116" i="23" s="1"/>
  <c r="AD110" i="23" s="1"/>
  <c r="AD116" i="23" s="1"/>
  <c r="AE110" i="23" s="1"/>
  <c r="AE116" i="23" s="1"/>
  <c r="AF110" i="23" s="1"/>
  <c r="AF116" i="23" s="1"/>
  <c r="AG110" i="23" s="1"/>
  <c r="AG116" i="23" s="1"/>
  <c r="AH110" i="23" s="1"/>
  <c r="AH116" i="23" s="1"/>
  <c r="AI110" i="23" s="1"/>
  <c r="AI116" i="23" s="1"/>
  <c r="AJ110" i="23" s="1"/>
  <c r="AJ116" i="23" s="1"/>
  <c r="AK110" i="23" s="1"/>
  <c r="AK116" i="23" s="1"/>
  <c r="AL110" i="23" s="1"/>
  <c r="AL116" i="23" s="1"/>
  <c r="AM110" i="23" s="1"/>
  <c r="AM116" i="23" s="1"/>
  <c r="AN110" i="23" s="1"/>
  <c r="AN116" i="23" s="1"/>
  <c r="AO110" i="23" s="1"/>
  <c r="AO116" i="23" s="1"/>
  <c r="AP110" i="23" s="1"/>
  <c r="AP116" i="23" s="1"/>
  <c r="AQ110" i="23" s="1"/>
  <c r="AQ116" i="23" s="1"/>
  <c r="AR110" i="23" s="1"/>
  <c r="AR116" i="23" s="1"/>
  <c r="AS110" i="23" s="1"/>
  <c r="AS116" i="23" s="1"/>
  <c r="AT110" i="23" s="1"/>
  <c r="AT116" i="23" s="1"/>
  <c r="AU110" i="23" s="1"/>
  <c r="AU116" i="23" s="1"/>
  <c r="AV110" i="23" s="1"/>
  <c r="AV116" i="23" s="1"/>
  <c r="AW110" i="23" s="1"/>
  <c r="AW116" i="23" s="1"/>
  <c r="AX110" i="23" s="1"/>
  <c r="AX116" i="23" s="1"/>
  <c r="AY110" i="23" s="1"/>
  <c r="AY116" i="23" s="1"/>
  <c r="AZ110" i="23" s="1"/>
  <c r="AZ116" i="23" s="1"/>
  <c r="BA110" i="23" s="1"/>
  <c r="BA116" i="23" s="1"/>
  <c r="BB110" i="23" s="1"/>
  <c r="BB116" i="23" s="1"/>
  <c r="BC110" i="23" s="1"/>
  <c r="BC116" i="23" s="1"/>
  <c r="BD110" i="23" s="1"/>
  <c r="BD116" i="23" s="1"/>
  <c r="BE110" i="23" s="1"/>
  <c r="BE116" i="23" s="1"/>
  <c r="BF110" i="23" s="1"/>
  <c r="BF116" i="23" s="1"/>
  <c r="BG110" i="23" s="1"/>
  <c r="BG116" i="23" s="1"/>
  <c r="BH110" i="23" s="1"/>
  <c r="BH116" i="23" s="1"/>
  <c r="BI110" i="23" s="1"/>
  <c r="BI116" i="23" s="1"/>
  <c r="BJ110" i="23" s="1"/>
  <c r="BJ116" i="23" s="1"/>
  <c r="BK110" i="23" s="1"/>
  <c r="BK116" i="23" s="1"/>
  <c r="E60" i="23"/>
  <c r="F52" i="23" s="1"/>
  <c r="CU85" i="23"/>
  <c r="CV85" i="23"/>
  <c r="E86" i="23"/>
  <c r="F79" i="23" s="1"/>
  <c r="F86" i="23" s="1"/>
  <c r="G79" i="23" s="1"/>
  <c r="G86" i="23" s="1"/>
  <c r="H79" i="23" s="1"/>
  <c r="H86" i="23" s="1"/>
  <c r="I79" i="23" s="1"/>
  <c r="I86" i="23" s="1"/>
  <c r="J79" i="23" s="1"/>
  <c r="J86" i="23" s="1"/>
  <c r="K79" i="23" s="1"/>
  <c r="K86" i="23" s="1"/>
  <c r="L79" i="23" s="1"/>
  <c r="L86" i="23" s="1"/>
  <c r="M79" i="23" s="1"/>
  <c r="M86" i="23" s="1"/>
  <c r="N79" i="23" s="1"/>
  <c r="N86" i="23" s="1"/>
  <c r="O79" i="23" s="1"/>
  <c r="O86" i="23" s="1"/>
  <c r="P79" i="23" s="1"/>
  <c r="P86" i="23" s="1"/>
  <c r="Q79" i="23" s="1"/>
  <c r="Q86" i="23" s="1"/>
  <c r="R79" i="23" s="1"/>
  <c r="R86" i="23" s="1"/>
  <c r="S79" i="23" s="1"/>
  <c r="S86" i="23" s="1"/>
  <c r="T79" i="23" s="1"/>
  <c r="T86" i="23" s="1"/>
  <c r="U79" i="23" s="1"/>
  <c r="U86" i="23" s="1"/>
  <c r="V79" i="23" s="1"/>
  <c r="V86" i="23" s="1"/>
  <c r="W79" i="23" s="1"/>
  <c r="W86" i="23" s="1"/>
  <c r="X79" i="23" s="1"/>
  <c r="X86" i="23" s="1"/>
  <c r="Y79" i="23" s="1"/>
  <c r="Y86" i="23" s="1"/>
  <c r="Z79" i="23" s="1"/>
  <c r="Z86" i="23" s="1"/>
  <c r="AA79" i="23" s="1"/>
  <c r="AA86" i="23" s="1"/>
  <c r="AB79" i="23" s="1"/>
  <c r="AB86" i="23" s="1"/>
  <c r="AC79" i="23" s="1"/>
  <c r="AC86" i="23" s="1"/>
  <c r="AD79" i="23" s="1"/>
  <c r="AD86" i="23" s="1"/>
  <c r="AE79" i="23" s="1"/>
  <c r="AE86" i="23" s="1"/>
  <c r="AF79" i="23" s="1"/>
  <c r="AF86" i="23" s="1"/>
  <c r="AG79" i="23" s="1"/>
  <c r="AG86" i="23" s="1"/>
  <c r="AH79" i="23" s="1"/>
  <c r="AH86" i="23" s="1"/>
  <c r="AI79" i="23" s="1"/>
  <c r="AI86" i="23" s="1"/>
  <c r="AJ79" i="23" s="1"/>
  <c r="AJ86" i="23" s="1"/>
  <c r="AK79" i="23" s="1"/>
  <c r="AK86" i="23" s="1"/>
  <c r="AL79" i="23" s="1"/>
  <c r="AL86" i="23" s="1"/>
  <c r="AM79" i="23" s="1"/>
  <c r="AM86" i="23" s="1"/>
  <c r="AN79" i="23" s="1"/>
  <c r="AN86" i="23" s="1"/>
  <c r="AO79" i="23" s="1"/>
  <c r="AO86" i="23" s="1"/>
  <c r="AP79" i="23" s="1"/>
  <c r="AP86" i="23" s="1"/>
  <c r="AQ79" i="23" s="1"/>
  <c r="AQ86" i="23" s="1"/>
  <c r="AR79" i="23" s="1"/>
  <c r="AR86" i="23" s="1"/>
  <c r="AS79" i="23" s="1"/>
  <c r="AS86" i="23" s="1"/>
  <c r="AT79" i="23" s="1"/>
  <c r="AT86" i="23" s="1"/>
  <c r="AU79" i="23" s="1"/>
  <c r="AU86" i="23" s="1"/>
  <c r="AV79" i="23" s="1"/>
  <c r="AV86" i="23" s="1"/>
  <c r="AW79" i="23" s="1"/>
  <c r="AW86" i="23" s="1"/>
  <c r="AX79" i="23" s="1"/>
  <c r="AX86" i="23" s="1"/>
  <c r="AY79" i="23" s="1"/>
  <c r="AY86" i="23" s="1"/>
  <c r="AZ79" i="23" s="1"/>
  <c r="AZ86" i="23" s="1"/>
  <c r="BA79" i="23" s="1"/>
  <c r="BA86" i="23" s="1"/>
  <c r="BB79" i="23" s="1"/>
  <c r="BB86" i="23" s="1"/>
  <c r="BC79" i="23" s="1"/>
  <c r="BC86" i="23" s="1"/>
  <c r="BD79" i="23" s="1"/>
  <c r="BD86" i="23" s="1"/>
  <c r="BE79" i="23" s="1"/>
  <c r="BE86" i="23" s="1"/>
  <c r="BF79" i="23" s="1"/>
  <c r="BF86" i="23" s="1"/>
  <c r="BG79" i="23" s="1"/>
  <c r="BG86" i="23" s="1"/>
  <c r="BH79" i="23" s="1"/>
  <c r="BH86" i="23" s="1"/>
  <c r="BI79" i="23" s="1"/>
  <c r="BI86" i="23" s="1"/>
  <c r="BJ79" i="23" s="1"/>
  <c r="BJ86" i="23" s="1"/>
  <c r="BK79" i="23" s="1"/>
  <c r="BK86" i="23" s="1"/>
  <c r="F68" i="23"/>
  <c r="G63" i="23" s="1"/>
  <c r="G68" i="23" s="1"/>
  <c r="H63" i="23" s="1"/>
  <c r="H68" i="23" s="1"/>
  <c r="I63" i="23" s="1"/>
  <c r="I68" i="23" s="1"/>
  <c r="J63" i="23" s="1"/>
  <c r="J68" i="23" s="1"/>
  <c r="K63" i="23" s="1"/>
  <c r="K68" i="23" s="1"/>
  <c r="L63" i="23" s="1"/>
  <c r="L68" i="23" s="1"/>
  <c r="M63" i="23" s="1"/>
  <c r="M68" i="23" s="1"/>
  <c r="N63" i="23" s="1"/>
  <c r="N68" i="23" s="1"/>
  <c r="O63" i="23" s="1"/>
  <c r="O68" i="23" s="1"/>
  <c r="P63" i="23" s="1"/>
  <c r="P68" i="23" s="1"/>
  <c r="Q63" i="23" s="1"/>
  <c r="Q68" i="23" s="1"/>
  <c r="R63" i="23" s="1"/>
  <c r="R68" i="23" s="1"/>
  <c r="S63" i="23" s="1"/>
  <c r="S68" i="23" s="1"/>
  <c r="T63" i="23" s="1"/>
  <c r="T68" i="23" s="1"/>
  <c r="U63" i="23" s="1"/>
  <c r="U68" i="23" s="1"/>
  <c r="V63" i="23" s="1"/>
  <c r="V68" i="23" s="1"/>
  <c r="W63" i="23" s="1"/>
  <c r="W68" i="23" s="1"/>
  <c r="X63" i="23" s="1"/>
  <c r="X68" i="23" s="1"/>
  <c r="Y63" i="23" s="1"/>
  <c r="Y68" i="23" s="1"/>
  <c r="Z63" i="23" s="1"/>
  <c r="Z68" i="23" s="1"/>
  <c r="AA63" i="23" s="1"/>
  <c r="AA68" i="23" s="1"/>
  <c r="AB63" i="23" s="1"/>
  <c r="AB68" i="23" s="1"/>
  <c r="AC63" i="23" s="1"/>
  <c r="AC68" i="23" s="1"/>
  <c r="AD63" i="23" s="1"/>
  <c r="AD68" i="23" s="1"/>
  <c r="AE63" i="23" s="1"/>
  <c r="AE68" i="23" s="1"/>
  <c r="AF63" i="23" s="1"/>
  <c r="AF68" i="23" s="1"/>
  <c r="AG63" i="23" s="1"/>
  <c r="AG68" i="23" s="1"/>
  <c r="AH63" i="23" s="1"/>
  <c r="AH68" i="23" s="1"/>
  <c r="AI63" i="23" s="1"/>
  <c r="AI68" i="23" s="1"/>
  <c r="AJ63" i="23" s="1"/>
  <c r="AJ68" i="23" s="1"/>
  <c r="AK63" i="23" s="1"/>
  <c r="AK68" i="23" s="1"/>
  <c r="AL63" i="23" s="1"/>
  <c r="AL68" i="23" s="1"/>
  <c r="AM63" i="23" s="1"/>
  <c r="AM68" i="23" s="1"/>
  <c r="AN63" i="23" s="1"/>
  <c r="AN68" i="23" s="1"/>
  <c r="AO63" i="23" s="1"/>
  <c r="AO68" i="23" s="1"/>
  <c r="AP63" i="23" s="1"/>
  <c r="AP68" i="23" s="1"/>
  <c r="AQ63" i="23" s="1"/>
  <c r="AQ68" i="23" s="1"/>
  <c r="AR63" i="23" s="1"/>
  <c r="AR68" i="23" s="1"/>
  <c r="AS63" i="23" s="1"/>
  <c r="AS68" i="23" s="1"/>
  <c r="AT63" i="23" s="1"/>
  <c r="AT68" i="23" s="1"/>
  <c r="AU63" i="23" s="1"/>
  <c r="AU68" i="23" s="1"/>
  <c r="AV63" i="23" s="1"/>
  <c r="AV68" i="23" s="1"/>
  <c r="AW63" i="23" s="1"/>
  <c r="AW68" i="23" s="1"/>
  <c r="AX63" i="23" s="1"/>
  <c r="AX68" i="23" s="1"/>
  <c r="AY63" i="23" s="1"/>
  <c r="AY68" i="23" s="1"/>
  <c r="AZ63" i="23" s="1"/>
  <c r="AZ68" i="23" s="1"/>
  <c r="BA63" i="23" s="1"/>
  <c r="BA68" i="23" s="1"/>
  <c r="BB63" i="23" s="1"/>
  <c r="BB68" i="23" s="1"/>
  <c r="BC63" i="23" s="1"/>
  <c r="BC68" i="23" s="1"/>
  <c r="BD63" i="23" s="1"/>
  <c r="BD68" i="23" s="1"/>
  <c r="BE63" i="23" s="1"/>
  <c r="BE68" i="23" s="1"/>
  <c r="BF63" i="23" s="1"/>
  <c r="BF68" i="23" s="1"/>
  <c r="BG63" i="23" s="1"/>
  <c r="BG68" i="23" s="1"/>
  <c r="BH63" i="23" s="1"/>
  <c r="BH68" i="23" s="1"/>
  <c r="BI63" i="23" s="1"/>
  <c r="BI68" i="23" s="1"/>
  <c r="BJ63" i="23" s="1"/>
  <c r="BJ68" i="23" s="1"/>
  <c r="BK63" i="23" s="1"/>
  <c r="BK68" i="23" s="1"/>
  <c r="BL63" i="23" s="1"/>
  <c r="BL68" i="23" s="1"/>
  <c r="BM63" i="23" s="1"/>
  <c r="BM68" i="23" s="1"/>
  <c r="BN63" i="23" s="1"/>
  <c r="BN68" i="23" s="1"/>
  <c r="BO63" i="23" s="1"/>
  <c r="BO68" i="23" s="1"/>
  <c r="BP63" i="23" s="1"/>
  <c r="BP68" i="23" s="1"/>
  <c r="BQ63" i="23" s="1"/>
  <c r="BQ68" i="23" s="1"/>
  <c r="BR63" i="23" s="1"/>
  <c r="BR68" i="23" s="1"/>
  <c r="BS63" i="23" s="1"/>
  <c r="BS68" i="23" s="1"/>
  <c r="BT63" i="23" s="1"/>
  <c r="BT68" i="23" s="1"/>
  <c r="BU63" i="23" s="1"/>
  <c r="BU68" i="23" s="1"/>
  <c r="BV63" i="23" s="1"/>
  <c r="BV68" i="23" s="1"/>
  <c r="BW63" i="23" s="1"/>
  <c r="BW68" i="23" s="1"/>
  <c r="BL79" i="23" l="1"/>
  <c r="BL86" i="23" s="1"/>
  <c r="BM79" i="23" s="1"/>
  <c r="BM86" i="23" s="1"/>
  <c r="BN79" i="23" s="1"/>
  <c r="BN86" i="23" s="1"/>
  <c r="BO79" i="23" s="1"/>
  <c r="BO86" i="23" s="1"/>
  <c r="BP79" i="23" s="1"/>
  <c r="BP86" i="23" s="1"/>
  <c r="BQ79" i="23" s="1"/>
  <c r="BQ86" i="23" s="1"/>
  <c r="BR79" i="23" s="1"/>
  <c r="BR86" i="23" s="1"/>
  <c r="BS79" i="23" s="1"/>
  <c r="BS86" i="23" s="1"/>
  <c r="BT79" i="23" s="1"/>
  <c r="BT86" i="23" s="1"/>
  <c r="BU79" i="23" s="1"/>
  <c r="BU86" i="23" s="1"/>
  <c r="BV79" i="23" s="1"/>
  <c r="BV86" i="23" s="1"/>
  <c r="BW79" i="23" s="1"/>
  <c r="BW86" i="23" s="1"/>
  <c r="BL110" i="23"/>
  <c r="BL116" i="23" s="1"/>
  <c r="BM110" i="23" s="1"/>
  <c r="BM116" i="23" s="1"/>
  <c r="BN110" i="23" s="1"/>
  <c r="BN116" i="23" s="1"/>
  <c r="BO110" i="23" s="1"/>
  <c r="BO116" i="23" s="1"/>
  <c r="BP110" i="23" s="1"/>
  <c r="BP116" i="23" s="1"/>
  <c r="BQ110" i="23" s="1"/>
  <c r="BQ116" i="23" s="1"/>
  <c r="BR110" i="23" s="1"/>
  <c r="BR116" i="23" s="1"/>
  <c r="BS110" i="23" s="1"/>
  <c r="BS116" i="23" s="1"/>
  <c r="BT110" i="23" s="1"/>
  <c r="BT116" i="23" s="1"/>
  <c r="BU110" i="23" s="1"/>
  <c r="BU116" i="23" s="1"/>
  <c r="BV110" i="23" s="1"/>
  <c r="BV116" i="23" s="1"/>
  <c r="BW110" i="23" s="1"/>
  <c r="BW116" i="23" s="1"/>
  <c r="BL101" i="23"/>
  <c r="BL107" i="23" s="1"/>
  <c r="BM101" i="23" s="1"/>
  <c r="BM107" i="23" s="1"/>
  <c r="BN101" i="23" s="1"/>
  <c r="BN107" i="23" s="1"/>
  <c r="BO101" i="23" s="1"/>
  <c r="BO107" i="23" s="1"/>
  <c r="BP101" i="23" s="1"/>
  <c r="BP107" i="23" s="1"/>
  <c r="BQ101" i="23" s="1"/>
  <c r="BQ107" i="23" s="1"/>
  <c r="BR101" i="23" s="1"/>
  <c r="BR107" i="23" s="1"/>
  <c r="BS101" i="23" s="1"/>
  <c r="BS107" i="23" s="1"/>
  <c r="BT101" i="23" s="1"/>
  <c r="BT107" i="23" s="1"/>
  <c r="BU101" i="23" s="1"/>
  <c r="BU107" i="23" s="1"/>
  <c r="BV101" i="23" s="1"/>
  <c r="BV107" i="23" s="1"/>
  <c r="BW101" i="23" s="1"/>
  <c r="BW107" i="23" s="1"/>
  <c r="CK89" i="23"/>
  <c r="CK98" i="23" s="1"/>
  <c r="F60" i="23"/>
  <c r="G52" i="23" s="1"/>
  <c r="BX110" i="23" l="1"/>
  <c r="BX116" i="23" s="1"/>
  <c r="BY110" i="23" s="1"/>
  <c r="BY116" i="23" s="1"/>
  <c r="BZ110" i="23" s="1"/>
  <c r="BZ116" i="23" s="1"/>
  <c r="CA110" i="23" s="1"/>
  <c r="CA116" i="23" s="1"/>
  <c r="CB110" i="23" s="1"/>
  <c r="CB116" i="23" s="1"/>
  <c r="CC110" i="23" s="1"/>
  <c r="CC116" i="23" s="1"/>
  <c r="CD110" i="23" s="1"/>
  <c r="CD116" i="23" s="1"/>
  <c r="CE110" i="23" s="1"/>
  <c r="CE116" i="23" s="1"/>
  <c r="CF110" i="23" s="1"/>
  <c r="CF116" i="23" s="1"/>
  <c r="CG110" i="23" s="1"/>
  <c r="CG116" i="23" s="1"/>
  <c r="CH110" i="23" s="1"/>
  <c r="CH116" i="23" s="1"/>
  <c r="CI110" i="23" s="1"/>
  <c r="CI116" i="23" s="1"/>
  <c r="CJ110" i="23" s="1"/>
  <c r="CJ116" i="23" s="1"/>
  <c r="CK110" i="23" s="1"/>
  <c r="CK116" i="23" s="1"/>
  <c r="CL110" i="23" s="1"/>
  <c r="CL116" i="23" s="1"/>
  <c r="CM110" i="23" s="1"/>
  <c r="CM116" i="23" s="1"/>
  <c r="CN110" i="23" s="1"/>
  <c r="CN116" i="23" s="1"/>
  <c r="CO110" i="23" s="1"/>
  <c r="CO116" i="23" s="1"/>
  <c r="CP110" i="23" s="1"/>
  <c r="CP116" i="23" s="1"/>
  <c r="CQ110" i="23" s="1"/>
  <c r="CQ116" i="23" s="1"/>
  <c r="CR110" i="23" s="1"/>
  <c r="CR116" i="23" s="1"/>
  <c r="CS110" i="23" s="1"/>
  <c r="CS116" i="23" s="1"/>
  <c r="CT110" i="23" s="1"/>
  <c r="CT116" i="23" s="1"/>
  <c r="CU110" i="23" s="1"/>
  <c r="BX101" i="23"/>
  <c r="BX107" i="23" s="1"/>
  <c r="BY101" i="23" s="1"/>
  <c r="BY107" i="23" s="1"/>
  <c r="BZ101" i="23" s="1"/>
  <c r="BZ107" i="23" s="1"/>
  <c r="CA101" i="23" s="1"/>
  <c r="CA107" i="23" s="1"/>
  <c r="CB101" i="23" s="1"/>
  <c r="CB107" i="23" s="1"/>
  <c r="CC101" i="23" s="1"/>
  <c r="CC107" i="23" s="1"/>
  <c r="CD101" i="23" s="1"/>
  <c r="CD107" i="23" s="1"/>
  <c r="CE101" i="23" s="1"/>
  <c r="CE107" i="23" s="1"/>
  <c r="CF101" i="23" s="1"/>
  <c r="CF107" i="23" s="1"/>
  <c r="CG101" i="23" s="1"/>
  <c r="CG107" i="23" s="1"/>
  <c r="CH101" i="23" s="1"/>
  <c r="CH107" i="23" s="1"/>
  <c r="CI101" i="23" s="1"/>
  <c r="CI107" i="23" s="1"/>
  <c r="CJ101" i="23" s="1"/>
  <c r="CJ107" i="23" s="1"/>
  <c r="CK101" i="23" s="1"/>
  <c r="CK107" i="23" s="1"/>
  <c r="CL101" i="23" s="1"/>
  <c r="CL107" i="23" s="1"/>
  <c r="CM101" i="23" s="1"/>
  <c r="CM107" i="23" s="1"/>
  <c r="CN101" i="23" s="1"/>
  <c r="CN107" i="23" s="1"/>
  <c r="CO101" i="23" s="1"/>
  <c r="CO107" i="23" s="1"/>
  <c r="CP101" i="23" s="1"/>
  <c r="CP107" i="23" s="1"/>
  <c r="CQ101" i="23" s="1"/>
  <c r="CQ107" i="23" s="1"/>
  <c r="CR101" i="23" s="1"/>
  <c r="CR107" i="23" s="1"/>
  <c r="CS101" i="23" s="1"/>
  <c r="CS107" i="23" s="1"/>
  <c r="CT101" i="23" s="1"/>
  <c r="CT107" i="23" s="1"/>
  <c r="CU101" i="23" s="1"/>
  <c r="BX79" i="23"/>
  <c r="BX86" i="23" s="1"/>
  <c r="BY79" i="23" s="1"/>
  <c r="BY86" i="23" s="1"/>
  <c r="BZ79" i="23" s="1"/>
  <c r="BZ86" i="23" s="1"/>
  <c r="CA79" i="23" s="1"/>
  <c r="CA86" i="23" s="1"/>
  <c r="CB79" i="23" s="1"/>
  <c r="CB86" i="23" s="1"/>
  <c r="CC79" i="23" s="1"/>
  <c r="CC86" i="23" s="1"/>
  <c r="CD79" i="23" s="1"/>
  <c r="CD86" i="23" s="1"/>
  <c r="CE79" i="23" s="1"/>
  <c r="CE86" i="23" s="1"/>
  <c r="CF79" i="23" s="1"/>
  <c r="CF86" i="23" s="1"/>
  <c r="CG79" i="23" s="1"/>
  <c r="CG86" i="23" s="1"/>
  <c r="CH79" i="23" s="1"/>
  <c r="CH86" i="23" s="1"/>
  <c r="CI79" i="23" s="1"/>
  <c r="CI86" i="23" s="1"/>
  <c r="CJ79" i="23" s="1"/>
  <c r="CJ86" i="23" s="1"/>
  <c r="CK79" i="23" s="1"/>
  <c r="CK86" i="23" s="1"/>
  <c r="CL79" i="23" s="1"/>
  <c r="CL86" i="23" s="1"/>
  <c r="CM79" i="23" s="1"/>
  <c r="CM86" i="23" s="1"/>
  <c r="CN79" i="23" s="1"/>
  <c r="CN86" i="23" s="1"/>
  <c r="CO79" i="23" s="1"/>
  <c r="CO86" i="23" s="1"/>
  <c r="CP79" i="23" s="1"/>
  <c r="CP86" i="23" s="1"/>
  <c r="CQ79" i="23" s="1"/>
  <c r="CQ86" i="23" s="1"/>
  <c r="CR79" i="23" s="1"/>
  <c r="CR86" i="23" s="1"/>
  <c r="CS79" i="23" s="1"/>
  <c r="CS86" i="23" s="1"/>
  <c r="CT79" i="23" s="1"/>
  <c r="CT86" i="23" s="1"/>
  <c r="CU79" i="23" s="1"/>
  <c r="CL89" i="23"/>
  <c r="CL98" i="23" s="1"/>
  <c r="G60" i="23"/>
  <c r="H52" i="23" s="1"/>
  <c r="CM89" i="23" l="1"/>
  <c r="CM98" i="23" s="1"/>
  <c r="CN89" i="23" s="1"/>
  <c r="CN98" i="23" s="1"/>
  <c r="CO89" i="23" s="1"/>
  <c r="CO98" i="23" s="1"/>
  <c r="CP89" i="23" s="1"/>
  <c r="CP98" i="23" s="1"/>
  <c r="CQ89" i="23" s="1"/>
  <c r="CQ98" i="23" s="1"/>
  <c r="CR89" i="23" s="1"/>
  <c r="CR98" i="23" s="1"/>
  <c r="CS89" i="23" s="1"/>
  <c r="CS98" i="23" s="1"/>
  <c r="CT89" i="23" s="1"/>
  <c r="CT98" i="23" s="1"/>
  <c r="CU89" i="23" s="1"/>
  <c r="CU98" i="23" s="1"/>
  <c r="CV89" i="23" s="1"/>
  <c r="CV98" i="23" s="1"/>
  <c r="CW89" i="23" s="1"/>
  <c r="CW98" i="23" s="1"/>
  <c r="CX89" i="23" s="1"/>
  <c r="CX98" i="23" s="1"/>
  <c r="CY89" i="23" s="1"/>
  <c r="CY98" i="23" s="1"/>
  <c r="H60" i="23"/>
  <c r="I52" i="23" s="1"/>
  <c r="I60" i="23" l="1"/>
  <c r="J52" i="23" s="1"/>
  <c r="J60" i="23" l="1"/>
  <c r="K52" i="23" s="1"/>
  <c r="K60" i="23" l="1"/>
  <c r="L52" i="23" s="1"/>
  <c r="L60" i="23" l="1"/>
  <c r="M52" i="23" s="1"/>
  <c r="M60" i="23" l="1"/>
  <c r="N52" i="23" s="1"/>
  <c r="N60" i="23" l="1"/>
  <c r="O52" i="23" s="1"/>
  <c r="O60" i="23" l="1"/>
  <c r="P52" i="23" s="1"/>
  <c r="P60" i="23" l="1"/>
  <c r="Q52" i="23" s="1"/>
  <c r="Q60" i="23" l="1"/>
  <c r="R52" i="23" s="1"/>
  <c r="R60" i="23" l="1"/>
  <c r="S52" i="23" s="1"/>
  <c r="S60" i="23" l="1"/>
  <c r="T52" i="23" s="1"/>
  <c r="T60" i="23" l="1"/>
  <c r="U52" i="23" s="1"/>
  <c r="U60" i="23" l="1"/>
  <c r="V52" i="23" s="1"/>
  <c r="V60" i="23" l="1"/>
  <c r="W52" i="23" s="1"/>
  <c r="W60" i="23" l="1"/>
  <c r="X52" i="23" s="1"/>
  <c r="X60" i="23" l="1"/>
  <c r="Y52" i="23" s="1"/>
  <c r="Y60" i="23" l="1"/>
  <c r="Z52" i="23" s="1"/>
  <c r="Z60" i="23" l="1"/>
  <c r="AA52" i="23" s="1"/>
  <c r="AA60" i="23" l="1"/>
  <c r="AB52" i="23" s="1"/>
  <c r="AB60" i="23" l="1"/>
  <c r="AC52" i="23" s="1"/>
  <c r="AC60" i="23" l="1"/>
  <c r="AD52" i="23" s="1"/>
  <c r="AD60" i="23" l="1"/>
  <c r="AE52" i="23" s="1"/>
  <c r="AE60" i="23" l="1"/>
  <c r="AF52" i="23" s="1"/>
  <c r="AF60" i="23" l="1"/>
  <c r="AG52" i="23" s="1"/>
  <c r="AG60" i="23" l="1"/>
  <c r="AH52" i="23" s="1"/>
  <c r="AH60" i="23" l="1"/>
  <c r="AI52" i="23" s="1"/>
  <c r="AI60" i="23" l="1"/>
  <c r="AJ52" i="23" s="1"/>
  <c r="AJ60" i="23" l="1"/>
  <c r="AK52" i="23" s="1"/>
  <c r="AK60" i="23" l="1"/>
  <c r="AL52" i="23" s="1"/>
  <c r="AL60" i="23" l="1"/>
  <c r="AM52" i="23" s="1"/>
  <c r="AM60" i="23" l="1"/>
  <c r="AN52" i="23" s="1"/>
  <c r="AN60" i="23" l="1"/>
  <c r="AO52" i="23" s="1"/>
  <c r="AO60" i="23" l="1"/>
  <c r="AP52" i="23" s="1"/>
  <c r="AP60" i="23" l="1"/>
  <c r="AQ52" i="23" s="1"/>
  <c r="AQ60" i="23" l="1"/>
  <c r="AR52" i="23" s="1"/>
  <c r="AR60" i="23" l="1"/>
  <c r="AS52" i="23" s="1"/>
  <c r="AS60" i="23" l="1"/>
  <c r="AT52" i="23" s="1"/>
  <c r="AT60" i="23" l="1"/>
  <c r="AU52" i="23" s="1"/>
  <c r="AU60" i="23" l="1"/>
  <c r="AV52" i="23" s="1"/>
  <c r="AV60" i="23" l="1"/>
  <c r="AW52" i="23" s="1"/>
  <c r="AW60" i="23" l="1"/>
  <c r="AX52" i="23" s="1"/>
  <c r="AX60" i="23" l="1"/>
  <c r="AY52" i="23" s="1"/>
  <c r="AY60" i="23" l="1"/>
  <c r="AZ52" i="23" s="1"/>
  <c r="AZ60" i="23" l="1"/>
  <c r="BA52" i="23" s="1"/>
  <c r="BA60" i="23" l="1"/>
  <c r="BB52" i="23" s="1"/>
  <c r="BB60" i="23" l="1"/>
  <c r="BC52" i="23" s="1"/>
  <c r="BC60" i="23" l="1"/>
  <c r="BD52" i="23" s="1"/>
  <c r="BD60" i="23" l="1"/>
  <c r="BE52" i="23" l="1"/>
  <c r="BE60" i="23" s="1"/>
  <c r="BF52" i="23" l="1"/>
  <c r="BF60" i="23" s="1"/>
  <c r="BG52" i="23" l="1"/>
  <c r="BG60" i="23" s="1"/>
  <c r="BH52" i="23" l="1"/>
  <c r="BH60" i="23" s="1"/>
  <c r="BI52" i="23" l="1"/>
  <c r="BI60" i="23" s="1"/>
  <c r="BJ52" i="23" l="1"/>
  <c r="BJ60" i="23" s="1"/>
  <c r="BK52" i="23" l="1"/>
  <c r="BK60" i="23" l="1"/>
  <c r="BL52" i="23" s="1"/>
  <c r="BL60" i="23" s="1"/>
  <c r="BM52" i="23" s="1"/>
  <c r="BM60" i="23" s="1"/>
  <c r="BN52" i="23" s="1"/>
  <c r="BN60" i="23" s="1"/>
  <c r="BO52" i="23" s="1"/>
  <c r="BO60" i="23" s="1"/>
  <c r="BP52" i="23" s="1"/>
  <c r="BP60" i="23" s="1"/>
  <c r="BQ52" i="23" s="1"/>
  <c r="BQ60" i="23" s="1"/>
  <c r="BR52" i="23" s="1"/>
  <c r="BR60" i="23" s="1"/>
  <c r="BS52" i="23" s="1"/>
  <c r="BS60" i="23" s="1"/>
  <c r="BT52" i="23" s="1"/>
  <c r="BT60" i="23" s="1"/>
  <c r="BU52" i="23" s="1"/>
  <c r="BU60" i="23" s="1"/>
  <c r="BV52" i="23" s="1"/>
  <c r="BV60" i="23" s="1"/>
  <c r="BW52" i="23" s="1"/>
  <c r="BW60" i="23" s="1"/>
  <c r="CK52" i="23" l="1"/>
  <c r="CK60" i="23" l="1"/>
  <c r="CL52" i="23" l="1"/>
  <c r="CL60" i="23" l="1"/>
  <c r="CM52" i="23" l="1"/>
  <c r="CM60" i="23" l="1"/>
  <c r="CN52" i="23" l="1"/>
  <c r="CN60" i="23" l="1"/>
  <c r="CO52" i="23" l="1"/>
  <c r="CO60" i="23" l="1"/>
  <c r="CP52" i="23" l="1"/>
  <c r="CP60" i="23" l="1"/>
  <c r="CQ52" i="23" l="1"/>
  <c r="CQ60" i="23" l="1"/>
  <c r="CR52" i="23" l="1"/>
  <c r="CR60" i="23" l="1"/>
  <c r="CS52" i="23" l="1"/>
  <c r="CS60" i="23" l="1"/>
  <c r="CT52" i="23" l="1"/>
  <c r="CT60" i="23" l="1"/>
  <c r="CU52" i="23" l="1"/>
  <c r="CU60" i="23" l="1"/>
  <c r="CV52" i="23" l="1"/>
  <c r="CV60" i="23" l="1"/>
  <c r="CW52" i="23" l="1"/>
  <c r="CW60" i="23" l="1"/>
  <c r="CX52" i="23" l="1"/>
  <c r="CX60" i="23" l="1"/>
  <c r="CY52" i="23" l="1"/>
  <c r="CY60" i="23" l="1"/>
  <c r="BJ75" i="23" l="1"/>
  <c r="BI75" i="23"/>
  <c r="BH75" i="23"/>
  <c r="BG75" i="23"/>
  <c r="BF75" i="23"/>
  <c r="BE75" i="23"/>
  <c r="BD75" i="23"/>
  <c r="BC75" i="23"/>
  <c r="BB75" i="23"/>
  <c r="BA75" i="23"/>
  <c r="AZ75" i="23"/>
  <c r="AY75" i="23"/>
  <c r="AX75" i="23"/>
  <c r="AW75" i="23"/>
  <c r="AV75" i="23"/>
  <c r="AU75" i="23"/>
  <c r="AT75" i="23"/>
  <c r="AS75" i="23"/>
  <c r="AR75" i="23"/>
  <c r="AQ75" i="23"/>
  <c r="AP75" i="23"/>
  <c r="AO75" i="23"/>
  <c r="AN75" i="23"/>
  <c r="AM75" i="23"/>
  <c r="AL75" i="23"/>
  <c r="AK75" i="23"/>
  <c r="AJ75" i="23"/>
  <c r="AI75" i="23"/>
  <c r="AH75" i="23"/>
  <c r="AG75" i="23"/>
  <c r="AF75" i="23"/>
  <c r="AE75" i="23"/>
  <c r="AD75" i="23"/>
  <c r="AC75" i="23"/>
  <c r="AB75" i="23"/>
  <c r="AA75" i="23"/>
  <c r="Z75" i="23"/>
  <c r="Y75" i="23"/>
  <c r="X75" i="23"/>
  <c r="W75" i="23"/>
  <c r="V75" i="23"/>
  <c r="U75" i="23"/>
  <c r="T75" i="23"/>
  <c r="S75" i="23"/>
  <c r="R75" i="23"/>
  <c r="Q75" i="23"/>
  <c r="P75" i="23"/>
  <c r="O75" i="23"/>
  <c r="N75" i="23"/>
  <c r="M75" i="23"/>
  <c r="L75" i="23"/>
  <c r="K75" i="23"/>
  <c r="J75" i="23"/>
  <c r="I75" i="23"/>
  <c r="H75" i="23"/>
  <c r="G75" i="23"/>
  <c r="F75" i="23"/>
  <c r="E75" i="23"/>
  <c r="D75" i="23"/>
  <c r="D76" i="23" s="1"/>
  <c r="E71" i="23" s="1"/>
  <c r="BK75" i="23"/>
  <c r="BK48" i="23"/>
  <c r="BJ48" i="23"/>
  <c r="BI48" i="23"/>
  <c r="BH48" i="23"/>
  <c r="BG48" i="23"/>
  <c r="BF48" i="23"/>
  <c r="BE48" i="23"/>
  <c r="BD48" i="23"/>
  <c r="BC48" i="23"/>
  <c r="BB48" i="23"/>
  <c r="BA48" i="23"/>
  <c r="AZ48" i="23"/>
  <c r="AY48" i="23"/>
  <c r="AX48" i="23"/>
  <c r="AW48" i="23"/>
  <c r="AV48" i="23"/>
  <c r="AU48" i="23"/>
  <c r="AT48" i="23"/>
  <c r="AS48" i="23"/>
  <c r="AR48" i="23"/>
  <c r="AQ48" i="23"/>
  <c r="AP48" i="23"/>
  <c r="AO48" i="23"/>
  <c r="AN48" i="23"/>
  <c r="AM48" i="23"/>
  <c r="AL48" i="23"/>
  <c r="AK48" i="23"/>
  <c r="AJ48" i="23"/>
  <c r="AI48" i="23"/>
  <c r="AH48" i="23"/>
  <c r="AG48" i="23"/>
  <c r="AF48" i="23"/>
  <c r="AE48" i="23"/>
  <c r="AD48" i="23"/>
  <c r="AC48" i="23"/>
  <c r="AB48" i="23"/>
  <c r="AA48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I48" i="23"/>
  <c r="H48" i="23"/>
  <c r="G48" i="23"/>
  <c r="F48" i="23"/>
  <c r="E48" i="23"/>
  <c r="D48" i="23"/>
  <c r="D49" i="23" s="1"/>
  <c r="E43" i="23" s="1"/>
  <c r="BJ39" i="23"/>
  <c r="BI39" i="23"/>
  <c r="BH39" i="23"/>
  <c r="BG39" i="23"/>
  <c r="BF39" i="23"/>
  <c r="BE39" i="23"/>
  <c r="BD39" i="23"/>
  <c r="BC39" i="23"/>
  <c r="BB39" i="23"/>
  <c r="BA39" i="23"/>
  <c r="AZ39" i="23"/>
  <c r="AY39" i="23"/>
  <c r="AX39" i="23"/>
  <c r="AW39" i="23"/>
  <c r="AV39" i="23"/>
  <c r="AU39" i="23"/>
  <c r="AT39" i="23"/>
  <c r="AS39" i="23"/>
  <c r="AR39" i="23"/>
  <c r="AQ39" i="23"/>
  <c r="AP39" i="23"/>
  <c r="AO39" i="23"/>
  <c r="AN39" i="23"/>
  <c r="AM39" i="23"/>
  <c r="AL39" i="23"/>
  <c r="AK39" i="23"/>
  <c r="AJ39" i="23"/>
  <c r="AI39" i="23"/>
  <c r="AH39" i="23"/>
  <c r="AG39" i="23"/>
  <c r="AF39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D40" i="23" s="1"/>
  <c r="E35" i="23" s="1"/>
  <c r="BK39" i="23"/>
  <c r="BJ31" i="23"/>
  <c r="BI31" i="23"/>
  <c r="BH31" i="23"/>
  <c r="BG31" i="23"/>
  <c r="BF31" i="23"/>
  <c r="BE31" i="23"/>
  <c r="BD31" i="23"/>
  <c r="BC31" i="23"/>
  <c r="BB31" i="23"/>
  <c r="BA31" i="23"/>
  <c r="AZ31" i="23"/>
  <c r="AY31" i="23"/>
  <c r="AX31" i="23"/>
  <c r="AW31" i="23"/>
  <c r="AV31" i="23"/>
  <c r="AU31" i="23"/>
  <c r="AT31" i="23"/>
  <c r="AS31" i="23"/>
  <c r="AR31" i="23"/>
  <c r="AQ31" i="23"/>
  <c r="AP31" i="23"/>
  <c r="AO31" i="23"/>
  <c r="AN31" i="23"/>
  <c r="AM31" i="23"/>
  <c r="AL31" i="23"/>
  <c r="AK31" i="23"/>
  <c r="AJ31" i="23"/>
  <c r="AI31" i="23"/>
  <c r="AH31" i="23"/>
  <c r="AG31" i="23"/>
  <c r="AF31" i="23"/>
  <c r="AE31" i="23"/>
  <c r="AD31" i="23"/>
  <c r="AC31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D32" i="23" s="1"/>
  <c r="E27" i="23" s="1"/>
  <c r="BK31" i="23"/>
  <c r="CK23" i="23"/>
  <c r="AY23" i="23"/>
  <c r="AX23" i="23"/>
  <c r="AW23" i="23"/>
  <c r="AV23" i="23"/>
  <c r="AU23" i="23"/>
  <c r="AT23" i="23"/>
  <c r="AS23" i="23"/>
  <c r="AR23" i="23"/>
  <c r="AQ23" i="23"/>
  <c r="AP23" i="23"/>
  <c r="AO23" i="23"/>
  <c r="AN23" i="23"/>
  <c r="AM23" i="23"/>
  <c r="AL23" i="23"/>
  <c r="AK23" i="23"/>
  <c r="AJ23" i="23"/>
  <c r="AI23" i="23"/>
  <c r="AH23" i="23"/>
  <c r="AG23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D24" i="23" s="1"/>
  <c r="E18" i="23" s="1"/>
  <c r="BK23" i="23"/>
  <c r="BJ23" i="23"/>
  <c r="BI23" i="23"/>
  <c r="BH23" i="23"/>
  <c r="BG23" i="23"/>
  <c r="BF23" i="23"/>
  <c r="BE23" i="23"/>
  <c r="BC23" i="23"/>
  <c r="BB23" i="23"/>
  <c r="BA23" i="23"/>
  <c r="AZ23" i="23"/>
  <c r="AY14" i="23"/>
  <c r="AX14" i="23"/>
  <c r="AW14" i="23"/>
  <c r="AV14" i="23"/>
  <c r="AU14" i="23"/>
  <c r="AT14" i="23"/>
  <c r="AS14" i="23"/>
  <c r="AR14" i="23"/>
  <c r="AQ14" i="23"/>
  <c r="AP14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BK14" i="23"/>
  <c r="BJ14" i="23"/>
  <c r="BI14" i="23"/>
  <c r="BH14" i="23"/>
  <c r="BG14" i="23"/>
  <c r="BF14" i="23"/>
  <c r="BE14" i="23"/>
  <c r="BC14" i="23"/>
  <c r="BB14" i="23"/>
  <c r="BA14" i="23"/>
  <c r="AZ14" i="23"/>
  <c r="BB120" i="23" l="1"/>
  <c r="BK120" i="23"/>
  <c r="K120" i="23"/>
  <c r="S120" i="23"/>
  <c r="AA120" i="23"/>
  <c r="AE120" i="23"/>
  <c r="AM120" i="23"/>
  <c r="AY120" i="23"/>
  <c r="BG120" i="23"/>
  <c r="G120" i="23"/>
  <c r="O120" i="23"/>
  <c r="W120" i="23"/>
  <c r="AI120" i="23"/>
  <c r="AQ120" i="23"/>
  <c r="AU120" i="23"/>
  <c r="BC120" i="23"/>
  <c r="P120" i="23"/>
  <c r="AB120" i="23"/>
  <c r="AR120" i="23"/>
  <c r="H120" i="23"/>
  <c r="X120" i="23"/>
  <c r="AJ120" i="23"/>
  <c r="AZ120" i="23"/>
  <c r="BI120" i="23"/>
  <c r="M120" i="23"/>
  <c r="Y120" i="23"/>
  <c r="AC120" i="23"/>
  <c r="AG120" i="23"/>
  <c r="AK120" i="23"/>
  <c r="AO120" i="23"/>
  <c r="AS120" i="23"/>
  <c r="AW120" i="23"/>
  <c r="BH120" i="23"/>
  <c r="L120" i="23"/>
  <c r="T120" i="23"/>
  <c r="AF120" i="23"/>
  <c r="AN120" i="23"/>
  <c r="AV120" i="23"/>
  <c r="BE120" i="23"/>
  <c r="E120" i="23"/>
  <c r="I120" i="23"/>
  <c r="Q120" i="23"/>
  <c r="U120" i="23"/>
  <c r="BA120" i="23"/>
  <c r="BF120" i="23"/>
  <c r="BJ120" i="23"/>
  <c r="F120" i="23"/>
  <c r="J120" i="23"/>
  <c r="N120" i="23"/>
  <c r="R120" i="23"/>
  <c r="V120" i="23"/>
  <c r="Z120" i="23"/>
  <c r="AD120" i="23"/>
  <c r="AH120" i="23"/>
  <c r="AL120" i="23"/>
  <c r="AP120" i="23"/>
  <c r="AT120" i="23"/>
  <c r="AX120" i="23"/>
  <c r="D120" i="23"/>
  <c r="E40" i="23"/>
  <c r="F35" i="23" s="1"/>
  <c r="F40" i="23" s="1"/>
  <c r="G35" i="23" s="1"/>
  <c r="G40" i="23" s="1"/>
  <c r="H35" i="23" s="1"/>
  <c r="H40" i="23" s="1"/>
  <c r="I35" i="23" s="1"/>
  <c r="I40" i="23" s="1"/>
  <c r="J35" i="23" s="1"/>
  <c r="J40" i="23" s="1"/>
  <c r="K35" i="23" s="1"/>
  <c r="K40" i="23" s="1"/>
  <c r="L35" i="23" s="1"/>
  <c r="L40" i="23" s="1"/>
  <c r="M35" i="23" s="1"/>
  <c r="M40" i="23" s="1"/>
  <c r="N35" i="23" s="1"/>
  <c r="N40" i="23" s="1"/>
  <c r="O35" i="23" s="1"/>
  <c r="O40" i="23" s="1"/>
  <c r="P35" i="23" s="1"/>
  <c r="P40" i="23" s="1"/>
  <c r="Q35" i="23" s="1"/>
  <c r="Q40" i="23" s="1"/>
  <c r="R35" i="23" s="1"/>
  <c r="R40" i="23" s="1"/>
  <c r="S35" i="23" s="1"/>
  <c r="S40" i="23" s="1"/>
  <c r="T35" i="23" s="1"/>
  <c r="T40" i="23" s="1"/>
  <c r="U35" i="23" s="1"/>
  <c r="U40" i="23" s="1"/>
  <c r="V35" i="23" s="1"/>
  <c r="V40" i="23" s="1"/>
  <c r="W35" i="23" s="1"/>
  <c r="W40" i="23" s="1"/>
  <c r="X35" i="23" s="1"/>
  <c r="X40" i="23" s="1"/>
  <c r="Y35" i="23" s="1"/>
  <c r="Y40" i="23" s="1"/>
  <c r="Z35" i="23" s="1"/>
  <c r="Z40" i="23" s="1"/>
  <c r="AA35" i="23" s="1"/>
  <c r="AA40" i="23" s="1"/>
  <c r="AB35" i="23" s="1"/>
  <c r="AB40" i="23" s="1"/>
  <c r="AC35" i="23" s="1"/>
  <c r="AC40" i="23" s="1"/>
  <c r="AD35" i="23" s="1"/>
  <c r="AD40" i="23" s="1"/>
  <c r="AE35" i="23" s="1"/>
  <c r="AE40" i="23" s="1"/>
  <c r="AF35" i="23" s="1"/>
  <c r="AF40" i="23" s="1"/>
  <c r="AG35" i="23" s="1"/>
  <c r="AG40" i="23" s="1"/>
  <c r="AH35" i="23" s="1"/>
  <c r="AH40" i="23" s="1"/>
  <c r="AI35" i="23" s="1"/>
  <c r="AI40" i="23" s="1"/>
  <c r="AJ35" i="23" s="1"/>
  <c r="AJ40" i="23" s="1"/>
  <c r="AK35" i="23" s="1"/>
  <c r="AK40" i="23" s="1"/>
  <c r="AL35" i="23" s="1"/>
  <c r="AL40" i="23" s="1"/>
  <c r="AM35" i="23" s="1"/>
  <c r="AM40" i="23" s="1"/>
  <c r="AN35" i="23" s="1"/>
  <c r="AN40" i="23" s="1"/>
  <c r="AO35" i="23" s="1"/>
  <c r="AO40" i="23" s="1"/>
  <c r="AP35" i="23" s="1"/>
  <c r="AP40" i="23" s="1"/>
  <c r="AQ35" i="23" s="1"/>
  <c r="AQ40" i="23" s="1"/>
  <c r="AR35" i="23" s="1"/>
  <c r="AR40" i="23" s="1"/>
  <c r="AS35" i="23" s="1"/>
  <c r="AS40" i="23" s="1"/>
  <c r="AT35" i="23" s="1"/>
  <c r="AT40" i="23" s="1"/>
  <c r="AU35" i="23" s="1"/>
  <c r="AU40" i="23" s="1"/>
  <c r="AV35" i="23" s="1"/>
  <c r="AV40" i="23" s="1"/>
  <c r="AW35" i="23" s="1"/>
  <c r="AW40" i="23" s="1"/>
  <c r="AX35" i="23" s="1"/>
  <c r="AX40" i="23" s="1"/>
  <c r="AY35" i="23" s="1"/>
  <c r="AY40" i="23" s="1"/>
  <c r="AZ35" i="23" s="1"/>
  <c r="AZ40" i="23" s="1"/>
  <c r="BA35" i="23" s="1"/>
  <c r="BA40" i="23" s="1"/>
  <c r="BB35" i="23" s="1"/>
  <c r="BB40" i="23" s="1"/>
  <c r="BC35" i="23" s="1"/>
  <c r="BC40" i="23" s="1"/>
  <c r="BD35" i="23" s="1"/>
  <c r="BD40" i="23" s="1"/>
  <c r="BE35" i="23" s="1"/>
  <c r="BE40" i="23" s="1"/>
  <c r="BF35" i="23" s="1"/>
  <c r="BF40" i="23" s="1"/>
  <c r="BG35" i="23" s="1"/>
  <c r="BG40" i="23" s="1"/>
  <c r="BH35" i="23" s="1"/>
  <c r="BH40" i="23" s="1"/>
  <c r="BI35" i="23" s="1"/>
  <c r="BI40" i="23" s="1"/>
  <c r="BJ35" i="23" s="1"/>
  <c r="BJ40" i="23" s="1"/>
  <c r="BK35" i="23" s="1"/>
  <c r="BK40" i="23" s="1"/>
  <c r="BL35" i="23" s="1"/>
  <c r="BL40" i="23" s="1"/>
  <c r="BM35" i="23" s="1"/>
  <c r="BM40" i="23" s="1"/>
  <c r="BN35" i="23" s="1"/>
  <c r="BN40" i="23" s="1"/>
  <c r="BO35" i="23" s="1"/>
  <c r="BO40" i="23" s="1"/>
  <c r="BP35" i="23" s="1"/>
  <c r="BP40" i="23" s="1"/>
  <c r="BQ35" i="23" s="1"/>
  <c r="BQ40" i="23" s="1"/>
  <c r="BR35" i="23" s="1"/>
  <c r="BR40" i="23" s="1"/>
  <c r="BS35" i="23" s="1"/>
  <c r="BS40" i="23" s="1"/>
  <c r="BT35" i="23" s="1"/>
  <c r="BT40" i="23" s="1"/>
  <c r="BU35" i="23" s="1"/>
  <c r="BU40" i="23" s="1"/>
  <c r="BV35" i="23" s="1"/>
  <c r="BV40" i="23" s="1"/>
  <c r="BW35" i="23" s="1"/>
  <c r="BW40" i="23" s="1"/>
  <c r="BX35" i="23" s="1"/>
  <c r="BX40" i="23" s="1"/>
  <c r="BY35" i="23" s="1"/>
  <c r="BY40" i="23" s="1"/>
  <c r="BZ35" i="23" s="1"/>
  <c r="BZ40" i="23" s="1"/>
  <c r="CA35" i="23" s="1"/>
  <c r="CA40" i="23" s="1"/>
  <c r="CB35" i="23" s="1"/>
  <c r="CB40" i="23" s="1"/>
  <c r="CC35" i="23" s="1"/>
  <c r="CC40" i="23" s="1"/>
  <c r="CD35" i="23" s="1"/>
  <c r="CD40" i="23" s="1"/>
  <c r="CE35" i="23" s="1"/>
  <c r="CE40" i="23" s="1"/>
  <c r="CF35" i="23" s="1"/>
  <c r="CF40" i="23" s="1"/>
  <c r="CG35" i="23" s="1"/>
  <c r="CG40" i="23" s="1"/>
  <c r="CH35" i="23" s="1"/>
  <c r="CH40" i="23" s="1"/>
  <c r="CI35" i="23" s="1"/>
  <c r="CI40" i="23" s="1"/>
  <c r="CJ35" i="23" s="1"/>
  <c r="E49" i="23"/>
  <c r="F43" i="23" s="1"/>
  <c r="F49" i="23" s="1"/>
  <c r="G43" i="23" s="1"/>
  <c r="G49" i="23" s="1"/>
  <c r="H43" i="23" s="1"/>
  <c r="H49" i="23" s="1"/>
  <c r="I43" i="23" s="1"/>
  <c r="I49" i="23" s="1"/>
  <c r="J43" i="23" s="1"/>
  <c r="J49" i="23" s="1"/>
  <c r="K43" i="23" s="1"/>
  <c r="K49" i="23" s="1"/>
  <c r="L43" i="23" s="1"/>
  <c r="L49" i="23" s="1"/>
  <c r="M43" i="23" s="1"/>
  <c r="M49" i="23" s="1"/>
  <c r="N43" i="23" s="1"/>
  <c r="N49" i="23" s="1"/>
  <c r="O43" i="23" s="1"/>
  <c r="O49" i="23" s="1"/>
  <c r="P43" i="23" s="1"/>
  <c r="P49" i="23" s="1"/>
  <c r="Q43" i="23" s="1"/>
  <c r="Q49" i="23" s="1"/>
  <c r="R43" i="23" s="1"/>
  <c r="E32" i="23"/>
  <c r="F27" i="23" s="1"/>
  <c r="F32" i="23" s="1"/>
  <c r="G27" i="23" s="1"/>
  <c r="G32" i="23" s="1"/>
  <c r="H27" i="23" s="1"/>
  <c r="H32" i="23" s="1"/>
  <c r="I27" i="23" s="1"/>
  <c r="I32" i="23" s="1"/>
  <c r="J27" i="23" s="1"/>
  <c r="J32" i="23" s="1"/>
  <c r="K27" i="23" s="1"/>
  <c r="K32" i="23" s="1"/>
  <c r="L27" i="23" s="1"/>
  <c r="L32" i="23" s="1"/>
  <c r="M27" i="23" s="1"/>
  <c r="M32" i="23" s="1"/>
  <c r="N27" i="23" s="1"/>
  <c r="N32" i="23" s="1"/>
  <c r="O27" i="23" s="1"/>
  <c r="O32" i="23" s="1"/>
  <c r="P27" i="23" s="1"/>
  <c r="P32" i="23" s="1"/>
  <c r="Q27" i="23" s="1"/>
  <c r="Q32" i="23" s="1"/>
  <c r="R27" i="23" s="1"/>
  <c r="R32" i="23" s="1"/>
  <c r="S27" i="23" s="1"/>
  <c r="S32" i="23" s="1"/>
  <c r="T27" i="23" s="1"/>
  <c r="T32" i="23" s="1"/>
  <c r="U27" i="23" s="1"/>
  <c r="U32" i="23" s="1"/>
  <c r="V27" i="23" s="1"/>
  <c r="V32" i="23" s="1"/>
  <c r="W27" i="23" s="1"/>
  <c r="W32" i="23" s="1"/>
  <c r="X27" i="23" s="1"/>
  <c r="X32" i="23" s="1"/>
  <c r="Y27" i="23" s="1"/>
  <c r="Y32" i="23" s="1"/>
  <c r="Z27" i="23" s="1"/>
  <c r="Z32" i="23" s="1"/>
  <c r="AA27" i="23" s="1"/>
  <c r="AA32" i="23" s="1"/>
  <c r="AB27" i="23" s="1"/>
  <c r="AB32" i="23" s="1"/>
  <c r="AC27" i="23" s="1"/>
  <c r="AC32" i="23" s="1"/>
  <c r="AD27" i="23" s="1"/>
  <c r="AD32" i="23" s="1"/>
  <c r="AE27" i="23" s="1"/>
  <c r="AE32" i="23" s="1"/>
  <c r="AF27" i="23" s="1"/>
  <c r="AF32" i="23" s="1"/>
  <c r="AG27" i="23" s="1"/>
  <c r="AG32" i="23" s="1"/>
  <c r="AH27" i="23" s="1"/>
  <c r="AH32" i="23" s="1"/>
  <c r="AI27" i="23" s="1"/>
  <c r="AI32" i="23" s="1"/>
  <c r="AJ27" i="23" s="1"/>
  <c r="AJ32" i="23" s="1"/>
  <c r="AK27" i="23" s="1"/>
  <c r="AK32" i="23" s="1"/>
  <c r="AL27" i="23" s="1"/>
  <c r="AL32" i="23" s="1"/>
  <c r="AM27" i="23" s="1"/>
  <c r="AM32" i="23" s="1"/>
  <c r="AN27" i="23" s="1"/>
  <c r="AN32" i="23" s="1"/>
  <c r="AO27" i="23" s="1"/>
  <c r="AO32" i="23" s="1"/>
  <c r="AP27" i="23" s="1"/>
  <c r="AP32" i="23" s="1"/>
  <c r="AQ27" i="23" s="1"/>
  <c r="AQ32" i="23" s="1"/>
  <c r="AR27" i="23" s="1"/>
  <c r="AR32" i="23" s="1"/>
  <c r="AS27" i="23" s="1"/>
  <c r="AS32" i="23" s="1"/>
  <c r="AT27" i="23" s="1"/>
  <c r="AT32" i="23" s="1"/>
  <c r="AU27" i="23" s="1"/>
  <c r="AU32" i="23" s="1"/>
  <c r="AV27" i="23" s="1"/>
  <c r="AV32" i="23" s="1"/>
  <c r="AW27" i="23" s="1"/>
  <c r="AW32" i="23" s="1"/>
  <c r="AX27" i="23" s="1"/>
  <c r="AX32" i="23" s="1"/>
  <c r="AY27" i="23" s="1"/>
  <c r="AY32" i="23" s="1"/>
  <c r="AZ27" i="23" s="1"/>
  <c r="AZ32" i="23" s="1"/>
  <c r="BA27" i="23" s="1"/>
  <c r="BA32" i="23" s="1"/>
  <c r="BB27" i="23" s="1"/>
  <c r="BB32" i="23" s="1"/>
  <c r="BC27" i="23" s="1"/>
  <c r="BC32" i="23" s="1"/>
  <c r="BD27" i="23" s="1"/>
  <c r="BD32" i="23" s="1"/>
  <c r="BE27" i="23" s="1"/>
  <c r="BE32" i="23" s="1"/>
  <c r="BF27" i="23" s="1"/>
  <c r="BF32" i="23" s="1"/>
  <c r="BG27" i="23" s="1"/>
  <c r="BG32" i="23" s="1"/>
  <c r="BH27" i="23" s="1"/>
  <c r="BH32" i="23" s="1"/>
  <c r="BI27" i="23" s="1"/>
  <c r="BI32" i="23" s="1"/>
  <c r="BJ27" i="23" s="1"/>
  <c r="BJ32" i="23" s="1"/>
  <c r="BK27" i="23" s="1"/>
  <c r="BK32" i="23" s="1"/>
  <c r="BL27" i="23" s="1"/>
  <c r="BL32" i="23" s="1"/>
  <c r="BM27" i="23" s="1"/>
  <c r="BM32" i="23" s="1"/>
  <c r="BN27" i="23" s="1"/>
  <c r="BN32" i="23" s="1"/>
  <c r="BO27" i="23" s="1"/>
  <c r="BO32" i="23" s="1"/>
  <c r="BP27" i="23" s="1"/>
  <c r="BP32" i="23" s="1"/>
  <c r="BQ27" i="23" s="1"/>
  <c r="BQ32" i="23" s="1"/>
  <c r="BR27" i="23" s="1"/>
  <c r="BR32" i="23" s="1"/>
  <c r="BS27" i="23" s="1"/>
  <c r="BS32" i="23" s="1"/>
  <c r="BT27" i="23" s="1"/>
  <c r="BT32" i="23" s="1"/>
  <c r="BU27" i="23" s="1"/>
  <c r="BU32" i="23" s="1"/>
  <c r="BV27" i="23" s="1"/>
  <c r="BV32" i="23" s="1"/>
  <c r="BW27" i="23" s="1"/>
  <c r="BW32" i="23" s="1"/>
  <c r="E24" i="23"/>
  <c r="F18" i="23" s="1"/>
  <c r="F24" i="23" s="1"/>
  <c r="G18" i="23" s="1"/>
  <c r="G24" i="23" s="1"/>
  <c r="H18" i="23" s="1"/>
  <c r="H24" i="23" s="1"/>
  <c r="I18" i="23" s="1"/>
  <c r="I24" i="23" s="1"/>
  <c r="J18" i="23" s="1"/>
  <c r="J24" i="23" s="1"/>
  <c r="K18" i="23" s="1"/>
  <c r="K24" i="23" s="1"/>
  <c r="L18" i="23" s="1"/>
  <c r="L24" i="23" s="1"/>
  <c r="M18" i="23" s="1"/>
  <c r="M24" i="23" s="1"/>
  <c r="N18" i="23" s="1"/>
  <c r="N24" i="23" s="1"/>
  <c r="O18" i="23" s="1"/>
  <c r="O24" i="23" s="1"/>
  <c r="P18" i="23" s="1"/>
  <c r="P24" i="23" s="1"/>
  <c r="Q18" i="23" s="1"/>
  <c r="Q24" i="23" s="1"/>
  <c r="R18" i="23" s="1"/>
  <c r="R24" i="23" s="1"/>
  <c r="S18" i="23" s="1"/>
  <c r="S24" i="23" s="1"/>
  <c r="T18" i="23" s="1"/>
  <c r="T24" i="23" s="1"/>
  <c r="U18" i="23" s="1"/>
  <c r="U24" i="23" s="1"/>
  <c r="V18" i="23" s="1"/>
  <c r="V24" i="23" s="1"/>
  <c r="W18" i="23" s="1"/>
  <c r="W24" i="23" s="1"/>
  <c r="X18" i="23" s="1"/>
  <c r="X24" i="23" s="1"/>
  <c r="Y18" i="23" s="1"/>
  <c r="Y24" i="23" s="1"/>
  <c r="Z18" i="23" s="1"/>
  <c r="Z24" i="23" s="1"/>
  <c r="AA18" i="23" s="1"/>
  <c r="AA24" i="23" s="1"/>
  <c r="AB18" i="23" s="1"/>
  <c r="AB24" i="23" s="1"/>
  <c r="AC18" i="23" s="1"/>
  <c r="AC24" i="23" s="1"/>
  <c r="AD18" i="23" s="1"/>
  <c r="AD24" i="23" s="1"/>
  <c r="AE18" i="23" s="1"/>
  <c r="AE24" i="23" s="1"/>
  <c r="AF18" i="23" s="1"/>
  <c r="AF24" i="23" s="1"/>
  <c r="AG18" i="23" s="1"/>
  <c r="AG24" i="23" s="1"/>
  <c r="AH18" i="23" s="1"/>
  <c r="AH24" i="23" s="1"/>
  <c r="AI18" i="23" s="1"/>
  <c r="AI24" i="23" s="1"/>
  <c r="AJ18" i="23" s="1"/>
  <c r="AJ24" i="23" s="1"/>
  <c r="AK18" i="23" s="1"/>
  <c r="AK24" i="23" s="1"/>
  <c r="AL18" i="23" s="1"/>
  <c r="AL24" i="23" s="1"/>
  <c r="AM18" i="23" s="1"/>
  <c r="AM24" i="23" s="1"/>
  <c r="AN18" i="23" s="1"/>
  <c r="AN24" i="23" s="1"/>
  <c r="AO18" i="23" s="1"/>
  <c r="AO24" i="23" s="1"/>
  <c r="AP18" i="23" s="1"/>
  <c r="AP24" i="23" s="1"/>
  <c r="AQ18" i="23" s="1"/>
  <c r="AQ24" i="23" s="1"/>
  <c r="AR18" i="23" s="1"/>
  <c r="AR24" i="23" s="1"/>
  <c r="AS18" i="23" s="1"/>
  <c r="AS24" i="23" s="1"/>
  <c r="AT18" i="23" s="1"/>
  <c r="AT24" i="23" s="1"/>
  <c r="AU18" i="23" s="1"/>
  <c r="AU24" i="23" s="1"/>
  <c r="AV18" i="23" s="1"/>
  <c r="AV24" i="23" s="1"/>
  <c r="AW18" i="23" s="1"/>
  <c r="AW24" i="23" s="1"/>
  <c r="AX18" i="23" s="1"/>
  <c r="AX24" i="23" s="1"/>
  <c r="AY18" i="23" s="1"/>
  <c r="AY24" i="23" s="1"/>
  <c r="AZ18" i="23" s="1"/>
  <c r="AZ24" i="23" s="1"/>
  <c r="E76" i="23"/>
  <c r="F71" i="23" s="1"/>
  <c r="F76" i="23" s="1"/>
  <c r="G71" i="23" s="1"/>
  <c r="G76" i="23" s="1"/>
  <c r="H71" i="23" s="1"/>
  <c r="H76" i="23" s="1"/>
  <c r="I71" i="23" s="1"/>
  <c r="I76" i="23" s="1"/>
  <c r="J71" i="23" s="1"/>
  <c r="J76" i="23" s="1"/>
  <c r="K71" i="23" s="1"/>
  <c r="K76" i="23" s="1"/>
  <c r="L71" i="23" s="1"/>
  <c r="L76" i="23" s="1"/>
  <c r="M71" i="23" s="1"/>
  <c r="M76" i="23" s="1"/>
  <c r="N71" i="23" s="1"/>
  <c r="N76" i="23" s="1"/>
  <c r="O71" i="23" s="1"/>
  <c r="O76" i="23" s="1"/>
  <c r="P71" i="23" s="1"/>
  <c r="P76" i="23" s="1"/>
  <c r="Q71" i="23" s="1"/>
  <c r="Q76" i="23" s="1"/>
  <c r="R71" i="23" s="1"/>
  <c r="R76" i="23" s="1"/>
  <c r="S71" i="23" s="1"/>
  <c r="S76" i="23" s="1"/>
  <c r="T71" i="23" s="1"/>
  <c r="T76" i="23" s="1"/>
  <c r="U71" i="23" s="1"/>
  <c r="U76" i="23" s="1"/>
  <c r="V71" i="23" s="1"/>
  <c r="V76" i="23" s="1"/>
  <c r="W71" i="23" s="1"/>
  <c r="W76" i="23" s="1"/>
  <c r="X71" i="23" s="1"/>
  <c r="X76" i="23" s="1"/>
  <c r="Y71" i="23" s="1"/>
  <c r="Y76" i="23" s="1"/>
  <c r="Z71" i="23" s="1"/>
  <c r="Z76" i="23" s="1"/>
  <c r="AA71" i="23" s="1"/>
  <c r="AA76" i="23" s="1"/>
  <c r="AB71" i="23" s="1"/>
  <c r="AB76" i="23" s="1"/>
  <c r="AC71" i="23" s="1"/>
  <c r="AC76" i="23" s="1"/>
  <c r="AD71" i="23" s="1"/>
  <c r="AD76" i="23" s="1"/>
  <c r="AE71" i="23" s="1"/>
  <c r="AE76" i="23" s="1"/>
  <c r="AF71" i="23" s="1"/>
  <c r="AF76" i="23" s="1"/>
  <c r="AG71" i="23" s="1"/>
  <c r="AG76" i="23" s="1"/>
  <c r="AH71" i="23" s="1"/>
  <c r="AH76" i="23" s="1"/>
  <c r="AI71" i="23" s="1"/>
  <c r="AI76" i="23" s="1"/>
  <c r="AJ71" i="23" s="1"/>
  <c r="AJ76" i="23" s="1"/>
  <c r="AK71" i="23" s="1"/>
  <c r="AK76" i="23" s="1"/>
  <c r="AL71" i="23" s="1"/>
  <c r="AL76" i="23" s="1"/>
  <c r="AM71" i="23" s="1"/>
  <c r="AM76" i="23" s="1"/>
  <c r="AN71" i="23" s="1"/>
  <c r="AN76" i="23" s="1"/>
  <c r="AO71" i="23" s="1"/>
  <c r="AO76" i="23" s="1"/>
  <c r="AP71" i="23" s="1"/>
  <c r="AP76" i="23" s="1"/>
  <c r="AQ71" i="23" s="1"/>
  <c r="AQ76" i="23" s="1"/>
  <c r="AR71" i="23" s="1"/>
  <c r="AR76" i="23" s="1"/>
  <c r="AS71" i="23" s="1"/>
  <c r="AS76" i="23" s="1"/>
  <c r="AT71" i="23" s="1"/>
  <c r="AT76" i="23" s="1"/>
  <c r="AU71" i="23" s="1"/>
  <c r="AU76" i="23" s="1"/>
  <c r="AV71" i="23" s="1"/>
  <c r="AV76" i="23" s="1"/>
  <c r="AW71" i="23" s="1"/>
  <c r="AW76" i="23" s="1"/>
  <c r="AX71" i="23" s="1"/>
  <c r="AX76" i="23" s="1"/>
  <c r="AY71" i="23" s="1"/>
  <c r="AY76" i="23" s="1"/>
  <c r="AZ71" i="23" s="1"/>
  <c r="AZ76" i="23" s="1"/>
  <c r="BA71" i="23" s="1"/>
  <c r="BA76" i="23" s="1"/>
  <c r="BB71" i="23" s="1"/>
  <c r="BB76" i="23" s="1"/>
  <c r="BC71" i="23" s="1"/>
  <c r="BC76" i="23" s="1"/>
  <c r="BD71" i="23" s="1"/>
  <c r="BD76" i="23" s="1"/>
  <c r="BE71" i="23" s="1"/>
  <c r="BE76" i="23" s="1"/>
  <c r="BF71" i="23" s="1"/>
  <c r="BF76" i="23" s="1"/>
  <c r="BG71" i="23" s="1"/>
  <c r="BG76" i="23" s="1"/>
  <c r="BH71" i="23" s="1"/>
  <c r="BH76" i="23" s="1"/>
  <c r="BI71" i="23" s="1"/>
  <c r="BI76" i="23" s="1"/>
  <c r="BJ71" i="23" s="1"/>
  <c r="BJ76" i="23" s="1"/>
  <c r="BK71" i="23" s="1"/>
  <c r="BK76" i="23" s="1"/>
  <c r="BL71" i="23" s="1"/>
  <c r="BL76" i="23" s="1"/>
  <c r="BM71" i="23" s="1"/>
  <c r="BM76" i="23" s="1"/>
  <c r="BN71" i="23" s="1"/>
  <c r="BN76" i="23" s="1"/>
  <c r="BO71" i="23" s="1"/>
  <c r="BO76" i="23" s="1"/>
  <c r="BP71" i="23" s="1"/>
  <c r="BP76" i="23" s="1"/>
  <c r="BQ71" i="23" s="1"/>
  <c r="BQ76" i="23" s="1"/>
  <c r="BR71" i="23" s="1"/>
  <c r="BR76" i="23" s="1"/>
  <c r="BS71" i="23" s="1"/>
  <c r="BS76" i="23" s="1"/>
  <c r="BT71" i="23" s="1"/>
  <c r="BT76" i="23" s="1"/>
  <c r="BU71" i="23" s="1"/>
  <c r="BU76" i="23" s="1"/>
  <c r="BV71" i="23" s="1"/>
  <c r="BV76" i="23" s="1"/>
  <c r="BW71" i="23" s="1"/>
  <c r="BW76" i="23" s="1"/>
  <c r="BD23" i="23"/>
  <c r="BD14" i="23"/>
  <c r="BD120" i="23" s="1"/>
  <c r="D15" i="23"/>
  <c r="D122" i="23" l="1"/>
  <c r="D121" i="23"/>
  <c r="BA18" i="23"/>
  <c r="E9" i="23"/>
  <c r="E119" i="23" s="1"/>
  <c r="R49" i="23"/>
  <c r="S43" i="23" s="1"/>
  <c r="D123" i="23" l="1"/>
  <c r="BA24" i="23"/>
  <c r="E15" i="23"/>
  <c r="S49" i="23"/>
  <c r="T43" i="23" s="1"/>
  <c r="E121" i="23" l="1"/>
  <c r="E122" i="23"/>
  <c r="BB18" i="23"/>
  <c r="F9" i="23"/>
  <c r="F119" i="23" s="1"/>
  <c r="T49" i="23"/>
  <c r="U43" i="23" s="1"/>
  <c r="E123" i="23" l="1"/>
  <c r="BB24" i="23"/>
  <c r="F15" i="23"/>
  <c r="U49" i="23"/>
  <c r="V43" i="23" s="1"/>
  <c r="F122" i="23" l="1"/>
  <c r="F121" i="23"/>
  <c r="BC18" i="23"/>
  <c r="G9" i="23"/>
  <c r="G119" i="23" s="1"/>
  <c r="V49" i="23"/>
  <c r="W43" i="23" s="1"/>
  <c r="F123" i="23" l="1"/>
  <c r="BC24" i="23"/>
  <c r="G15" i="23"/>
  <c r="W49" i="23"/>
  <c r="X43" i="23" s="1"/>
  <c r="G122" i="23" l="1"/>
  <c r="G121" i="23"/>
  <c r="BD18" i="23"/>
  <c r="H9" i="23"/>
  <c r="H119" i="23" s="1"/>
  <c r="X49" i="23"/>
  <c r="Y43" i="23" s="1"/>
  <c r="G123" i="23" l="1"/>
  <c r="BD24" i="23"/>
  <c r="H15" i="23"/>
  <c r="Y49" i="23"/>
  <c r="Z43" i="23" s="1"/>
  <c r="H121" i="23" l="1"/>
  <c r="H122" i="23"/>
  <c r="BE18" i="23"/>
  <c r="I9" i="23"/>
  <c r="I119" i="23" s="1"/>
  <c r="Z49" i="23"/>
  <c r="AA43" i="23" s="1"/>
  <c r="CU114" i="23"/>
  <c r="CU105" i="23"/>
  <c r="H123" i="23" l="1"/>
  <c r="BE24" i="23"/>
  <c r="I15" i="23"/>
  <c r="AA49" i="23"/>
  <c r="AB43" i="23" s="1"/>
  <c r="I121" i="23" l="1"/>
  <c r="I122" i="23"/>
  <c r="BF18" i="23"/>
  <c r="J9" i="23"/>
  <c r="J119" i="23" s="1"/>
  <c r="AB49" i="23"/>
  <c r="AC43" i="23" s="1"/>
  <c r="I123" i="23" l="1"/>
  <c r="BF24" i="23"/>
  <c r="J15" i="23"/>
  <c r="AC49" i="23"/>
  <c r="AD43" i="23" s="1"/>
  <c r="D14" i="22"/>
  <c r="J122" i="23" l="1"/>
  <c r="J121" i="23"/>
  <c r="BG18" i="23"/>
  <c r="K9" i="23"/>
  <c r="K119" i="23" s="1"/>
  <c r="AD49" i="23"/>
  <c r="AE43" i="23" s="1"/>
  <c r="J123" i="23" l="1"/>
  <c r="BG24" i="23"/>
  <c r="K15" i="23"/>
  <c r="AE49" i="23"/>
  <c r="AF43" i="23" s="1"/>
  <c r="K121" i="23" l="1"/>
  <c r="K122" i="23"/>
  <c r="BH18" i="23"/>
  <c r="L9" i="23"/>
  <c r="L119" i="23" s="1"/>
  <c r="AF49" i="23"/>
  <c r="AG43" i="23" s="1"/>
  <c r="K123" i="23" l="1"/>
  <c r="BH24" i="23"/>
  <c r="L15" i="23"/>
  <c r="AG49" i="23"/>
  <c r="AH43" i="23" s="1"/>
  <c r="L121" i="23" l="1"/>
  <c r="L122" i="23"/>
  <c r="BI18" i="23"/>
  <c r="M9" i="23"/>
  <c r="M119" i="23" s="1"/>
  <c r="AH49" i="23"/>
  <c r="AI43" i="23" s="1"/>
  <c r="CS38" i="23"/>
  <c r="CS39" i="23" s="1"/>
  <c r="A9" i="42"/>
  <c r="A10" i="42" s="1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D6" i="42"/>
  <c r="E6" i="42" s="1"/>
  <c r="F6" i="42" s="1"/>
  <c r="G6" i="42" s="1"/>
  <c r="H6" i="42" s="1"/>
  <c r="I6" i="42" s="1"/>
  <c r="J6" i="42" s="1"/>
  <c r="K6" i="42" s="1"/>
  <c r="L6" i="42" s="1"/>
  <c r="M6" i="42" s="1"/>
  <c r="N6" i="42" s="1"/>
  <c r="CS30" i="23"/>
  <c r="CS31" i="23" s="1"/>
  <c r="CS66" i="23"/>
  <c r="CS67" i="23" s="1"/>
  <c r="A9" i="4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D6" i="41"/>
  <c r="E6" i="41" s="1"/>
  <c r="F6" i="41" s="1"/>
  <c r="G6" i="41" s="1"/>
  <c r="H6" i="41" s="1"/>
  <c r="I6" i="41" s="1"/>
  <c r="J6" i="41" s="1"/>
  <c r="K6" i="41" s="1"/>
  <c r="L6" i="41" s="1"/>
  <c r="M6" i="41" s="1"/>
  <c r="N6" i="41" s="1"/>
  <c r="A9" i="40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A46" i="40" s="1"/>
  <c r="D6" i="40"/>
  <c r="E6" i="40" s="1"/>
  <c r="F6" i="40" s="1"/>
  <c r="G6" i="40" s="1"/>
  <c r="H6" i="40" s="1"/>
  <c r="I6" i="40" s="1"/>
  <c r="J6" i="40" s="1"/>
  <c r="K6" i="40" s="1"/>
  <c r="L6" i="40" s="1"/>
  <c r="M6" i="40" s="1"/>
  <c r="N6" i="40" s="1"/>
  <c r="L123" i="23" l="1"/>
  <c r="BI24" i="23"/>
  <c r="M15" i="23"/>
  <c r="AI49" i="23"/>
  <c r="AJ43" i="23" s="1"/>
  <c r="D22" i="18"/>
  <c r="F11" i="15" s="1"/>
  <c r="CS74" i="23"/>
  <c r="CS75" i="23" s="1"/>
  <c r="M121" i="23" l="1"/>
  <c r="M122" i="23"/>
  <c r="BJ18" i="23"/>
  <c r="N9" i="23"/>
  <c r="N119" i="23" s="1"/>
  <c r="AJ49" i="23"/>
  <c r="AK43" i="23" s="1"/>
  <c r="M123" i="23" l="1"/>
  <c r="BJ24" i="23"/>
  <c r="N15" i="23"/>
  <c r="AK49" i="23"/>
  <c r="AL43" i="23" s="1"/>
  <c r="N122" i="23" l="1"/>
  <c r="N121" i="23"/>
  <c r="N123" i="23" s="1"/>
  <c r="BK18" i="23"/>
  <c r="O9" i="23"/>
  <c r="O119" i="23" s="1"/>
  <c r="AL49" i="23"/>
  <c r="AM43" i="23" s="1"/>
  <c r="BK24" i="23" l="1"/>
  <c r="BL18" i="23" s="1"/>
  <c r="BL24" i="23" s="1"/>
  <c r="BM18" i="23" s="1"/>
  <c r="BM24" i="23" s="1"/>
  <c r="BN18" i="23" s="1"/>
  <c r="BN24" i="23" s="1"/>
  <c r="BO18" i="23" s="1"/>
  <c r="BO24" i="23" s="1"/>
  <c r="BP18" i="23" s="1"/>
  <c r="BP24" i="23" s="1"/>
  <c r="BQ18" i="23" s="1"/>
  <c r="BQ24" i="23" s="1"/>
  <c r="BR18" i="23" s="1"/>
  <c r="BR24" i="23" s="1"/>
  <c r="BS18" i="23" s="1"/>
  <c r="BS24" i="23" s="1"/>
  <c r="BT18" i="23" s="1"/>
  <c r="BT24" i="23" s="1"/>
  <c r="BU18" i="23" s="1"/>
  <c r="BU24" i="23" s="1"/>
  <c r="BV18" i="23" s="1"/>
  <c r="BV24" i="23" s="1"/>
  <c r="BW18" i="23" s="1"/>
  <c r="BW24" i="23" s="1"/>
  <c r="O15" i="23"/>
  <c r="AM49" i="23"/>
  <c r="AN43" i="23" s="1"/>
  <c r="BX18" i="23" l="1"/>
  <c r="BX24" i="23" s="1"/>
  <c r="BY18" i="23" s="1"/>
  <c r="BY24" i="23" s="1"/>
  <c r="BZ18" i="23" s="1"/>
  <c r="BZ24" i="23" s="1"/>
  <c r="CA18" i="23" s="1"/>
  <c r="CA24" i="23" s="1"/>
  <c r="CB18" i="23" s="1"/>
  <c r="CB24" i="23" s="1"/>
  <c r="CC18" i="23" s="1"/>
  <c r="CC24" i="23" s="1"/>
  <c r="CD18" i="23" s="1"/>
  <c r="CD24" i="23" s="1"/>
  <c r="CE18" i="23" s="1"/>
  <c r="CE24" i="23" s="1"/>
  <c r="CF18" i="23" s="1"/>
  <c r="CF24" i="23" s="1"/>
  <c r="CG18" i="23" s="1"/>
  <c r="CG24" i="23" s="1"/>
  <c r="CH18" i="23" s="1"/>
  <c r="CH24" i="23" s="1"/>
  <c r="CI18" i="23" s="1"/>
  <c r="CI24" i="23" s="1"/>
  <c r="CJ18" i="23" s="1"/>
  <c r="CJ24" i="23" s="1"/>
  <c r="CK18" i="23" s="1"/>
  <c r="O121" i="23"/>
  <c r="O122" i="23"/>
  <c r="P9" i="23"/>
  <c r="P119" i="23" s="1"/>
  <c r="AN49" i="23"/>
  <c r="AO43" i="23" s="1"/>
  <c r="O123" i="23" l="1"/>
  <c r="P15" i="23"/>
  <c r="AO49" i="23"/>
  <c r="AP43" i="23" s="1"/>
  <c r="P121" i="23" l="1"/>
  <c r="P122" i="23"/>
  <c r="Q9" i="23"/>
  <c r="Q119" i="23" s="1"/>
  <c r="AP49" i="23"/>
  <c r="AQ43" i="23" s="1"/>
  <c r="P123" i="23" l="1"/>
  <c r="CK24" i="23"/>
  <c r="CL18" i="23" s="1"/>
  <c r="Q15" i="23"/>
  <c r="AQ49" i="23"/>
  <c r="AR43" i="23" s="1"/>
  <c r="Q121" i="23" l="1"/>
  <c r="Q122" i="23"/>
  <c r="R9" i="23"/>
  <c r="R119" i="23" s="1"/>
  <c r="P29" i="21"/>
  <c r="Q123" i="23" l="1"/>
  <c r="CL24" i="23"/>
  <c r="CM18" i="23" s="1"/>
  <c r="R15" i="23"/>
  <c r="AR49" i="23"/>
  <c r="AS43" i="23" s="1"/>
  <c r="R122" i="23" l="1"/>
  <c r="R121" i="23"/>
  <c r="R123" i="23" s="1"/>
  <c r="S9" i="23"/>
  <c r="S119" i="23" s="1"/>
  <c r="AS49" i="23"/>
  <c r="AT43" i="23" s="1"/>
  <c r="CM24" i="23" l="1"/>
  <c r="CN18" i="23" s="1"/>
  <c r="S15" i="23"/>
  <c r="AT49" i="23"/>
  <c r="AU43" i="23" s="1"/>
  <c r="S121" i="23" l="1"/>
  <c r="S122" i="23"/>
  <c r="T9" i="23"/>
  <c r="T119" i="23" s="1"/>
  <c r="AU49" i="23"/>
  <c r="AV43" i="23" s="1"/>
  <c r="S123" i="23" l="1"/>
  <c r="CN24" i="23"/>
  <c r="CO18" i="23" s="1"/>
  <c r="T15" i="23"/>
  <c r="AV49" i="23"/>
  <c r="AW43" i="23" s="1"/>
  <c r="T121" i="23" l="1"/>
  <c r="T122" i="23"/>
  <c r="U9" i="23"/>
  <c r="U119" i="23" s="1"/>
  <c r="AW49" i="23"/>
  <c r="AX43" i="23" s="1"/>
  <c r="T123" i="23" l="1"/>
  <c r="CO24" i="23"/>
  <c r="CP18" i="23" s="1"/>
  <c r="U15" i="23"/>
  <c r="AX49" i="23"/>
  <c r="AY43" i="23" s="1"/>
  <c r="U121" i="23" l="1"/>
  <c r="U122" i="23"/>
  <c r="V9" i="23"/>
  <c r="V119" i="23" s="1"/>
  <c r="AY49" i="23"/>
  <c r="AZ43" i="23" s="1"/>
  <c r="U123" i="23" l="1"/>
  <c r="CP24" i="23"/>
  <c r="CQ18" i="23" s="1"/>
  <c r="V15" i="23"/>
  <c r="AZ49" i="23"/>
  <c r="BA43" i="23" s="1"/>
  <c r="V122" i="23" l="1"/>
  <c r="V121" i="23"/>
  <c r="V123" i="23" s="1"/>
  <c r="W9" i="23"/>
  <c r="W119" i="23" s="1"/>
  <c r="BA49" i="23"/>
  <c r="BB43" i="23" s="1"/>
  <c r="CQ24" i="23" l="1"/>
  <c r="CR18" i="23" s="1"/>
  <c r="W15" i="23"/>
  <c r="BB49" i="23"/>
  <c r="BC43" i="23" s="1"/>
  <c r="W122" i="23" l="1"/>
  <c r="W121" i="23"/>
  <c r="W123" i="23" s="1"/>
  <c r="X9" i="23"/>
  <c r="X119" i="23" s="1"/>
  <c r="BC49" i="23"/>
  <c r="BD43" i="23" s="1"/>
  <c r="CR24" i="23" l="1"/>
  <c r="CS18" i="23" s="1"/>
  <c r="X15" i="23"/>
  <c r="BD49" i="23"/>
  <c r="BE43" i="23" s="1"/>
  <c r="X121" i="23" l="1"/>
  <c r="X122" i="23"/>
  <c r="Y9" i="23"/>
  <c r="Y119" i="23" s="1"/>
  <c r="BE49" i="23"/>
  <c r="BF43" i="23" s="1"/>
  <c r="X123" i="23" l="1"/>
  <c r="CS24" i="23"/>
  <c r="CT18" i="23" s="1"/>
  <c r="Y15" i="23"/>
  <c r="BF49" i="23"/>
  <c r="BG43" i="23" s="1"/>
  <c r="Y121" i="23" l="1"/>
  <c r="Y122" i="23"/>
  <c r="Z9" i="23"/>
  <c r="Z119" i="23" s="1"/>
  <c r="BG49" i="23"/>
  <c r="BH43" i="23" s="1"/>
  <c r="Y123" i="23" l="1"/>
  <c r="CT24" i="23"/>
  <c r="CU18" i="23" s="1"/>
  <c r="Z15" i="23"/>
  <c r="BH49" i="23"/>
  <c r="BI43" i="23" s="1"/>
  <c r="Z122" i="23" l="1"/>
  <c r="Z121" i="23"/>
  <c r="AA9" i="23"/>
  <c r="AA119" i="23" s="1"/>
  <c r="BI49" i="23"/>
  <c r="BJ43" i="23" s="1"/>
  <c r="Z123" i="23" l="1"/>
  <c r="CU24" i="23"/>
  <c r="CV18" i="23" s="1"/>
  <c r="AA15" i="23"/>
  <c r="BJ49" i="23"/>
  <c r="BK43" i="23" s="1"/>
  <c r="AA121" i="23" l="1"/>
  <c r="AA122" i="23"/>
  <c r="CV24" i="23"/>
  <c r="CW18" i="23" s="1"/>
  <c r="AB9" i="23"/>
  <c r="AB119" i="23" s="1"/>
  <c r="BK49" i="23"/>
  <c r="BL43" i="23" s="1"/>
  <c r="BL49" i="23" s="1"/>
  <c r="BM43" i="23" s="1"/>
  <c r="BM49" i="23" s="1"/>
  <c r="BN43" i="23" s="1"/>
  <c r="BN49" i="23" s="1"/>
  <c r="BO43" i="23" s="1"/>
  <c r="BO49" i="23" s="1"/>
  <c r="BP43" i="23" s="1"/>
  <c r="BP49" i="23" s="1"/>
  <c r="BQ43" i="23" s="1"/>
  <c r="BQ49" i="23" s="1"/>
  <c r="BR43" i="23" s="1"/>
  <c r="BR49" i="23" s="1"/>
  <c r="BS43" i="23" s="1"/>
  <c r="BS49" i="23" s="1"/>
  <c r="BT43" i="23" s="1"/>
  <c r="BT49" i="23" s="1"/>
  <c r="BU43" i="23" s="1"/>
  <c r="BU49" i="23" s="1"/>
  <c r="BV43" i="23" s="1"/>
  <c r="BV49" i="23" s="1"/>
  <c r="BW43" i="23" s="1"/>
  <c r="BW49" i="23" s="1"/>
  <c r="BX43" i="23" s="1"/>
  <c r="CU86" i="23"/>
  <c r="CV79" i="23" s="1"/>
  <c r="BX119" i="23" l="1"/>
  <c r="BX49" i="23"/>
  <c r="AA123" i="23"/>
  <c r="CW24" i="23"/>
  <c r="CX18" i="23" s="1"/>
  <c r="AB15" i="23"/>
  <c r="BY43" i="23" l="1"/>
  <c r="BX121" i="23"/>
  <c r="BX123" i="23" s="1"/>
  <c r="AB122" i="23"/>
  <c r="AB121" i="23"/>
  <c r="CX24" i="23"/>
  <c r="AC9" i="23"/>
  <c r="AC119" i="23" s="1"/>
  <c r="BY49" i="23" l="1"/>
  <c r="BY119" i="23"/>
  <c r="CY18" i="23"/>
  <c r="CY24" i="23" s="1"/>
  <c r="AB123" i="23"/>
  <c r="AC15" i="23"/>
  <c r="BZ43" i="23" l="1"/>
  <c r="BY121" i="23"/>
  <c r="BY123" i="23" s="1"/>
  <c r="AC121" i="23"/>
  <c r="AC122" i="23"/>
  <c r="AD9" i="23"/>
  <c r="AD119" i="23" s="1"/>
  <c r="BZ49" i="23" l="1"/>
  <c r="BZ119" i="23"/>
  <c r="AC123" i="23"/>
  <c r="AD15" i="23"/>
  <c r="CA43" i="23" l="1"/>
  <c r="BZ121" i="23"/>
  <c r="BZ123" i="23" s="1"/>
  <c r="AD122" i="23"/>
  <c r="AD121" i="23"/>
  <c r="AD123" i="23" s="1"/>
  <c r="AE9" i="23"/>
  <c r="AE119" i="23" s="1"/>
  <c r="CA49" i="23" l="1"/>
  <c r="CA119" i="23"/>
  <c r="AE15" i="23"/>
  <c r="A10" i="48"/>
  <c r="A11" i="48" s="1"/>
  <c r="A12" i="48" s="1"/>
  <c r="A13" i="48" s="1"/>
  <c r="A14" i="48" s="1"/>
  <c r="A15" i="48" s="1"/>
  <c r="A16" i="48" s="1"/>
  <c r="A17" i="48" s="1"/>
  <c r="A18" i="48" s="1"/>
  <c r="A19" i="48" s="1"/>
  <c r="A9" i="48"/>
  <c r="CB43" i="23" l="1"/>
  <c r="CA121" i="23"/>
  <c r="CA123" i="23" s="1"/>
  <c r="AE121" i="23"/>
  <c r="AE122" i="23"/>
  <c r="AF9" i="23"/>
  <c r="AF119" i="23" s="1"/>
  <c r="CB49" i="23" l="1"/>
  <c r="CB119" i="23"/>
  <c r="AE123" i="23"/>
  <c r="AF15" i="23"/>
  <c r="CC43" i="23" l="1"/>
  <c r="CB121" i="23"/>
  <c r="CB123" i="23" s="1"/>
  <c r="AF121" i="23"/>
  <c r="AF122" i="23"/>
  <c r="AG9" i="23"/>
  <c r="AG119" i="23" s="1"/>
  <c r="CC49" i="23" l="1"/>
  <c r="CC119" i="23"/>
  <c r="AF123" i="23"/>
  <c r="AG15" i="23"/>
  <c r="D15" i="15"/>
  <c r="CD43" i="23" l="1"/>
  <c r="CC121" i="23"/>
  <c r="CC123" i="23" s="1"/>
  <c r="AG121" i="23"/>
  <c r="AG122" i="23"/>
  <c r="AH9" i="23"/>
  <c r="AH119" i="23" s="1"/>
  <c r="CD49" i="23" l="1"/>
  <c r="CD119" i="23"/>
  <c r="AG123" i="23"/>
  <c r="AH15" i="23"/>
  <c r="CE43" i="23" l="1"/>
  <c r="CD121" i="23"/>
  <c r="CD123" i="23" s="1"/>
  <c r="AH122" i="23"/>
  <c r="AH121" i="23"/>
  <c r="AH123" i="23" s="1"/>
  <c r="AI9" i="23"/>
  <c r="AI119" i="23" s="1"/>
  <c r="CE49" i="23" l="1"/>
  <c r="CE119" i="23"/>
  <c r="AI15" i="23"/>
  <c r="CF43" i="23" l="1"/>
  <c r="CE121" i="23"/>
  <c r="CE123" i="23" s="1"/>
  <c r="AI121" i="23"/>
  <c r="AI122" i="23"/>
  <c r="AJ9" i="23"/>
  <c r="AJ119" i="23" s="1"/>
  <c r="A2" i="21"/>
  <c r="A4" i="23"/>
  <c r="A2" i="23"/>
  <c r="A4" i="15"/>
  <c r="A2" i="15"/>
  <c r="CF49" i="23" l="1"/>
  <c r="CF119" i="23"/>
  <c r="AI123" i="23"/>
  <c r="AJ15" i="23"/>
  <c r="CG43" i="23" l="1"/>
  <c r="CF121" i="23"/>
  <c r="CF123" i="23" s="1"/>
  <c r="AJ121" i="23"/>
  <c r="AJ122" i="23"/>
  <c r="AK9" i="23"/>
  <c r="AK119" i="23" s="1"/>
  <c r="CG49" i="23" l="1"/>
  <c r="CG119" i="23"/>
  <c r="AJ123" i="23"/>
  <c r="AK15" i="23"/>
  <c r="CH43" i="23" l="1"/>
  <c r="CG121" i="23"/>
  <c r="CG123" i="23" s="1"/>
  <c r="AK121" i="23"/>
  <c r="AK122" i="23"/>
  <c r="AL9" i="23"/>
  <c r="AL119" i="23" s="1"/>
  <c r="CH49" i="23" l="1"/>
  <c r="CH119" i="23"/>
  <c r="AK123" i="23"/>
  <c r="AL15" i="23"/>
  <c r="CI43" i="23" l="1"/>
  <c r="CH121" i="23"/>
  <c r="CH123" i="23" s="1"/>
  <c r="AL122" i="23"/>
  <c r="AL121" i="23"/>
  <c r="AM9" i="23"/>
  <c r="AM119" i="23" s="1"/>
  <c r="CY75" i="23"/>
  <c r="CW75" i="23"/>
  <c r="CX75" i="23"/>
  <c r="CY67" i="23"/>
  <c r="CW67" i="23"/>
  <c r="CX67" i="23"/>
  <c r="CW48" i="23"/>
  <c r="CV48" i="23"/>
  <c r="CY48" i="23"/>
  <c r="CX48" i="23"/>
  <c r="CW39" i="23"/>
  <c r="CW31" i="23"/>
  <c r="CV14" i="23"/>
  <c r="CW14" i="23"/>
  <c r="CI49" i="23" l="1"/>
  <c r="CI119" i="23"/>
  <c r="AL123" i="23"/>
  <c r="AM15" i="23"/>
  <c r="CV75" i="23"/>
  <c r="CV39" i="23"/>
  <c r="CJ43" i="23" l="1"/>
  <c r="CJ119" i="23" s="1"/>
  <c r="CI121" i="23"/>
  <c r="CI123" i="23" s="1"/>
  <c r="AM121" i="23"/>
  <c r="AM122" i="23"/>
  <c r="AN9" i="23"/>
  <c r="AN119" i="23" s="1"/>
  <c r="CV31" i="23"/>
  <c r="CV67" i="23"/>
  <c r="AM123" i="23" l="1"/>
  <c r="AN15" i="23"/>
  <c r="AN121" i="23" l="1"/>
  <c r="AN122" i="23"/>
  <c r="AO9" i="23"/>
  <c r="AO119" i="23" s="1"/>
  <c r="AN123" i="23" l="1"/>
  <c r="AO15" i="23"/>
  <c r="AO121" i="23" l="1"/>
  <c r="AO122" i="23"/>
  <c r="AP9" i="23"/>
  <c r="AP119" i="23" s="1"/>
  <c r="CU106" i="23"/>
  <c r="AO123" i="23" l="1"/>
  <c r="CU107" i="23"/>
  <c r="AP15" i="23"/>
  <c r="CV106" i="23"/>
  <c r="AP122" i="23" l="1"/>
  <c r="AP121" i="23"/>
  <c r="AP123" i="23" s="1"/>
  <c r="CV101" i="23"/>
  <c r="AQ9" i="23"/>
  <c r="AQ119" i="23" s="1"/>
  <c r="CW106" i="23"/>
  <c r="CV115" i="23"/>
  <c r="CV120" i="23" s="1"/>
  <c r="CU115" i="23"/>
  <c r="CU116" i="23" l="1"/>
  <c r="CV107" i="23"/>
  <c r="AQ15" i="23"/>
  <c r="CY106" i="23"/>
  <c r="CW115" i="23"/>
  <c r="CW120" i="23" s="1"/>
  <c r="AQ121" i="23" l="1"/>
  <c r="AQ122" i="23"/>
  <c r="CV110" i="23"/>
  <c r="CW101" i="23"/>
  <c r="AR9" i="23"/>
  <c r="AR119" i="23" s="1"/>
  <c r="CV86" i="23"/>
  <c r="CX106" i="23"/>
  <c r="CY115" i="23"/>
  <c r="CX115" i="23"/>
  <c r="AQ123" i="23" l="1"/>
  <c r="CW107" i="23"/>
  <c r="CV116" i="23"/>
  <c r="AR15" i="23"/>
  <c r="AR122" i="23" l="1"/>
  <c r="AR121" i="23"/>
  <c r="AR123" i="23" s="1"/>
  <c r="CX101" i="23"/>
  <c r="CW110" i="23"/>
  <c r="AS9" i="23"/>
  <c r="AS119" i="23" s="1"/>
  <c r="CW79" i="23"/>
  <c r="CW86" i="23" s="1"/>
  <c r="CW116" i="23" l="1"/>
  <c r="CX107" i="23"/>
  <c r="CY101" i="23" s="1"/>
  <c r="CY107" i="23" s="1"/>
  <c r="AS15" i="23"/>
  <c r="AS121" i="23" l="1"/>
  <c r="AS122" i="23"/>
  <c r="CX110" i="23"/>
  <c r="AT9" i="23"/>
  <c r="AT119" i="23" s="1"/>
  <c r="CX79" i="23"/>
  <c r="CX86" i="23" s="1"/>
  <c r="AS123" i="23" l="1"/>
  <c r="CX116" i="23"/>
  <c r="CY110" i="23" s="1"/>
  <c r="CY116" i="23" s="1"/>
  <c r="AT15" i="23"/>
  <c r="AT122" i="23" l="1"/>
  <c r="AT121" i="23"/>
  <c r="AU9" i="23"/>
  <c r="AU119" i="23" s="1"/>
  <c r="CY79" i="23"/>
  <c r="AT123" i="23" l="1"/>
  <c r="AU15" i="23"/>
  <c r="CY86" i="23"/>
  <c r="AU121" i="23" l="1"/>
  <c r="AU122" i="23"/>
  <c r="AV9" i="23"/>
  <c r="AV119" i="23" s="1"/>
  <c r="A11" i="22"/>
  <c r="A12" i="22" s="1"/>
  <c r="F14" i="22"/>
  <c r="E14" i="22"/>
  <c r="AU123" i="23" l="1"/>
  <c r="AV15" i="23"/>
  <c r="A13" i="22"/>
  <c r="A14" i="22" s="1"/>
  <c r="C14" i="22"/>
  <c r="AV121" i="23" l="1"/>
  <c r="AV122" i="23"/>
  <c r="AW9" i="23"/>
  <c r="AW119" i="23" s="1"/>
  <c r="C24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B26" i="21"/>
  <c r="B25" i="21"/>
  <c r="P44" i="21"/>
  <c r="P43" i="21"/>
  <c r="P42" i="21"/>
  <c r="P41" i="21"/>
  <c r="P40" i="21"/>
  <c r="P39" i="21"/>
  <c r="P38" i="21"/>
  <c r="P37" i="21"/>
  <c r="P36" i="21"/>
  <c r="P35" i="21"/>
  <c r="P34" i="21"/>
  <c r="P33" i="21"/>
  <c r="P32" i="21"/>
  <c r="P31" i="21"/>
  <c r="B30" i="21"/>
  <c r="B24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P21" i="21"/>
  <c r="P20" i="21"/>
  <c r="P19" i="21"/>
  <c r="P18" i="21"/>
  <c r="P17" i="21"/>
  <c r="P16" i="21"/>
  <c r="P15" i="21"/>
  <c r="P14" i="21"/>
  <c r="P13" i="21"/>
  <c r="P12" i="21"/>
  <c r="P11" i="21"/>
  <c r="P10" i="21"/>
  <c r="P9" i="21"/>
  <c r="C7" i="21"/>
  <c r="C30" i="21" s="1"/>
  <c r="D9" i="62" l="1"/>
  <c r="D11" i="62" s="1"/>
  <c r="D15" i="62" s="1"/>
  <c r="CX13" i="23" s="1"/>
  <c r="CX14" i="23" s="1"/>
  <c r="E9" i="62"/>
  <c r="E11" i="62" s="1"/>
  <c r="E15" i="62" s="1"/>
  <c r="CY13" i="23" s="1"/>
  <c r="CY14" i="23" s="1"/>
  <c r="D27" i="62"/>
  <c r="D29" i="62" s="1"/>
  <c r="D33" i="62" s="1"/>
  <c r="CX38" i="23" s="1"/>
  <c r="CX39" i="23" s="1"/>
  <c r="E27" i="62"/>
  <c r="E29" i="62" s="1"/>
  <c r="E33" i="62" s="1"/>
  <c r="CY38" i="23" s="1"/>
  <c r="CY39" i="23" s="1"/>
  <c r="D18" i="62"/>
  <c r="D20" i="62" s="1"/>
  <c r="D24" i="62" s="1"/>
  <c r="CX30" i="23" s="1"/>
  <c r="CX31" i="23" s="1"/>
  <c r="E18" i="62"/>
  <c r="E20" i="62" s="1"/>
  <c r="E24" i="62" s="1"/>
  <c r="CY30" i="23" s="1"/>
  <c r="CY31" i="23" s="1"/>
  <c r="AV123" i="23"/>
  <c r="AW15" i="23"/>
  <c r="P22" i="21"/>
  <c r="P25" i="21"/>
  <c r="E22" i="56" s="1"/>
  <c r="E34" i="56" s="1"/>
  <c r="P48" i="21"/>
  <c r="P47" i="21"/>
  <c r="P26" i="21"/>
  <c r="F22" i="56" s="1"/>
  <c r="F34" i="56" s="1"/>
  <c r="P24" i="21"/>
  <c r="D22" i="56" s="1"/>
  <c r="P46" i="21"/>
  <c r="D7" i="21"/>
  <c r="CY120" i="23" l="1"/>
  <c r="CX120" i="23"/>
  <c r="AW121" i="23"/>
  <c r="AW122" i="23"/>
  <c r="AX9" i="23"/>
  <c r="AX119" i="23" s="1"/>
  <c r="D30" i="21"/>
  <c r="E7" i="21"/>
  <c r="AW123" i="23" l="1"/>
  <c r="AX15" i="23"/>
  <c r="F7" i="21"/>
  <c r="E30" i="21"/>
  <c r="AX122" i="23" l="1"/>
  <c r="AX121" i="23"/>
  <c r="AY9" i="23"/>
  <c r="AY119" i="23" s="1"/>
  <c r="G7" i="21"/>
  <c r="F30" i="21"/>
  <c r="AX123" i="23" l="1"/>
  <c r="AY15" i="23"/>
  <c r="H7" i="21"/>
  <c r="G30" i="21"/>
  <c r="AY121" i="23" l="1"/>
  <c r="AY122" i="23"/>
  <c r="AZ9" i="23"/>
  <c r="AZ119" i="23" s="1"/>
  <c r="H30" i="21"/>
  <c r="I7" i="21"/>
  <c r="AY123" i="23" l="1"/>
  <c r="AZ15" i="23"/>
  <c r="J7" i="21"/>
  <c r="I30" i="21"/>
  <c r="AZ121" i="23" l="1"/>
  <c r="AZ122" i="23"/>
  <c r="BA9" i="23"/>
  <c r="BA119" i="23" s="1"/>
  <c r="J30" i="21"/>
  <c r="K7" i="21"/>
  <c r="AZ123" i="23" l="1"/>
  <c r="BA15" i="23"/>
  <c r="K30" i="21"/>
  <c r="L7" i="21"/>
  <c r="BA121" i="23" l="1"/>
  <c r="BA122" i="23"/>
  <c r="BB9" i="23"/>
  <c r="BB119" i="23" s="1"/>
  <c r="L30" i="21"/>
  <c r="M7" i="21"/>
  <c r="BA123" i="23" l="1"/>
  <c r="BB15" i="23"/>
  <c r="N7" i="21"/>
  <c r="M30" i="21"/>
  <c r="BB122" i="23" l="1"/>
  <c r="BB121" i="23"/>
  <c r="BB123" i="23" s="1"/>
  <c r="BC9" i="23"/>
  <c r="BC119" i="23" s="1"/>
  <c r="O7" i="21"/>
  <c r="O30" i="21" s="1"/>
  <c r="N30" i="21"/>
  <c r="BC15" i="23" l="1"/>
  <c r="A11" i="15"/>
  <c r="A12" i="15" s="1"/>
  <c r="A13" i="15" s="1"/>
  <c r="A14" i="15" s="1"/>
  <c r="A15" i="15" s="1"/>
  <c r="A16" i="15" s="1"/>
  <c r="A17" i="15" s="1"/>
  <c r="BC121" i="23" l="1"/>
  <c r="BC122" i="23"/>
  <c r="BD9" i="23"/>
  <c r="BD119" i="23" s="1"/>
  <c r="BC123" i="23" l="1"/>
  <c r="BD15" i="23"/>
  <c r="BD121" i="23" l="1"/>
  <c r="BD122" i="23"/>
  <c r="BE9" i="23"/>
  <c r="BE119" i="23" s="1"/>
  <c r="BD123" i="23" l="1"/>
  <c r="BE15" i="23"/>
  <c r="D23" i="18"/>
  <c r="G11" i="15" s="1"/>
  <c r="D21" i="18"/>
  <c r="E11" i="15" s="1"/>
  <c r="D11" i="15" l="1"/>
  <c r="E13" i="15" s="1"/>
  <c r="BE121" i="23"/>
  <c r="BE122" i="23"/>
  <c r="BF9" i="23"/>
  <c r="BF119" i="23" s="1"/>
  <c r="BE123" i="23" l="1"/>
  <c r="BF15" i="23"/>
  <c r="G13" i="15"/>
  <c r="G17" i="15" s="1"/>
  <c r="F18" i="56" s="1"/>
  <c r="E17" i="15"/>
  <c r="D18" i="56" s="1"/>
  <c r="F13" i="15"/>
  <c r="F17" i="15" s="1"/>
  <c r="E18" i="56" s="1"/>
  <c r="D17" i="15" l="1"/>
  <c r="D13" i="15"/>
  <c r="BF122" i="23"/>
  <c r="BF121" i="23"/>
  <c r="BF123" i="23" s="1"/>
  <c r="BG9" i="23"/>
  <c r="BG119" i="23" s="1"/>
  <c r="BG15" i="23" l="1"/>
  <c r="BG121" i="23" l="1"/>
  <c r="BG122" i="23"/>
  <c r="BH9" i="23"/>
  <c r="BH119" i="23" s="1"/>
  <c r="BG123" i="23" l="1"/>
  <c r="BH15" i="23"/>
  <c r="BH121" i="23" l="1"/>
  <c r="BH122" i="23"/>
  <c r="BI9" i="23"/>
  <c r="BI119" i="23" s="1"/>
  <c r="BH123" i="23" l="1"/>
  <c r="BI15" i="23"/>
  <c r="BI121" i="23" l="1"/>
  <c r="BI122" i="23"/>
  <c r="BJ9" i="23"/>
  <c r="BJ119" i="23" s="1"/>
  <c r="BI123" i="23" l="1"/>
  <c r="BJ15" i="23"/>
  <c r="BJ122" i="23" l="1"/>
  <c r="BJ121" i="23"/>
  <c r="BJ123" i="23" s="1"/>
  <c r="BK9" i="23"/>
  <c r="BK119" i="23" s="1"/>
  <c r="BK15" i="23" l="1"/>
  <c r="BL9" i="23" s="1"/>
  <c r="BL119" i="23" l="1"/>
  <c r="BL15" i="23"/>
  <c r="BK121" i="23"/>
  <c r="BK122" i="23"/>
  <c r="BM9" i="23" l="1"/>
  <c r="BL122" i="23"/>
  <c r="BL121" i="23"/>
  <c r="BL123" i="23" s="1"/>
  <c r="BK123" i="23"/>
  <c r="BM15" i="23" l="1"/>
  <c r="BM119" i="23"/>
  <c r="BN9" i="23" l="1"/>
  <c r="BM122" i="23"/>
  <c r="BM121" i="23"/>
  <c r="BM123" i="23" s="1"/>
  <c r="BN15" i="23" l="1"/>
  <c r="BN119" i="23"/>
  <c r="BO9" i="23" l="1"/>
  <c r="BN122" i="23"/>
  <c r="BN121" i="23"/>
  <c r="BN123" i="23" s="1"/>
  <c r="BO15" i="23" l="1"/>
  <c r="BO119" i="23"/>
  <c r="BP9" i="23" l="1"/>
  <c r="BO122" i="23"/>
  <c r="BO121" i="23"/>
  <c r="BO123" i="23" s="1"/>
  <c r="BP15" i="23" l="1"/>
  <c r="BP119" i="23"/>
  <c r="BQ9" i="23" l="1"/>
  <c r="BP122" i="23"/>
  <c r="BP121" i="23"/>
  <c r="BP123" i="23" s="1"/>
  <c r="BQ15" i="23" l="1"/>
  <c r="BQ119" i="23"/>
  <c r="BR9" i="23" l="1"/>
  <c r="BQ122" i="23"/>
  <c r="BQ121" i="23"/>
  <c r="BQ123" i="23" s="1"/>
  <c r="BR15" i="23" l="1"/>
  <c r="BR119" i="23"/>
  <c r="BS9" i="23" l="1"/>
  <c r="BR122" i="23"/>
  <c r="BR121" i="23"/>
  <c r="BR123" i="23" s="1"/>
  <c r="BS15" i="23" l="1"/>
  <c r="BS119" i="23"/>
  <c r="BT9" i="23" l="1"/>
  <c r="BS122" i="23"/>
  <c r="BS121" i="23"/>
  <c r="BS123" i="23" s="1"/>
  <c r="BT15" i="23" l="1"/>
  <c r="BT119" i="23"/>
  <c r="BU9" i="23" l="1"/>
  <c r="BT122" i="23"/>
  <c r="BT121" i="23"/>
  <c r="BT123" i="23" s="1"/>
  <c r="BU15" i="23" l="1"/>
  <c r="BU119" i="23"/>
  <c r="BV9" i="23" l="1"/>
  <c r="BU122" i="23"/>
  <c r="BU121" i="23"/>
  <c r="BU123" i="23" s="1"/>
  <c r="BV15" i="23" l="1"/>
  <c r="BV119" i="23"/>
  <c r="BW9" i="23" l="1"/>
  <c r="BV122" i="23"/>
  <c r="BV121" i="23"/>
  <c r="BV123" i="23" s="1"/>
  <c r="BW15" i="23" l="1"/>
  <c r="BX9" i="23" s="1"/>
  <c r="BX15" i="23" s="1"/>
  <c r="BY9" i="23" s="1"/>
  <c r="BY15" i="23" s="1"/>
  <c r="BZ9" i="23" s="1"/>
  <c r="BZ15" i="23" s="1"/>
  <c r="CA9" i="23" s="1"/>
  <c r="CA15" i="23" s="1"/>
  <c r="CB9" i="23" s="1"/>
  <c r="CB15" i="23" s="1"/>
  <c r="CC9" i="23" s="1"/>
  <c r="CC15" i="23" s="1"/>
  <c r="CD9" i="23" s="1"/>
  <c r="CD15" i="23" s="1"/>
  <c r="CE9" i="23" s="1"/>
  <c r="CE15" i="23" s="1"/>
  <c r="CF9" i="23" s="1"/>
  <c r="CF15" i="23" s="1"/>
  <c r="CG9" i="23" s="1"/>
  <c r="CG15" i="23" s="1"/>
  <c r="CH9" i="23" s="1"/>
  <c r="CH15" i="23" s="1"/>
  <c r="CI9" i="23" s="1"/>
  <c r="CI15" i="23" s="1"/>
  <c r="CJ9" i="23" s="1"/>
  <c r="BW119" i="23"/>
  <c r="BW122" i="23" l="1"/>
  <c r="BW121" i="23"/>
  <c r="BW123" i="23" l="1"/>
  <c r="G14" i="40" l="1"/>
  <c r="N14" i="40"/>
  <c r="I14" i="40"/>
  <c r="J14" i="40"/>
  <c r="M14" i="40"/>
  <c r="K14" i="40"/>
  <c r="E14" i="40"/>
  <c r="H14" i="40"/>
  <c r="F14" i="40"/>
  <c r="D14" i="40"/>
  <c r="C14" i="40"/>
  <c r="H18" i="40"/>
  <c r="H20" i="40"/>
  <c r="H22" i="40"/>
  <c r="F18" i="40"/>
  <c r="F20" i="40" s="1"/>
  <c r="F22" i="40" s="1"/>
  <c r="E18" i="40"/>
  <c r="E20" i="40"/>
  <c r="E22" i="40" s="1"/>
  <c r="M18" i="40"/>
  <c r="M20" i="40"/>
  <c r="M22" i="40" s="1"/>
  <c r="I18" i="40"/>
  <c r="I20" i="40"/>
  <c r="I22" i="40" s="1"/>
  <c r="D18" i="40"/>
  <c r="D20" i="40" s="1"/>
  <c r="D22" i="40" s="1"/>
  <c r="G18" i="40"/>
  <c r="G20" i="40" s="1"/>
  <c r="G22" i="40" s="1"/>
  <c r="L18" i="40"/>
  <c r="L20" i="40" s="1"/>
  <c r="L22" i="40" s="1"/>
  <c r="L40" i="40" s="1"/>
  <c r="CS47" i="23" s="1"/>
  <c r="CS48" i="23" s="1"/>
  <c r="K18" i="40"/>
  <c r="K20" i="40" s="1"/>
  <c r="K22" i="40"/>
  <c r="N18" i="40"/>
  <c r="N20" i="40" s="1"/>
  <c r="N22" i="40" s="1"/>
  <c r="C18" i="40"/>
  <c r="C20" i="40" s="1"/>
  <c r="C22" i="40" s="1"/>
  <c r="J18" i="40"/>
  <c r="J20" i="40" s="1"/>
  <c r="J22" i="40" s="1"/>
  <c r="D26" i="40" l="1"/>
  <c r="E26" i="40" s="1"/>
  <c r="F26" i="40" s="1"/>
  <c r="G26" i="40" s="1"/>
  <c r="H26" i="40" s="1"/>
  <c r="I26" i="40" s="1"/>
  <c r="J26" i="40" s="1"/>
  <c r="K26" i="40" s="1"/>
  <c r="L26" i="40" s="1"/>
  <c r="M26" i="40" s="1"/>
  <c r="N26" i="40" s="1"/>
  <c r="M40" i="40"/>
  <c r="CT47" i="23"/>
  <c r="CT48" i="23" s="1"/>
  <c r="N40" i="40"/>
  <c r="CU47" i="23" s="1"/>
  <c r="CU48" i="23" s="1"/>
  <c r="F40" i="40"/>
  <c r="CM47" i="23" s="1"/>
  <c r="CM48" i="23" s="1"/>
  <c r="D40" i="40"/>
  <c r="CK47" i="23" s="1"/>
  <c r="CK48" i="23" s="1"/>
  <c r="G40" i="40"/>
  <c r="CN47" i="23" s="1"/>
  <c r="CN48" i="23" s="1"/>
  <c r="K40" i="40"/>
  <c r="CR47" i="23" s="1"/>
  <c r="CR48" i="23" s="1"/>
  <c r="H40" i="40"/>
  <c r="CO47" i="23" s="1"/>
  <c r="CO48" i="23" s="1"/>
  <c r="E40" i="40"/>
  <c r="CL47" i="23" s="1"/>
  <c r="CL48" i="23" s="1"/>
  <c r="J40" i="40"/>
  <c r="CQ47" i="23" s="1"/>
  <c r="CQ48" i="23" s="1"/>
  <c r="I40" i="40"/>
  <c r="CP47" i="23" s="1"/>
  <c r="CP48" i="23" s="1"/>
  <c r="C40" i="40"/>
  <c r="CJ47" i="23" s="1"/>
  <c r="CJ48" i="23" s="1"/>
  <c r="CJ49" i="23" s="1"/>
  <c r="CK43" i="23" s="1"/>
  <c r="CK49" i="23" l="1"/>
  <c r="CL43" i="23" s="1"/>
  <c r="CL49" i="23" s="1"/>
  <c r="CM43" i="23" s="1"/>
  <c r="CM49" i="23" s="1"/>
  <c r="CN43" i="23" s="1"/>
  <c r="CN49" i="23" s="1"/>
  <c r="CO43" i="23" s="1"/>
  <c r="CO49" i="23" s="1"/>
  <c r="CP43" i="23" s="1"/>
  <c r="CP49" i="23" s="1"/>
  <c r="CQ43" i="23" s="1"/>
  <c r="CQ49" i="23" s="1"/>
  <c r="CR43" i="23" s="1"/>
  <c r="CR49" i="23" s="1"/>
  <c r="CS43" i="23" s="1"/>
  <c r="CS49" i="23" s="1"/>
  <c r="CT43" i="23" s="1"/>
  <c r="CT49" i="23" s="1"/>
  <c r="CU43" i="23" s="1"/>
  <c r="CU49" i="23" s="1"/>
  <c r="CV43" i="23" l="1"/>
  <c r="CV49" i="23" s="1"/>
  <c r="CW43" i="23" s="1"/>
  <c r="CW49" i="23" s="1"/>
  <c r="CX43" i="23" s="1"/>
  <c r="CX49" i="23" s="1"/>
  <c r="CY43" i="23" s="1"/>
  <c r="CY49" i="23" s="1"/>
  <c r="L32" i="40" l="1"/>
  <c r="L42" i="40"/>
  <c r="CS13" i="23" s="1"/>
  <c r="CS14" i="23" s="1"/>
  <c r="CS120" i="23" s="1"/>
  <c r="M32" i="40"/>
  <c r="M42" i="40"/>
  <c r="CT13" i="23" s="1"/>
  <c r="CT14" i="23" s="1"/>
  <c r="D32" i="40"/>
  <c r="D42" i="40"/>
  <c r="CK13" i="23" s="1"/>
  <c r="CK14" i="23" s="1"/>
  <c r="G32" i="40"/>
  <c r="G42" i="40"/>
  <c r="CN13" i="23"/>
  <c r="CN14" i="23" s="1"/>
  <c r="F32" i="40"/>
  <c r="F42" i="40"/>
  <c r="CM13" i="23"/>
  <c r="CM14" i="23" s="1"/>
  <c r="E32" i="40"/>
  <c r="E42" i="40"/>
  <c r="CL13" i="23" s="1"/>
  <c r="CL14" i="23" s="1"/>
  <c r="J32" i="40"/>
  <c r="J42" i="40"/>
  <c r="CQ13" i="23" s="1"/>
  <c r="CQ14" i="23" s="1"/>
  <c r="I32" i="40"/>
  <c r="I42" i="40" s="1"/>
  <c r="CP13" i="23" s="1"/>
  <c r="CP14" i="23" s="1"/>
  <c r="K32" i="40"/>
  <c r="K42" i="40"/>
  <c r="CR13" i="23" s="1"/>
  <c r="CR14" i="23" s="1"/>
  <c r="N32" i="40"/>
  <c r="N42" i="40" s="1"/>
  <c r="CU13" i="23" s="1"/>
  <c r="CU14" i="23" s="1"/>
  <c r="H32" i="40"/>
  <c r="H42" i="40"/>
  <c r="CO13" i="23" s="1"/>
  <c r="CO14" i="23" s="1"/>
  <c r="C32" i="40"/>
  <c r="C42" i="40" s="1"/>
  <c r="CJ13" i="23" s="1"/>
  <c r="CJ14" i="23" s="1"/>
  <c r="D34" i="40"/>
  <c r="E34" i="40" s="1"/>
  <c r="F34" i="40" s="1"/>
  <c r="G34" i="40" s="1"/>
  <c r="H34" i="40" s="1"/>
  <c r="I34" i="40" s="1"/>
  <c r="J34" i="40" s="1"/>
  <c r="K34" i="40" s="1"/>
  <c r="L34" i="40" s="1"/>
  <c r="M34" i="40" s="1"/>
  <c r="N34" i="40" s="1"/>
  <c r="CJ15" i="23" l="1"/>
  <c r="CK9" i="23" l="1"/>
  <c r="CK15" i="23" l="1"/>
  <c r="CL9" i="23" l="1"/>
  <c r="CL15" i="23" l="1"/>
  <c r="CM9" i="23" l="1"/>
  <c r="CM15" i="23" l="1"/>
  <c r="CN9" i="23" l="1"/>
  <c r="CN15" i="23" l="1"/>
  <c r="CO9" i="23" l="1"/>
  <c r="CO15" i="23" l="1"/>
  <c r="CP9" i="23" l="1"/>
  <c r="CP15" i="23" l="1"/>
  <c r="CQ9" i="23" l="1"/>
  <c r="CQ15" i="23" l="1"/>
  <c r="CR9" i="23" l="1"/>
  <c r="CR15" i="23" l="1"/>
  <c r="CS9" i="23" l="1"/>
  <c r="CS15" i="23" l="1"/>
  <c r="CT9" i="23" l="1"/>
  <c r="CT15" i="23" l="1"/>
  <c r="CU9" i="23" l="1"/>
  <c r="CU15" i="23" l="1"/>
  <c r="CV9" i="23" l="1"/>
  <c r="CV15" i="23" l="1"/>
  <c r="CW9" i="23" l="1"/>
  <c r="CW15" i="23" l="1"/>
  <c r="CX9" i="23" l="1"/>
  <c r="CX15" i="23" l="1"/>
  <c r="CY9" i="23" l="1"/>
  <c r="CY15" i="23" l="1"/>
  <c r="D10" i="61" s="1"/>
  <c r="D20" i="61" l="1"/>
  <c r="D26" i="61" s="1"/>
  <c r="D16" i="61"/>
  <c r="D12" i="56" l="1"/>
  <c r="D20" i="56" s="1"/>
  <c r="D24" i="56" s="1"/>
  <c r="D19" i="59" s="1"/>
  <c r="D21" i="59" s="1"/>
  <c r="D23" i="59" s="1"/>
  <c r="D25" i="59" s="1"/>
  <c r="D27" i="59" s="1"/>
  <c r="D29" i="59" s="1"/>
  <c r="D26" i="56" l="1"/>
  <c r="D28" i="56" l="1"/>
  <c r="D30" i="56" s="1"/>
  <c r="D32" i="56" s="1"/>
  <c r="E14" i="57"/>
  <c r="E11" i="57"/>
  <c r="F11" i="60" s="1"/>
  <c r="H11" i="60" s="1"/>
  <c r="G24" i="53" l="1"/>
  <c r="G26" i="53" s="1"/>
  <c r="T10" i="52" l="1"/>
  <c r="G43" i="53"/>
  <c r="H26" i="53"/>
  <c r="H37" i="53" s="1"/>
  <c r="H39" i="53" s="1"/>
  <c r="H40" i="53" s="1"/>
  <c r="H41" i="53" s="1"/>
  <c r="G37" i="53"/>
  <c r="T26" i="52" l="1"/>
  <c r="U10" i="52"/>
  <c r="U26" i="52" l="1"/>
  <c r="M28" i="41"/>
  <c r="CT66" i="23"/>
  <c r="CT67" i="23" s="1"/>
  <c r="E28" i="41"/>
  <c r="CL66" i="23"/>
  <c r="CL67" i="23" s="1"/>
  <c r="G28" i="41"/>
  <c r="CN66" i="23"/>
  <c r="CN67" i="23" s="1"/>
  <c r="CL31" i="23"/>
  <c r="N28" i="41"/>
  <c r="CU66" i="23" s="1"/>
  <c r="CU67" i="23" s="1"/>
  <c r="N30" i="41"/>
  <c r="CU30" i="23" s="1"/>
  <c r="CU31" i="23" s="1"/>
  <c r="J30" i="41"/>
  <c r="CQ30" i="23" s="1"/>
  <c r="CQ31" i="23" s="1"/>
  <c r="H28" i="41"/>
  <c r="CO66" i="23" s="1"/>
  <c r="CO67" i="23" s="1"/>
  <c r="D28" i="41"/>
  <c r="CK66" i="23" s="1"/>
  <c r="CK67" i="23" s="1"/>
  <c r="K28" i="41"/>
  <c r="CR66" i="23"/>
  <c r="CR67" i="23" s="1"/>
  <c r="F30" i="41"/>
  <c r="CM30" i="23" s="1"/>
  <c r="CM31" i="23" s="1"/>
  <c r="E30" i="41"/>
  <c r="CL30" i="23"/>
  <c r="D30" i="41"/>
  <c r="CK30" i="23" s="1"/>
  <c r="CK31" i="23" s="1"/>
  <c r="I30" i="41"/>
  <c r="CP30" i="23" s="1"/>
  <c r="CP31" i="23" s="1"/>
  <c r="I28" i="41"/>
  <c r="CP66" i="23"/>
  <c r="CP67" i="23" s="1"/>
  <c r="G30" i="41"/>
  <c r="CN30" i="23" s="1"/>
  <c r="CN31" i="23" s="1"/>
  <c r="K30" i="41"/>
  <c r="CR30" i="23"/>
  <c r="CR31" i="23" s="1"/>
  <c r="F28" i="41"/>
  <c r="CM66" i="23"/>
  <c r="CM67" i="23" s="1"/>
  <c r="M30" i="41"/>
  <c r="CT30" i="23"/>
  <c r="CT31" i="23" s="1"/>
  <c r="C28" i="41"/>
  <c r="CJ66" i="23"/>
  <c r="CJ67" i="23" s="1"/>
  <c r="CJ68" i="23" s="1"/>
  <c r="CK63" i="23" s="1"/>
  <c r="CK68" i="23" s="1"/>
  <c r="CL63" i="23" s="1"/>
  <c r="CL68" i="23" s="1"/>
  <c r="CM63" i="23" s="1"/>
  <c r="CM68" i="23" s="1"/>
  <c r="CN63" i="23" s="1"/>
  <c r="J28" i="41"/>
  <c r="CQ66" i="23" s="1"/>
  <c r="CQ67" i="23" s="1"/>
  <c r="H30" i="41"/>
  <c r="CO30" i="23"/>
  <c r="CO31" i="23" s="1"/>
  <c r="C30" i="41"/>
  <c r="CJ30" i="23" s="1"/>
  <c r="CJ31" i="23" s="1"/>
  <c r="CN68" i="23" l="1"/>
  <c r="CO63" i="23" s="1"/>
  <c r="CO68" i="23" s="1"/>
  <c r="CP63" i="23" s="1"/>
  <c r="CP68" i="23" s="1"/>
  <c r="CQ63" i="23" s="1"/>
  <c r="CQ68" i="23" s="1"/>
  <c r="CR63" i="23" s="1"/>
  <c r="CR68" i="23" s="1"/>
  <c r="CS63" i="23" s="1"/>
  <c r="CS68" i="23" s="1"/>
  <c r="CT63" i="23" s="1"/>
  <c r="CT68" i="23" s="1"/>
  <c r="CU63" i="23" s="1"/>
  <c r="CU68" i="23" s="1"/>
  <c r="CJ32" i="23"/>
  <c r="CV63" i="23" l="1"/>
  <c r="CV68" i="23" s="1"/>
  <c r="CW63" i="23" s="1"/>
  <c r="CW68" i="23" s="1"/>
  <c r="CX63" i="23" s="1"/>
  <c r="CX68" i="23" s="1"/>
  <c r="CY63" i="23" s="1"/>
  <c r="CY68" i="23" s="1"/>
  <c r="CK27" i="23"/>
  <c r="CK32" i="23" l="1"/>
  <c r="CL27" i="23" l="1"/>
  <c r="CL32" i="23" l="1"/>
  <c r="CM27" i="23" l="1"/>
  <c r="CM32" i="23" l="1"/>
  <c r="CN27" i="23" l="1"/>
  <c r="CN32" i="23" l="1"/>
  <c r="CO27" i="23" l="1"/>
  <c r="CO32" i="23" l="1"/>
  <c r="CP27" i="23" l="1"/>
  <c r="CP32" i="23" l="1"/>
  <c r="CQ27" i="23" l="1"/>
  <c r="CQ32" i="23" l="1"/>
  <c r="CR27" i="23" l="1"/>
  <c r="CR32" i="23" l="1"/>
  <c r="CS27" i="23" l="1"/>
  <c r="CS32" i="23" l="1"/>
  <c r="CT27" i="23" l="1"/>
  <c r="CT32" i="23" l="1"/>
  <c r="CU27" i="23" l="1"/>
  <c r="CU32" i="23" l="1"/>
  <c r="CV27" i="23" l="1"/>
  <c r="CV32" i="23" l="1"/>
  <c r="CW27" i="23" l="1"/>
  <c r="CW32" i="23" l="1"/>
  <c r="CX27" i="23" l="1"/>
  <c r="CX32" i="23" l="1"/>
  <c r="CY27" i="23" l="1"/>
  <c r="CY32" i="23" l="1"/>
  <c r="E10" i="61" s="1"/>
  <c r="E20" i="61" l="1"/>
  <c r="E26" i="61" s="1"/>
  <c r="E16" i="61"/>
  <c r="E12" i="56"/>
  <c r="E20" i="56" s="1"/>
  <c r="E24" i="56" s="1"/>
  <c r="E19" i="59" s="1"/>
  <c r="E21" i="59" l="1"/>
  <c r="E23" i="59" s="1"/>
  <c r="E25" i="59" s="1"/>
  <c r="E27" i="59" s="1"/>
  <c r="E29" i="59" s="1"/>
  <c r="E26" i="56" l="1"/>
  <c r="E28" i="56" s="1"/>
  <c r="E30" i="56" s="1"/>
  <c r="E32" i="56" l="1"/>
  <c r="E36" i="56"/>
  <c r="G12" i="58" s="1"/>
  <c r="G17" i="58" l="1"/>
  <c r="I17" i="58" s="1"/>
  <c r="K17" i="58" s="1"/>
  <c r="G14" i="58"/>
  <c r="I14" i="58" s="1"/>
  <c r="K14" i="58" s="1"/>
  <c r="E19" i="57" s="1"/>
  <c r="F15" i="60" s="1"/>
  <c r="H15" i="60" s="1"/>
  <c r="I12" i="58"/>
  <c r="K12" i="58" s="1"/>
  <c r="E17" i="57" s="1"/>
  <c r="F14" i="60" s="1"/>
  <c r="H14" i="60" s="1"/>
  <c r="H16" i="60" l="1"/>
  <c r="T12" i="52" s="1"/>
  <c r="E22" i="57"/>
  <c r="F19" i="60" l="1"/>
  <c r="H19" i="60" s="1"/>
  <c r="H21" i="60" s="1"/>
  <c r="U12" i="52"/>
  <c r="T17" i="52" l="1"/>
  <c r="E28" i="42"/>
  <c r="CL74" i="23" s="1"/>
  <c r="CL75" i="23" s="1"/>
  <c r="I28" i="42"/>
  <c r="CP74" i="23"/>
  <c r="CP75" i="23" s="1"/>
  <c r="F28" i="42"/>
  <c r="CM74" i="23"/>
  <c r="CM75" i="23" s="1"/>
  <c r="H28" i="42"/>
  <c r="CO74" i="23"/>
  <c r="CO75" i="23" s="1"/>
  <c r="D28" i="42"/>
  <c r="CK74" i="23" s="1"/>
  <c r="CK75" i="23" s="1"/>
  <c r="N28" i="42"/>
  <c r="CU74" i="23" s="1"/>
  <c r="CU75" i="23" s="1"/>
  <c r="G28" i="42"/>
  <c r="CN74" i="23" s="1"/>
  <c r="CN75" i="23" s="1"/>
  <c r="E30" i="42"/>
  <c r="CL38" i="23" s="1"/>
  <c r="CL39" i="23" s="1"/>
  <c r="K28" i="42"/>
  <c r="CR74" i="23"/>
  <c r="CR75" i="23"/>
  <c r="K30" i="42"/>
  <c r="CR38" i="23" s="1"/>
  <c r="CR39" i="23" s="1"/>
  <c r="G30" i="42"/>
  <c r="CN38" i="23"/>
  <c r="CN39" i="23" s="1"/>
  <c r="F30" i="42"/>
  <c r="CM38" i="23" s="1"/>
  <c r="CM39" i="23" s="1"/>
  <c r="CM120" i="23" s="1"/>
  <c r="J30" i="42"/>
  <c r="CQ38" i="23"/>
  <c r="CQ39" i="23"/>
  <c r="J28" i="42"/>
  <c r="CQ74" i="23" s="1"/>
  <c r="CQ75" i="23" s="1"/>
  <c r="D30" i="42"/>
  <c r="CK38" i="23" s="1"/>
  <c r="CK39" i="23" s="1"/>
  <c r="CK120" i="23" s="1"/>
  <c r="N30" i="42"/>
  <c r="CU38" i="23" s="1"/>
  <c r="CU39" i="23" s="1"/>
  <c r="M30" i="42"/>
  <c r="CT38" i="23" s="1"/>
  <c r="CT39" i="23" s="1"/>
  <c r="I30" i="42"/>
  <c r="CP38" i="23" s="1"/>
  <c r="CP39" i="23" s="1"/>
  <c r="H30" i="42"/>
  <c r="CO38" i="23"/>
  <c r="CO39" i="23" s="1"/>
  <c r="M28" i="42"/>
  <c r="CT74" i="23" s="1"/>
  <c r="CT75" i="23" s="1"/>
  <c r="C30" i="42"/>
  <c r="CJ38" i="23" s="1"/>
  <c r="CJ39" i="23" s="1"/>
  <c r="C28" i="42"/>
  <c r="CJ74" i="23" s="1"/>
  <c r="CJ75" i="23" s="1"/>
  <c r="CJ76" i="23" s="1"/>
  <c r="CK71" i="23" s="1"/>
  <c r="CK76" i="23" s="1"/>
  <c r="CL71" i="23" s="1"/>
  <c r="CL76" i="23" s="1"/>
  <c r="CM71" i="23" s="1"/>
  <c r="CM76" i="23" s="1"/>
  <c r="CN71" i="23" s="1"/>
  <c r="U17" i="52" l="1"/>
  <c r="T27" i="52"/>
  <c r="U27" i="52" s="1"/>
  <c r="CP120" i="23"/>
  <c r="CU120" i="23"/>
  <c r="CO120" i="23"/>
  <c r="CR120" i="23"/>
  <c r="CN76" i="23"/>
  <c r="CO71" i="23" s="1"/>
  <c r="CO76" i="23" s="1"/>
  <c r="CP71" i="23" s="1"/>
  <c r="CP76" i="23" s="1"/>
  <c r="CQ71" i="23" s="1"/>
  <c r="CQ76" i="23" s="1"/>
  <c r="CR71" i="23" s="1"/>
  <c r="CR76" i="23" s="1"/>
  <c r="CS71" i="23" s="1"/>
  <c r="CS76" i="23" s="1"/>
  <c r="CT71" i="23" s="1"/>
  <c r="CT76" i="23" s="1"/>
  <c r="CU71" i="23" s="1"/>
  <c r="CU76" i="23" s="1"/>
  <c r="CJ40" i="23"/>
  <c r="CJ120" i="23"/>
  <c r="CT120" i="23"/>
  <c r="CQ120" i="23"/>
  <c r="CN120" i="23"/>
  <c r="CL120" i="23"/>
  <c r="CV71" i="23" l="1"/>
  <c r="CV76" i="23" s="1"/>
  <c r="CW71" i="23" s="1"/>
  <c r="CW76" i="23" s="1"/>
  <c r="CX71" i="23" s="1"/>
  <c r="CX76" i="23" s="1"/>
  <c r="CY71" i="23" s="1"/>
  <c r="CY76" i="23" s="1"/>
  <c r="CJ122" i="23"/>
  <c r="CJ121" i="23"/>
  <c r="CJ123" i="23" s="1"/>
  <c r="CK35" i="23"/>
  <c r="CK119" i="23" l="1"/>
  <c r="CK40" i="23"/>
  <c r="CK121" i="23" l="1"/>
  <c r="CL35" i="23"/>
  <c r="CK122" i="23"/>
  <c r="CK123" i="23" l="1"/>
  <c r="CL40" i="23"/>
  <c r="CL119" i="23"/>
  <c r="CL122" i="23" l="1"/>
  <c r="CL121" i="23"/>
  <c r="CM35" i="23"/>
  <c r="CM119" i="23" l="1"/>
  <c r="CM40" i="23"/>
  <c r="CL123" i="23"/>
  <c r="CM122" i="23" l="1"/>
  <c r="CM121" i="23"/>
  <c r="CM123" i="23" s="1"/>
  <c r="CN35" i="23"/>
  <c r="CN119" i="23" l="1"/>
  <c r="CN40" i="23"/>
  <c r="CN122" i="23" l="1"/>
  <c r="CN121" i="23"/>
  <c r="CO35" i="23"/>
  <c r="CO119" i="23" l="1"/>
  <c r="CO40" i="23"/>
  <c r="CN123" i="23"/>
  <c r="CP35" i="23" l="1"/>
  <c r="CO121" i="23"/>
  <c r="CO122" i="23"/>
  <c r="CP119" i="23" l="1"/>
  <c r="CP40" i="23"/>
  <c r="CO123" i="23"/>
  <c r="CQ35" i="23" l="1"/>
  <c r="CP122" i="23"/>
  <c r="CP121" i="23"/>
  <c r="CP123" i="23" s="1"/>
  <c r="CQ119" i="23" l="1"/>
  <c r="CQ40" i="23"/>
  <c r="CR35" i="23" l="1"/>
  <c r="CQ122" i="23"/>
  <c r="CQ121" i="23"/>
  <c r="CQ123" i="23" s="1"/>
  <c r="CR40" i="23" l="1"/>
  <c r="CR119" i="23"/>
  <c r="CS35" i="23" l="1"/>
  <c r="CR122" i="23"/>
  <c r="CR121" i="23"/>
  <c r="CR123" i="23" s="1"/>
  <c r="CS119" i="23" l="1"/>
  <c r="CS40" i="23"/>
  <c r="CT35" i="23" l="1"/>
  <c r="CS122" i="23"/>
  <c r="CS121" i="23"/>
  <c r="CS123" i="23" s="1"/>
  <c r="CT40" i="23" l="1"/>
  <c r="CT119" i="23"/>
  <c r="CT121" i="23" l="1"/>
  <c r="CT122" i="23"/>
  <c r="CU35" i="23"/>
  <c r="CU119" i="23" l="1"/>
  <c r="CU40" i="23"/>
  <c r="CT123" i="23"/>
  <c r="CU121" i="23" l="1"/>
  <c r="CV35" i="23"/>
  <c r="CU122" i="23"/>
  <c r="CV40" i="23" l="1"/>
  <c r="CV119" i="23"/>
  <c r="CU123" i="23"/>
  <c r="CV122" i="23" l="1"/>
  <c r="CV121" i="23"/>
  <c r="CW35" i="23"/>
  <c r="CV123" i="23" l="1"/>
  <c r="CW119" i="23"/>
  <c r="CW40" i="23"/>
  <c r="CW122" i="23" l="1"/>
  <c r="CX35" i="23"/>
  <c r="CW121" i="23"/>
  <c r="CW123" i="23" l="1"/>
  <c r="CX119" i="23"/>
  <c r="CX40" i="23"/>
  <c r="CX121" i="23" l="1"/>
  <c r="CY35" i="23"/>
  <c r="CX122" i="23"/>
  <c r="CX123" i="23" l="1"/>
  <c r="CY119" i="23"/>
  <c r="CY40" i="23"/>
  <c r="F10" i="61" s="1"/>
  <c r="F16" i="61" l="1"/>
  <c r="F20" i="61"/>
  <c r="F26" i="61" s="1"/>
  <c r="CY122" i="23"/>
  <c r="CY121" i="23"/>
  <c r="CY123" i="23" s="1"/>
  <c r="F12" i="56" l="1"/>
  <c r="F20" i="56" s="1"/>
  <c r="F24" i="56" s="1"/>
  <c r="F19" i="59" s="1"/>
  <c r="F21" i="59" l="1"/>
  <c r="F23" i="59" s="1"/>
  <c r="F25" i="59" s="1"/>
  <c r="F27" i="59" s="1"/>
  <c r="F29" i="59" s="1"/>
  <c r="F26" i="56" l="1"/>
  <c r="F28" i="56" s="1"/>
  <c r="F30" i="56" s="1"/>
  <c r="F36" i="56" l="1"/>
  <c r="G20" i="58" s="1"/>
  <c r="F32" i="56"/>
  <c r="G23" i="58" l="1"/>
  <c r="I23" i="58" s="1"/>
  <c r="K23" i="58" s="1"/>
  <c r="E28" i="57" s="1"/>
  <c r="F27" i="60" s="1"/>
  <c r="H27" i="60" s="1"/>
  <c r="G50" i="58"/>
  <c r="I50" i="58" s="1"/>
  <c r="K50" i="58" s="1"/>
  <c r="G30" i="58"/>
  <c r="I30" i="58" s="1"/>
  <c r="K30" i="58" s="1"/>
  <c r="E35" i="57" s="1"/>
  <c r="F33" i="60" s="1"/>
  <c r="H33" i="60" s="1"/>
  <c r="G47" i="58"/>
  <c r="I47" i="58" s="1"/>
  <c r="K47" i="58" s="1"/>
  <c r="E52" i="57" s="1"/>
  <c r="F52" i="60" s="1"/>
  <c r="H52" i="60" s="1"/>
  <c r="G51" i="58"/>
  <c r="I51" i="58" s="1"/>
  <c r="K51" i="58" s="1"/>
  <c r="E56" i="57" s="1"/>
  <c r="F55" i="60" s="1"/>
  <c r="H55" i="60" s="1"/>
  <c r="G24" i="58"/>
  <c r="I24" i="58" s="1"/>
  <c r="K24" i="58" s="1"/>
  <c r="E29" i="57" s="1"/>
  <c r="F28" i="60" s="1"/>
  <c r="H28" i="60" s="1"/>
  <c r="G27" i="58"/>
  <c r="I27" i="58" s="1"/>
  <c r="K27" i="58" s="1"/>
  <c r="E32" i="57" s="1"/>
  <c r="F25" i="60" s="1"/>
  <c r="H25" i="60" s="1"/>
  <c r="G33" i="58"/>
  <c r="I33" i="58" s="1"/>
  <c r="K33" i="58" s="1"/>
  <c r="E38" i="57" s="1"/>
  <c r="F36" i="60" s="1"/>
  <c r="H36" i="60" s="1"/>
  <c r="G35" i="58"/>
  <c r="I35" i="58" s="1"/>
  <c r="K35" i="58" s="1"/>
  <c r="E40" i="57" s="1"/>
  <c r="F38" i="60" s="1"/>
  <c r="H38" i="60" s="1"/>
  <c r="G41" i="58"/>
  <c r="I41" i="58" s="1"/>
  <c r="K41" i="58" s="1"/>
  <c r="E46" i="57" s="1"/>
  <c r="F47" i="60" s="1"/>
  <c r="H47" i="60" s="1"/>
  <c r="G44" i="58"/>
  <c r="I44" i="58" s="1"/>
  <c r="K44" i="58" s="1"/>
  <c r="E49" i="57" s="1"/>
  <c r="F45" i="60" s="1"/>
  <c r="H45" i="60" s="1"/>
  <c r="G25" i="58"/>
  <c r="I25" i="58" s="1"/>
  <c r="K25" i="58" s="1"/>
  <c r="E30" i="57" s="1"/>
  <c r="F29" i="60" s="1"/>
  <c r="H29" i="60" s="1"/>
  <c r="G34" i="58"/>
  <c r="I34" i="58" s="1"/>
  <c r="K34" i="58" s="1"/>
  <c r="E39" i="57" s="1"/>
  <c r="F37" i="60" s="1"/>
  <c r="H37" i="60" s="1"/>
  <c r="G38" i="58"/>
  <c r="I38" i="58" s="1"/>
  <c r="K38" i="58" s="1"/>
  <c r="E43" i="57" s="1"/>
  <c r="F44" i="60" s="1"/>
  <c r="H44" i="60" s="1"/>
  <c r="G42" i="58"/>
  <c r="I42" i="58" s="1"/>
  <c r="K42" i="58" s="1"/>
  <c r="E47" i="57" s="1"/>
  <c r="F48" i="60" s="1"/>
  <c r="H48" i="60" s="1"/>
  <c r="I20" i="58"/>
  <c r="K20" i="58" s="1"/>
  <c r="E25" i="57" s="1"/>
  <c r="F24" i="60" s="1"/>
  <c r="H24" i="60" s="1"/>
  <c r="E55" i="57"/>
  <c r="F54" i="60" s="1"/>
  <c r="H54" i="60" s="1"/>
  <c r="H30" i="60" l="1"/>
  <c r="H56" i="60"/>
  <c r="T20" i="52" s="1"/>
  <c r="U20" i="52" s="1"/>
  <c r="H39" i="60"/>
  <c r="H49" i="60"/>
  <c r="H58" i="60" l="1"/>
  <c r="H41" i="60"/>
  <c r="H60" i="60"/>
  <c r="T18" i="52"/>
  <c r="U18" i="52" s="1"/>
  <c r="T13" i="52"/>
  <c r="T15" i="52"/>
  <c r="U15" i="52" l="1"/>
  <c r="T30" i="52"/>
  <c r="U30" i="52" s="1"/>
  <c r="U13" i="52"/>
  <c r="T23" i="52"/>
  <c r="U23" i="52" s="1"/>
  <c r="T28" i="52"/>
  <c r="T33" i="52" l="1"/>
  <c r="U33" i="52" s="1"/>
  <c r="U28" i="52"/>
</calcChain>
</file>

<file path=xl/comments1.xml><?xml version="1.0" encoding="utf-8"?>
<comments xmlns="http://schemas.openxmlformats.org/spreadsheetml/2006/main">
  <authors>
    <author>Paul Schmidt</author>
  </authors>
  <commentList>
    <comment ref="AD84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E84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F84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G84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H84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D96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E96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F96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G96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H96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</commentList>
</comments>
</file>

<file path=xl/comments2.xml><?xml version="1.0" encoding="utf-8"?>
<comments xmlns="http://schemas.openxmlformats.org/spreadsheetml/2006/main">
  <authors>
    <author>Kelly Xu</author>
  </authors>
  <commentList>
    <comment ref="B8" authorId="0" shapeId="0">
      <text>
        <r>
          <rPr>
            <b/>
            <sz val="10"/>
            <color indexed="81"/>
            <rFont val="Tahoma"/>
            <family val="2"/>
          </rPr>
          <t>Kelly Xu:</t>
        </r>
        <r>
          <rPr>
            <sz val="10"/>
            <color indexed="81"/>
            <rFont val="Tahoma"/>
            <family val="2"/>
          </rPr>
          <t xml:space="preserve">
Therms from the UBR report</t>
        </r>
      </text>
    </comment>
  </commentList>
</comments>
</file>

<file path=xl/sharedStrings.xml><?xml version="1.0" encoding="utf-8"?>
<sst xmlns="http://schemas.openxmlformats.org/spreadsheetml/2006/main" count="1217" uniqueCount="487">
  <si>
    <t>Puget Sound Energy</t>
  </si>
  <si>
    <t>Gas Decoupling Mechanism</t>
  </si>
  <si>
    <t>Line</t>
  </si>
  <si>
    <t>Schedules</t>
  </si>
  <si>
    <t>No.</t>
  </si>
  <si>
    <t>Source</t>
  </si>
  <si>
    <t>23 &amp; 53</t>
  </si>
  <si>
    <t>31 &amp; 31T</t>
  </si>
  <si>
    <t>41, 41T, 86 &amp; 86T</t>
  </si>
  <si>
    <t>(a)</t>
  </si>
  <si>
    <t>(b)</t>
  </si>
  <si>
    <t>(c)</t>
  </si>
  <si>
    <t>(d)</t>
  </si>
  <si>
    <t>(e)</t>
  </si>
  <si>
    <t>Work Paper</t>
  </si>
  <si>
    <t>Total Balance to Amortize</t>
  </si>
  <si>
    <t>Forecasted Rate Year Base Sales (therms)</t>
  </si>
  <si>
    <t>Rate Year Amortization Rate ($/therm)</t>
  </si>
  <si>
    <t>Post-Rate Test Amortization Rate ($/therm)</t>
  </si>
  <si>
    <t>Post-Rate Test Deferred Balance to Recover/(Refund)</t>
  </si>
  <si>
    <t>Calculation</t>
  </si>
  <si>
    <t xml:space="preserve">Post-Rate Test Total Balance for Amortization </t>
  </si>
  <si>
    <t>Post-Rate Test Deferred Balance not Amortized</t>
  </si>
  <si>
    <t>Rate Year Decoupled Revenue</t>
  </si>
  <si>
    <t>Change from Rate Year Decoupled Revenue (1)</t>
  </si>
  <si>
    <t>(1) Used to develop amortization rates for these decoupling groups</t>
  </si>
  <si>
    <t>Average Rate ($/therm)</t>
  </si>
  <si>
    <t>Current Schedule 142 Delivery Margin Amortization Rate ($/therm)</t>
  </si>
  <si>
    <t>Proposed Schedule 142 Delivery Margin Amortization Rate ($/therm)</t>
  </si>
  <si>
    <t>Incremental Change in Volumetric Delivery Revenue per Unit ($/therm)</t>
  </si>
  <si>
    <t>% Change to Revenues</t>
  </si>
  <si>
    <t>% above Rate Test Maximum</t>
  </si>
  <si>
    <t>Adjust Schedule 142 Delivery Margin Amortization Rate ($/therm)</t>
  </si>
  <si>
    <t>Post-Rate Test Schedule 142 Delivery Margin Amortization Rate ($/therm)</t>
  </si>
  <si>
    <t>Sched 142</t>
  </si>
  <si>
    <t>Rate</t>
  </si>
  <si>
    <t>Volume</t>
  </si>
  <si>
    <t>Margin</t>
  </si>
  <si>
    <t>Margin Rate</t>
  </si>
  <si>
    <t>Sched 101</t>
  </si>
  <si>
    <t>Sched 106</t>
  </si>
  <si>
    <t>Sched 120</t>
  </si>
  <si>
    <t>Sched 129</t>
  </si>
  <si>
    <t>Sched 140</t>
  </si>
  <si>
    <t>Decoupling</t>
  </si>
  <si>
    <t>Sched 149</t>
  </si>
  <si>
    <t>Rate Class</t>
  </si>
  <si>
    <t>Schedule</t>
  </si>
  <si>
    <t>$/Therm</t>
  </si>
  <si>
    <t>Margin Revenue</t>
  </si>
  <si>
    <t>Revenue</t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</si>
  <si>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</si>
  <si>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</si>
  <si>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</si>
  <si>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</si>
  <si>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</si>
  <si>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</si>
  <si>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</si>
  <si>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</si>
  <si>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</si>
  <si>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</si>
  <si>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</si>
  <si>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</si>
  <si>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</si>
  <si>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</si>
  <si>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</si>
  <si>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Q</t>
  </si>
  <si>
    <t>Residential</t>
  </si>
  <si>
    <t>23,53</t>
  </si>
  <si>
    <t>Commercial &amp; Industrial</t>
  </si>
  <si>
    <t>Commercial &amp; Industrial Transportation</t>
  </si>
  <si>
    <t>31T</t>
  </si>
  <si>
    <t>Total</t>
  </si>
  <si>
    <t>Large Volume</t>
  </si>
  <si>
    <t>Large Volume Transportation</t>
  </si>
  <si>
    <t>41T</t>
  </si>
  <si>
    <t>Limited Interruptible</t>
  </si>
  <si>
    <t>Limited Interruptible Transportation</t>
  </si>
  <si>
    <t>86T</t>
  </si>
  <si>
    <t>Line No.</t>
  </si>
  <si>
    <t>Actual Customers</t>
  </si>
  <si>
    <t xml:space="preserve">  Schedules 23 &amp; 53</t>
  </si>
  <si>
    <t>Allowed Delivery Revenue Per Customer (1)</t>
  </si>
  <si>
    <t>Total Delivery Margin Revenue</t>
  </si>
  <si>
    <t>(1) Includes Basic &amp; Minimum Charge Revenues</t>
  </si>
  <si>
    <t xml:space="preserve">Delivery Margin Revenue </t>
  </si>
  <si>
    <t>Allocation Factor</t>
  </si>
  <si>
    <t>% of (2c)</t>
  </si>
  <si>
    <t xml:space="preserve">Total Earnings Sharing </t>
  </si>
  <si>
    <t>Allocation of Earnings Sharing</t>
  </si>
  <si>
    <t>(6c) x (4)</t>
  </si>
  <si>
    <t>Schedule 142</t>
  </si>
  <si>
    <t xml:space="preserve">Proposed Rates </t>
  </si>
  <si>
    <t>Proposed 142</t>
  </si>
  <si>
    <t>Units</t>
  </si>
  <si>
    <t>Rates</t>
  </si>
  <si>
    <t>Adder % *</t>
  </si>
  <si>
    <t>w/ Sch 142 Rates</t>
  </si>
  <si>
    <t>Adjusting Rates</t>
  </si>
  <si>
    <t>(e) = (c) x (d)</t>
  </si>
  <si>
    <t>(f) = (e) - (c)</t>
  </si>
  <si>
    <t>Schedule 31 Commercial &amp; Industrial - Sales</t>
  </si>
  <si>
    <t>Delivery Charge</t>
  </si>
  <si>
    <t>Procurement Charge</t>
  </si>
  <si>
    <t>Schedule 31 Commercial &amp; Industrial - Transportation</t>
  </si>
  <si>
    <t>Schedule 41 Large Volume High Load Factor - Sales</t>
  </si>
  <si>
    <t>Demand Charge</t>
  </si>
  <si>
    <t>Delivery Charge:</t>
  </si>
  <si>
    <t>Schedule 41 Large Volume High Load Factor - Transportation</t>
  </si>
  <si>
    <t>Schedule 86 Limited Interruptible - Sales</t>
  </si>
  <si>
    <t>First 1,000 therms</t>
  </si>
  <si>
    <t>All over 1,000 therms</t>
  </si>
  <si>
    <t>Schedule 86 Limited Interruptible - Transportation</t>
  </si>
  <si>
    <t xml:space="preserve">Total Proposed  </t>
  </si>
  <si>
    <t xml:space="preserve">Schedule 142 </t>
  </si>
  <si>
    <t>Amortization Rates</t>
  </si>
  <si>
    <t>Schedule 23 Residential</t>
  </si>
  <si>
    <t>Schedule 53 Residential Propane</t>
  </si>
  <si>
    <t>Forecasted</t>
  </si>
  <si>
    <t>Volume (Therms)</t>
  </si>
  <si>
    <t>Residential Gas Lights</t>
  </si>
  <si>
    <t>Interruptible</t>
  </si>
  <si>
    <t>Non-exclusive Interruptible</t>
  </si>
  <si>
    <t>Interruptible Transportation</t>
  </si>
  <si>
    <t>85T</t>
  </si>
  <si>
    <t>Non-exclusive Interruptible Transportation</t>
  </si>
  <si>
    <t>87T</t>
  </si>
  <si>
    <t>Contracts</t>
  </si>
  <si>
    <t>By Customer Class</t>
  </si>
  <si>
    <t>Residential (16,23,53)</t>
  </si>
  <si>
    <t>Commercial &amp; industrial (31,31T)</t>
  </si>
  <si>
    <t>Large volume (41,41T)</t>
  </si>
  <si>
    <t>Interruptible (85,85T)</t>
  </si>
  <si>
    <t>Limited interruptible (86,86T)</t>
  </si>
  <si>
    <t>Non exclusive interruptible (87,87T)</t>
  </si>
  <si>
    <t>Subtotal</t>
  </si>
  <si>
    <t>Sch 142</t>
  </si>
  <si>
    <t>Percent</t>
  </si>
  <si>
    <t>Change</t>
  </si>
  <si>
    <t>Current Rates</t>
  </si>
  <si>
    <t>23/53</t>
  </si>
  <si>
    <t>Commercial &amp; industrial</t>
  </si>
  <si>
    <t>Large volume</t>
  </si>
  <si>
    <t>901 to 5,000 therms</t>
  </si>
  <si>
    <t>Over 5,000 therms</t>
  </si>
  <si>
    <t>Large volume - Trans.</t>
  </si>
  <si>
    <t>Large Volume Total</t>
  </si>
  <si>
    <t>41/41T</t>
  </si>
  <si>
    <t>Over 1,000 therms</t>
  </si>
  <si>
    <t>Limited Interruptible - Trans.</t>
  </si>
  <si>
    <t>Limited Interruptible Total</t>
  </si>
  <si>
    <t>86/86T</t>
  </si>
  <si>
    <t>Charges</t>
  </si>
  <si>
    <t>Volume (therms)</t>
  </si>
  <si>
    <t>Customer charge ($/month)</t>
  </si>
  <si>
    <t>Basic charge</t>
  </si>
  <si>
    <t>Volumetric charges ($/therm)</t>
  </si>
  <si>
    <t>Delivery charge (Schedule 23)</t>
  </si>
  <si>
    <t>Property tax charge (Schedule 140)</t>
  </si>
  <si>
    <t>Decoupling charge (Schedule 142)</t>
  </si>
  <si>
    <t>Low income charge (Schedule 129)</t>
  </si>
  <si>
    <t>Conservation charge (Schedule 120)</t>
  </si>
  <si>
    <t>Merger rate credit (Schedule 132)</t>
  </si>
  <si>
    <t>Cost of gas (Schedule 101)</t>
  </si>
  <si>
    <t>Deferral amortization (Schedule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</si>
  <si>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</si>
  <si>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</si>
  <si>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</si>
  <si>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</si>
  <si>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</si>
  <si>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t>Conversion Factor</t>
  </si>
  <si>
    <t>Development of Delivery Margin Amortization Rate</t>
  </si>
  <si>
    <t>Forecast Delivered Sales Volumes and Customer Counts</t>
  </si>
  <si>
    <t>Projected Delivered Sales Volume by Month (Therms)</t>
  </si>
  <si>
    <t>Rate Schedule</t>
  </si>
  <si>
    <t>Contract</t>
  </si>
  <si>
    <t xml:space="preserve">Projected Customers by Month </t>
  </si>
  <si>
    <t>Average</t>
  </si>
  <si>
    <t>Schedules 23 &amp; 53</t>
  </si>
  <si>
    <t>Schedules 31 &amp; 31T</t>
  </si>
  <si>
    <t>Schedules 41, 41T, 86 &amp; 86T</t>
  </si>
  <si>
    <t>Development of Delivery Revenue Per Unit Rates ($/therm)</t>
  </si>
  <si>
    <t>31 &amp; 31T*</t>
  </si>
  <si>
    <t>41, 41T, 86 &amp; 86T*</t>
  </si>
  <si>
    <t>Test Year Delivery Revenue</t>
  </si>
  <si>
    <t>Test Year Base Sales (therms)</t>
  </si>
  <si>
    <t>Volumetric Delivery Revenue Per Unit ($/therm)</t>
  </si>
  <si>
    <t>* Actual delivery revenue will be calculated using actual delivery rates.</t>
  </si>
  <si>
    <t>Acct No.</t>
  </si>
  <si>
    <t xml:space="preserve">Sch. 23 &amp; 53 Decoupling Refund/Surcharge Amortization </t>
  </si>
  <si>
    <t>Beginning</t>
  </si>
  <si>
    <t>Transfer Deferral Amounts to Surcharge/Refund Account</t>
  </si>
  <si>
    <t>Surcharge/Refund Amortization</t>
  </si>
  <si>
    <t>Total Month</t>
  </si>
  <si>
    <t>Ending</t>
  </si>
  <si>
    <t xml:space="preserve">Sch. 31 &amp; 31T Decoupling Refund/Surcharge Amortization </t>
  </si>
  <si>
    <t>Allocation of Non-Residential Amortization Amounts</t>
  </si>
  <si>
    <t xml:space="preserve">Sch. 41, 41T, 86 &amp; 86T Decoupling Refund/Surcharge Amortization </t>
  </si>
  <si>
    <t>Current Sch. 23 &amp; 53 Decoupling Deferral</t>
  </si>
  <si>
    <t>PSE Deferral</t>
  </si>
  <si>
    <t>Current Sch. 31 &amp; 31T Decoupling Deferral</t>
  </si>
  <si>
    <t>Allocation of Non-Residential Deferral Amounts</t>
  </si>
  <si>
    <t>Current Sch. 41, 41T, 86 &amp; 86T Decoupling Deferral</t>
  </si>
  <si>
    <t>Interest on Sch. 23 &amp; 53 Decoupling Deferral</t>
  </si>
  <si>
    <t xml:space="preserve">Activity </t>
  </si>
  <si>
    <t>Interest on Sch. 31 &amp; 31T Decoupling Deferral</t>
  </si>
  <si>
    <t>Allocation of Non-Residential Interest Amounts</t>
  </si>
  <si>
    <t>Interest on 41, 41T, 86 &amp; 86T Decoupling Deferral</t>
  </si>
  <si>
    <t xml:space="preserve">Total </t>
  </si>
  <si>
    <t>Less:  Acct. being Amortized</t>
  </si>
  <si>
    <t>Current Period Under/(Over) Recovered</t>
  </si>
  <si>
    <t>Check</t>
  </si>
  <si>
    <t>Actual</t>
  </si>
  <si>
    <t>Recovery of Deferral Balance by Rate Group</t>
  </si>
  <si>
    <t>Exhibit 9</t>
  </si>
  <si>
    <t xml:space="preserve">Total Balance   </t>
  </si>
  <si>
    <t>(2) + (4) + (6)</t>
  </si>
  <si>
    <t>Amortization Balance including Revenue Senstive Items</t>
  </si>
  <si>
    <t>(2) / (10)</t>
  </si>
  <si>
    <t>Estimated Deferral Balance including Revenue Sensitive Items</t>
  </si>
  <si>
    <t>(4) / (10)</t>
  </si>
  <si>
    <t>Interest Balance including Revenue Sensitive Items</t>
  </si>
  <si>
    <t>(6) / (10)</t>
  </si>
  <si>
    <t>Total Balance including Revenue Sensitive Items</t>
  </si>
  <si>
    <t>(12) + (14) + (16)</t>
  </si>
  <si>
    <t>CONVERSION FACTOR</t>
  </si>
  <si>
    <t>LINE</t>
  </si>
  <si>
    <t>NO.</t>
  </si>
  <si>
    <t>DESCRIPTION</t>
  </si>
  <si>
    <t>RATE</t>
  </si>
  <si>
    <t>AMOUNT</t>
  </si>
  <si>
    <t>BAD DEBTS</t>
  </si>
  <si>
    <t>ANNUAL FILING FEE</t>
  </si>
  <si>
    <t>SUM OF TAXES OTHER</t>
  </si>
  <si>
    <t>CONVERSION FACTOR EXCLUDING FEDERAL INCOME TAX ( 1 - LINE 5)</t>
  </si>
  <si>
    <t>FEDERAL INCOME TAX ( LINE 7 * 35%)</t>
  </si>
  <si>
    <t>Projected</t>
  </si>
  <si>
    <t>Therms</t>
  </si>
  <si>
    <t>Deferral Amortization Rate ($/Therm)</t>
  </si>
  <si>
    <t>Deferral Amortization</t>
  </si>
  <si>
    <t>Remove Rev Sensitive Items (Conversion Factor)</t>
  </si>
  <si>
    <t>Deferral Amortization Net of Rev Sensitive Items</t>
  </si>
  <si>
    <t>Deferral Amortization Rate ($/Therm)*</t>
  </si>
  <si>
    <t>*Represents a blended rate not the tariffed rates</t>
  </si>
  <si>
    <t xml:space="preserve">Schedule 23 &amp; 53 Refund/Surcharge Amortization </t>
  </si>
  <si>
    <t xml:space="preserve">Schedule 31 &amp; 31T Refund/Surcharge Amortization </t>
  </si>
  <si>
    <t xml:space="preserve">Schedule 41, 41T, 86 &amp; 86T Refund/Surcharge Amortization </t>
  </si>
  <si>
    <t>Annual Rate Test (Limit 5%)</t>
  </si>
  <si>
    <t>Rate Sch.</t>
  </si>
  <si>
    <t>Calendarized Volume According to Unbilled Report (Therms)</t>
  </si>
  <si>
    <t>Residential lamps</t>
  </si>
  <si>
    <t>Propane</t>
  </si>
  <si>
    <t>General service - commercial</t>
  </si>
  <si>
    <t>Large volume - commercial</t>
  </si>
  <si>
    <t>Emergency Compressed Nature Gas Service</t>
  </si>
  <si>
    <t>Interruptible with firm option - com</t>
  </si>
  <si>
    <t>Limited interrupt w/ firm option - com</t>
  </si>
  <si>
    <t>Non-exclus interrupt/firm option - com</t>
  </si>
  <si>
    <t>General service - industrial</t>
  </si>
  <si>
    <t>Large volume - industrial</t>
  </si>
  <si>
    <t>Interruptible with firm option - ind</t>
  </si>
  <si>
    <t>Limited interrupt w/ firm option - ind</t>
  </si>
  <si>
    <t>Non-excl interrupt w/ firm option - ind</t>
  </si>
  <si>
    <t>Trans.  - commercial</t>
  </si>
  <si>
    <t>Trans. large volume - commercial</t>
  </si>
  <si>
    <t>Trans. interrupt with firm option - com</t>
  </si>
  <si>
    <t>Trans. non-exclus inter w/ firm option - com</t>
  </si>
  <si>
    <t>Trans. large volume - industrial</t>
  </si>
  <si>
    <t>Trans. interrupt with firm option - ind</t>
  </si>
  <si>
    <t>Trans. limited interrupt w/ firm option - ind</t>
  </si>
  <si>
    <t>Trans. non-exclus inter w/ firm option - ind</t>
  </si>
  <si>
    <t>Special contracts - ind</t>
  </si>
  <si>
    <t>SC</t>
  </si>
  <si>
    <t>Total sales &amp; transportation volume</t>
  </si>
  <si>
    <t>Subtotal transportation</t>
  </si>
  <si>
    <t>Customer Counts</t>
  </si>
  <si>
    <t>Standby &amp; auxiliary heating - res</t>
  </si>
  <si>
    <t xml:space="preserve">General service - commercial </t>
  </si>
  <si>
    <t xml:space="preserve">Large volume - commercial </t>
  </si>
  <si>
    <t>Standby &amp; auxiliary heating - com</t>
  </si>
  <si>
    <t>Non-excl interrupt w/ firm option - com</t>
  </si>
  <si>
    <t>Standby &amp; auxiliary heating - ind</t>
  </si>
  <si>
    <t>Usage Per Customer (Therms)</t>
  </si>
  <si>
    <t>Weather Data</t>
  </si>
  <si>
    <t>Actual heating degree days (HDD)</t>
  </si>
  <si>
    <t>Normal heating degree days (HDD)</t>
  </si>
  <si>
    <t>Difference (actual - normal HDD)</t>
  </si>
  <si>
    <t>Weather Normalization Coefficients</t>
  </si>
  <si>
    <t>Weather Normalized Usage per Customer (Therms)</t>
  </si>
  <si>
    <t>Weather Normalized Volume - Rate Class Analysis (Therms)</t>
  </si>
  <si>
    <t>Total weather normalized portion of volume</t>
  </si>
  <si>
    <t>Weather Adjustment to Volume - Rate Class Analysis (Therms)</t>
  </si>
  <si>
    <t>Total adjustment</t>
  </si>
  <si>
    <t>Percent change</t>
  </si>
  <si>
    <t>Residential lights</t>
  </si>
  <si>
    <t>Trans. - commercial</t>
  </si>
  <si>
    <t>Total other volume</t>
  </si>
  <si>
    <t>Total weather normalized volume</t>
  </si>
  <si>
    <t>Weather Adjustment by Rate Class (Therms)</t>
  </si>
  <si>
    <t>Residential (16)</t>
  </si>
  <si>
    <t>Residential (23,53)</t>
  </si>
  <si>
    <t>Commercial &amp; industrial (31)</t>
  </si>
  <si>
    <t>Large volume (41)</t>
  </si>
  <si>
    <t>Compressed natural gas (50)</t>
  </si>
  <si>
    <t>Standby &amp; auxiliary heating (61)</t>
  </si>
  <si>
    <t>Interruptible (85)</t>
  </si>
  <si>
    <t>Limited interruptible (86)</t>
  </si>
  <si>
    <t>Non exclusive interruptible (87)</t>
  </si>
  <si>
    <t>Trans. General services (31T)</t>
  </si>
  <si>
    <t>Trans. large volume (41T)</t>
  </si>
  <si>
    <t>Trans. interrupt with firm option (85T)</t>
  </si>
  <si>
    <t>Trans. limited interrupt w/ firm option - ind (86T)</t>
  </si>
  <si>
    <t>Trans. non-exclus inter w/firm option (87T)</t>
  </si>
  <si>
    <t>Summary of Weather Normalized Volume by Rate Class (Therms)</t>
  </si>
  <si>
    <t>Trans. limited interrupt w/ firm option (86T)</t>
  </si>
  <si>
    <t>Total sales and transport volume</t>
  </si>
  <si>
    <t>Summary of Customer Counts by Rate Groups</t>
  </si>
  <si>
    <t xml:space="preserve">Residential (16,23,53) </t>
  </si>
  <si>
    <t>Standby service (61)</t>
  </si>
  <si>
    <t>Total customer counts</t>
  </si>
  <si>
    <t>Summary of Weather Normalized Volume by Rate Groups (Therms)</t>
  </si>
  <si>
    <t>Total sales volume</t>
  </si>
  <si>
    <t>Total transportation volume</t>
  </si>
  <si>
    <t>Weather Normalized Usage Per Customer (Therms)</t>
  </si>
  <si>
    <t>Residential &amp; residential propane</t>
  </si>
  <si>
    <t>General service - commercial &amp; industrial</t>
  </si>
  <si>
    <t xml:space="preserve">Large volume </t>
  </si>
  <si>
    <t xml:space="preserve">Interruptible with firm option </t>
  </si>
  <si>
    <t xml:space="preserve">Limited interrupt w/ firm option </t>
  </si>
  <si>
    <t xml:space="preserve">Non-exclus interrupt/firm option </t>
  </si>
  <si>
    <t>Development of Margin Revenue</t>
  </si>
  <si>
    <t>Description</t>
  </si>
  <si>
    <t>Summary of Proposed Rates</t>
  </si>
  <si>
    <t>Actual Therms (New Rate)</t>
  </si>
  <si>
    <t>Delivery Revenue Per Unit ($/Therm)</t>
  </si>
  <si>
    <t>Actual Therms (Old Rate)</t>
  </si>
  <si>
    <t>Total Actual Volumetric Delivery Revenue</t>
  </si>
  <si>
    <t>Deferral</t>
  </si>
  <si>
    <t>Deferral Amortization Rate ($/Therm) (New Rate)</t>
  </si>
  <si>
    <t>Delivery Revenue Deferral and Amortization Calculations</t>
  </si>
  <si>
    <t>Monthly Allowed Delivery RPC</t>
  </si>
  <si>
    <t>Allowed Delivery Revenue</t>
  </si>
  <si>
    <t>Actual Delivery Revenue</t>
  </si>
  <si>
    <t>Interest</t>
  </si>
  <si>
    <t>Cumulative Deferral &amp; Interest</t>
  </si>
  <si>
    <t>Deferral Amortization Rate ($/Therm) Old Rate)</t>
  </si>
  <si>
    <t>Cumulative Deferral &amp; Interest Net of Amortization</t>
  </si>
  <si>
    <t>Conversion Factor (ERF UG-130138)</t>
  </si>
  <si>
    <t>Conversion Factor (2017 GRC UG-170034)</t>
  </si>
  <si>
    <t>Deferral for Journal Entry</t>
  </si>
  <si>
    <t>Deferral Amorization for Journal Entry</t>
  </si>
  <si>
    <t>Amounts highlighted in green must be updated with actuals each month using customer count and volume reports from SAP Business Objects</t>
  </si>
  <si>
    <t xml:space="preserve">Amounts highlighted in orange will be updated each May when rates change by the Cost of Service Department. </t>
  </si>
  <si>
    <t>The conversion factor should be updated as necessary when rates change and can be obtained from the Revenue Requirement Department.</t>
  </si>
  <si>
    <t>Amounts highlighted in green must be updated with actuals each month using customer count reports from SAP Business Objects</t>
  </si>
  <si>
    <t>Decoupling Account Balance</t>
  </si>
  <si>
    <t>Rate Change Impacts by Rate Schedule</t>
  </si>
  <si>
    <t>Total Forecasted</t>
  </si>
  <si>
    <t>T= S/R</t>
  </si>
  <si>
    <t>Typical Residential Bill Impacts</t>
  </si>
  <si>
    <t>Schedule 142 Rate Change</t>
  </si>
  <si>
    <t>CRM Charge (Schedule 149)</t>
  </si>
  <si>
    <t>Customer Class</t>
  </si>
  <si>
    <t>Decoupling Revenue</t>
  </si>
  <si>
    <t>Revenue Change</t>
  </si>
  <si>
    <t>Commercial &amp; industrial - Trans.</t>
  </si>
  <si>
    <t>Procurement Credit</t>
  </si>
  <si>
    <t>Schedule 142 Revenue Change</t>
  </si>
  <si>
    <t>Note: Rates above are current schedule 142 amortization rates</t>
  </si>
  <si>
    <t>Trans. limited interrupt w/ firm option - com</t>
  </si>
  <si>
    <t>Trans.  - industrial</t>
  </si>
  <si>
    <t xml:space="preserve">  Schedules 31, 31T</t>
  </si>
  <si>
    <t xml:space="preserve">  Schedules 41, 41T, 86 &amp; 86T</t>
  </si>
  <si>
    <t xml:space="preserve">Source </t>
  </si>
  <si>
    <t>Workpapers</t>
  </si>
  <si>
    <t xml:space="preserve">Non-Residential Decoupling Refund/Surcharge Amortization </t>
  </si>
  <si>
    <t>Current Non-Residential Decoupling Deferral</t>
  </si>
  <si>
    <t>Adjustment to Remove Amortization from Actual Revenue</t>
  </si>
  <si>
    <t>Allocate Deferral Amounts to Sch. 85, 85T, 87, 87T</t>
  </si>
  <si>
    <t>Interest on Non-Residential Decoupling Deferral</t>
  </si>
  <si>
    <t>Interest Adjustment (2016)</t>
  </si>
  <si>
    <t>Allocate Interest Amounts to Sch. 85, 85T, 87, 87T</t>
  </si>
  <si>
    <t>Activity (19100022)</t>
  </si>
  <si>
    <t xml:space="preserve">Deferral Adjustment </t>
  </si>
  <si>
    <t>Activity (19100012)</t>
  </si>
  <si>
    <t>Sched 141X</t>
  </si>
  <si>
    <t>Sched 141Y</t>
  </si>
  <si>
    <t>P</t>
  </si>
  <si>
    <t xml:space="preserve">S </t>
  </si>
  <si>
    <t>EDIT adjusting charge (Schedule 141X)</t>
  </si>
  <si>
    <t>Tax Reform Credit (Schedule 141Y)</t>
  </si>
  <si>
    <t>Demand</t>
  </si>
  <si>
    <t>Trans. limited interrupt w/ firm option - Com</t>
  </si>
  <si>
    <t>ERF adjusting charge (Schedule 141)</t>
  </si>
  <si>
    <r>
      <t>Rates</t>
    </r>
    <r>
      <rPr>
        <vertAlign val="superscript"/>
        <sz val="8"/>
        <rFont val="Arial"/>
        <family val="2"/>
      </rPr>
      <t xml:space="preserve"> (1)</t>
    </r>
  </si>
  <si>
    <t>Deferral amortization (Schedule 106A)</t>
  </si>
  <si>
    <t>Deferral amortization (Schedule 106B)</t>
  </si>
  <si>
    <t>0 to 900 therms</t>
  </si>
  <si>
    <r>
      <t>(Therms)</t>
    </r>
    <r>
      <rPr>
        <b/>
        <vertAlign val="superscript"/>
        <sz val="8"/>
        <color theme="1"/>
        <rFont val="Arial"/>
        <family val="2"/>
      </rPr>
      <t xml:space="preserve"> (1)</t>
    </r>
  </si>
  <si>
    <r>
      <t>Revenue</t>
    </r>
    <r>
      <rPr>
        <b/>
        <vertAlign val="superscript"/>
        <sz val="8"/>
        <color theme="1"/>
        <rFont val="Arial"/>
        <family val="2"/>
      </rPr>
      <t xml:space="preserve"> (1)</t>
    </r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</si>
  <si>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Rates for Schedule 23 customers in effect November 1, 2019</t>
    </r>
  </si>
  <si>
    <t xml:space="preserve">Average Customer counts </t>
  </si>
  <si>
    <t>Normalizing Adjustments to Remove</t>
  </si>
  <si>
    <t>Temp Normalization</t>
  </si>
  <si>
    <t>Rate Case Expense</t>
  </si>
  <si>
    <t>Bad Debt</t>
  </si>
  <si>
    <t>Injuries &amp; Damages</t>
  </si>
  <si>
    <t>2021 Gas Decoupling Filing</t>
  </si>
  <si>
    <t>Proposed Effective May 1, 2021</t>
  </si>
  <si>
    <r>
      <t xml:space="preserve">Estimated Amortization Balance as of </t>
    </r>
    <r>
      <rPr>
        <sz val="8"/>
        <color rgb="FF0000FF"/>
        <rFont val="Arial"/>
        <family val="2"/>
      </rPr>
      <t>April 30, 2021</t>
    </r>
  </si>
  <si>
    <r>
      <t xml:space="preserve">Deferred Balance at End of </t>
    </r>
    <r>
      <rPr>
        <sz val="8"/>
        <color rgb="FF0000FF"/>
        <rFont val="Arial"/>
        <family val="2"/>
      </rPr>
      <t>CY 2020</t>
    </r>
  </si>
  <si>
    <r>
      <t xml:space="preserve">Interest Balance at End of </t>
    </r>
    <r>
      <rPr>
        <sz val="8"/>
        <color rgb="FF0000FF"/>
        <rFont val="Arial"/>
        <family val="2"/>
      </rPr>
      <t>CY 2020</t>
    </r>
  </si>
  <si>
    <r>
      <rPr>
        <sz val="8"/>
        <color rgb="FF0000FF"/>
        <rFont val="Arial"/>
        <family val="2"/>
      </rPr>
      <t>CY 2020</t>
    </r>
    <r>
      <rPr>
        <sz val="8"/>
        <color theme="1"/>
        <rFont val="Arial"/>
        <family val="2"/>
      </rPr>
      <t xml:space="preserve"> Earnings Test Adjustment</t>
    </r>
  </si>
  <si>
    <t xml:space="preserve">2019 GRC Rates </t>
  </si>
  <si>
    <r>
      <rPr>
        <sz val="8"/>
        <color rgb="FF0000FF"/>
        <rFont val="Arial"/>
        <family val="2"/>
      </rPr>
      <t>CY 2020</t>
    </r>
    <r>
      <rPr>
        <sz val="8"/>
        <color theme="1"/>
        <rFont val="Arial"/>
        <family val="2"/>
      </rPr>
      <t xml:space="preserve"> Normalized Revenues </t>
    </r>
  </si>
  <si>
    <r>
      <rPr>
        <sz val="8"/>
        <color rgb="FF0000FF"/>
        <rFont val="Arial"/>
        <family val="2"/>
      </rPr>
      <t xml:space="preserve">CY 2020 </t>
    </r>
    <r>
      <rPr>
        <sz val="8"/>
        <color theme="1"/>
        <rFont val="Arial"/>
        <family val="2"/>
      </rPr>
      <t>Normalized Sales (therm)</t>
    </r>
  </si>
  <si>
    <t>2020 Filing</t>
  </si>
  <si>
    <t>May 2021 - April 2022</t>
  </si>
  <si>
    <t>Sched 141Z</t>
  </si>
  <si>
    <t>R = sum(G:Q)</t>
  </si>
  <si>
    <r>
      <t xml:space="preserve">Avg. Rate per @ rates effective </t>
    </r>
    <r>
      <rPr>
        <b/>
        <sz val="8"/>
        <color rgb="FF0000FF"/>
        <rFont val="Arial"/>
        <family val="2"/>
      </rPr>
      <t>11/1/2020</t>
    </r>
  </si>
  <si>
    <r>
      <rPr>
        <b/>
        <sz val="8"/>
        <color rgb="FF0000FF"/>
        <rFont val="Arial"/>
        <family val="2"/>
      </rPr>
      <t xml:space="preserve">CY 2020 </t>
    </r>
    <r>
      <rPr>
        <b/>
        <sz val="8"/>
        <rFont val="Arial"/>
        <family val="2"/>
      </rPr>
      <t>Normalized Volumes</t>
    </r>
  </si>
  <si>
    <r>
      <rPr>
        <b/>
        <sz val="8"/>
        <color rgb="FF0000FF"/>
        <rFont val="Arial"/>
        <family val="2"/>
      </rPr>
      <t xml:space="preserve">CY 2020 </t>
    </r>
    <r>
      <rPr>
        <b/>
        <sz val="8"/>
        <rFont val="Arial"/>
        <family val="2"/>
      </rPr>
      <t xml:space="preserve">Normalized Revenues </t>
    </r>
  </si>
  <si>
    <t>Effective 10/1/2020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</si>
  <si>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</si>
  <si>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12 Months Ended December 31, 2020</t>
  </si>
  <si>
    <r>
      <t xml:space="preserve">Earnings Test Allocation to </t>
    </r>
    <r>
      <rPr>
        <b/>
        <sz val="8"/>
        <color rgb="FF0000FF"/>
        <rFont val="Arial"/>
        <family val="2"/>
      </rPr>
      <t>CY2020</t>
    </r>
    <r>
      <rPr>
        <b/>
        <sz val="8"/>
        <rFont val="Arial"/>
        <family val="2"/>
      </rPr>
      <t xml:space="preserve"> Decoupling Groups</t>
    </r>
  </si>
  <si>
    <t xml:space="preserve">Current Rates </t>
  </si>
  <si>
    <t>Effective May 1, 2020</t>
  </si>
  <si>
    <t>Effective May 1, 2021</t>
  </si>
  <si>
    <t>Unprotected Excess Deferred Income Tax (Schedule 141Z)</t>
  </si>
  <si>
    <r>
      <t xml:space="preserve">Deferral Balance at End of </t>
    </r>
    <r>
      <rPr>
        <sz val="8"/>
        <color rgb="FF0000FF"/>
        <rFont val="Arial"/>
        <family val="2"/>
      </rPr>
      <t>CY 2020</t>
    </r>
  </si>
  <si>
    <t>Transfer Balance to new Surcharge/Refund Account - Per 2019 GRC</t>
  </si>
  <si>
    <r>
      <rPr>
        <b/>
        <sz val="8"/>
        <rFont val="Arial"/>
        <family val="2"/>
      </rPr>
      <t>Estimated Amortization through</t>
    </r>
    <r>
      <rPr>
        <b/>
        <sz val="8"/>
        <color rgb="FF0000FF"/>
        <rFont val="Arial"/>
        <family val="2"/>
      </rPr>
      <t xml:space="preserve"> April 2021</t>
    </r>
  </si>
  <si>
    <t>**</t>
  </si>
  <si>
    <t>**NOTE: 2019 GRC Gas rates went into effect October 1, 2020.</t>
  </si>
  <si>
    <t>12ME Apr 2022</t>
  </si>
  <si>
    <t>Source: F2020 PSE Load forecast</t>
  </si>
  <si>
    <t>CY 2020</t>
  </si>
  <si>
    <t>Actual Average Customers</t>
  </si>
  <si>
    <t>Weather Normalization of Volume</t>
  </si>
  <si>
    <t>2019 GRC: Exh. JAP-13 Page 1</t>
  </si>
  <si>
    <t>2019 GRC: Exh. JAP-13 Page 4</t>
  </si>
  <si>
    <t>PUGET SOUND ENERGY-GAS</t>
  </si>
  <si>
    <t>FOR THE TWELVE MONTHS ENDED DECEMBER 31, 2018</t>
  </si>
  <si>
    <t>2019 GENERAL RATE CASE</t>
  </si>
  <si>
    <t>STATE UTILITY TAX - NET OF BAD DEBTS ( 3.852% - ( LINE 1 * 3.852%) )</t>
  </si>
  <si>
    <t xml:space="preserve">Account Write off </t>
  </si>
  <si>
    <t>2019 GRC: Exh. JAP-13 Page 1/Page 2</t>
  </si>
  <si>
    <r>
      <t xml:space="preserve">Remove Rev Sensitive Items </t>
    </r>
    <r>
      <rPr>
        <sz val="8"/>
        <color rgb="FF0000FF"/>
        <rFont val="Arial"/>
        <family val="2"/>
      </rPr>
      <t>(2019 GRC Conversion Factor)</t>
    </r>
  </si>
  <si>
    <t xml:space="preserve">Tariff Sheet No. 1142-D </t>
  </si>
  <si>
    <t>Tariff Sheet No. 1142-E</t>
  </si>
  <si>
    <t>Development of Schedule 142 Rates for Rate Schedules 31, 31T, 41, 41T, 86 &amp; 86T</t>
  </si>
  <si>
    <t>PUGET SOUND ENERGY</t>
  </si>
  <si>
    <t>Gas Earnings Sharing Test (Excludes Normalizing Adjustments per UE-170033 / UG-170034)</t>
  </si>
  <si>
    <t>Commission Basis Report</t>
  </si>
  <si>
    <t>FOR THE TWELVE MONTHS ENDED DECEMBER 31, 2020</t>
  </si>
  <si>
    <t>2020 CBR as Filed</t>
  </si>
  <si>
    <t>2020 Adjusted CBR Earnings Test</t>
  </si>
  <si>
    <t>Rate Base Adjustments</t>
  </si>
  <si>
    <t>Commission basis report pg 3-A thru 3-B</t>
  </si>
  <si>
    <t xml:space="preserve">Restated Rate Base </t>
  </si>
  <si>
    <t>Commission basis report pg 1.01 line b</t>
  </si>
  <si>
    <t>Two months 17GRC; Ten months 18ERF</t>
  </si>
  <si>
    <t>(Source: UG-180900 and UG-190530)</t>
  </si>
  <si>
    <t>Maximum Net Operating Income</t>
  </si>
  <si>
    <t>Line 2 x Line 3</t>
  </si>
  <si>
    <t>Normalizing Adjustments</t>
  </si>
  <si>
    <t>Restated Net Operating Income (Cumulative)</t>
  </si>
  <si>
    <t>Previous Column + Line 5</t>
  </si>
  <si>
    <t>Difference</t>
  </si>
  <si>
    <t>Line 4 - Line 6</t>
  </si>
  <si>
    <t>Excess Earnings (Cumulative)</t>
  </si>
  <si>
    <t>Greater of zero or line 7</t>
  </si>
  <si>
    <t>Earnings Sharing %</t>
  </si>
  <si>
    <t>UE-121697</t>
  </si>
  <si>
    <t>After-Tax Earnings Sharing (Cumulative)</t>
  </si>
  <si>
    <t>Line 8 x Line 9</t>
  </si>
  <si>
    <t>Incremental Earnings Sharing for CY 2019 for Cost of Svc</t>
  </si>
  <si>
    <t>Line 10 ÷ Line11, &amp; for adj:  (Line 10 - Previous Line 10) ÷ Line11</t>
  </si>
  <si>
    <t>2021 Gas Schedule 142 Decoupling Filing</t>
  </si>
  <si>
    <t>Proposed Rates Effective May 1, 2021</t>
  </si>
  <si>
    <t>UG-190530</t>
  </si>
  <si>
    <t>12ME Apr. 2022</t>
  </si>
  <si>
    <t>Sch. 142</t>
  </si>
  <si>
    <t>(1) Weather normalized volume and margin for 12 months ending December 2018, at approved rates from UG-190530 GRC compliance filing. The rates do not include schedules 140, 141 and 142.</t>
  </si>
  <si>
    <t>(2) Forecasted revenues at current rates effective November 1,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</si>
</sst>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0.0%"/>
    <numFmt numFmtId="168" formatCode="&quot;$&quot;#,##0\ ;\(&quot;$&quot;#,##0\)"/>
    <numFmt numFmtId="169" formatCode="&quot;$&quot;#,##0.00000"/>
    <numFmt numFmtId="170" formatCode="&quot;$&quot;#,##0.00\ ;\(&quot;$&quot;#,##0.00\)"/>
    <numFmt numFmtId="171" formatCode="0.000%"/>
    <numFmt numFmtId="172" formatCode="&quot;$&quot;#,##0.00000_);\(&quot;$&quot;#,##0.00000\)"/>
    <numFmt numFmtId="173" formatCode="&quot;$&quot;#,##0.00000\ ;\(&quot;$&quot;#,##0.00000\)"/>
    <numFmt numFmtId="174" formatCode="_(&quot;$&quot;* #,##0.00000_);_(&quot;$&quot;* \(#,##0.00000\);_(&quot;$&quot;* &quot;-&quot;?????_);_(@_)"/>
    <numFmt numFmtId="175" formatCode="_(&quot;$&quot;* #,##0.00_);_(&quot;$&quot;* \(#,##0.00\);_(&quot;$&quot;* &quot;-&quot;?????_);_(@_)"/>
    <numFmt numFmtId="176" formatCode="_(&quot;$&quot;* #,##0.00_);_(&quot;$&quot;* \(#,##0.00\);_(&quot;$&quot;* &quot;-&quot;_);_(@_)"/>
    <numFmt numFmtId="177" formatCode="#,##0.000_);\(#,##0.000\)"/>
    <numFmt numFmtId="178" formatCode="_(&quot;$&quot;* #,##0.0_);_(&quot;$&quot;* \(#,##0.0\);_(&quot;$&quot;* &quot;-&quot;??_);_(@_)"/>
    <numFmt numFmtId="179" formatCode="0.000000"/>
    <numFmt numFmtId="180" formatCode="_(* #,##0.000000_);_(* \(#,##0.000000\);_(* &quot;-&quot;?????_);_(@_)"/>
    <numFmt numFmtId="181" formatCode="[$-409]mmm\-yy;@"/>
    <numFmt numFmtId="182" formatCode="0.0000"/>
    <numFmt numFmtId="183" formatCode="0.00000"/>
    <numFmt numFmtId="184" formatCode="#,##0;&quot;-&quot;#,##0"/>
    <numFmt numFmtId="185" formatCode="_(&quot;$&quot;* #,##0.0000_);_(&quot;$&quot;* \(#,##0.0000\);_(&quot;$&quot;* &quot;-&quot;????_);_(@_)"/>
    <numFmt numFmtId="186" formatCode="00000"/>
    <numFmt numFmtId="187" formatCode="#,##0.00000000000;[Red]\-#,##0.00000000000"/>
    <numFmt numFmtId="188" formatCode="&quot;$&quot;#,##0.00"/>
    <numFmt numFmtId="189" formatCode="_(* #,##0.000000_);_(* \(#,##0.000000\);_(* &quot;-&quot;??????_);_(@_)"/>
    <numFmt numFmtId="190" formatCode="_(&quot;$&quot;* #,##0.000000_);_(&quot;$&quot;* \(#,##0.000000\);_(&quot;$&quot;* &quot;-&quot;??_);_(@_)"/>
    <numFmt numFmtId="191" formatCode="_(&quot;$&quot;* #,##0.0000000_);_(&quot;$&quot;* \(#,##0.0000000\);_(&quot;$&quot;* &quot;-&quot;??_);_(@_)"/>
    <numFmt numFmtId="192" formatCode="_(&quot;$&quot;* #,##0.00_);_(&quot;$&quot;* \(#,##0.00\);_(&quot;$&quot;* &quot;-&quot;???????_);_(@_)"/>
    <numFmt numFmtId="193" formatCode="#,##0.000000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8"/>
      <color rgb="FFFF0000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rgb="FF008080"/>
      <name val="Arial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  <font>
      <sz val="8"/>
      <color indexed="12"/>
      <name val="Arial"/>
      <family val="2"/>
    </font>
    <font>
      <sz val="8"/>
      <color rgb="FF008080"/>
      <name val="Arial"/>
      <family val="2"/>
    </font>
    <font>
      <sz val="8"/>
      <color indexed="17"/>
      <name val="Arial"/>
      <family val="2"/>
    </font>
    <font>
      <sz val="8"/>
      <color theme="1"/>
      <name val="Calibri"/>
      <family val="2"/>
    </font>
    <font>
      <b/>
      <sz val="8"/>
      <color rgb="FF0000FF"/>
      <name val="Arial"/>
      <family val="2"/>
    </font>
    <font>
      <b/>
      <i/>
      <u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u/>
      <sz val="8"/>
      <name val="Arial"/>
      <family val="2"/>
    </font>
    <font>
      <sz val="8"/>
      <color indexed="8"/>
      <name val="Arial"/>
      <family val="2"/>
    </font>
    <font>
      <sz val="8"/>
      <color theme="8" tint="-0.249977111117893"/>
      <name val="Arial"/>
      <family val="2"/>
    </font>
    <font>
      <sz val="10"/>
      <name val="MS Sans Serif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sz val="12"/>
      <name val="Helv"/>
    </font>
    <font>
      <b/>
      <sz val="10"/>
      <name val="Arial"/>
      <family val="2"/>
    </font>
    <font>
      <sz val="10.5"/>
      <color theme="1"/>
      <name val="Calibri"/>
      <family val="2"/>
    </font>
    <font>
      <sz val="8"/>
      <name val="Helv"/>
    </font>
    <font>
      <sz val="11"/>
      <color indexed="8"/>
      <name val="Calibri"/>
      <family val="2"/>
      <scheme val="minor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i/>
      <sz val="8"/>
      <color rgb="FF0000FF"/>
      <name val="Arial"/>
      <family val="2"/>
    </font>
    <font>
      <sz val="11"/>
      <name val="Calibri"/>
      <family val="2"/>
      <scheme val="minor"/>
    </font>
    <font>
      <sz val="11"/>
      <color rgb="FF008080"/>
      <name val="Calibri"/>
      <family val="2"/>
      <scheme val="minor"/>
    </font>
    <font>
      <vertAlign val="superscript"/>
      <sz val="8"/>
      <name val="Arial"/>
      <family val="2"/>
    </font>
    <font>
      <sz val="8"/>
      <color indexed="21"/>
      <name val="Arial"/>
      <family val="2"/>
    </font>
    <font>
      <b/>
      <vertAlign val="superscript"/>
      <sz val="8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i/>
      <sz val="8"/>
      <color rgb="FF00808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8">
    <xf numFmtId="0" fontId="0" fillId="0" borderId="0"/>
    <xf numFmtId="43" fontId="24" fillId="0" borderId="0" applyFont="0" applyFill="0" applyBorder="0" applyAlignment="0" applyProtection="0"/>
    <xf numFmtId="185" fontId="1" fillId="0" borderId="0">
      <alignment horizontal="left" wrapText="1"/>
    </xf>
    <xf numFmtId="44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44" fontId="1" fillId="0" borderId="0" applyFont="0" applyFill="0" applyBorder="0" applyAlignment="0" applyProtection="0"/>
    <xf numFmtId="168" fontId="30" fillId="0" borderId="0" applyFont="0" applyFill="0" applyBorder="0" applyAlignment="0" applyProtection="0"/>
    <xf numFmtId="0" fontId="1" fillId="0" borderId="0" applyFont="0" applyFill="0" applyBorder="0" applyAlignment="0" applyProtection="0"/>
    <xf numFmtId="186" fontId="1" fillId="0" borderId="0"/>
    <xf numFmtId="2" fontId="30" fillId="0" borderId="0" applyFont="0" applyFill="0" applyBorder="0" applyAlignment="0" applyProtection="0"/>
    <xf numFmtId="38" fontId="6" fillId="7" borderId="0" applyNumberFormat="0" applyBorder="0" applyAlignment="0" applyProtection="0"/>
    <xf numFmtId="38" fontId="7" fillId="0" borderId="0"/>
    <xf numFmtId="40" fontId="7" fillId="0" borderId="0"/>
    <xf numFmtId="10" fontId="6" fillId="8" borderId="11" applyNumberFormat="0" applyBorder="0" applyAlignment="0" applyProtection="0"/>
    <xf numFmtId="44" fontId="32" fillId="0" borderId="16" applyNumberFormat="0" applyFont="0" applyAlignment="0">
      <alignment horizontal="center"/>
    </xf>
    <xf numFmtId="44" fontId="32" fillId="0" borderId="17" applyNumberFormat="0" applyFont="0" applyAlignment="0">
      <alignment horizontal="center"/>
    </xf>
    <xf numFmtId="187" fontId="1" fillId="0" borderId="0"/>
    <xf numFmtId="0" fontId="33" fillId="0" borderId="0"/>
    <xf numFmtId="179" fontId="34" fillId="0" borderId="0">
      <alignment horizontal="left" wrapText="1"/>
    </xf>
    <xf numFmtId="0" fontId="35" fillId="0" borderId="0"/>
    <xf numFmtId="0" fontId="27" fillId="0" borderId="0"/>
    <xf numFmtId="0" fontId="1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8" borderId="0"/>
    <xf numFmtId="0" fontId="31" fillId="9" borderId="0"/>
    <xf numFmtId="0" fontId="36" fillId="9" borderId="18"/>
    <xf numFmtId="0" fontId="37" fillId="10" borderId="19"/>
    <xf numFmtId="0" fontId="38" fillId="9" borderId="20"/>
    <xf numFmtId="42" fontId="39" fillId="11" borderId="5">
      <alignment vertical="center"/>
    </xf>
    <xf numFmtId="0" fontId="32" fillId="8" borderId="1" applyNumberFormat="0">
      <alignment horizontal="center" vertical="center" wrapText="1"/>
    </xf>
    <xf numFmtId="185" fontId="1" fillId="8" borderId="0"/>
    <xf numFmtId="42" fontId="40" fillId="8" borderId="21">
      <alignment horizontal="left"/>
    </xf>
    <xf numFmtId="38" fontId="6" fillId="0" borderId="22"/>
    <xf numFmtId="38" fontId="7" fillId="0" borderId="21"/>
    <xf numFmtId="179" fontId="1" fillId="0" borderId="0">
      <alignment horizontal="left" wrapText="1"/>
    </xf>
    <xf numFmtId="0" fontId="1" fillId="0" borderId="0" applyNumberFormat="0" applyBorder="0" applyAlignment="0"/>
    <xf numFmtId="0" fontId="31" fillId="0" borderId="0"/>
    <xf numFmtId="0" fontId="36" fillId="9" borderId="0"/>
    <xf numFmtId="188" fontId="41" fillId="0" borderId="0">
      <alignment horizontal="left" vertical="center"/>
    </xf>
    <xf numFmtId="0" fontId="32" fillId="8" borderId="0">
      <alignment horizontal="left" wrapText="1"/>
    </xf>
    <xf numFmtId="0" fontId="42" fillId="0" borderId="0">
      <alignment horizontal="left" vertical="center"/>
    </xf>
    <xf numFmtId="9" fontId="27" fillId="0" borderId="0" applyFont="0" applyFill="0" applyBorder="0" applyAlignment="0" applyProtection="0"/>
    <xf numFmtId="0" fontId="1" fillId="0" borderId="0"/>
    <xf numFmtId="0" fontId="35" fillId="0" borderId="0"/>
  </cellStyleXfs>
  <cellXfs count="404">
    <xf numFmtId="0" fontId="0" fillId="0" borderId="0" xfId="0"/>
    <xf numFmtId="0" fontId="4" fillId="0" borderId="0" xfId="0" applyNumberFormat="1" applyFont="1" applyAlignment="1">
      <alignment horizontal="center"/>
    </xf>
    <xf numFmtId="42" fontId="4" fillId="0" borderId="0" xfId="0" applyNumberFormat="1" applyFont="1" applyAlignment="1">
      <alignment horizontal="center"/>
    </xf>
    <xf numFmtId="0" fontId="6" fillId="0" borderId="0" xfId="0" applyNumberFormat="1" applyFont="1" applyAlignment="1"/>
    <xf numFmtId="0" fontId="7" fillId="0" borderId="0" xfId="0" applyFont="1"/>
    <xf numFmtId="0" fontId="7" fillId="0" borderId="0" xfId="0" applyFont="1" applyFill="1" applyAlignment="1"/>
    <xf numFmtId="0" fontId="8" fillId="0" borderId="0" xfId="0" applyFont="1" applyFill="1" applyAlignment="1"/>
    <xf numFmtId="0" fontId="6" fillId="0" borderId="0" xfId="0" applyFont="1"/>
    <xf numFmtId="0" fontId="6" fillId="0" borderId="0" xfId="0" applyFont="1" applyFill="1"/>
    <xf numFmtId="0" fontId="9" fillId="0" borderId="0" xfId="0" applyFont="1" applyFill="1" applyAlignment="1"/>
    <xf numFmtId="0" fontId="10" fillId="0" borderId="0" xfId="0" applyFont="1" applyFill="1" applyAlignment="1"/>
    <xf numFmtId="0" fontId="4" fillId="0" borderId="0" xfId="0" applyFont="1" applyFill="1"/>
    <xf numFmtId="0" fontId="11" fillId="0" borderId="0" xfId="0" applyFont="1" applyFill="1" applyAlignment="1">
      <alignment horizontal="center"/>
    </xf>
    <xf numFmtId="17" fontId="12" fillId="0" borderId="0" xfId="0" applyNumberFormat="1" applyFont="1" applyFill="1" applyAlignment="1">
      <alignment horizontal="center" wrapText="1"/>
    </xf>
    <xf numFmtId="0" fontId="7" fillId="0" borderId="0" xfId="0" applyFont="1" applyAlignment="1"/>
    <xf numFmtId="0" fontId="13" fillId="0" borderId="0" xfId="0" applyFont="1" applyFill="1" applyAlignment="1">
      <alignment horizontal="left"/>
    </xf>
    <xf numFmtId="44" fontId="5" fillId="0" borderId="0" xfId="0" applyNumberFormat="1" applyFont="1" applyFill="1"/>
    <xf numFmtId="44" fontId="6" fillId="0" borderId="0" xfId="0" applyNumberFormat="1" applyFont="1" applyFill="1"/>
    <xf numFmtId="0" fontId="5" fillId="0" borderId="0" xfId="0" applyFont="1"/>
    <xf numFmtId="0" fontId="4" fillId="0" borderId="0" xfId="0" applyFont="1" applyFill="1" applyAlignment="1">
      <alignment horizontal="left"/>
    </xf>
    <xf numFmtId="43" fontId="13" fillId="0" borderId="0" xfId="0" applyNumberFormat="1" applyFont="1" applyFill="1"/>
    <xf numFmtId="0" fontId="14" fillId="0" borderId="0" xfId="0" applyFont="1"/>
    <xf numFmtId="43" fontId="15" fillId="0" borderId="0" xfId="0" applyNumberFormat="1" applyFont="1" applyFill="1"/>
    <xf numFmtId="43" fontId="5" fillId="0" borderId="0" xfId="0" applyNumberFormat="1" applyFont="1" applyFill="1"/>
    <xf numFmtId="43" fontId="6" fillId="0" borderId="5" xfId="0" applyNumberFormat="1" applyFont="1" applyFill="1" applyBorder="1"/>
    <xf numFmtId="0" fontId="16" fillId="0" borderId="0" xfId="0" applyFont="1"/>
    <xf numFmtId="0" fontId="4" fillId="0" borderId="0" xfId="0" applyFont="1"/>
    <xf numFmtId="44" fontId="6" fillId="0" borderId="0" xfId="0" applyNumberFormat="1" applyFont="1" applyFill="1" applyBorder="1"/>
    <xf numFmtId="43" fontId="6" fillId="0" borderId="1" xfId="0" applyNumberFormat="1" applyFont="1" applyFill="1" applyBorder="1"/>
    <xf numFmtId="44" fontId="6" fillId="0" borderId="2" xfId="0" applyNumberFormat="1" applyFont="1" applyFill="1" applyBorder="1"/>
    <xf numFmtId="43" fontId="6" fillId="0" borderId="0" xfId="0" applyNumberFormat="1" applyFont="1" applyFill="1"/>
    <xf numFmtId="44" fontId="6" fillId="0" borderId="3" xfId="0" applyNumberFormat="1" applyFont="1" applyFill="1" applyBorder="1"/>
    <xf numFmtId="44" fontId="6" fillId="0" borderId="0" xfId="0" applyNumberFormat="1" applyFont="1"/>
    <xf numFmtId="164" fontId="6" fillId="0" borderId="0" xfId="0" applyNumberFormat="1" applyFont="1"/>
    <xf numFmtId="178" fontId="6" fillId="0" borderId="0" xfId="0" applyNumberFormat="1" applyFont="1"/>
    <xf numFmtId="0" fontId="5" fillId="6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164" fontId="13" fillId="0" borderId="0" xfId="0" applyNumberFormat="1" applyFont="1" applyFill="1" applyBorder="1"/>
    <xf numFmtId="164" fontId="15" fillId="0" borderId="0" xfId="0" applyNumberFormat="1" applyFont="1" applyFill="1" applyBorder="1"/>
    <xf numFmtId="164" fontId="15" fillId="0" borderId="1" xfId="0" applyNumberFormat="1" applyFont="1" applyFill="1" applyBorder="1"/>
    <xf numFmtId="3" fontId="15" fillId="0" borderId="1" xfId="0" applyNumberFormat="1" applyFont="1" applyFill="1" applyBorder="1"/>
    <xf numFmtId="165" fontId="13" fillId="0" borderId="2" xfId="0" applyNumberFormat="1" applyFont="1" applyFill="1" applyBorder="1"/>
    <xf numFmtId="165" fontId="13" fillId="0" borderId="0" xfId="0" applyNumberFormat="1" applyFont="1" applyFill="1"/>
    <xf numFmtId="164" fontId="13" fillId="0" borderId="0" xfId="0" applyNumberFormat="1" applyFont="1" applyFill="1"/>
    <xf numFmtId="10" fontId="13" fillId="0" borderId="0" xfId="0" applyNumberFormat="1" applyFont="1" applyFill="1"/>
    <xf numFmtId="0" fontId="7" fillId="0" borderId="0" xfId="0" applyFont="1" applyAlignment="1">
      <alignment horizontal="centerContinuous"/>
    </xf>
    <xf numFmtId="41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1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quotePrefix="1" applyFont="1" applyFill="1" applyBorder="1" applyAlignment="1">
      <alignment horizontal="center"/>
    </xf>
    <xf numFmtId="9" fontId="15" fillId="0" borderId="0" xfId="0" applyNumberFormat="1" applyFont="1" applyFill="1" applyBorder="1"/>
    <xf numFmtId="9" fontId="6" fillId="0" borderId="0" xfId="0" applyNumberFormat="1" applyFont="1" applyFill="1" applyBorder="1"/>
    <xf numFmtId="0" fontId="7" fillId="0" borderId="0" xfId="0" applyFont="1" applyFill="1" applyBorder="1" applyProtection="1">
      <protection locked="0"/>
    </xf>
    <xf numFmtId="0" fontId="15" fillId="0" borderId="0" xfId="0" applyFont="1" applyFill="1" applyBorder="1"/>
    <xf numFmtId="0" fontId="6" fillId="0" borderId="0" xfId="0" applyFont="1" applyFill="1" applyBorder="1"/>
    <xf numFmtId="173" fontId="15" fillId="0" borderId="0" xfId="0" applyNumberFormat="1" applyFont="1" applyFill="1" applyBorder="1"/>
    <xf numFmtId="173" fontId="6" fillId="0" borderId="0" xfId="0" applyNumberFormat="1" applyFont="1" applyFill="1" applyBorder="1"/>
    <xf numFmtId="170" fontId="6" fillId="0" borderId="0" xfId="0" applyNumberFormat="1" applyFont="1" applyFill="1" applyBorder="1"/>
    <xf numFmtId="0" fontId="6" fillId="0" borderId="0" xfId="0" applyFont="1" applyFill="1" applyBorder="1" applyProtection="1">
      <protection locked="0"/>
    </xf>
    <xf numFmtId="3" fontId="6" fillId="0" borderId="0" xfId="0" applyNumberFormat="1" applyFont="1" applyFill="1" applyBorder="1"/>
    <xf numFmtId="0" fontId="13" fillId="0" borderId="0" xfId="0" applyFont="1"/>
    <xf numFmtId="0" fontId="6" fillId="0" borderId="0" xfId="0" applyFont="1" applyFill="1" applyAlignment="1"/>
    <xf numFmtId="0" fontId="7" fillId="0" borderId="0" xfId="0" applyFont="1" applyFill="1"/>
    <xf numFmtId="0" fontId="7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172" fontId="15" fillId="0" borderId="0" xfId="0" applyNumberFormat="1" applyFont="1" applyFill="1" applyAlignment="1"/>
    <xf numFmtId="0" fontId="20" fillId="0" borderId="0" xfId="0" applyFont="1" applyFill="1"/>
    <xf numFmtId="0" fontId="13" fillId="0" borderId="1" xfId="0" applyFont="1" applyFill="1" applyBorder="1" applyAlignment="1"/>
    <xf numFmtId="164" fontId="15" fillId="0" borderId="0" xfId="0" applyNumberFormat="1" applyFont="1" applyFill="1"/>
    <xf numFmtId="0" fontId="15" fillId="0" borderId="0" xfId="0" applyFont="1" applyFill="1"/>
    <xf numFmtId="165" fontId="15" fillId="0" borderId="0" xfId="0" applyNumberFormat="1" applyFont="1" applyFill="1"/>
    <xf numFmtId="10" fontId="13" fillId="0" borderId="0" xfId="0" applyNumberFormat="1" applyFont="1" applyFill="1" applyBorder="1"/>
    <xf numFmtId="165" fontId="13" fillId="0" borderId="0" xfId="0" applyNumberFormat="1" applyFont="1" applyFill="1" applyBorder="1"/>
    <xf numFmtId="165" fontId="17" fillId="0" borderId="0" xfId="0" applyNumberFormat="1" applyFont="1" applyFill="1"/>
    <xf numFmtId="0" fontId="7" fillId="0" borderId="0" xfId="0" applyNumberFormat="1" applyFont="1" applyAlignment="1"/>
    <xf numFmtId="0" fontId="6" fillId="0" borderId="0" xfId="0" applyNumberFormat="1" applyFont="1" applyFill="1" applyAlignment="1"/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Continuous" vertical="center"/>
    </xf>
    <xf numFmtId="0" fontId="6" fillId="0" borderId="8" xfId="0" applyNumberFormat="1" applyFont="1" applyBorder="1" applyAlignment="1">
      <alignment horizontal="center"/>
    </xf>
    <xf numFmtId="0" fontId="6" fillId="0" borderId="8" xfId="0" applyNumberFormat="1" applyFont="1" applyBorder="1" applyAlignment="1">
      <alignment horizontal="left"/>
    </xf>
    <xf numFmtId="0" fontId="6" fillId="0" borderId="9" xfId="0" applyNumberFormat="1" applyFont="1" applyBorder="1" applyAlignment="1"/>
    <xf numFmtId="42" fontId="6" fillId="0" borderId="15" xfId="0" applyNumberFormat="1" applyFont="1" applyFill="1" applyBorder="1" applyAlignment="1"/>
    <xf numFmtId="0" fontId="6" fillId="0" borderId="9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left"/>
    </xf>
    <xf numFmtId="42" fontId="6" fillId="0" borderId="9" xfId="0" applyNumberFormat="1" applyFont="1" applyBorder="1" applyAlignment="1"/>
    <xf numFmtId="42" fontId="6" fillId="0" borderId="9" xfId="0" applyNumberFormat="1" applyFont="1" applyFill="1" applyBorder="1" applyAlignment="1"/>
    <xf numFmtId="42" fontId="6" fillId="0" borderId="8" xfId="0" applyNumberFormat="1" applyFont="1" applyBorder="1" applyAlignment="1"/>
    <xf numFmtId="42" fontId="6" fillId="0" borderId="8" xfId="0" applyNumberFormat="1" applyFont="1" applyFill="1" applyBorder="1" applyAlignment="1"/>
    <xf numFmtId="3" fontId="6" fillId="0" borderId="8" xfId="0" applyNumberFormat="1" applyFont="1" applyBorder="1" applyAlignment="1"/>
    <xf numFmtId="3" fontId="6" fillId="0" borderId="8" xfId="0" applyNumberFormat="1" applyFont="1" applyFill="1" applyBorder="1" applyAlignment="1"/>
    <xf numFmtId="0" fontId="6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left"/>
    </xf>
    <xf numFmtId="42" fontId="6" fillId="0" borderId="11" xfId="0" applyNumberFormat="1" applyFont="1" applyBorder="1" applyAlignment="1"/>
    <xf numFmtId="42" fontId="6" fillId="0" borderId="11" xfId="0" applyNumberFormat="1" applyFont="1" applyFill="1" applyBorder="1" applyAlignment="1"/>
    <xf numFmtId="0" fontId="13" fillId="0" borderId="1" xfId="0" applyNumberFormat="1" applyFont="1" applyFill="1" applyBorder="1" applyAlignment="1"/>
    <xf numFmtId="0" fontId="13" fillId="0" borderId="0" xfId="0" quotePrefix="1" applyFont="1" applyFill="1" applyAlignment="1">
      <alignment horizontal="center"/>
    </xf>
    <xf numFmtId="164" fontId="13" fillId="0" borderId="0" xfId="0" quotePrefix="1" applyNumberFormat="1" applyFont="1" applyFill="1" applyAlignment="1">
      <alignment horizontal="center"/>
    </xf>
    <xf numFmtId="9" fontId="13" fillId="0" borderId="0" xfId="0" quotePrefix="1" applyNumberFormat="1" applyFont="1" applyFill="1" applyAlignment="1">
      <alignment horizontal="right"/>
    </xf>
    <xf numFmtId="167" fontId="13" fillId="0" borderId="0" xfId="0" applyNumberFormat="1" applyFont="1" applyFill="1" applyBorder="1"/>
    <xf numFmtId="164" fontId="15" fillId="0" borderId="0" xfId="0" quotePrefix="1" applyNumberFormat="1" applyFont="1" applyFill="1" applyAlignment="1">
      <alignment horizontal="center"/>
    </xf>
    <xf numFmtId="41" fontId="7" fillId="0" borderId="1" xfId="0" applyNumberFormat="1" applyFont="1" applyFill="1" applyBorder="1" applyAlignment="1">
      <alignment horizontal="center" vertical="center"/>
    </xf>
    <xf numFmtId="179" fontId="15" fillId="0" borderId="0" xfId="0" applyNumberFormat="1" applyFont="1" applyFill="1" applyBorder="1"/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/>
    </xf>
    <xf numFmtId="3" fontId="5" fillId="0" borderId="0" xfId="0" applyNumberFormat="1" applyFont="1" applyFill="1"/>
    <xf numFmtId="37" fontId="6" fillId="0" borderId="0" xfId="0" applyNumberFormat="1" applyFont="1" applyFill="1"/>
    <xf numFmtId="0" fontId="6" fillId="0" borderId="0" xfId="0" applyFont="1" applyAlignment="1">
      <alignment horizontal="left"/>
    </xf>
    <xf numFmtId="3" fontId="6" fillId="0" borderId="0" xfId="0" applyNumberFormat="1" applyFont="1" applyBorder="1"/>
    <xf numFmtId="0" fontId="7" fillId="0" borderId="0" xfId="0" applyFont="1" applyAlignment="1">
      <alignment horizontal="left"/>
    </xf>
    <xf numFmtId="166" fontId="6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166" fontId="6" fillId="0" borderId="4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166" fontId="14" fillId="0" borderId="0" xfId="0" applyNumberFormat="1" applyFont="1" applyFill="1" applyBorder="1"/>
    <xf numFmtId="166" fontId="6" fillId="0" borderId="0" xfId="0" applyNumberFormat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Alignment="1">
      <alignment horizontal="left"/>
    </xf>
    <xf numFmtId="37" fontId="6" fillId="0" borderId="0" xfId="0" applyNumberFormat="1" applyFont="1" applyFill="1" applyBorder="1"/>
    <xf numFmtId="166" fontId="6" fillId="0" borderId="0" xfId="0" applyNumberFormat="1" applyFont="1" applyFill="1" applyAlignment="1">
      <alignment horizontal="left"/>
    </xf>
    <xf numFmtId="166" fontId="6" fillId="0" borderId="1" xfId="0" applyNumberFormat="1" applyFont="1" applyFill="1" applyBorder="1" applyAlignment="1">
      <alignment horizontal="center"/>
    </xf>
    <xf numFmtId="17" fontId="6" fillId="0" borderId="0" xfId="0" applyNumberFormat="1" applyFont="1" applyFill="1" applyBorder="1"/>
    <xf numFmtId="166" fontId="22" fillId="0" borderId="0" xfId="0" applyNumberFormat="1" applyFont="1" applyFill="1" applyBorder="1"/>
    <xf numFmtId="37" fontId="14" fillId="0" borderId="0" xfId="0" applyNumberFormat="1" applyFont="1" applyFill="1" applyBorder="1"/>
    <xf numFmtId="39" fontId="6" fillId="0" borderId="0" xfId="0" applyNumberFormat="1" applyFont="1" applyFill="1"/>
    <xf numFmtId="2" fontId="6" fillId="0" borderId="0" xfId="0" applyNumberFormat="1" applyFont="1" applyFill="1"/>
    <xf numFmtId="177" fontId="6" fillId="0" borderId="0" xfId="0" applyNumberFormat="1" applyFont="1" applyFill="1"/>
    <xf numFmtId="177" fontId="6" fillId="0" borderId="0" xfId="0" applyNumberFormat="1" applyFont="1" applyFill="1" applyAlignment="1">
      <alignment horizontal="center"/>
    </xf>
    <xf numFmtId="166" fontId="5" fillId="0" borderId="0" xfId="0" applyNumberFormat="1" applyFont="1" applyFill="1"/>
    <xf numFmtId="0" fontId="7" fillId="0" borderId="0" xfId="0" applyFont="1" applyAlignment="1">
      <alignment horizontal="right"/>
    </xf>
    <xf numFmtId="4" fontId="6" fillId="0" borderId="0" xfId="0" applyNumberFormat="1" applyFont="1"/>
    <xf numFmtId="0" fontId="6" fillId="0" borderId="0" xfId="0" applyFont="1" applyFill="1" applyAlignment="1">
      <alignment horizontal="right"/>
    </xf>
    <xf numFmtId="3" fontId="6" fillId="0" borderId="0" xfId="0" applyNumberFormat="1" applyFont="1" applyFill="1"/>
    <xf numFmtId="9" fontId="6" fillId="0" borderId="0" xfId="0" applyNumberFormat="1" applyFont="1" applyFill="1"/>
    <xf numFmtId="167" fontId="6" fillId="0" borderId="0" xfId="0" applyNumberFormat="1" applyFont="1" applyFill="1"/>
    <xf numFmtId="0" fontId="6" fillId="0" borderId="0" xfId="0" applyFont="1" applyAlignment="1">
      <alignment horizontal="right"/>
    </xf>
    <xf numFmtId="3" fontId="6" fillId="0" borderId="1" xfId="0" applyNumberFormat="1" applyFont="1" applyFill="1" applyBorder="1"/>
    <xf numFmtId="3" fontId="6" fillId="0" borderId="4" xfId="0" applyNumberFormat="1" applyFont="1" applyFill="1" applyBorder="1"/>
    <xf numFmtId="3" fontId="6" fillId="0" borderId="0" xfId="0" applyNumberFormat="1" applyFont="1"/>
    <xf numFmtId="3" fontId="23" fillId="0" borderId="0" xfId="0" applyNumberFormat="1" applyFont="1" applyFill="1"/>
    <xf numFmtId="179" fontId="14" fillId="0" borderId="0" xfId="0" applyNumberFormat="1" applyFont="1" applyFill="1"/>
    <xf numFmtId="182" fontId="14" fillId="0" borderId="0" xfId="0" applyNumberFormat="1" applyFont="1" applyFill="1"/>
    <xf numFmtId="183" fontId="14" fillId="0" borderId="0" xfId="0" applyNumberFormat="1" applyFont="1" applyFill="1" applyBorder="1"/>
    <xf numFmtId="179" fontId="14" fillId="0" borderId="0" xfId="0" applyNumberFormat="1" applyFont="1" applyFill="1" applyBorder="1"/>
    <xf numFmtId="3" fontId="6" fillId="0" borderId="4" xfId="0" applyNumberFormat="1" applyFont="1" applyBorder="1"/>
    <xf numFmtId="167" fontId="6" fillId="0" borderId="0" xfId="0" applyNumberFormat="1" applyFont="1" applyFill="1" applyBorder="1"/>
    <xf numFmtId="0" fontId="6" fillId="0" borderId="0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3" fontId="4" fillId="0" borderId="0" xfId="0" applyNumberFormat="1" applyFont="1" applyBorder="1"/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/>
    <xf numFmtId="3" fontId="6" fillId="0" borderId="0" xfId="0" applyNumberFormat="1" applyFont="1" applyFill="1" applyAlignment="1"/>
    <xf numFmtId="41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181" fontId="10" fillId="0" borderId="1" xfId="0" applyNumberFormat="1" applyFont="1" applyFill="1" applyBorder="1" applyAlignment="1">
      <alignment horizontal="center" vertical="center"/>
    </xf>
    <xf numFmtId="0" fontId="13" fillId="2" borderId="0" xfId="0" applyFont="1" applyFill="1"/>
    <xf numFmtId="166" fontId="5" fillId="2" borderId="0" xfId="0" applyNumberFormat="1" applyFont="1" applyFill="1"/>
    <xf numFmtId="165" fontId="5" fillId="0" borderId="0" xfId="0" applyNumberFormat="1" applyFont="1" applyFill="1"/>
    <xf numFmtId="165" fontId="6" fillId="0" borderId="0" xfId="0" applyNumberFormat="1" applyFont="1" applyFill="1"/>
    <xf numFmtId="0" fontId="13" fillId="3" borderId="0" xfId="0" applyFont="1" applyFill="1"/>
    <xf numFmtId="165" fontId="5" fillId="3" borderId="0" xfId="0" applyNumberFormat="1" applyFont="1" applyFill="1"/>
    <xf numFmtId="0" fontId="13" fillId="4" borderId="0" xfId="0" applyFont="1" applyFill="1"/>
    <xf numFmtId="164" fontId="13" fillId="0" borderId="12" xfId="0" applyNumberFormat="1" applyFont="1" applyFill="1" applyBorder="1"/>
    <xf numFmtId="166" fontId="13" fillId="0" borderId="0" xfId="0" applyNumberFormat="1" applyFont="1" applyFill="1" applyAlignment="1">
      <alignment horizontal="center"/>
    </xf>
    <xf numFmtId="0" fontId="13" fillId="0" borderId="0" xfId="0" applyFont="1" applyFill="1" applyBorder="1"/>
    <xf numFmtId="0" fontId="11" fillId="0" borderId="0" xfId="0" applyFont="1" applyFill="1" applyBorder="1"/>
    <xf numFmtId="3" fontId="15" fillId="0" borderId="0" xfId="0" applyNumberFormat="1" applyFont="1" applyFill="1"/>
    <xf numFmtId="0" fontId="11" fillId="0" borderId="0" xfId="0" applyFont="1" applyFill="1"/>
    <xf numFmtId="41" fontId="7" fillId="0" borderId="0" xfId="0" applyNumberFormat="1" applyFont="1" applyFill="1" applyBorder="1" applyAlignment="1">
      <alignment horizontal="center" wrapText="1"/>
    </xf>
    <xf numFmtId="41" fontId="7" fillId="0" borderId="1" xfId="0" applyNumberFormat="1" applyFont="1" applyFill="1" applyBorder="1" applyAlignment="1">
      <alignment horizontal="center" wrapText="1"/>
    </xf>
    <xf numFmtId="41" fontId="7" fillId="0" borderId="1" xfId="0" applyNumberFormat="1" applyFont="1" applyFill="1" applyBorder="1" applyAlignment="1">
      <alignment horizontal="center"/>
    </xf>
    <xf numFmtId="166" fontId="15" fillId="0" borderId="0" xfId="0" applyNumberFormat="1" applyFont="1" applyFill="1" applyBorder="1"/>
    <xf numFmtId="166" fontId="13" fillId="0" borderId="0" xfId="0" applyNumberFormat="1" applyFont="1" applyFill="1" applyBorder="1"/>
    <xf numFmtId="165" fontId="13" fillId="0" borderId="5" xfId="0" applyNumberFormat="1" applyFont="1" applyFill="1" applyBorder="1"/>
    <xf numFmtId="37" fontId="15" fillId="0" borderId="1" xfId="3" applyNumberFormat="1" applyFont="1" applyFill="1" applyBorder="1"/>
    <xf numFmtId="0" fontId="14" fillId="0" borderId="0" xfId="0" applyFont="1" applyFill="1"/>
    <xf numFmtId="0" fontId="16" fillId="0" borderId="0" xfId="0" applyFont="1" applyFill="1"/>
    <xf numFmtId="0" fontId="5" fillId="0" borderId="0" xfId="0" applyFont="1" applyFill="1"/>
    <xf numFmtId="0" fontId="26" fillId="0" borderId="0" xfId="0" applyFont="1" applyFill="1" applyAlignment="1">
      <alignment horizontal="center"/>
    </xf>
    <xf numFmtId="166" fontId="26" fillId="0" borderId="0" xfId="0" applyNumberFormat="1" applyFont="1" applyFill="1"/>
    <xf numFmtId="43" fontId="14" fillId="0" borderId="0" xfId="0" applyNumberFormat="1" applyFont="1" applyFill="1"/>
    <xf numFmtId="44" fontId="5" fillId="0" borderId="0" xfId="3" applyFont="1" applyFill="1"/>
    <xf numFmtId="0" fontId="26" fillId="0" borderId="0" xfId="0" applyFont="1" applyFill="1"/>
    <xf numFmtId="0" fontId="10" fillId="6" borderId="0" xfId="0" applyFont="1" applyFill="1" applyAlignment="1">
      <alignment horizontal="center"/>
    </xf>
    <xf numFmtId="165" fontId="15" fillId="0" borderId="0" xfId="0" applyNumberFormat="1" applyFont="1" applyFill="1" applyBorder="1"/>
    <xf numFmtId="173" fontId="6" fillId="0" borderId="0" xfId="0" applyNumberFormat="1" applyFont="1" applyFill="1"/>
    <xf numFmtId="173" fontId="6" fillId="0" borderId="0" xfId="0" applyNumberFormat="1" applyFont="1" applyFill="1" applyBorder="1" applyAlignment="1">
      <alignment horizontal="left"/>
    </xf>
    <xf numFmtId="7" fontId="15" fillId="0" borderId="0" xfId="0" applyNumberFormat="1" applyFont="1" applyFill="1" applyAlignment="1"/>
    <xf numFmtId="170" fontId="6" fillId="0" borderId="0" xfId="0" applyNumberFormat="1" applyFont="1" applyFill="1"/>
    <xf numFmtId="180" fontId="6" fillId="0" borderId="0" xfId="24" applyNumberFormat="1" applyFont="1" applyFill="1" applyAlignment="1"/>
    <xf numFmtId="0" fontId="6" fillId="0" borderId="0" xfId="24" applyNumberFormat="1" applyFont="1" applyFill="1" applyAlignment="1"/>
    <xf numFmtId="0" fontId="6" fillId="0" borderId="0" xfId="24" applyFont="1" applyFill="1" applyAlignment="1"/>
    <xf numFmtId="180" fontId="6" fillId="0" borderId="0" xfId="24" applyNumberFormat="1" applyFont="1" applyFill="1" applyBorder="1" applyAlignment="1"/>
    <xf numFmtId="180" fontId="6" fillId="0" borderId="4" xfId="24" applyNumberFormat="1" applyFont="1" applyFill="1" applyBorder="1" applyAlignme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center"/>
    </xf>
    <xf numFmtId="0" fontId="7" fillId="0" borderId="1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>
      <alignment horizontal="center"/>
    </xf>
    <xf numFmtId="179" fontId="6" fillId="0" borderId="0" xfId="0" applyNumberFormat="1" applyFont="1" applyFill="1" applyAlignment="1">
      <alignment horizontal="left"/>
    </xf>
    <xf numFmtId="179" fontId="6" fillId="0" borderId="0" xfId="0" applyNumberFormat="1" applyFont="1" applyFill="1" applyAlignment="1"/>
    <xf numFmtId="0" fontId="6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NumberFormat="1" applyFont="1" applyAlignment="1">
      <alignment horizontal="centerContinuous"/>
    </xf>
    <xf numFmtId="0" fontId="15" fillId="0" borderId="0" xfId="0" applyNumberFormat="1" applyFont="1" applyAlignment="1">
      <alignment horizontal="centerContinuous"/>
    </xf>
    <xf numFmtId="3" fontId="15" fillId="0" borderId="0" xfId="0" applyNumberFormat="1" applyFont="1" applyFill="1" applyBorder="1"/>
    <xf numFmtId="181" fontId="9" fillId="0" borderId="1" xfId="0" applyNumberFormat="1" applyFont="1" applyFill="1" applyBorder="1" applyAlignment="1">
      <alignment horizontal="center" vertical="center"/>
    </xf>
    <xf numFmtId="181" fontId="18" fillId="0" borderId="1" xfId="0" applyNumberFormat="1" applyFont="1" applyFill="1" applyBorder="1" applyAlignment="1">
      <alignment horizontal="center" vertical="center"/>
    </xf>
    <xf numFmtId="190" fontId="13" fillId="4" borderId="0" xfId="0" applyNumberFormat="1" applyFont="1" applyFill="1"/>
    <xf numFmtId="190" fontId="5" fillId="4" borderId="0" xfId="0" applyNumberFormat="1" applyFont="1" applyFill="1"/>
    <xf numFmtId="44" fontId="13" fillId="0" borderId="12" xfId="0" applyNumberFormat="1" applyFont="1" applyFill="1" applyBorder="1"/>
    <xf numFmtId="164" fontId="5" fillId="0" borderId="0" xfId="0" applyNumberFormat="1" applyFont="1" applyFill="1"/>
    <xf numFmtId="164" fontId="6" fillId="0" borderId="0" xfId="0" applyNumberFormat="1" applyFont="1" applyFill="1"/>
    <xf numFmtId="181" fontId="7" fillId="0" borderId="1" xfId="0" applyNumberFormat="1" applyFont="1" applyFill="1" applyBorder="1" applyAlignment="1">
      <alignment horizontal="center"/>
    </xf>
    <xf numFmtId="0" fontId="9" fillId="0" borderId="0" xfId="0" applyFont="1"/>
    <xf numFmtId="174" fontId="13" fillId="0" borderId="0" xfId="0" applyNumberFormat="1" applyFont="1"/>
    <xf numFmtId="0" fontId="13" fillId="0" borderId="0" xfId="0" quotePrefix="1" applyFont="1" applyFill="1" applyAlignment="1">
      <alignment vertical="top"/>
    </xf>
    <xf numFmtId="0" fontId="13" fillId="0" borderId="0" xfId="0" applyFont="1" applyFill="1" applyAlignment="1">
      <alignment wrapText="1"/>
    </xf>
    <xf numFmtId="0" fontId="8" fillId="0" borderId="0" xfId="0" quotePrefix="1" applyNumberFormat="1" applyFont="1" applyFill="1" applyBorder="1" applyAlignment="1">
      <alignment horizontal="right"/>
    </xf>
    <xf numFmtId="0" fontId="7" fillId="0" borderId="0" xfId="24" applyNumberFormat="1" applyFont="1" applyFill="1" applyAlignment="1">
      <alignment horizontal="centerContinuous"/>
    </xf>
    <xf numFmtId="0" fontId="18" fillId="0" borderId="0" xfId="24" applyNumberFormat="1" applyFont="1" applyFill="1" applyAlignment="1">
      <alignment horizontal="centerContinuous"/>
    </xf>
    <xf numFmtId="0" fontId="8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>
      <alignment horizontal="centerContinuous"/>
    </xf>
    <xf numFmtId="0" fontId="7" fillId="0" borderId="0" xfId="24" applyNumberFormat="1" applyFont="1" applyFill="1" applyAlignment="1" applyProtection="1">
      <alignment horizontal="centerContinuous"/>
      <protection locked="0"/>
    </xf>
    <xf numFmtId="44" fontId="13" fillId="0" borderId="0" xfId="0" applyNumberFormat="1" applyFont="1" applyFill="1"/>
    <xf numFmtId="0" fontId="13" fillId="0" borderId="0" xfId="0" applyFont="1" applyFill="1" applyBorder="1" applyAlignment="1">
      <alignment horizontal="right"/>
    </xf>
    <xf numFmtId="3" fontId="14" fillId="0" borderId="0" xfId="0" applyNumberFormat="1" applyFont="1" applyFill="1" applyBorder="1"/>
    <xf numFmtId="0" fontId="13" fillId="0" borderId="0" xfId="0" applyFont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79" fontId="6" fillId="0" borderId="0" xfId="0" applyNumberFormat="1" applyFont="1" applyFill="1" applyBorder="1"/>
    <xf numFmtId="0" fontId="6" fillId="0" borderId="1" xfId="0" applyFont="1" applyBorder="1" applyAlignment="1">
      <alignment horizontal="centerContinuous"/>
    </xf>
    <xf numFmtId="176" fontId="6" fillId="0" borderId="0" xfId="0" applyNumberFormat="1" applyFont="1"/>
    <xf numFmtId="174" fontId="6" fillId="0" borderId="0" xfId="0" applyNumberFormat="1" applyFont="1"/>
    <xf numFmtId="174" fontId="6" fillId="0" borderId="4" xfId="0" applyNumberFormat="1" applyFont="1" applyBorder="1"/>
    <xf numFmtId="174" fontId="13" fillId="0" borderId="0" xfId="0" applyNumberFormat="1" applyFont="1" applyFill="1"/>
    <xf numFmtId="176" fontId="6" fillId="0" borderId="4" xfId="0" applyNumberFormat="1" applyFont="1" applyBorder="1"/>
    <xf numFmtId="167" fontId="6" fillId="0" borderId="0" xfId="0" applyNumberFormat="1" applyFont="1"/>
    <xf numFmtId="10" fontId="6" fillId="0" borderId="0" xfId="0" applyNumberFormat="1" applyFont="1"/>
    <xf numFmtId="0" fontId="7" fillId="6" borderId="0" xfId="0" applyFont="1" applyFill="1" applyAlignment="1">
      <alignment horizontal="center" wrapText="1"/>
    </xf>
    <xf numFmtId="0" fontId="13" fillId="6" borderId="0" xfId="0" applyFont="1" applyFill="1"/>
    <xf numFmtId="3" fontId="15" fillId="6" borderId="0" xfId="0" applyNumberFormat="1" applyFont="1" applyFill="1"/>
    <xf numFmtId="42" fontId="6" fillId="0" borderId="0" xfId="0" applyNumberFormat="1" applyFont="1" applyFill="1" applyBorder="1"/>
    <xf numFmtId="174" fontId="6" fillId="0" borderId="0" xfId="0" applyNumberFormat="1" applyFont="1" applyFill="1" applyBorder="1"/>
    <xf numFmtId="174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textRotation="180"/>
    </xf>
    <xf numFmtId="164" fontId="6" fillId="0" borderId="0" xfId="0" applyNumberFormat="1" applyFont="1" applyFill="1" applyBorder="1"/>
    <xf numFmtId="164" fontId="6" fillId="0" borderId="4" xfId="0" applyNumberFormat="1" applyFont="1" applyFill="1" applyBorder="1"/>
    <xf numFmtId="0" fontId="18" fillId="0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25" fillId="6" borderId="23" xfId="0" applyFont="1" applyFill="1" applyBorder="1" applyAlignment="1">
      <alignment horizontal="center" wrapText="1"/>
    </xf>
    <xf numFmtId="0" fontId="13" fillId="6" borderId="24" xfId="0" applyFont="1" applyFill="1" applyBorder="1"/>
    <xf numFmtId="184" fontId="25" fillId="6" borderId="25" xfId="0" applyNumberFormat="1" applyFont="1" applyFill="1" applyBorder="1"/>
    <xf numFmtId="0" fontId="5" fillId="0" borderId="8" xfId="0" applyFont="1" applyBorder="1"/>
    <xf numFmtId="0" fontId="5" fillId="0" borderId="9" xfId="0" applyFont="1" applyBorder="1"/>
    <xf numFmtId="0" fontId="5" fillId="0" borderId="9" xfId="0" applyNumberFormat="1" applyFont="1" applyBorder="1" applyAlignment="1"/>
    <xf numFmtId="0" fontId="5" fillId="0" borderId="10" xfId="0" applyNumberFormat="1" applyFont="1" applyBorder="1" applyAlignment="1"/>
    <xf numFmtId="0" fontId="9" fillId="12" borderId="13" xfId="0" applyNumberFormat="1" applyFont="1" applyFill="1" applyBorder="1" applyAlignment="1">
      <alignment horizontal="center" vertical="center" wrapText="1"/>
    </xf>
    <xf numFmtId="0" fontId="18" fillId="0" borderId="13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/>
    <xf numFmtId="0" fontId="18" fillId="5" borderId="7" xfId="0" applyNumberFormat="1" applyFont="1" applyFill="1" applyBorder="1" applyAlignment="1">
      <alignment horizontal="centerContinuous"/>
    </xf>
    <xf numFmtId="0" fontId="18" fillId="5" borderId="5" xfId="0" applyNumberFormat="1" applyFont="1" applyFill="1" applyBorder="1" applyAlignment="1">
      <alignment horizontal="centerContinuous"/>
    </xf>
    <xf numFmtId="0" fontId="18" fillId="5" borderId="6" xfId="0" applyNumberFormat="1" applyFont="1" applyFill="1" applyBorder="1" applyAlignment="1">
      <alignment horizontal="centerContinuous"/>
    </xf>
    <xf numFmtId="0" fontId="18" fillId="5" borderId="14" xfId="0" applyNumberFormat="1" applyFont="1" applyFill="1" applyBorder="1" applyAlignment="1">
      <alignment horizontal="center" vertical="center" wrapText="1"/>
    </xf>
    <xf numFmtId="0" fontId="18" fillId="5" borderId="13" xfId="0" applyNumberFormat="1" applyFont="1" applyFill="1" applyBorder="1" applyAlignment="1">
      <alignment horizontal="center" vertical="center" wrapText="1"/>
    </xf>
    <xf numFmtId="10" fontId="5" fillId="4" borderId="9" xfId="0" applyNumberFormat="1" applyFont="1" applyFill="1" applyBorder="1" applyAlignment="1"/>
    <xf numFmtId="10" fontId="5" fillId="0" borderId="9" xfId="0" applyNumberFormat="1" applyFont="1" applyBorder="1" applyAlignment="1"/>
    <xf numFmtId="9" fontId="5" fillId="0" borderId="9" xfId="0" applyNumberFormat="1" applyFont="1" applyFill="1" applyBorder="1" applyAlignment="1"/>
    <xf numFmtId="180" fontId="5" fillId="0" borderId="9" xfId="0" applyNumberFormat="1" applyFont="1" applyBorder="1" applyAlignment="1"/>
    <xf numFmtId="0" fontId="5" fillId="0" borderId="9" xfId="0" applyNumberFormat="1" applyFont="1" applyFill="1" applyBorder="1" applyAlignment="1"/>
    <xf numFmtId="42" fontId="6" fillId="13" borderId="11" xfId="0" applyNumberFormat="1" applyFont="1" applyFill="1" applyBorder="1" applyAlignment="1"/>
    <xf numFmtId="0" fontId="15" fillId="0" borderId="0" xfId="0" applyFont="1" applyFill="1" applyAlignment="1"/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3" fillId="14" borderId="0" xfId="0" applyFont="1" applyFill="1"/>
    <xf numFmtId="191" fontId="13" fillId="14" borderId="0" xfId="0" applyNumberFormat="1" applyFont="1" applyFill="1"/>
    <xf numFmtId="0" fontId="7" fillId="14" borderId="0" xfId="0" applyFont="1" applyFill="1" applyAlignment="1">
      <alignment horizontal="center" wrapText="1"/>
    </xf>
    <xf numFmtId="174" fontId="15" fillId="14" borderId="0" xfId="0" applyNumberFormat="1" applyFont="1" applyFill="1"/>
    <xf numFmtId="44" fontId="4" fillId="0" borderId="0" xfId="0" applyNumberFormat="1" applyFont="1" applyFill="1"/>
    <xf numFmtId="0" fontId="7" fillId="0" borderId="0" xfId="0" applyFont="1" applyFill="1" applyAlignment="1">
      <alignment horizontal="center"/>
    </xf>
    <xf numFmtId="166" fontId="50" fillId="15" borderId="0" xfId="0" applyNumberFormat="1" applyFont="1" applyFill="1" applyAlignment="1">
      <alignment wrapText="1"/>
    </xf>
    <xf numFmtId="166" fontId="6" fillId="15" borderId="0" xfId="0" applyNumberFormat="1" applyFont="1" applyFill="1"/>
    <xf numFmtId="166" fontId="15" fillId="0" borderId="0" xfId="0" applyNumberFormat="1" applyFont="1" applyFill="1"/>
    <xf numFmtId="190" fontId="15" fillId="4" borderId="0" xfId="0" applyNumberFormat="1" applyFont="1" applyFill="1"/>
    <xf numFmtId="164" fontId="5" fillId="4" borderId="0" xfId="0" applyNumberFormat="1" applyFont="1" applyFill="1"/>
    <xf numFmtId="181" fontId="6" fillId="0" borderId="1" xfId="0" applyNumberFormat="1" applyFont="1" applyFill="1" applyBorder="1" applyAlignment="1">
      <alignment horizontal="center" wrapText="1"/>
    </xf>
    <xf numFmtId="14" fontId="6" fillId="0" borderId="0" xfId="0" applyNumberFormat="1" applyFont="1" applyFill="1"/>
    <xf numFmtId="3" fontId="6" fillId="0" borderId="1" xfId="0" applyNumberFormat="1" applyFont="1" applyBorder="1"/>
    <xf numFmtId="193" fontId="15" fillId="0" borderId="0" xfId="0" applyNumberFormat="1" applyFont="1" applyFill="1"/>
    <xf numFmtId="180" fontId="15" fillId="0" borderId="0" xfId="24" applyNumberFormat="1" applyFont="1" applyFill="1" applyAlignment="1"/>
    <xf numFmtId="189" fontId="15" fillId="0" borderId="1" xfId="24" applyNumberFormat="1" applyFont="1" applyFill="1" applyBorder="1" applyAlignment="1"/>
    <xf numFmtId="171" fontId="15" fillId="0" borderId="0" xfId="24" applyNumberFormat="1" applyFont="1" applyFill="1" applyAlignment="1"/>
    <xf numFmtId="9" fontId="51" fillId="0" borderId="0" xfId="24" applyNumberFormat="1" applyFont="1" applyFill="1" applyBorder="1" applyAlignment="1">
      <alignment horizontal="right" wrapText="1"/>
    </xf>
    <xf numFmtId="180" fontId="43" fillId="0" borderId="0" xfId="24" applyNumberFormat="1" applyFont="1" applyFill="1" applyAlignment="1"/>
    <xf numFmtId="180" fontId="43" fillId="0" borderId="2" xfId="24" applyNumberFormat="1" applyFont="1" applyFill="1" applyBorder="1" applyAlignment="1" applyProtection="1">
      <protection locked="0"/>
    </xf>
    <xf numFmtId="180" fontId="6" fillId="14" borderId="0" xfId="24" applyNumberFormat="1" applyFont="1" applyFill="1" applyAlignment="1"/>
    <xf numFmtId="166" fontId="5" fillId="15" borderId="0" xfId="0" applyNumberFormat="1" applyFont="1" applyFill="1"/>
    <xf numFmtId="171" fontId="6" fillId="0" borderId="0" xfId="0" applyNumberFormat="1" applyFont="1" applyFill="1" applyBorder="1"/>
    <xf numFmtId="172" fontId="6" fillId="0" borderId="0" xfId="0" applyNumberFormat="1" applyFont="1" applyFill="1" applyAlignment="1"/>
    <xf numFmtId="171" fontId="6" fillId="0" borderId="0" xfId="0" applyNumberFormat="1" applyFont="1" applyFill="1" applyBorder="1" applyAlignment="1">
      <alignment horizontal="left"/>
    </xf>
    <xf numFmtId="10" fontId="6" fillId="0" borderId="0" xfId="55" applyNumberFormat="1" applyFont="1" applyFill="1" applyBorder="1"/>
    <xf numFmtId="173" fontId="6" fillId="0" borderId="0" xfId="0" applyNumberFormat="1" applyFont="1" applyFill="1" applyAlignment="1"/>
    <xf numFmtId="170" fontId="6" fillId="0" borderId="0" xfId="0" applyNumberFormat="1" applyFont="1" applyFill="1" applyAlignment="1"/>
    <xf numFmtId="170" fontId="15" fillId="0" borderId="0" xfId="0" applyNumberFormat="1" applyFont="1" applyFill="1" applyBorder="1"/>
    <xf numFmtId="173" fontId="5" fillId="0" borderId="0" xfId="0" applyNumberFormat="1" applyFont="1" applyFill="1" applyBorder="1"/>
    <xf numFmtId="10" fontId="15" fillId="0" borderId="0" xfId="55" applyNumberFormat="1" applyFont="1" applyFill="1" applyBorder="1"/>
    <xf numFmtId="167" fontId="6" fillId="0" borderId="0" xfId="0" applyNumberFormat="1" applyFont="1" applyFill="1" applyBorder="1" applyAlignment="1">
      <alignment horizontal="left"/>
    </xf>
    <xf numFmtId="9" fontId="6" fillId="0" borderId="0" xfId="0" applyNumberFormat="1" applyFont="1" applyFill="1" applyBorder="1" applyAlignment="1">
      <alignment horizontal="center"/>
    </xf>
    <xf numFmtId="17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171" fontId="6" fillId="0" borderId="0" xfId="0" applyNumberFormat="1" applyFont="1" applyFill="1" applyBorder="1" applyAlignment="1"/>
    <xf numFmtId="9" fontId="7" fillId="0" borderId="0" xfId="0" applyNumberFormat="1" applyFont="1" applyFill="1" applyBorder="1" applyAlignment="1">
      <alignment horizontal="center"/>
    </xf>
    <xf numFmtId="9" fontId="7" fillId="0" borderId="1" xfId="0" applyNumberFormat="1" applyFont="1" applyFill="1" applyBorder="1" applyAlignment="1">
      <alignment horizontal="center"/>
    </xf>
    <xf numFmtId="171" fontId="7" fillId="0" borderId="0" xfId="0" applyNumberFormat="1" applyFont="1" applyFill="1" applyBorder="1" applyAlignment="1"/>
    <xf numFmtId="0" fontId="18" fillId="0" borderId="1" xfId="0" applyFont="1" applyFill="1" applyBorder="1" applyAlignment="1">
      <alignment horizontal="centerContinuous"/>
    </xf>
    <xf numFmtId="170" fontId="7" fillId="0" borderId="0" xfId="0" applyNumberFormat="1" applyFont="1" applyFill="1" applyBorder="1" applyAlignment="1"/>
    <xf numFmtId="0" fontId="18" fillId="0" borderId="0" xfId="0" applyFont="1" applyFill="1" applyBorder="1" applyAlignment="1">
      <alignment horizontal="centerContinuous"/>
    </xf>
    <xf numFmtId="169" fontId="7" fillId="0" borderId="0" xfId="0" applyNumberFormat="1" applyFont="1" applyFill="1" applyAlignment="1"/>
    <xf numFmtId="168" fontId="7" fillId="0" borderId="0" xfId="0" applyNumberFormat="1" applyFont="1" applyFill="1" applyAlignment="1">
      <alignment horizontal="centerContinuous"/>
    </xf>
    <xf numFmtId="169" fontId="6" fillId="0" borderId="0" xfId="0" applyNumberFormat="1" applyFont="1" applyFill="1" applyAlignment="1"/>
    <xf numFmtId="168" fontId="6" fillId="0" borderId="0" xfId="0" applyNumberFormat="1" applyFont="1" applyFill="1" applyAlignment="1">
      <alignment horizontal="centerContinuous"/>
    </xf>
    <xf numFmtId="0" fontId="10" fillId="0" borderId="0" xfId="0" applyFont="1" applyFill="1"/>
    <xf numFmtId="0" fontId="10" fillId="0" borderId="0" xfId="0" applyFont="1" applyFill="1" applyBorder="1" applyAlignment="1">
      <alignment horizontal="center"/>
    </xf>
    <xf numFmtId="3" fontId="9" fillId="0" borderId="0" xfId="0" applyNumberFormat="1" applyFont="1" applyFill="1" applyAlignment="1">
      <alignment horizontal="center"/>
    </xf>
    <xf numFmtId="42" fontId="9" fillId="0" borderId="0" xfId="0" applyNumberFormat="1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3" fontId="13" fillId="0" borderId="0" xfId="0" applyNumberFormat="1" applyFont="1" applyFill="1" applyBorder="1" applyAlignment="1">
      <alignment horizontal="center"/>
    </xf>
    <xf numFmtId="42" fontId="13" fillId="0" borderId="0" xfId="0" applyNumberFormat="1" applyFont="1" applyFill="1" applyBorder="1" applyAlignment="1">
      <alignment horizontal="center"/>
    </xf>
    <xf numFmtId="42" fontId="15" fillId="0" borderId="0" xfId="0" applyNumberFormat="1" applyFont="1" applyFill="1"/>
    <xf numFmtId="42" fontId="13" fillId="0" borderId="0" xfId="0" applyNumberFormat="1" applyFont="1" applyFill="1"/>
    <xf numFmtId="42" fontId="6" fillId="0" borderId="0" xfId="0" applyNumberFormat="1" applyFont="1" applyFill="1"/>
    <xf numFmtId="165" fontId="13" fillId="0" borderId="1" xfId="0" applyNumberFormat="1" applyFont="1" applyFill="1" applyBorder="1"/>
    <xf numFmtId="3" fontId="13" fillId="0" borderId="4" xfId="0" applyNumberFormat="1" applyFont="1" applyFill="1" applyBorder="1"/>
    <xf numFmtId="42" fontId="13" fillId="0" borderId="4" xfId="0" applyNumberFormat="1" applyFont="1" applyFill="1" applyBorder="1"/>
    <xf numFmtId="42" fontId="6" fillId="0" borderId="4" xfId="0" applyNumberFormat="1" applyFont="1" applyFill="1" applyBorder="1"/>
    <xf numFmtId="10" fontId="13" fillId="0" borderId="4" xfId="0" applyNumberFormat="1" applyFont="1" applyFill="1" applyBorder="1"/>
    <xf numFmtId="174" fontId="47" fillId="0" borderId="0" xfId="0" applyNumberFormat="1" applyFont="1" applyFill="1"/>
    <xf numFmtId="10" fontId="6" fillId="0" borderId="0" xfId="0" applyNumberFormat="1" applyFont="1" applyFill="1"/>
    <xf numFmtId="0" fontId="7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3" fontId="13" fillId="0" borderId="0" xfId="0" applyNumberFormat="1" applyFont="1" applyFill="1"/>
    <xf numFmtId="0" fontId="7" fillId="16" borderId="0" xfId="0" applyFont="1" applyFill="1" applyAlignment="1">
      <alignment horizontal="center" wrapText="1"/>
    </xf>
    <xf numFmtId="0" fontId="13" fillId="16" borderId="0" xfId="0" applyFont="1" applyFill="1"/>
    <xf numFmtId="192" fontId="13" fillId="16" borderId="0" xfId="0" applyNumberFormat="1" applyFont="1" applyFill="1"/>
    <xf numFmtId="3" fontId="13" fillId="0" borderId="0" xfId="0" applyNumberFormat="1" applyFont="1" applyFill="1" applyAlignment="1">
      <alignment wrapText="1"/>
    </xf>
    <xf numFmtId="3" fontId="7" fillId="0" borderId="0" xfId="0" applyNumberFormat="1" applyFont="1" applyFill="1"/>
    <xf numFmtId="0" fontId="10" fillId="0" borderId="0" xfId="0" applyFont="1" applyFill="1" applyAlignment="1">
      <alignment horizontal="left"/>
    </xf>
    <xf numFmtId="164" fontId="10" fillId="0" borderId="0" xfId="0" applyNumberFormat="1" applyFont="1" applyFill="1"/>
    <xf numFmtId="174" fontId="10" fillId="0" borderId="0" xfId="0" applyNumberFormat="1" applyFont="1" applyFill="1"/>
    <xf numFmtId="174" fontId="5" fillId="0" borderId="0" xfId="0" applyNumberFormat="1" applyFont="1" applyFill="1"/>
    <xf numFmtId="164" fontId="13" fillId="0" borderId="4" xfId="0" applyNumberFormat="1" applyFont="1" applyFill="1" applyBorder="1"/>
    <xf numFmtId="164" fontId="13" fillId="0" borderId="1" xfId="0" applyNumberFormat="1" applyFont="1" applyFill="1" applyBorder="1"/>
    <xf numFmtId="174" fontId="15" fillId="0" borderId="0" xfId="0" applyNumberFormat="1" applyFont="1" applyFill="1"/>
    <xf numFmtId="175" fontId="15" fillId="0" borderId="0" xfId="0" applyNumberFormat="1" applyFont="1" applyFill="1"/>
    <xf numFmtId="0" fontId="15" fillId="0" borderId="0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/>
    <xf numFmtId="0" fontId="10" fillId="0" borderId="11" xfId="0" applyFont="1" applyFill="1" applyBorder="1" applyAlignment="1">
      <alignment horizontal="center"/>
    </xf>
    <xf numFmtId="0" fontId="13" fillId="0" borderId="0" xfId="0" applyFont="1" applyFill="1" applyAlignment="1"/>
    <xf numFmtId="0" fontId="10" fillId="0" borderId="0" xfId="0" applyFont="1" applyFill="1" applyAlignment="1">
      <alignment horizontal="centerContinuous"/>
    </xf>
    <xf numFmtId="176" fontId="6" fillId="0" borderId="0" xfId="0" applyNumberFormat="1" applyFont="1" applyFill="1"/>
    <xf numFmtId="44" fontId="14" fillId="0" borderId="0" xfId="0" applyNumberFormat="1" applyFont="1" applyFill="1"/>
    <xf numFmtId="44" fontId="14" fillId="0" borderId="0" xfId="0" applyNumberFormat="1" applyFont="1" applyFill="1" applyBorder="1"/>
    <xf numFmtId="176" fontId="6" fillId="0" borderId="0" xfId="0" applyNumberFormat="1" applyFont="1" applyFill="1" applyBorder="1"/>
    <xf numFmtId="44" fontId="6" fillId="0" borderId="4" xfId="0" applyNumberFormat="1" applyFont="1" applyFill="1" applyBorder="1"/>
    <xf numFmtId="174" fontId="14" fillId="0" borderId="0" xfId="0" applyNumberFormat="1" applyFont="1" applyFill="1"/>
    <xf numFmtId="174" fontId="6" fillId="0" borderId="4" xfId="0" applyNumberFormat="1" applyFont="1" applyFill="1" applyBorder="1"/>
    <xf numFmtId="174" fontId="15" fillId="17" borderId="0" xfId="0" applyNumberFormat="1" applyFont="1" applyFill="1"/>
    <xf numFmtId="164" fontId="13" fillId="0" borderId="5" xfId="0" applyNumberFormat="1" applyFont="1" applyFill="1" applyBorder="1"/>
    <xf numFmtId="0" fontId="21" fillId="0" borderId="0" xfId="0" applyFont="1" applyFill="1"/>
    <xf numFmtId="181" fontId="18" fillId="0" borderId="1" xfId="0" applyNumberFormat="1" applyFont="1" applyFill="1" applyBorder="1" applyAlignment="1">
      <alignment horizontal="center"/>
    </xf>
    <xf numFmtId="17" fontId="5" fillId="0" borderId="1" xfId="0" applyNumberFormat="1" applyFont="1" applyFill="1" applyBorder="1" applyAlignment="1">
      <alignment horizontal="center"/>
    </xf>
    <xf numFmtId="17" fontId="18" fillId="0" borderId="1" xfId="0" applyNumberFormat="1" applyFont="1" applyFill="1" applyBorder="1" applyAlignment="1">
      <alignment horizontal="center" vertical="center" wrapText="1"/>
    </xf>
    <xf numFmtId="44" fontId="15" fillId="0" borderId="0" xfId="0" applyNumberFormat="1" applyFont="1" applyFill="1"/>
    <xf numFmtId="0" fontId="6" fillId="16" borderId="0" xfId="0" applyFont="1" applyFill="1" applyAlignment="1"/>
    <xf numFmtId="0" fontId="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9" fillId="0" borderId="0" xfId="0" quotePrefix="1" applyFont="1" applyFill="1" applyAlignment="1">
      <alignment horizontal="center" wrapText="1"/>
    </xf>
    <xf numFmtId="0" fontId="45" fillId="0" borderId="0" xfId="0" applyFont="1" applyFill="1" applyAlignment="1">
      <alignment wrapText="1"/>
    </xf>
    <xf numFmtId="0" fontId="44" fillId="0" borderId="0" xfId="0" applyFont="1" applyFill="1" applyAlignment="1">
      <alignment wrapText="1"/>
    </xf>
    <xf numFmtId="0" fontId="9" fillId="0" borderId="0" xfId="0" quotePrefix="1" applyFont="1" applyFill="1" applyAlignment="1">
      <alignment horizontal="center"/>
    </xf>
    <xf numFmtId="44" fontId="6" fillId="0" borderId="9" xfId="3" applyFont="1" applyBorder="1" applyAlignment="1"/>
  </cellXfs>
  <cellStyles count="58">
    <cellStyle name="Comma 18" xfId="1"/>
    <cellStyle name="Comma 2" xfId="4"/>
    <cellStyle name="Comma0" xfId="5"/>
    <cellStyle name="Comma0 - Style4" xfId="6"/>
    <cellStyle name="Comma1 - Style1" xfId="7"/>
    <cellStyle name="Curren - Style2" xfId="8"/>
    <cellStyle name="Currency" xfId="3" builtinId="4"/>
    <cellStyle name="Currency 2" xfId="9"/>
    <cellStyle name="Currency0" xfId="10"/>
    <cellStyle name="Date" xfId="11"/>
    <cellStyle name="Entered" xfId="12"/>
    <cellStyle name="Fixed" xfId="13"/>
    <cellStyle name="Grey" xfId="14"/>
    <cellStyle name="Heading1" xfId="15"/>
    <cellStyle name="Heading2" xfId="16"/>
    <cellStyle name="Input [yellow]" xfId="17"/>
    <cellStyle name="modified border" xfId="18"/>
    <cellStyle name="modified border1" xfId="19"/>
    <cellStyle name="Normal" xfId="0" builtinId="0"/>
    <cellStyle name="Normal - Style1" xfId="20"/>
    <cellStyle name="Normal 10" xfId="21"/>
    <cellStyle name="Normal 11_16.37E Wild Horse Expansion DeferralRevwrkingfile SF" xfId="22"/>
    <cellStyle name="Normal 118" xfId="23"/>
    <cellStyle name="Normal 2" xfId="24"/>
    <cellStyle name="Normal 2 11" xfId="25"/>
    <cellStyle name="Normal 2 16 2" xfId="56"/>
    <cellStyle name="Normal 2 2" xfId="26"/>
    <cellStyle name="Normal 2 3" xfId="57"/>
    <cellStyle name="Normal 3" xfId="27"/>
    <cellStyle name="Normal 4" xfId="28"/>
    <cellStyle name="Normal 5" xfId="29"/>
    <cellStyle name="Normal 6" xfId="30"/>
    <cellStyle name="Normal 7" xfId="31"/>
    <cellStyle name="Normal 8" xfId="2"/>
    <cellStyle name="Normal 9" xfId="32"/>
    <cellStyle name="Percen - Style2" xfId="33"/>
    <cellStyle name="Percen - Style3" xfId="34"/>
    <cellStyle name="Percent" xfId="55" builtinId="5"/>
    <cellStyle name="Percent [2]" xfId="35"/>
    <cellStyle name="Percent 2" xfId="36"/>
    <cellStyle name="Report" xfId="37"/>
    <cellStyle name="Report - Style5" xfId="38"/>
    <cellStyle name="Report - Style6" xfId="39"/>
    <cellStyle name="Report - Style7" xfId="40"/>
    <cellStyle name="Report - Style8" xfId="41"/>
    <cellStyle name="Report Bar" xfId="42"/>
    <cellStyle name="Report Heading" xfId="43"/>
    <cellStyle name="Report Unit Cost" xfId="44"/>
    <cellStyle name="Reports Total" xfId="45"/>
    <cellStyle name="StmtTtl1" xfId="46"/>
    <cellStyle name="StmtTtl2" xfId="47"/>
    <cellStyle name="Style 1" xfId="48"/>
    <cellStyle name="Test" xfId="49"/>
    <cellStyle name="Title: - Style3" xfId="50"/>
    <cellStyle name="Title: - Style4" xfId="51"/>
    <cellStyle name="Title: Major" xfId="52"/>
    <cellStyle name="Title: Minor" xfId="53"/>
    <cellStyle name="Title: Worksheet" xfId="54"/>
  </cellStyles>
  <dxfs count="0"/>
  <tableStyles count="0" defaultTableStyle="TableStyleMedium2" defaultPivotStyle="PivotStyleLight16"/>
  <colors>
    <mruColors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32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247650</xdr:colOff>
      <xdr:row>0</xdr:row>
      <xdr:rowOff>123825</xdr:rowOff>
    </xdr:from>
    <xdr:to>
      <xdr:col>23</xdr:col>
      <xdr:colOff>446507</xdr:colOff>
      <xdr:row>44</xdr:row>
      <xdr:rowOff>113506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0775" y="123825"/>
          <a:ext cx="9342857" cy="6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F38"/>
  <sheetViews>
    <sheetView tabSelected="1" zoomScaleNormal="100" workbookViewId="0">
      <selection activeCell="E26" sqref="E26"/>
    </sheetView>
  </sheetViews>
  <sheetFormatPr defaultColWidth="56.5703125" defaultRowHeight="11.25" x14ac:dyDescent="0.2"/>
  <cols>
    <col min="1" max="1" width="3.85546875" style="37" bestFit="1" customWidth="1"/>
    <col min="2" max="2" width="44.140625" style="37" bestFit="1" customWidth="1"/>
    <col min="3" max="3" width="10.85546875" style="37" bestFit="1" customWidth="1"/>
    <col min="4" max="4" width="11.28515625" style="37" bestFit="1" customWidth="1"/>
    <col min="5" max="5" width="10.7109375" style="37" bestFit="1" customWidth="1"/>
    <col min="6" max="6" width="13.7109375" style="37" bestFit="1" customWidth="1"/>
    <col min="7" max="16384" width="56.5703125" style="37"/>
  </cols>
  <sheetData>
    <row r="1" spans="1:6" x14ac:dyDescent="0.2">
      <c r="A1" s="392" t="s">
        <v>0</v>
      </c>
      <c r="B1" s="392"/>
      <c r="C1" s="392"/>
      <c r="D1" s="392"/>
      <c r="E1" s="392"/>
      <c r="F1" s="392"/>
    </row>
    <row r="2" spans="1:6" x14ac:dyDescent="0.2">
      <c r="A2" s="393" t="s">
        <v>407</v>
      </c>
      <c r="B2" s="393"/>
      <c r="C2" s="393"/>
      <c r="D2" s="393"/>
      <c r="E2" s="393"/>
      <c r="F2" s="393"/>
    </row>
    <row r="3" spans="1:6" x14ac:dyDescent="0.2">
      <c r="A3" s="392" t="s">
        <v>171</v>
      </c>
      <c r="B3" s="392"/>
      <c r="C3" s="392"/>
      <c r="D3" s="392"/>
      <c r="E3" s="392"/>
      <c r="F3" s="392"/>
    </row>
    <row r="4" spans="1:6" x14ac:dyDescent="0.2">
      <c r="A4" s="393" t="s">
        <v>408</v>
      </c>
      <c r="B4" s="393"/>
      <c r="C4" s="393"/>
      <c r="D4" s="393"/>
      <c r="E4" s="393"/>
      <c r="F4" s="393"/>
    </row>
    <row r="6" spans="1:6" x14ac:dyDescent="0.2">
      <c r="E6" s="287"/>
      <c r="F6" s="287"/>
    </row>
    <row r="7" spans="1:6" x14ac:dyDescent="0.2">
      <c r="A7" s="38" t="s">
        <v>2</v>
      </c>
      <c r="D7" s="38" t="s">
        <v>3</v>
      </c>
      <c r="E7" s="38" t="s">
        <v>3</v>
      </c>
      <c r="F7" s="38" t="s">
        <v>3</v>
      </c>
    </row>
    <row r="8" spans="1:6" x14ac:dyDescent="0.2">
      <c r="A8" s="39" t="s">
        <v>4</v>
      </c>
      <c r="B8" s="40"/>
      <c r="C8" s="39" t="s">
        <v>5</v>
      </c>
      <c r="D8" s="39" t="s">
        <v>6</v>
      </c>
      <c r="E8" s="39" t="s">
        <v>7</v>
      </c>
      <c r="F8" s="39" t="s">
        <v>8</v>
      </c>
    </row>
    <row r="9" spans="1:6" x14ac:dyDescent="0.2">
      <c r="A9" s="41"/>
      <c r="B9" s="42" t="s">
        <v>9</v>
      </c>
      <c r="C9" s="42" t="s">
        <v>10</v>
      </c>
      <c r="D9" s="42" t="s">
        <v>11</v>
      </c>
      <c r="E9" s="42" t="s">
        <v>12</v>
      </c>
      <c r="F9" s="42" t="s">
        <v>13</v>
      </c>
    </row>
    <row r="10" spans="1:6" x14ac:dyDescent="0.2">
      <c r="A10" s="42"/>
      <c r="B10" s="43"/>
      <c r="C10" s="42"/>
      <c r="D10" s="42"/>
      <c r="E10" s="42"/>
      <c r="F10" s="42"/>
    </row>
    <row r="11" spans="1:6" x14ac:dyDescent="0.2">
      <c r="A11" s="42">
        <v>1</v>
      </c>
      <c r="B11" s="41"/>
      <c r="C11" s="42"/>
      <c r="D11" s="44"/>
      <c r="E11" s="44"/>
      <c r="F11" s="44"/>
    </row>
    <row r="12" spans="1:6" x14ac:dyDescent="0.2">
      <c r="A12" s="42">
        <f t="shared" ref="A12:A36" si="0">A11+1</f>
        <v>2</v>
      </c>
      <c r="B12" s="41" t="s">
        <v>409</v>
      </c>
      <c r="C12" s="42" t="s">
        <v>14</v>
      </c>
      <c r="D12" s="45">
        <f>'Deferral Balance'!D20</f>
        <v>-9264.1681329836374</v>
      </c>
      <c r="E12" s="45">
        <f>'Deferral Balance'!E20</f>
        <v>-215226.13959188916</v>
      </c>
      <c r="F12" s="45">
        <f>'Deferral Balance'!F20</f>
        <v>-75108.452322956364</v>
      </c>
    </row>
    <row r="13" spans="1:6" x14ac:dyDescent="0.2">
      <c r="A13" s="42">
        <f t="shared" si="0"/>
        <v>3</v>
      </c>
      <c r="B13" s="41"/>
      <c r="C13" s="42"/>
      <c r="D13" s="44"/>
      <c r="E13" s="44"/>
      <c r="F13" s="44"/>
    </row>
    <row r="14" spans="1:6" x14ac:dyDescent="0.2">
      <c r="A14" s="42">
        <f t="shared" si="0"/>
        <v>4</v>
      </c>
      <c r="B14" s="41" t="s">
        <v>410</v>
      </c>
      <c r="C14" s="42" t="s">
        <v>14</v>
      </c>
      <c r="D14" s="45">
        <f>'Deferral Balance'!D22</f>
        <v>13687250.356973369</v>
      </c>
      <c r="E14" s="45">
        <f>'Deferral Balance'!E22</f>
        <v>7705483.1214191355</v>
      </c>
      <c r="F14" s="45">
        <f>'Deferral Balance'!F22</f>
        <v>-1633769.1568723789</v>
      </c>
    </row>
    <row r="15" spans="1:6" x14ac:dyDescent="0.2">
      <c r="A15" s="42">
        <f t="shared" si="0"/>
        <v>5</v>
      </c>
      <c r="B15" s="41"/>
      <c r="C15" s="42"/>
      <c r="D15" s="45"/>
      <c r="E15" s="45"/>
      <c r="F15" s="45"/>
    </row>
    <row r="16" spans="1:6" x14ac:dyDescent="0.2">
      <c r="A16" s="42">
        <f t="shared" si="0"/>
        <v>6</v>
      </c>
      <c r="B16" s="41" t="s">
        <v>411</v>
      </c>
      <c r="C16" s="42" t="s">
        <v>14</v>
      </c>
      <c r="D16" s="45">
        <f>'Deferral Balance'!D24</f>
        <v>428774.43159258843</v>
      </c>
      <c r="E16" s="45">
        <f>'Deferral Balance'!E24</f>
        <v>20997.493067435767</v>
      </c>
      <c r="F16" s="45">
        <f>'Deferral Balance'!F24</f>
        <v>-81888.27650219528</v>
      </c>
    </row>
    <row r="17" spans="1:6" x14ac:dyDescent="0.2">
      <c r="A17" s="42">
        <f t="shared" si="0"/>
        <v>7</v>
      </c>
      <c r="B17" s="41"/>
      <c r="C17" s="42"/>
      <c r="D17" s="45"/>
      <c r="E17" s="45"/>
      <c r="F17" s="45"/>
    </row>
    <row r="18" spans="1:6" x14ac:dyDescent="0.2">
      <c r="A18" s="42">
        <f t="shared" si="0"/>
        <v>8</v>
      </c>
      <c r="B18" s="41" t="s">
        <v>412</v>
      </c>
      <c r="C18" s="42" t="s">
        <v>14</v>
      </c>
      <c r="D18" s="46">
        <f>-'Earnings Test Alloc'!E17</f>
        <v>0</v>
      </c>
      <c r="E18" s="46">
        <f>-'Earnings Test Alloc'!F17</f>
        <v>0</v>
      </c>
      <c r="F18" s="46">
        <f>-'Earnings Test Alloc'!G17</f>
        <v>0</v>
      </c>
    </row>
    <row r="19" spans="1:6" x14ac:dyDescent="0.2">
      <c r="A19" s="42">
        <f t="shared" si="0"/>
        <v>9</v>
      </c>
      <c r="B19" s="41"/>
      <c r="C19" s="42"/>
      <c r="D19" s="44"/>
      <c r="E19" s="44"/>
      <c r="F19" s="44"/>
    </row>
    <row r="20" spans="1:6" x14ac:dyDescent="0.2">
      <c r="A20" s="42">
        <f t="shared" si="0"/>
        <v>10</v>
      </c>
      <c r="B20" s="41" t="s">
        <v>15</v>
      </c>
      <c r="C20" s="42" t="str">
        <f>"("&amp;A12&amp;")+("&amp;A14&amp;")+("&amp;A16&amp;")+("&amp;A18&amp;")"</f>
        <v>(2)+(4)+(6)+(8)</v>
      </c>
      <c r="D20" s="44">
        <f>D12+D14+D16+D18</f>
        <v>14106760.620432975</v>
      </c>
      <c r="E20" s="44">
        <f>E12+E14+E16+E18</f>
        <v>7511254.4748946819</v>
      </c>
      <c r="F20" s="44">
        <f>F12+F14+F16+F18</f>
        <v>-1790765.8856975306</v>
      </c>
    </row>
    <row r="21" spans="1:6" x14ac:dyDescent="0.2">
      <c r="A21" s="42">
        <f t="shared" si="0"/>
        <v>11</v>
      </c>
      <c r="B21" s="41"/>
      <c r="C21" s="42"/>
      <c r="D21" s="44"/>
      <c r="E21" s="44"/>
      <c r="F21" s="44"/>
    </row>
    <row r="22" spans="1:6" x14ac:dyDescent="0.2">
      <c r="A22" s="42">
        <f t="shared" si="0"/>
        <v>12</v>
      </c>
      <c r="B22" s="41" t="s">
        <v>16</v>
      </c>
      <c r="C22" s="42" t="s">
        <v>14</v>
      </c>
      <c r="D22" s="47">
        <f>'F2020 Forecast'!$P$24</f>
        <v>626377148</v>
      </c>
      <c r="E22" s="47">
        <f>'F2020 Forecast'!$P$25</f>
        <v>232690266</v>
      </c>
      <c r="F22" s="47">
        <f>'F2020 Forecast'!$P$26</f>
        <v>93426166</v>
      </c>
    </row>
    <row r="23" spans="1:6" x14ac:dyDescent="0.2">
      <c r="A23" s="42">
        <f t="shared" si="0"/>
        <v>13</v>
      </c>
    </row>
    <row r="24" spans="1:6" ht="12" thickBot="1" x14ac:dyDescent="0.25">
      <c r="A24" s="42">
        <f t="shared" si="0"/>
        <v>14</v>
      </c>
      <c r="B24" s="41" t="s">
        <v>17</v>
      </c>
      <c r="C24" s="42" t="str">
        <f>"("&amp;A20&amp;") / ("&amp;A22&amp;")"</f>
        <v>(10) / (12)</v>
      </c>
      <c r="D24" s="48">
        <f>ROUND(D20/D22,5)</f>
        <v>2.2519999999999998E-2</v>
      </c>
      <c r="E24" s="48">
        <f>ROUND(E20/E22,5)</f>
        <v>3.2280000000000003E-2</v>
      </c>
      <c r="F24" s="48">
        <f>ROUND(F20/F22,5)</f>
        <v>-1.917E-2</v>
      </c>
    </row>
    <row r="25" spans="1:6" ht="12" thickTop="1" x14ac:dyDescent="0.2">
      <c r="A25" s="42">
        <f t="shared" si="0"/>
        <v>15</v>
      </c>
    </row>
    <row r="26" spans="1:6" x14ac:dyDescent="0.2">
      <c r="A26" s="42">
        <f t="shared" si="0"/>
        <v>16</v>
      </c>
      <c r="B26" s="41" t="s">
        <v>18</v>
      </c>
      <c r="C26" s="42" t="s">
        <v>14</v>
      </c>
      <c r="D26" s="79">
        <f>'Rate Test'!D29</f>
        <v>2.2519999999999998E-2</v>
      </c>
      <c r="E26" s="79">
        <f>'Rate Test'!E29</f>
        <v>3.2280000000000003E-2</v>
      </c>
      <c r="F26" s="79">
        <f>'Rate Test'!F29</f>
        <v>-1.917E-2</v>
      </c>
    </row>
    <row r="27" spans="1:6" x14ac:dyDescent="0.2">
      <c r="A27" s="42">
        <f t="shared" si="0"/>
        <v>17</v>
      </c>
      <c r="B27" s="41"/>
      <c r="C27" s="42"/>
    </row>
    <row r="28" spans="1:6" x14ac:dyDescent="0.2">
      <c r="A28" s="42">
        <f t="shared" si="0"/>
        <v>18</v>
      </c>
      <c r="B28" s="41" t="s">
        <v>19</v>
      </c>
      <c r="C28" s="42" t="s">
        <v>20</v>
      </c>
      <c r="D28" s="44">
        <f>IF(D24=D26,D14,(D14-((D24-D26)*D22)))</f>
        <v>13687250.356973369</v>
      </c>
      <c r="E28" s="44">
        <f>IF(E24=E26,E14,(E14-((E24-E26)*E22)))</f>
        <v>7705483.1214191355</v>
      </c>
      <c r="F28" s="44">
        <f>IF(F24=F26,F14,(F14-((F24-F26)*F22)))</f>
        <v>-1633769.1568723789</v>
      </c>
    </row>
    <row r="29" spans="1:6" x14ac:dyDescent="0.2">
      <c r="A29" s="42">
        <f t="shared" si="0"/>
        <v>19</v>
      </c>
      <c r="D29" s="44"/>
      <c r="E29" s="50"/>
      <c r="F29" s="50"/>
    </row>
    <row r="30" spans="1:6" x14ac:dyDescent="0.2">
      <c r="A30" s="42">
        <f t="shared" si="0"/>
        <v>20</v>
      </c>
      <c r="B30" s="41" t="s">
        <v>21</v>
      </c>
      <c r="C30" s="42" t="str">
        <f>"("&amp;A12&amp;")+("&amp;A16&amp;")+("&amp;A18&amp;")+("&amp;A28&amp;")"</f>
        <v>(2)+(6)+(8)+(18)</v>
      </c>
      <c r="D30" s="44">
        <f>D28+D12+D16+D18</f>
        <v>14106760.620432975</v>
      </c>
      <c r="E30" s="50">
        <f>E28+E12+E16+E18</f>
        <v>7511254.4748946819</v>
      </c>
      <c r="F30" s="50">
        <f>F28+F12+F16+F18</f>
        <v>-1790765.8856975306</v>
      </c>
    </row>
    <row r="31" spans="1:6" x14ac:dyDescent="0.2">
      <c r="A31" s="42">
        <f t="shared" si="0"/>
        <v>21</v>
      </c>
      <c r="D31" s="41"/>
      <c r="E31" s="41"/>
      <c r="F31" s="41"/>
    </row>
    <row r="32" spans="1:6" x14ac:dyDescent="0.2">
      <c r="A32" s="42">
        <f t="shared" si="0"/>
        <v>22</v>
      </c>
      <c r="B32" s="41" t="s">
        <v>22</v>
      </c>
      <c r="C32" s="42" t="str">
        <f>"("&amp;A$30&amp;") - ("&amp;A20&amp;")"</f>
        <v>(20) - (10)</v>
      </c>
      <c r="D32" s="50">
        <f>D30-D20</f>
        <v>0</v>
      </c>
      <c r="E32" s="50">
        <f>E30-E20</f>
        <v>0</v>
      </c>
      <c r="F32" s="50">
        <f>F30-F20</f>
        <v>0</v>
      </c>
    </row>
    <row r="33" spans="1:6" x14ac:dyDescent="0.2">
      <c r="A33" s="42">
        <f t="shared" si="0"/>
        <v>23</v>
      </c>
      <c r="B33" s="41"/>
    </row>
    <row r="34" spans="1:6" x14ac:dyDescent="0.2">
      <c r="A34" s="42">
        <f t="shared" si="0"/>
        <v>24</v>
      </c>
      <c r="B34" s="41" t="s">
        <v>23</v>
      </c>
      <c r="C34" s="42" t="s">
        <v>20</v>
      </c>
      <c r="D34" s="45"/>
      <c r="E34" s="45">
        <f>'2019 GRC Volumetric DeliveryRev'!E14*'Delivery Rate Change Calc'!E22</f>
        <v>93918445.162919998</v>
      </c>
      <c r="F34" s="45">
        <f>'2019 GRC Volumetric DeliveryRev'!F14*'Delivery Rate Change Calc'!F22</f>
        <v>17808895.76292</v>
      </c>
    </row>
    <row r="35" spans="1:6" x14ac:dyDescent="0.2">
      <c r="A35" s="42">
        <f t="shared" si="0"/>
        <v>25</v>
      </c>
    </row>
    <row r="36" spans="1:6" x14ac:dyDescent="0.2">
      <c r="A36" s="42">
        <f t="shared" si="0"/>
        <v>26</v>
      </c>
      <c r="B36" s="41" t="s">
        <v>24</v>
      </c>
      <c r="C36" s="42" t="str">
        <f>"("&amp;A$30&amp;") / ("&amp;A34&amp;")"</f>
        <v>(20) / (24)</v>
      </c>
      <c r="D36" s="50"/>
      <c r="E36" s="51">
        <f>E30/E34</f>
        <v>7.9976350352318287E-2</v>
      </c>
      <c r="F36" s="51">
        <f>F30/F34</f>
        <v>-0.10055457168917201</v>
      </c>
    </row>
    <row r="38" spans="1:6" x14ac:dyDescent="0.2">
      <c r="B38" s="41" t="s">
        <v>25</v>
      </c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0.59999389629810485"/>
  </sheetPr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M31"/>
  <sheetViews>
    <sheetView zoomScaleNormal="100" workbookViewId="0">
      <selection activeCell="D18" sqref="D18"/>
    </sheetView>
  </sheetViews>
  <sheetFormatPr defaultColWidth="9.140625" defaultRowHeight="11.25" x14ac:dyDescent="0.2"/>
  <cols>
    <col min="1" max="1" width="4" style="41" bestFit="1" customWidth="1"/>
    <col min="2" max="2" width="41.28515625" style="41" bestFit="1" customWidth="1"/>
    <col min="3" max="3" width="13.140625" style="41" bestFit="1" customWidth="1"/>
    <col min="4" max="4" width="11.28515625" style="41" bestFit="1" customWidth="1"/>
    <col min="5" max="5" width="10.42578125" style="41" bestFit="1" customWidth="1"/>
    <col min="6" max="6" width="13.7109375" style="41" bestFit="1" customWidth="1"/>
    <col min="7" max="16384" width="9.140625" style="41"/>
  </cols>
  <sheetData>
    <row r="1" spans="1:13" x14ac:dyDescent="0.2">
      <c r="A1" s="392" t="s">
        <v>0</v>
      </c>
      <c r="B1" s="392"/>
      <c r="C1" s="392"/>
      <c r="D1" s="392"/>
      <c r="E1" s="392"/>
      <c r="F1" s="392"/>
      <c r="G1" s="5"/>
      <c r="H1" s="5"/>
      <c r="I1" s="5"/>
      <c r="J1" s="5"/>
      <c r="K1" s="5"/>
      <c r="L1" s="5"/>
      <c r="M1" s="5"/>
    </row>
    <row r="2" spans="1:13" x14ac:dyDescent="0.2">
      <c r="A2" s="394" t="str">
        <f>'Delivery Rate Change Calc'!A2:F2</f>
        <v>2021 Gas Decoupling Filing</v>
      </c>
      <c r="B2" s="394"/>
      <c r="C2" s="394"/>
      <c r="D2" s="394"/>
      <c r="E2" s="394"/>
      <c r="F2" s="394"/>
      <c r="G2" s="5"/>
      <c r="H2" s="5"/>
      <c r="I2" s="5"/>
      <c r="J2" s="5"/>
      <c r="K2" s="5"/>
      <c r="L2" s="5"/>
      <c r="M2" s="5"/>
    </row>
    <row r="3" spans="1:13" x14ac:dyDescent="0.2">
      <c r="A3" s="395" t="s">
        <v>213</v>
      </c>
      <c r="B3" s="395"/>
      <c r="C3" s="395"/>
      <c r="D3" s="395"/>
      <c r="E3" s="395"/>
      <c r="F3" s="395"/>
      <c r="G3" s="5"/>
      <c r="H3" s="5"/>
      <c r="I3" s="5"/>
      <c r="J3" s="5"/>
      <c r="K3" s="5"/>
      <c r="L3" s="5"/>
      <c r="M3" s="5"/>
    </row>
    <row r="4" spans="1:13" x14ac:dyDescent="0.2">
      <c r="A4" s="402" t="str">
        <f>'Delivery Rate Change Calc'!A4:F4</f>
        <v>Proposed Effective May 1, 2021</v>
      </c>
      <c r="B4" s="402"/>
      <c r="C4" s="402"/>
      <c r="D4" s="402"/>
      <c r="E4" s="402"/>
      <c r="F4" s="402"/>
      <c r="G4" s="5"/>
      <c r="H4" s="5"/>
      <c r="I4" s="5"/>
      <c r="J4" s="5"/>
      <c r="K4" s="5"/>
      <c r="L4" s="5"/>
      <c r="M4" s="5"/>
    </row>
    <row r="6" spans="1:13" x14ac:dyDescent="0.2">
      <c r="A6" s="287" t="s">
        <v>2</v>
      </c>
      <c r="D6" s="38" t="s">
        <v>3</v>
      </c>
      <c r="E6" s="38" t="s">
        <v>3</v>
      </c>
      <c r="F6" s="38" t="s">
        <v>3</v>
      </c>
    </row>
    <row r="7" spans="1:13" x14ac:dyDescent="0.2">
      <c r="A7" s="110" t="s">
        <v>4</v>
      </c>
      <c r="B7" s="40"/>
      <c r="C7" s="110" t="s">
        <v>5</v>
      </c>
      <c r="D7" s="39" t="s">
        <v>6</v>
      </c>
      <c r="E7" s="39" t="s">
        <v>7</v>
      </c>
      <c r="F7" s="39" t="s">
        <v>8</v>
      </c>
    </row>
    <row r="8" spans="1:13" x14ac:dyDescent="0.2">
      <c r="B8" s="42" t="s">
        <v>9</v>
      </c>
      <c r="C8" s="42" t="s">
        <v>10</v>
      </c>
      <c r="D8" s="42" t="s">
        <v>11</v>
      </c>
      <c r="E8" s="42" t="s">
        <v>12</v>
      </c>
      <c r="F8" s="42" t="s">
        <v>13</v>
      </c>
    </row>
    <row r="9" spans="1:13" x14ac:dyDescent="0.2">
      <c r="A9" s="42">
        <v>1</v>
      </c>
      <c r="B9" s="43"/>
      <c r="C9" s="42"/>
      <c r="D9" s="42"/>
      <c r="E9" s="42"/>
    </row>
    <row r="10" spans="1:13" x14ac:dyDescent="0.2">
      <c r="A10" s="42">
        <f t="shared" ref="A10:A26" si="0">A9+1</f>
        <v>2</v>
      </c>
      <c r="B10" s="41" t="s">
        <v>409</v>
      </c>
      <c r="C10" s="105" t="s">
        <v>214</v>
      </c>
      <c r="D10" s="77">
        <f>'Historic Account Balances'!CY15</f>
        <v>-8843.1394838439301</v>
      </c>
      <c r="E10" s="77">
        <f>'Historic Account Balances'!CY32</f>
        <v>-205444.75722585656</v>
      </c>
      <c r="F10" s="77">
        <f>'Historic Account Balances'!CY40</f>
        <v>-71694.998490234968</v>
      </c>
    </row>
    <row r="11" spans="1:13" x14ac:dyDescent="0.2">
      <c r="A11" s="42">
        <f t="shared" si="0"/>
        <v>3</v>
      </c>
    </row>
    <row r="12" spans="1:13" x14ac:dyDescent="0.2">
      <c r="A12" s="42">
        <f t="shared" si="0"/>
        <v>4</v>
      </c>
      <c r="B12" s="41" t="s">
        <v>431</v>
      </c>
      <c r="C12" s="105" t="s">
        <v>214</v>
      </c>
      <c r="D12" s="77">
        <f>'Historic Account Balances'!CU49</f>
        <v>13065205.890000001</v>
      </c>
      <c r="E12" s="77">
        <f>'Historic Account Balances'!CU68</f>
        <v>7355292.0300000003</v>
      </c>
      <c r="F12" s="77">
        <f>'Historic Account Balances'!CU76</f>
        <v>-1559519.2499999998</v>
      </c>
    </row>
    <row r="13" spans="1:13" x14ac:dyDescent="0.2">
      <c r="A13" s="42">
        <f t="shared" si="0"/>
        <v>5</v>
      </c>
      <c r="C13" s="42"/>
      <c r="D13" s="78"/>
      <c r="E13" s="78"/>
    </row>
    <row r="14" spans="1:13" x14ac:dyDescent="0.2">
      <c r="A14" s="42">
        <f t="shared" si="0"/>
        <v>6</v>
      </c>
      <c r="B14" s="41" t="s">
        <v>411</v>
      </c>
      <c r="C14" s="105" t="s">
        <v>214</v>
      </c>
      <c r="D14" s="77">
        <f>'Historic Account Balances'!CU86</f>
        <v>409287.92000000004</v>
      </c>
      <c r="E14" s="77">
        <f>'Historic Account Balances'!CU107</f>
        <v>20043.220000000012</v>
      </c>
      <c r="F14" s="77">
        <f>'Historic Account Balances'!CU116</f>
        <v>-78166.700000000012</v>
      </c>
    </row>
    <row r="15" spans="1:13" x14ac:dyDescent="0.2">
      <c r="A15" s="42">
        <f t="shared" si="0"/>
        <v>7</v>
      </c>
      <c r="C15" s="42"/>
      <c r="D15" s="78"/>
      <c r="E15" s="78"/>
    </row>
    <row r="16" spans="1:13" x14ac:dyDescent="0.2">
      <c r="A16" s="42">
        <f t="shared" si="0"/>
        <v>8</v>
      </c>
      <c r="B16" s="41" t="s">
        <v>215</v>
      </c>
      <c r="C16" s="42" t="s">
        <v>216</v>
      </c>
      <c r="D16" s="50">
        <f>D12+D14+D10</f>
        <v>13465650.670516156</v>
      </c>
      <c r="E16" s="50">
        <f>E12+E14+E10</f>
        <v>7169890.4927741438</v>
      </c>
      <c r="F16" s="50">
        <f>F12+F14+F10</f>
        <v>-1709380.9484902348</v>
      </c>
    </row>
    <row r="17" spans="1:6" x14ac:dyDescent="0.2">
      <c r="A17" s="42">
        <f t="shared" si="0"/>
        <v>9</v>
      </c>
      <c r="C17" s="42"/>
      <c r="D17" s="78"/>
      <c r="E17" s="78"/>
    </row>
    <row r="18" spans="1:6" x14ac:dyDescent="0.2">
      <c r="A18" s="42">
        <f t="shared" si="0"/>
        <v>10</v>
      </c>
      <c r="B18" s="41" t="s">
        <v>170</v>
      </c>
      <c r="C18" s="105" t="s">
        <v>14</v>
      </c>
      <c r="D18" s="111">
        <f>'2019 GRC Conversion Factor'!$D$18</f>
        <v>0.95455299999999998</v>
      </c>
      <c r="E18" s="243">
        <f>D18</f>
        <v>0.95455299999999998</v>
      </c>
      <c r="F18" s="243">
        <f>D18</f>
        <v>0.95455299999999998</v>
      </c>
    </row>
    <row r="19" spans="1:6" x14ac:dyDescent="0.2">
      <c r="A19" s="42">
        <f t="shared" si="0"/>
        <v>11</v>
      </c>
      <c r="C19" s="105"/>
      <c r="D19" s="50"/>
      <c r="E19" s="50"/>
    </row>
    <row r="20" spans="1:6" x14ac:dyDescent="0.2">
      <c r="A20" s="42">
        <f t="shared" si="0"/>
        <v>12</v>
      </c>
      <c r="B20" s="41" t="s">
        <v>217</v>
      </c>
      <c r="C20" s="42" t="s">
        <v>218</v>
      </c>
      <c r="D20" s="50">
        <f>D10/D$18</f>
        <v>-9264.1681329836374</v>
      </c>
      <c r="E20" s="50">
        <f>E10/E$18</f>
        <v>-215226.13959188916</v>
      </c>
      <c r="F20" s="50">
        <f>F10/F$18</f>
        <v>-75108.452322956364</v>
      </c>
    </row>
    <row r="21" spans="1:6" x14ac:dyDescent="0.2">
      <c r="A21" s="42">
        <f t="shared" si="0"/>
        <v>13</v>
      </c>
    </row>
    <row r="22" spans="1:6" x14ac:dyDescent="0.2">
      <c r="A22" s="42">
        <f t="shared" si="0"/>
        <v>14</v>
      </c>
      <c r="B22" s="41" t="s">
        <v>219</v>
      </c>
      <c r="C22" s="42" t="s">
        <v>220</v>
      </c>
      <c r="D22" s="50">
        <f>D12/D$18</f>
        <v>13687250.356973369</v>
      </c>
      <c r="E22" s="50">
        <f>E12/E$18</f>
        <v>7705483.1214191355</v>
      </c>
      <c r="F22" s="50">
        <f>F12/F$18</f>
        <v>-1633769.1568723789</v>
      </c>
    </row>
    <row r="23" spans="1:6" x14ac:dyDescent="0.2">
      <c r="A23" s="42">
        <f t="shared" si="0"/>
        <v>15</v>
      </c>
      <c r="C23" s="105"/>
    </row>
    <row r="24" spans="1:6" x14ac:dyDescent="0.2">
      <c r="A24" s="42">
        <f t="shared" si="0"/>
        <v>16</v>
      </c>
      <c r="B24" s="41" t="s">
        <v>221</v>
      </c>
      <c r="C24" s="42" t="s">
        <v>222</v>
      </c>
      <c r="D24" s="50">
        <f>D14/D$18</f>
        <v>428774.43159258843</v>
      </c>
      <c r="E24" s="50">
        <f>E14/E$18</f>
        <v>20997.493067435767</v>
      </c>
      <c r="F24" s="50">
        <f>F14/F$18</f>
        <v>-81888.27650219528</v>
      </c>
    </row>
    <row r="25" spans="1:6" x14ac:dyDescent="0.2">
      <c r="A25" s="42">
        <f t="shared" si="0"/>
        <v>17</v>
      </c>
      <c r="C25" s="105"/>
    </row>
    <row r="26" spans="1:6" x14ac:dyDescent="0.2">
      <c r="A26" s="42">
        <f t="shared" si="0"/>
        <v>18</v>
      </c>
      <c r="B26" s="41" t="s">
        <v>223</v>
      </c>
      <c r="C26" s="42" t="s">
        <v>224</v>
      </c>
      <c r="D26" s="50">
        <f>D22+D24+D20</f>
        <v>14106760.620432975</v>
      </c>
      <c r="E26" s="50">
        <f>E22+E24+E20</f>
        <v>7511254.4748946819</v>
      </c>
      <c r="F26" s="50">
        <f>F22+F24+F20</f>
        <v>-1790765.8856975306</v>
      </c>
    </row>
    <row r="27" spans="1:6" x14ac:dyDescent="0.2">
      <c r="A27" s="42"/>
      <c r="C27" s="105"/>
    </row>
    <row r="28" spans="1:6" x14ac:dyDescent="0.2">
      <c r="A28" s="42"/>
      <c r="D28" s="50"/>
      <c r="E28" s="50"/>
    </row>
    <row r="29" spans="1:6" x14ac:dyDescent="0.2">
      <c r="A29" s="42"/>
      <c r="D29" s="50"/>
      <c r="E29" s="50"/>
    </row>
    <row r="31" spans="1:6" x14ac:dyDescent="0.2">
      <c r="D31" s="50"/>
      <c r="E31" s="50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theme="6" tint="0.59999389629810485"/>
    <pageSetUpPr fitToPage="1"/>
  </sheetPr>
  <dimension ref="A1:CZ139"/>
  <sheetViews>
    <sheetView zoomScaleNormal="100" workbookViewId="0">
      <pane xSplit="3" ySplit="6" topLeftCell="CG94" activePane="bottomRight" state="frozen"/>
      <selection activeCell="B35" sqref="B35"/>
      <selection pane="topRight" activeCell="B35" sqref="B35"/>
      <selection pane="bottomLeft" activeCell="B35" sqref="B35"/>
      <selection pane="bottomRight" activeCell="CG124" sqref="CG124"/>
    </sheetView>
  </sheetViews>
  <sheetFormatPr defaultRowHeight="11.25" x14ac:dyDescent="0.2"/>
  <cols>
    <col min="1" max="1" width="10.28515625" style="7" customWidth="1"/>
    <col min="2" max="2" width="50.140625" style="7" bestFit="1" customWidth="1"/>
    <col min="3" max="3" width="7.85546875" style="11" bestFit="1" customWidth="1"/>
    <col min="4" max="4" width="5.7109375" style="8" bestFit="1" customWidth="1"/>
    <col min="5" max="5" width="5.85546875" style="8" bestFit="1" customWidth="1"/>
    <col min="6" max="6" width="5.85546875" style="196" bestFit="1" customWidth="1"/>
    <col min="7" max="7" width="5.85546875" style="8" bestFit="1" customWidth="1"/>
    <col min="8" max="8" width="6.140625" style="8" bestFit="1" customWidth="1"/>
    <col min="9" max="9" width="5.7109375" style="8" bestFit="1" customWidth="1"/>
    <col min="10" max="10" width="11.28515625" style="8" bestFit="1" customWidth="1"/>
    <col min="11" max="12" width="12" style="8" bestFit="1" customWidth="1"/>
    <col min="13" max="21" width="12.5703125" style="8" bestFit="1" customWidth="1"/>
    <col min="22" max="48" width="12.85546875" style="8" bestFit="1" customWidth="1"/>
    <col min="49" max="52" width="13.85546875" style="8" bestFit="1" customWidth="1"/>
    <col min="53" max="55" width="12.85546875" style="8" bestFit="1" customWidth="1"/>
    <col min="56" max="56" width="13.5703125" style="8" bestFit="1" customWidth="1"/>
    <col min="57" max="63" width="12.85546875" style="8" bestFit="1" customWidth="1"/>
    <col min="64" max="66" width="12.85546875" style="8" customWidth="1"/>
    <col min="67" max="68" width="13.5703125" style="8" bestFit="1" customWidth="1"/>
    <col min="69" max="87" width="12.85546875" style="8" customWidth="1"/>
    <col min="88" max="98" width="13.5703125" style="8" bestFit="1" customWidth="1"/>
    <col min="99" max="99" width="13.5703125" style="7" bestFit="1" customWidth="1"/>
    <col min="100" max="101" width="13.5703125" style="8" bestFit="1" customWidth="1"/>
    <col min="102" max="103" width="13.5703125" style="7" bestFit="1" customWidth="1"/>
    <col min="104" max="104" width="11.28515625" style="7" bestFit="1" customWidth="1"/>
    <col min="105" max="283" width="9.140625" style="7"/>
    <col min="284" max="284" width="5.7109375" style="7" customWidth="1"/>
    <col min="285" max="285" width="58.7109375" style="7" bestFit="1" customWidth="1"/>
    <col min="286" max="286" width="11.5703125" style="7" bestFit="1" customWidth="1"/>
    <col min="287" max="287" width="18.28515625" style="7" bestFit="1" customWidth="1"/>
    <col min="288" max="288" width="9.140625" style="7"/>
    <col min="289" max="290" width="0" style="7" hidden="1" customWidth="1"/>
    <col min="291" max="539" width="9.140625" style="7"/>
    <col min="540" max="540" width="5.7109375" style="7" customWidth="1"/>
    <col min="541" max="541" width="58.7109375" style="7" bestFit="1" customWidth="1"/>
    <col min="542" max="542" width="11.5703125" style="7" bestFit="1" customWidth="1"/>
    <col min="543" max="543" width="18.28515625" style="7" bestFit="1" customWidth="1"/>
    <col min="544" max="544" width="9.140625" style="7"/>
    <col min="545" max="546" width="0" style="7" hidden="1" customWidth="1"/>
    <col min="547" max="795" width="9.140625" style="7"/>
    <col min="796" max="796" width="5.7109375" style="7" customWidth="1"/>
    <col min="797" max="797" width="58.7109375" style="7" bestFit="1" customWidth="1"/>
    <col min="798" max="798" width="11.5703125" style="7" bestFit="1" customWidth="1"/>
    <col min="799" max="799" width="18.28515625" style="7" bestFit="1" customWidth="1"/>
    <col min="800" max="800" width="9.140625" style="7"/>
    <col min="801" max="802" width="0" style="7" hidden="1" customWidth="1"/>
    <col min="803" max="1051" width="9.140625" style="7"/>
    <col min="1052" max="1052" width="5.7109375" style="7" customWidth="1"/>
    <col min="1053" max="1053" width="58.7109375" style="7" bestFit="1" customWidth="1"/>
    <col min="1054" max="1054" width="11.5703125" style="7" bestFit="1" customWidth="1"/>
    <col min="1055" max="1055" width="18.28515625" style="7" bestFit="1" customWidth="1"/>
    <col min="1056" max="1056" width="9.140625" style="7"/>
    <col min="1057" max="1058" width="0" style="7" hidden="1" customWidth="1"/>
    <col min="1059" max="1307" width="9.140625" style="7"/>
    <col min="1308" max="1308" width="5.7109375" style="7" customWidth="1"/>
    <col min="1309" max="1309" width="58.7109375" style="7" bestFit="1" customWidth="1"/>
    <col min="1310" max="1310" width="11.5703125" style="7" bestFit="1" customWidth="1"/>
    <col min="1311" max="1311" width="18.28515625" style="7" bestFit="1" customWidth="1"/>
    <col min="1312" max="1312" width="9.140625" style="7"/>
    <col min="1313" max="1314" width="0" style="7" hidden="1" customWidth="1"/>
    <col min="1315" max="1563" width="9.140625" style="7"/>
    <col min="1564" max="1564" width="5.7109375" style="7" customWidth="1"/>
    <col min="1565" max="1565" width="58.7109375" style="7" bestFit="1" customWidth="1"/>
    <col min="1566" max="1566" width="11.5703125" style="7" bestFit="1" customWidth="1"/>
    <col min="1567" max="1567" width="18.28515625" style="7" bestFit="1" customWidth="1"/>
    <col min="1568" max="1568" width="9.140625" style="7"/>
    <col min="1569" max="1570" width="0" style="7" hidden="1" customWidth="1"/>
    <col min="1571" max="1819" width="9.140625" style="7"/>
    <col min="1820" max="1820" width="5.7109375" style="7" customWidth="1"/>
    <col min="1821" max="1821" width="58.7109375" style="7" bestFit="1" customWidth="1"/>
    <col min="1822" max="1822" width="11.5703125" style="7" bestFit="1" customWidth="1"/>
    <col min="1823" max="1823" width="18.28515625" style="7" bestFit="1" customWidth="1"/>
    <col min="1824" max="1824" width="9.140625" style="7"/>
    <col min="1825" max="1826" width="0" style="7" hidden="1" customWidth="1"/>
    <col min="1827" max="2075" width="9.140625" style="7"/>
    <col min="2076" max="2076" width="5.7109375" style="7" customWidth="1"/>
    <col min="2077" max="2077" width="58.7109375" style="7" bestFit="1" customWidth="1"/>
    <col min="2078" max="2078" width="11.5703125" style="7" bestFit="1" customWidth="1"/>
    <col min="2079" max="2079" width="18.28515625" style="7" bestFit="1" customWidth="1"/>
    <col min="2080" max="2080" width="9.140625" style="7"/>
    <col min="2081" max="2082" width="0" style="7" hidden="1" customWidth="1"/>
    <col min="2083" max="2331" width="9.140625" style="7"/>
    <col min="2332" max="2332" width="5.7109375" style="7" customWidth="1"/>
    <col min="2333" max="2333" width="58.7109375" style="7" bestFit="1" customWidth="1"/>
    <col min="2334" max="2334" width="11.5703125" style="7" bestFit="1" customWidth="1"/>
    <col min="2335" max="2335" width="18.28515625" style="7" bestFit="1" customWidth="1"/>
    <col min="2336" max="2336" width="9.140625" style="7"/>
    <col min="2337" max="2338" width="0" style="7" hidden="1" customWidth="1"/>
    <col min="2339" max="2587" width="9.140625" style="7"/>
    <col min="2588" max="2588" width="5.7109375" style="7" customWidth="1"/>
    <col min="2589" max="2589" width="58.7109375" style="7" bestFit="1" customWidth="1"/>
    <col min="2590" max="2590" width="11.5703125" style="7" bestFit="1" customWidth="1"/>
    <col min="2591" max="2591" width="18.28515625" style="7" bestFit="1" customWidth="1"/>
    <col min="2592" max="2592" width="9.140625" style="7"/>
    <col min="2593" max="2594" width="0" style="7" hidden="1" customWidth="1"/>
    <col min="2595" max="2843" width="9.140625" style="7"/>
    <col min="2844" max="2844" width="5.7109375" style="7" customWidth="1"/>
    <col min="2845" max="2845" width="58.7109375" style="7" bestFit="1" customWidth="1"/>
    <col min="2846" max="2846" width="11.5703125" style="7" bestFit="1" customWidth="1"/>
    <col min="2847" max="2847" width="18.28515625" style="7" bestFit="1" customWidth="1"/>
    <col min="2848" max="2848" width="9.140625" style="7"/>
    <col min="2849" max="2850" width="0" style="7" hidden="1" customWidth="1"/>
    <col min="2851" max="3099" width="9.140625" style="7"/>
    <col min="3100" max="3100" width="5.7109375" style="7" customWidth="1"/>
    <col min="3101" max="3101" width="58.7109375" style="7" bestFit="1" customWidth="1"/>
    <col min="3102" max="3102" width="11.5703125" style="7" bestFit="1" customWidth="1"/>
    <col min="3103" max="3103" width="18.28515625" style="7" bestFit="1" customWidth="1"/>
    <col min="3104" max="3104" width="9.140625" style="7"/>
    <col min="3105" max="3106" width="0" style="7" hidden="1" customWidth="1"/>
    <col min="3107" max="3355" width="9.140625" style="7"/>
    <col min="3356" max="3356" width="5.7109375" style="7" customWidth="1"/>
    <col min="3357" max="3357" width="58.7109375" style="7" bestFit="1" customWidth="1"/>
    <col min="3358" max="3358" width="11.5703125" style="7" bestFit="1" customWidth="1"/>
    <col min="3359" max="3359" width="18.28515625" style="7" bestFit="1" customWidth="1"/>
    <col min="3360" max="3360" width="9.140625" style="7"/>
    <col min="3361" max="3362" width="0" style="7" hidden="1" customWidth="1"/>
    <col min="3363" max="3611" width="9.140625" style="7"/>
    <col min="3612" max="3612" width="5.7109375" style="7" customWidth="1"/>
    <col min="3613" max="3613" width="58.7109375" style="7" bestFit="1" customWidth="1"/>
    <col min="3614" max="3614" width="11.5703125" style="7" bestFit="1" customWidth="1"/>
    <col min="3615" max="3615" width="18.28515625" style="7" bestFit="1" customWidth="1"/>
    <col min="3616" max="3616" width="9.140625" style="7"/>
    <col min="3617" max="3618" width="0" style="7" hidden="1" customWidth="1"/>
    <col min="3619" max="3867" width="9.140625" style="7"/>
    <col min="3868" max="3868" width="5.7109375" style="7" customWidth="1"/>
    <col min="3869" max="3869" width="58.7109375" style="7" bestFit="1" customWidth="1"/>
    <col min="3870" max="3870" width="11.5703125" style="7" bestFit="1" customWidth="1"/>
    <col min="3871" max="3871" width="18.28515625" style="7" bestFit="1" customWidth="1"/>
    <col min="3872" max="3872" width="9.140625" style="7"/>
    <col min="3873" max="3874" width="0" style="7" hidden="1" customWidth="1"/>
    <col min="3875" max="4123" width="9.140625" style="7"/>
    <col min="4124" max="4124" width="5.7109375" style="7" customWidth="1"/>
    <col min="4125" max="4125" width="58.7109375" style="7" bestFit="1" customWidth="1"/>
    <col min="4126" max="4126" width="11.5703125" style="7" bestFit="1" customWidth="1"/>
    <col min="4127" max="4127" width="18.28515625" style="7" bestFit="1" customWidth="1"/>
    <col min="4128" max="4128" width="9.140625" style="7"/>
    <col min="4129" max="4130" width="0" style="7" hidden="1" customWidth="1"/>
    <col min="4131" max="4379" width="9.140625" style="7"/>
    <col min="4380" max="4380" width="5.7109375" style="7" customWidth="1"/>
    <col min="4381" max="4381" width="58.7109375" style="7" bestFit="1" customWidth="1"/>
    <col min="4382" max="4382" width="11.5703125" style="7" bestFit="1" customWidth="1"/>
    <col min="4383" max="4383" width="18.28515625" style="7" bestFit="1" customWidth="1"/>
    <col min="4384" max="4384" width="9.140625" style="7"/>
    <col min="4385" max="4386" width="0" style="7" hidden="1" customWidth="1"/>
    <col min="4387" max="4635" width="9.140625" style="7"/>
    <col min="4636" max="4636" width="5.7109375" style="7" customWidth="1"/>
    <col min="4637" max="4637" width="58.7109375" style="7" bestFit="1" customWidth="1"/>
    <col min="4638" max="4638" width="11.5703125" style="7" bestFit="1" customWidth="1"/>
    <col min="4639" max="4639" width="18.28515625" style="7" bestFit="1" customWidth="1"/>
    <col min="4640" max="4640" width="9.140625" style="7"/>
    <col min="4641" max="4642" width="0" style="7" hidden="1" customWidth="1"/>
    <col min="4643" max="4891" width="9.140625" style="7"/>
    <col min="4892" max="4892" width="5.7109375" style="7" customWidth="1"/>
    <col min="4893" max="4893" width="58.7109375" style="7" bestFit="1" customWidth="1"/>
    <col min="4894" max="4894" width="11.5703125" style="7" bestFit="1" customWidth="1"/>
    <col min="4895" max="4895" width="18.28515625" style="7" bestFit="1" customWidth="1"/>
    <col min="4896" max="4896" width="9.140625" style="7"/>
    <col min="4897" max="4898" width="0" style="7" hidden="1" customWidth="1"/>
    <col min="4899" max="5147" width="9.140625" style="7"/>
    <col min="5148" max="5148" width="5.7109375" style="7" customWidth="1"/>
    <col min="5149" max="5149" width="58.7109375" style="7" bestFit="1" customWidth="1"/>
    <col min="5150" max="5150" width="11.5703125" style="7" bestFit="1" customWidth="1"/>
    <col min="5151" max="5151" width="18.28515625" style="7" bestFit="1" customWidth="1"/>
    <col min="5152" max="5152" width="9.140625" style="7"/>
    <col min="5153" max="5154" width="0" style="7" hidden="1" customWidth="1"/>
    <col min="5155" max="5403" width="9.140625" style="7"/>
    <col min="5404" max="5404" width="5.7109375" style="7" customWidth="1"/>
    <col min="5405" max="5405" width="58.7109375" style="7" bestFit="1" customWidth="1"/>
    <col min="5406" max="5406" width="11.5703125" style="7" bestFit="1" customWidth="1"/>
    <col min="5407" max="5407" width="18.28515625" style="7" bestFit="1" customWidth="1"/>
    <col min="5408" max="5408" width="9.140625" style="7"/>
    <col min="5409" max="5410" width="0" style="7" hidden="1" customWidth="1"/>
    <col min="5411" max="5659" width="9.140625" style="7"/>
    <col min="5660" max="5660" width="5.7109375" style="7" customWidth="1"/>
    <col min="5661" max="5661" width="58.7109375" style="7" bestFit="1" customWidth="1"/>
    <col min="5662" max="5662" width="11.5703125" style="7" bestFit="1" customWidth="1"/>
    <col min="5663" max="5663" width="18.28515625" style="7" bestFit="1" customWidth="1"/>
    <col min="5664" max="5664" width="9.140625" style="7"/>
    <col min="5665" max="5666" width="0" style="7" hidden="1" customWidth="1"/>
    <col min="5667" max="5915" width="9.140625" style="7"/>
    <col min="5916" max="5916" width="5.7109375" style="7" customWidth="1"/>
    <col min="5917" max="5917" width="58.7109375" style="7" bestFit="1" customWidth="1"/>
    <col min="5918" max="5918" width="11.5703125" style="7" bestFit="1" customWidth="1"/>
    <col min="5919" max="5919" width="18.28515625" style="7" bestFit="1" customWidth="1"/>
    <col min="5920" max="5920" width="9.140625" style="7"/>
    <col min="5921" max="5922" width="0" style="7" hidden="1" customWidth="1"/>
    <col min="5923" max="6171" width="9.140625" style="7"/>
    <col min="6172" max="6172" width="5.7109375" style="7" customWidth="1"/>
    <col min="6173" max="6173" width="58.7109375" style="7" bestFit="1" customWidth="1"/>
    <col min="6174" max="6174" width="11.5703125" style="7" bestFit="1" customWidth="1"/>
    <col min="6175" max="6175" width="18.28515625" style="7" bestFit="1" customWidth="1"/>
    <col min="6176" max="6176" width="9.140625" style="7"/>
    <col min="6177" max="6178" width="0" style="7" hidden="1" customWidth="1"/>
    <col min="6179" max="6427" width="9.140625" style="7"/>
    <col min="6428" max="6428" width="5.7109375" style="7" customWidth="1"/>
    <col min="6429" max="6429" width="58.7109375" style="7" bestFit="1" customWidth="1"/>
    <col min="6430" max="6430" width="11.5703125" style="7" bestFit="1" customWidth="1"/>
    <col min="6431" max="6431" width="18.28515625" style="7" bestFit="1" customWidth="1"/>
    <col min="6432" max="6432" width="9.140625" style="7"/>
    <col min="6433" max="6434" width="0" style="7" hidden="1" customWidth="1"/>
    <col min="6435" max="6683" width="9.140625" style="7"/>
    <col min="6684" max="6684" width="5.7109375" style="7" customWidth="1"/>
    <col min="6685" max="6685" width="58.7109375" style="7" bestFit="1" customWidth="1"/>
    <col min="6686" max="6686" width="11.5703125" style="7" bestFit="1" customWidth="1"/>
    <col min="6687" max="6687" width="18.28515625" style="7" bestFit="1" customWidth="1"/>
    <col min="6688" max="6688" width="9.140625" style="7"/>
    <col min="6689" max="6690" width="0" style="7" hidden="1" customWidth="1"/>
    <col min="6691" max="6939" width="9.140625" style="7"/>
    <col min="6940" max="6940" width="5.7109375" style="7" customWidth="1"/>
    <col min="6941" max="6941" width="58.7109375" style="7" bestFit="1" customWidth="1"/>
    <col min="6942" max="6942" width="11.5703125" style="7" bestFit="1" customWidth="1"/>
    <col min="6943" max="6943" width="18.28515625" style="7" bestFit="1" customWidth="1"/>
    <col min="6944" max="6944" width="9.140625" style="7"/>
    <col min="6945" max="6946" width="0" style="7" hidden="1" customWidth="1"/>
    <col min="6947" max="7195" width="9.140625" style="7"/>
    <col min="7196" max="7196" width="5.7109375" style="7" customWidth="1"/>
    <col min="7197" max="7197" width="58.7109375" style="7" bestFit="1" customWidth="1"/>
    <col min="7198" max="7198" width="11.5703125" style="7" bestFit="1" customWidth="1"/>
    <col min="7199" max="7199" width="18.28515625" style="7" bestFit="1" customWidth="1"/>
    <col min="7200" max="7200" width="9.140625" style="7"/>
    <col min="7201" max="7202" width="0" style="7" hidden="1" customWidth="1"/>
    <col min="7203" max="7451" width="9.140625" style="7"/>
    <col min="7452" max="7452" width="5.7109375" style="7" customWidth="1"/>
    <col min="7453" max="7453" width="58.7109375" style="7" bestFit="1" customWidth="1"/>
    <col min="7454" max="7454" width="11.5703125" style="7" bestFit="1" customWidth="1"/>
    <col min="7455" max="7455" width="18.28515625" style="7" bestFit="1" customWidth="1"/>
    <col min="7456" max="7456" width="9.140625" style="7"/>
    <col min="7457" max="7458" width="0" style="7" hidden="1" customWidth="1"/>
    <col min="7459" max="7707" width="9.140625" style="7"/>
    <col min="7708" max="7708" width="5.7109375" style="7" customWidth="1"/>
    <col min="7709" max="7709" width="58.7109375" style="7" bestFit="1" customWidth="1"/>
    <col min="7710" max="7710" width="11.5703125" style="7" bestFit="1" customWidth="1"/>
    <col min="7711" max="7711" width="18.28515625" style="7" bestFit="1" customWidth="1"/>
    <col min="7712" max="7712" width="9.140625" style="7"/>
    <col min="7713" max="7714" width="0" style="7" hidden="1" customWidth="1"/>
    <col min="7715" max="7963" width="9.140625" style="7"/>
    <col min="7964" max="7964" width="5.7109375" style="7" customWidth="1"/>
    <col min="7965" max="7965" width="58.7109375" style="7" bestFit="1" customWidth="1"/>
    <col min="7966" max="7966" width="11.5703125" style="7" bestFit="1" customWidth="1"/>
    <col min="7967" max="7967" width="18.28515625" style="7" bestFit="1" customWidth="1"/>
    <col min="7968" max="7968" width="9.140625" style="7"/>
    <col min="7969" max="7970" width="0" style="7" hidden="1" customWidth="1"/>
    <col min="7971" max="8219" width="9.140625" style="7"/>
    <col min="8220" max="8220" width="5.7109375" style="7" customWidth="1"/>
    <col min="8221" max="8221" width="58.7109375" style="7" bestFit="1" customWidth="1"/>
    <col min="8222" max="8222" width="11.5703125" style="7" bestFit="1" customWidth="1"/>
    <col min="8223" max="8223" width="18.28515625" style="7" bestFit="1" customWidth="1"/>
    <col min="8224" max="8224" width="9.140625" style="7"/>
    <col min="8225" max="8226" width="0" style="7" hidden="1" customWidth="1"/>
    <col min="8227" max="8475" width="9.140625" style="7"/>
    <col min="8476" max="8476" width="5.7109375" style="7" customWidth="1"/>
    <col min="8477" max="8477" width="58.7109375" style="7" bestFit="1" customWidth="1"/>
    <col min="8478" max="8478" width="11.5703125" style="7" bestFit="1" customWidth="1"/>
    <col min="8479" max="8479" width="18.28515625" style="7" bestFit="1" customWidth="1"/>
    <col min="8480" max="8480" width="9.140625" style="7"/>
    <col min="8481" max="8482" width="0" style="7" hidden="1" customWidth="1"/>
    <col min="8483" max="8731" width="9.140625" style="7"/>
    <col min="8732" max="8732" width="5.7109375" style="7" customWidth="1"/>
    <col min="8733" max="8733" width="58.7109375" style="7" bestFit="1" customWidth="1"/>
    <col min="8734" max="8734" width="11.5703125" style="7" bestFit="1" customWidth="1"/>
    <col min="8735" max="8735" width="18.28515625" style="7" bestFit="1" customWidth="1"/>
    <col min="8736" max="8736" width="9.140625" style="7"/>
    <col min="8737" max="8738" width="0" style="7" hidden="1" customWidth="1"/>
    <col min="8739" max="8987" width="9.140625" style="7"/>
    <col min="8988" max="8988" width="5.7109375" style="7" customWidth="1"/>
    <col min="8989" max="8989" width="58.7109375" style="7" bestFit="1" customWidth="1"/>
    <col min="8990" max="8990" width="11.5703125" style="7" bestFit="1" customWidth="1"/>
    <col min="8991" max="8991" width="18.28515625" style="7" bestFit="1" customWidth="1"/>
    <col min="8992" max="8992" width="9.140625" style="7"/>
    <col min="8993" max="8994" width="0" style="7" hidden="1" customWidth="1"/>
    <col min="8995" max="9243" width="9.140625" style="7"/>
    <col min="9244" max="9244" width="5.7109375" style="7" customWidth="1"/>
    <col min="9245" max="9245" width="58.7109375" style="7" bestFit="1" customWidth="1"/>
    <col min="9246" max="9246" width="11.5703125" style="7" bestFit="1" customWidth="1"/>
    <col min="9247" max="9247" width="18.28515625" style="7" bestFit="1" customWidth="1"/>
    <col min="9248" max="9248" width="9.140625" style="7"/>
    <col min="9249" max="9250" width="0" style="7" hidden="1" customWidth="1"/>
    <col min="9251" max="9499" width="9.140625" style="7"/>
    <col min="9500" max="9500" width="5.7109375" style="7" customWidth="1"/>
    <col min="9501" max="9501" width="58.7109375" style="7" bestFit="1" customWidth="1"/>
    <col min="9502" max="9502" width="11.5703125" style="7" bestFit="1" customWidth="1"/>
    <col min="9503" max="9503" width="18.28515625" style="7" bestFit="1" customWidth="1"/>
    <col min="9504" max="9504" width="9.140625" style="7"/>
    <col min="9505" max="9506" width="0" style="7" hidden="1" customWidth="1"/>
    <col min="9507" max="9755" width="9.140625" style="7"/>
    <col min="9756" max="9756" width="5.7109375" style="7" customWidth="1"/>
    <col min="9757" max="9757" width="58.7109375" style="7" bestFit="1" customWidth="1"/>
    <col min="9758" max="9758" width="11.5703125" style="7" bestFit="1" customWidth="1"/>
    <col min="9759" max="9759" width="18.28515625" style="7" bestFit="1" customWidth="1"/>
    <col min="9760" max="9760" width="9.140625" style="7"/>
    <col min="9761" max="9762" width="0" style="7" hidden="1" customWidth="1"/>
    <col min="9763" max="10011" width="9.140625" style="7"/>
    <col min="10012" max="10012" width="5.7109375" style="7" customWidth="1"/>
    <col min="10013" max="10013" width="58.7109375" style="7" bestFit="1" customWidth="1"/>
    <col min="10014" max="10014" width="11.5703125" style="7" bestFit="1" customWidth="1"/>
    <col min="10015" max="10015" width="18.28515625" style="7" bestFit="1" customWidth="1"/>
    <col min="10016" max="10016" width="9.140625" style="7"/>
    <col min="10017" max="10018" width="0" style="7" hidden="1" customWidth="1"/>
    <col min="10019" max="10267" width="9.140625" style="7"/>
    <col min="10268" max="10268" width="5.7109375" style="7" customWidth="1"/>
    <col min="10269" max="10269" width="58.7109375" style="7" bestFit="1" customWidth="1"/>
    <col min="10270" max="10270" width="11.5703125" style="7" bestFit="1" customWidth="1"/>
    <col min="10271" max="10271" width="18.28515625" style="7" bestFit="1" customWidth="1"/>
    <col min="10272" max="10272" width="9.140625" style="7"/>
    <col min="10273" max="10274" width="0" style="7" hidden="1" customWidth="1"/>
    <col min="10275" max="10523" width="9.140625" style="7"/>
    <col min="10524" max="10524" width="5.7109375" style="7" customWidth="1"/>
    <col min="10525" max="10525" width="58.7109375" style="7" bestFit="1" customWidth="1"/>
    <col min="10526" max="10526" width="11.5703125" style="7" bestFit="1" customWidth="1"/>
    <col min="10527" max="10527" width="18.28515625" style="7" bestFit="1" customWidth="1"/>
    <col min="10528" max="10528" width="9.140625" style="7"/>
    <col min="10529" max="10530" width="0" style="7" hidden="1" customWidth="1"/>
    <col min="10531" max="10779" width="9.140625" style="7"/>
    <col min="10780" max="10780" width="5.7109375" style="7" customWidth="1"/>
    <col min="10781" max="10781" width="58.7109375" style="7" bestFit="1" customWidth="1"/>
    <col min="10782" max="10782" width="11.5703125" style="7" bestFit="1" customWidth="1"/>
    <col min="10783" max="10783" width="18.28515625" style="7" bestFit="1" customWidth="1"/>
    <col min="10784" max="10784" width="9.140625" style="7"/>
    <col min="10785" max="10786" width="0" style="7" hidden="1" customWidth="1"/>
    <col min="10787" max="11035" width="9.140625" style="7"/>
    <col min="11036" max="11036" width="5.7109375" style="7" customWidth="1"/>
    <col min="11037" max="11037" width="58.7109375" style="7" bestFit="1" customWidth="1"/>
    <col min="11038" max="11038" width="11.5703125" style="7" bestFit="1" customWidth="1"/>
    <col min="11039" max="11039" width="18.28515625" style="7" bestFit="1" customWidth="1"/>
    <col min="11040" max="11040" width="9.140625" style="7"/>
    <col min="11041" max="11042" width="0" style="7" hidden="1" customWidth="1"/>
    <col min="11043" max="11291" width="9.140625" style="7"/>
    <col min="11292" max="11292" width="5.7109375" style="7" customWidth="1"/>
    <col min="11293" max="11293" width="58.7109375" style="7" bestFit="1" customWidth="1"/>
    <col min="11294" max="11294" width="11.5703125" style="7" bestFit="1" customWidth="1"/>
    <col min="11295" max="11295" width="18.28515625" style="7" bestFit="1" customWidth="1"/>
    <col min="11296" max="11296" width="9.140625" style="7"/>
    <col min="11297" max="11298" width="0" style="7" hidden="1" customWidth="1"/>
    <col min="11299" max="11547" width="9.140625" style="7"/>
    <col min="11548" max="11548" width="5.7109375" style="7" customWidth="1"/>
    <col min="11549" max="11549" width="58.7109375" style="7" bestFit="1" customWidth="1"/>
    <col min="11550" max="11550" width="11.5703125" style="7" bestFit="1" customWidth="1"/>
    <col min="11551" max="11551" width="18.28515625" style="7" bestFit="1" customWidth="1"/>
    <col min="11552" max="11552" width="9.140625" style="7"/>
    <col min="11553" max="11554" width="0" style="7" hidden="1" customWidth="1"/>
    <col min="11555" max="11803" width="9.140625" style="7"/>
    <col min="11804" max="11804" width="5.7109375" style="7" customWidth="1"/>
    <col min="11805" max="11805" width="58.7109375" style="7" bestFit="1" customWidth="1"/>
    <col min="11806" max="11806" width="11.5703125" style="7" bestFit="1" customWidth="1"/>
    <col min="11807" max="11807" width="18.28515625" style="7" bestFit="1" customWidth="1"/>
    <col min="11808" max="11808" width="9.140625" style="7"/>
    <col min="11809" max="11810" width="0" style="7" hidden="1" customWidth="1"/>
    <col min="11811" max="12059" width="9.140625" style="7"/>
    <col min="12060" max="12060" width="5.7109375" style="7" customWidth="1"/>
    <col min="12061" max="12061" width="58.7109375" style="7" bestFit="1" customWidth="1"/>
    <col min="12062" max="12062" width="11.5703125" style="7" bestFit="1" customWidth="1"/>
    <col min="12063" max="12063" width="18.28515625" style="7" bestFit="1" customWidth="1"/>
    <col min="12064" max="12064" width="9.140625" style="7"/>
    <col min="12065" max="12066" width="0" style="7" hidden="1" customWidth="1"/>
    <col min="12067" max="12315" width="9.140625" style="7"/>
    <col min="12316" max="12316" width="5.7109375" style="7" customWidth="1"/>
    <col min="12317" max="12317" width="58.7109375" style="7" bestFit="1" customWidth="1"/>
    <col min="12318" max="12318" width="11.5703125" style="7" bestFit="1" customWidth="1"/>
    <col min="12319" max="12319" width="18.28515625" style="7" bestFit="1" customWidth="1"/>
    <col min="12320" max="12320" width="9.140625" style="7"/>
    <col min="12321" max="12322" width="0" style="7" hidden="1" customWidth="1"/>
    <col min="12323" max="12571" width="9.140625" style="7"/>
    <col min="12572" max="12572" width="5.7109375" style="7" customWidth="1"/>
    <col min="12573" max="12573" width="58.7109375" style="7" bestFit="1" customWidth="1"/>
    <col min="12574" max="12574" width="11.5703125" style="7" bestFit="1" customWidth="1"/>
    <col min="12575" max="12575" width="18.28515625" style="7" bestFit="1" customWidth="1"/>
    <col min="12576" max="12576" width="9.140625" style="7"/>
    <col min="12577" max="12578" width="0" style="7" hidden="1" customWidth="1"/>
    <col min="12579" max="12827" width="9.140625" style="7"/>
    <col min="12828" max="12828" width="5.7109375" style="7" customWidth="1"/>
    <col min="12829" max="12829" width="58.7109375" style="7" bestFit="1" customWidth="1"/>
    <col min="12830" max="12830" width="11.5703125" style="7" bestFit="1" customWidth="1"/>
    <col min="12831" max="12831" width="18.28515625" style="7" bestFit="1" customWidth="1"/>
    <col min="12832" max="12832" width="9.140625" style="7"/>
    <col min="12833" max="12834" width="0" style="7" hidden="1" customWidth="1"/>
    <col min="12835" max="13083" width="9.140625" style="7"/>
    <col min="13084" max="13084" width="5.7109375" style="7" customWidth="1"/>
    <col min="13085" max="13085" width="58.7109375" style="7" bestFit="1" customWidth="1"/>
    <col min="13086" max="13086" width="11.5703125" style="7" bestFit="1" customWidth="1"/>
    <col min="13087" max="13087" width="18.28515625" style="7" bestFit="1" customWidth="1"/>
    <col min="13088" max="13088" width="9.140625" style="7"/>
    <col min="13089" max="13090" width="0" style="7" hidden="1" customWidth="1"/>
    <col min="13091" max="13339" width="9.140625" style="7"/>
    <col min="13340" max="13340" width="5.7109375" style="7" customWidth="1"/>
    <col min="13341" max="13341" width="58.7109375" style="7" bestFit="1" customWidth="1"/>
    <col min="13342" max="13342" width="11.5703125" style="7" bestFit="1" customWidth="1"/>
    <col min="13343" max="13343" width="18.28515625" style="7" bestFit="1" customWidth="1"/>
    <col min="13344" max="13344" width="9.140625" style="7"/>
    <col min="13345" max="13346" width="0" style="7" hidden="1" customWidth="1"/>
    <col min="13347" max="13595" width="9.140625" style="7"/>
    <col min="13596" max="13596" width="5.7109375" style="7" customWidth="1"/>
    <col min="13597" max="13597" width="58.7109375" style="7" bestFit="1" customWidth="1"/>
    <col min="13598" max="13598" width="11.5703125" style="7" bestFit="1" customWidth="1"/>
    <col min="13599" max="13599" width="18.28515625" style="7" bestFit="1" customWidth="1"/>
    <col min="13600" max="13600" width="9.140625" style="7"/>
    <col min="13601" max="13602" width="0" style="7" hidden="1" customWidth="1"/>
    <col min="13603" max="13851" width="9.140625" style="7"/>
    <col min="13852" max="13852" width="5.7109375" style="7" customWidth="1"/>
    <col min="13853" max="13853" width="58.7109375" style="7" bestFit="1" customWidth="1"/>
    <col min="13854" max="13854" width="11.5703125" style="7" bestFit="1" customWidth="1"/>
    <col min="13855" max="13855" width="18.28515625" style="7" bestFit="1" customWidth="1"/>
    <col min="13856" max="13856" width="9.140625" style="7"/>
    <col min="13857" max="13858" width="0" style="7" hidden="1" customWidth="1"/>
    <col min="13859" max="14107" width="9.140625" style="7"/>
    <col min="14108" max="14108" width="5.7109375" style="7" customWidth="1"/>
    <col min="14109" max="14109" width="58.7109375" style="7" bestFit="1" customWidth="1"/>
    <col min="14110" max="14110" width="11.5703125" style="7" bestFit="1" customWidth="1"/>
    <col min="14111" max="14111" width="18.28515625" style="7" bestFit="1" customWidth="1"/>
    <col min="14112" max="14112" width="9.140625" style="7"/>
    <col min="14113" max="14114" width="0" style="7" hidden="1" customWidth="1"/>
    <col min="14115" max="14363" width="9.140625" style="7"/>
    <col min="14364" max="14364" width="5.7109375" style="7" customWidth="1"/>
    <col min="14365" max="14365" width="58.7109375" style="7" bestFit="1" customWidth="1"/>
    <col min="14366" max="14366" width="11.5703125" style="7" bestFit="1" customWidth="1"/>
    <col min="14367" max="14367" width="18.28515625" style="7" bestFit="1" customWidth="1"/>
    <col min="14368" max="14368" width="9.140625" style="7"/>
    <col min="14369" max="14370" width="0" style="7" hidden="1" customWidth="1"/>
    <col min="14371" max="14619" width="9.140625" style="7"/>
    <col min="14620" max="14620" width="5.7109375" style="7" customWidth="1"/>
    <col min="14621" max="14621" width="58.7109375" style="7" bestFit="1" customWidth="1"/>
    <col min="14622" max="14622" width="11.5703125" style="7" bestFit="1" customWidth="1"/>
    <col min="14623" max="14623" width="18.28515625" style="7" bestFit="1" customWidth="1"/>
    <col min="14624" max="14624" width="9.140625" style="7"/>
    <col min="14625" max="14626" width="0" style="7" hidden="1" customWidth="1"/>
    <col min="14627" max="14875" width="9.140625" style="7"/>
    <col min="14876" max="14876" width="5.7109375" style="7" customWidth="1"/>
    <col min="14877" max="14877" width="58.7109375" style="7" bestFit="1" customWidth="1"/>
    <col min="14878" max="14878" width="11.5703125" style="7" bestFit="1" customWidth="1"/>
    <col min="14879" max="14879" width="18.28515625" style="7" bestFit="1" customWidth="1"/>
    <col min="14880" max="14880" width="9.140625" style="7"/>
    <col min="14881" max="14882" width="0" style="7" hidden="1" customWidth="1"/>
    <col min="14883" max="15131" width="9.140625" style="7"/>
    <col min="15132" max="15132" width="5.7109375" style="7" customWidth="1"/>
    <col min="15133" max="15133" width="58.7109375" style="7" bestFit="1" customWidth="1"/>
    <col min="15134" max="15134" width="11.5703125" style="7" bestFit="1" customWidth="1"/>
    <col min="15135" max="15135" width="18.28515625" style="7" bestFit="1" customWidth="1"/>
    <col min="15136" max="15136" width="9.140625" style="7"/>
    <col min="15137" max="15138" width="0" style="7" hidden="1" customWidth="1"/>
    <col min="15139" max="15387" width="9.140625" style="7"/>
    <col min="15388" max="15388" width="5.7109375" style="7" customWidth="1"/>
    <col min="15389" max="15389" width="58.7109375" style="7" bestFit="1" customWidth="1"/>
    <col min="15390" max="15390" width="11.5703125" style="7" bestFit="1" customWidth="1"/>
    <col min="15391" max="15391" width="18.28515625" style="7" bestFit="1" customWidth="1"/>
    <col min="15392" max="15392" width="9.140625" style="7"/>
    <col min="15393" max="15394" width="0" style="7" hidden="1" customWidth="1"/>
    <col min="15395" max="15643" width="9.140625" style="7"/>
    <col min="15644" max="15644" width="5.7109375" style="7" customWidth="1"/>
    <col min="15645" max="15645" width="58.7109375" style="7" bestFit="1" customWidth="1"/>
    <col min="15646" max="15646" width="11.5703125" style="7" bestFit="1" customWidth="1"/>
    <col min="15647" max="15647" width="18.28515625" style="7" bestFit="1" customWidth="1"/>
    <col min="15648" max="15648" width="9.140625" style="7"/>
    <col min="15649" max="15650" width="0" style="7" hidden="1" customWidth="1"/>
    <col min="15651" max="15899" width="9.140625" style="7"/>
    <col min="15900" max="15900" width="5.7109375" style="7" customWidth="1"/>
    <col min="15901" max="15901" width="58.7109375" style="7" bestFit="1" customWidth="1"/>
    <col min="15902" max="15902" width="11.5703125" style="7" bestFit="1" customWidth="1"/>
    <col min="15903" max="15903" width="18.28515625" style="7" bestFit="1" customWidth="1"/>
    <col min="15904" max="15904" width="9.140625" style="7"/>
    <col min="15905" max="15906" width="0" style="7" hidden="1" customWidth="1"/>
    <col min="15907" max="16155" width="9.140625" style="7"/>
    <col min="16156" max="16156" width="5.7109375" style="7" customWidth="1"/>
    <col min="16157" max="16157" width="58.7109375" style="7" bestFit="1" customWidth="1"/>
    <col min="16158" max="16158" width="11.5703125" style="7" bestFit="1" customWidth="1"/>
    <col min="16159" max="16159" width="18.28515625" style="7" bestFit="1" customWidth="1"/>
    <col min="16160" max="16160" width="9.140625" style="7"/>
    <col min="16161" max="16162" width="0" style="7" hidden="1" customWidth="1"/>
    <col min="16163" max="16384" width="9.140625" style="7"/>
  </cols>
  <sheetData>
    <row r="1" spans="1:103" x14ac:dyDescent="0.2">
      <c r="A1" s="4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03" x14ac:dyDescent="0.2">
      <c r="A2" s="227" t="str">
        <f>'Delivery Rate Change Calc'!A2:F2</f>
        <v>2021 Gas Decoupling Filing</v>
      </c>
      <c r="B2" s="9"/>
      <c r="C2" s="6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CU2" s="8"/>
      <c r="CX2" s="8"/>
      <c r="CY2" s="8"/>
    </row>
    <row r="3" spans="1:103" x14ac:dyDescent="0.2">
      <c r="A3" s="4" t="s">
        <v>355</v>
      </c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BD3" s="30"/>
    </row>
    <row r="4" spans="1:103" x14ac:dyDescent="0.2">
      <c r="A4" s="9" t="str">
        <f>'Delivery Rate Change Calc'!A4:F4</f>
        <v>Proposed Effective May 1, 2021</v>
      </c>
      <c r="B4" s="9"/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03" x14ac:dyDescent="0.2">
      <c r="D5" s="36" t="s">
        <v>212</v>
      </c>
      <c r="E5" s="36" t="s">
        <v>212</v>
      </c>
      <c r="F5" s="36" t="s">
        <v>212</v>
      </c>
      <c r="G5" s="36" t="s">
        <v>212</v>
      </c>
      <c r="H5" s="36" t="s">
        <v>212</v>
      </c>
      <c r="I5" s="36" t="s">
        <v>212</v>
      </c>
      <c r="J5" s="36" t="s">
        <v>212</v>
      </c>
      <c r="K5" s="36" t="s">
        <v>212</v>
      </c>
      <c r="L5" s="36" t="s">
        <v>212</v>
      </c>
      <c r="M5" s="36" t="s">
        <v>212</v>
      </c>
      <c r="N5" s="36" t="s">
        <v>212</v>
      </c>
      <c r="O5" s="36" t="s">
        <v>212</v>
      </c>
      <c r="P5" s="36" t="s">
        <v>212</v>
      </c>
      <c r="Q5" s="36" t="s">
        <v>212</v>
      </c>
      <c r="R5" s="36" t="s">
        <v>212</v>
      </c>
      <c r="S5" s="36" t="s">
        <v>212</v>
      </c>
      <c r="T5" s="36" t="s">
        <v>212</v>
      </c>
      <c r="U5" s="36" t="s">
        <v>212</v>
      </c>
      <c r="V5" s="36" t="s">
        <v>212</v>
      </c>
      <c r="W5" s="36" t="s">
        <v>212</v>
      </c>
      <c r="X5" s="36" t="s">
        <v>212</v>
      </c>
      <c r="Y5" s="36" t="s">
        <v>212</v>
      </c>
      <c r="Z5" s="36" t="s">
        <v>212</v>
      </c>
      <c r="AA5" s="36" t="s">
        <v>212</v>
      </c>
      <c r="AB5" s="36" t="s">
        <v>212</v>
      </c>
      <c r="AC5" s="36" t="s">
        <v>212</v>
      </c>
      <c r="AD5" s="36" t="s">
        <v>212</v>
      </c>
      <c r="AE5" s="36" t="s">
        <v>212</v>
      </c>
      <c r="AF5" s="36" t="s">
        <v>212</v>
      </c>
      <c r="AG5" s="36" t="s">
        <v>212</v>
      </c>
      <c r="AH5" s="36" t="s">
        <v>212</v>
      </c>
      <c r="AI5" s="36" t="s">
        <v>212</v>
      </c>
      <c r="AJ5" s="36" t="s">
        <v>212</v>
      </c>
      <c r="AK5" s="36" t="s">
        <v>212</v>
      </c>
      <c r="AL5" s="36" t="s">
        <v>212</v>
      </c>
      <c r="AM5" s="36" t="s">
        <v>212</v>
      </c>
      <c r="AN5" s="36" t="s">
        <v>212</v>
      </c>
      <c r="AO5" s="36" t="s">
        <v>212</v>
      </c>
      <c r="AP5" s="36" t="s">
        <v>212</v>
      </c>
      <c r="AQ5" s="36" t="s">
        <v>212</v>
      </c>
      <c r="AR5" s="36" t="s">
        <v>212</v>
      </c>
      <c r="AS5" s="36" t="s">
        <v>212</v>
      </c>
      <c r="AT5" s="36" t="s">
        <v>212</v>
      </c>
      <c r="AU5" s="36" t="s">
        <v>212</v>
      </c>
      <c r="AV5" s="36" t="s">
        <v>212</v>
      </c>
      <c r="AW5" s="36" t="s">
        <v>212</v>
      </c>
      <c r="AX5" s="36" t="s">
        <v>212</v>
      </c>
      <c r="AY5" s="36" t="s">
        <v>212</v>
      </c>
      <c r="AZ5" s="36" t="s">
        <v>212</v>
      </c>
      <c r="BA5" s="36" t="s">
        <v>212</v>
      </c>
      <c r="BB5" s="36" t="s">
        <v>212</v>
      </c>
      <c r="BC5" s="36" t="s">
        <v>212</v>
      </c>
      <c r="BD5" s="36" t="s">
        <v>212</v>
      </c>
      <c r="BE5" s="36" t="s">
        <v>212</v>
      </c>
      <c r="BF5" s="36" t="s">
        <v>212</v>
      </c>
      <c r="BG5" s="36" t="s">
        <v>212</v>
      </c>
      <c r="BH5" s="36" t="s">
        <v>212</v>
      </c>
      <c r="BI5" s="36" t="s">
        <v>212</v>
      </c>
      <c r="BJ5" s="36" t="s">
        <v>212</v>
      </c>
      <c r="BK5" s="36" t="s">
        <v>212</v>
      </c>
      <c r="BL5" s="36" t="s">
        <v>212</v>
      </c>
      <c r="BM5" s="36" t="s">
        <v>212</v>
      </c>
      <c r="BN5" s="36" t="s">
        <v>212</v>
      </c>
      <c r="BO5" s="36" t="s">
        <v>212</v>
      </c>
      <c r="BP5" s="36" t="s">
        <v>212</v>
      </c>
      <c r="BQ5" s="36" t="s">
        <v>212</v>
      </c>
      <c r="BR5" s="36" t="s">
        <v>212</v>
      </c>
      <c r="BS5" s="36" t="s">
        <v>212</v>
      </c>
      <c r="BT5" s="36" t="s">
        <v>212</v>
      </c>
      <c r="BU5" s="36" t="s">
        <v>212</v>
      </c>
      <c r="BV5" s="36" t="s">
        <v>212</v>
      </c>
      <c r="BW5" s="36" t="s">
        <v>212</v>
      </c>
      <c r="BX5" s="36" t="s">
        <v>212</v>
      </c>
      <c r="BY5" s="36" t="s">
        <v>212</v>
      </c>
      <c r="BZ5" s="36" t="s">
        <v>212</v>
      </c>
      <c r="CA5" s="36" t="s">
        <v>212</v>
      </c>
      <c r="CB5" s="36" t="s">
        <v>212</v>
      </c>
      <c r="CC5" s="36" t="s">
        <v>212</v>
      </c>
      <c r="CD5" s="36" t="s">
        <v>212</v>
      </c>
      <c r="CE5" s="36" t="s">
        <v>212</v>
      </c>
      <c r="CF5" s="36" t="s">
        <v>212</v>
      </c>
      <c r="CG5" s="36" t="s">
        <v>212</v>
      </c>
      <c r="CH5" s="36" t="s">
        <v>212</v>
      </c>
      <c r="CI5" s="36" t="s">
        <v>212</v>
      </c>
      <c r="CJ5" s="36" t="s">
        <v>212</v>
      </c>
      <c r="CK5" s="36" t="s">
        <v>212</v>
      </c>
      <c r="CL5" s="36" t="s">
        <v>212</v>
      </c>
      <c r="CM5" s="36" t="s">
        <v>212</v>
      </c>
      <c r="CN5" s="36" t="s">
        <v>212</v>
      </c>
      <c r="CO5" s="36" t="s">
        <v>212</v>
      </c>
      <c r="CP5" s="36" t="s">
        <v>212</v>
      </c>
      <c r="CQ5" s="36" t="s">
        <v>212</v>
      </c>
      <c r="CR5" s="36" t="s">
        <v>212</v>
      </c>
      <c r="CS5" s="36" t="s">
        <v>212</v>
      </c>
      <c r="CT5" s="36" t="s">
        <v>212</v>
      </c>
      <c r="CU5" s="36" t="s">
        <v>212</v>
      </c>
      <c r="CV5" s="36" t="s">
        <v>212</v>
      </c>
      <c r="CW5" s="36" t="s">
        <v>212</v>
      </c>
      <c r="CX5" s="35" t="s">
        <v>236</v>
      </c>
      <c r="CY5" s="35" t="s">
        <v>236</v>
      </c>
    </row>
    <row r="6" spans="1:103" x14ac:dyDescent="0.2">
      <c r="C6" s="12" t="s">
        <v>188</v>
      </c>
      <c r="D6" s="13">
        <v>41275</v>
      </c>
      <c r="E6" s="13">
        <v>41306</v>
      </c>
      <c r="F6" s="13">
        <v>41334</v>
      </c>
      <c r="G6" s="13">
        <v>41365</v>
      </c>
      <c r="H6" s="13">
        <v>41395</v>
      </c>
      <c r="I6" s="13">
        <v>41426</v>
      </c>
      <c r="J6" s="13">
        <v>41456</v>
      </c>
      <c r="K6" s="13">
        <v>41487</v>
      </c>
      <c r="L6" s="13">
        <v>41518</v>
      </c>
      <c r="M6" s="13">
        <v>41548</v>
      </c>
      <c r="N6" s="13">
        <v>41579</v>
      </c>
      <c r="O6" s="13">
        <v>41609</v>
      </c>
      <c r="P6" s="13">
        <v>41640</v>
      </c>
      <c r="Q6" s="13">
        <v>41671</v>
      </c>
      <c r="R6" s="13">
        <v>41699</v>
      </c>
      <c r="S6" s="13">
        <v>41730</v>
      </c>
      <c r="T6" s="13">
        <v>41760</v>
      </c>
      <c r="U6" s="13">
        <v>41791</v>
      </c>
      <c r="V6" s="13">
        <v>41821</v>
      </c>
      <c r="W6" s="13">
        <v>41852</v>
      </c>
      <c r="X6" s="13">
        <v>41883</v>
      </c>
      <c r="Y6" s="13">
        <v>41913</v>
      </c>
      <c r="Z6" s="13">
        <v>41944</v>
      </c>
      <c r="AA6" s="13">
        <v>41974</v>
      </c>
      <c r="AB6" s="13">
        <v>42005</v>
      </c>
      <c r="AC6" s="13">
        <v>42036</v>
      </c>
      <c r="AD6" s="13">
        <v>42064</v>
      </c>
      <c r="AE6" s="13">
        <v>42095</v>
      </c>
      <c r="AF6" s="13">
        <v>42125</v>
      </c>
      <c r="AG6" s="13">
        <v>42156</v>
      </c>
      <c r="AH6" s="13">
        <v>42186</v>
      </c>
      <c r="AI6" s="13">
        <v>42217</v>
      </c>
      <c r="AJ6" s="13">
        <v>42248</v>
      </c>
      <c r="AK6" s="13">
        <v>42278</v>
      </c>
      <c r="AL6" s="13">
        <v>42309</v>
      </c>
      <c r="AM6" s="13">
        <v>42339</v>
      </c>
      <c r="AN6" s="13">
        <v>42370</v>
      </c>
      <c r="AO6" s="13">
        <v>42401</v>
      </c>
      <c r="AP6" s="13">
        <v>42430</v>
      </c>
      <c r="AQ6" s="13">
        <v>42461</v>
      </c>
      <c r="AR6" s="13">
        <v>42491</v>
      </c>
      <c r="AS6" s="13">
        <v>42522</v>
      </c>
      <c r="AT6" s="13">
        <v>42552</v>
      </c>
      <c r="AU6" s="13">
        <v>42583</v>
      </c>
      <c r="AV6" s="13">
        <v>42614</v>
      </c>
      <c r="AW6" s="13">
        <v>42644</v>
      </c>
      <c r="AX6" s="13">
        <v>42675</v>
      </c>
      <c r="AY6" s="13">
        <v>42705</v>
      </c>
      <c r="AZ6" s="13">
        <v>42736</v>
      </c>
      <c r="BA6" s="13">
        <v>42767</v>
      </c>
      <c r="BB6" s="13">
        <v>42795</v>
      </c>
      <c r="BC6" s="13">
        <v>42826</v>
      </c>
      <c r="BD6" s="13">
        <v>42856</v>
      </c>
      <c r="BE6" s="13">
        <v>42887</v>
      </c>
      <c r="BF6" s="13">
        <v>42917</v>
      </c>
      <c r="BG6" s="13">
        <v>42948</v>
      </c>
      <c r="BH6" s="13">
        <v>42979</v>
      </c>
      <c r="BI6" s="13">
        <v>43009</v>
      </c>
      <c r="BJ6" s="13">
        <v>43040</v>
      </c>
      <c r="BK6" s="13">
        <v>43070</v>
      </c>
      <c r="BL6" s="13">
        <v>43101</v>
      </c>
      <c r="BM6" s="13">
        <v>43132</v>
      </c>
      <c r="BN6" s="13">
        <v>43160</v>
      </c>
      <c r="BO6" s="13">
        <v>43191</v>
      </c>
      <c r="BP6" s="13">
        <v>43221</v>
      </c>
      <c r="BQ6" s="13">
        <v>43252</v>
      </c>
      <c r="BR6" s="13">
        <v>43282</v>
      </c>
      <c r="BS6" s="13">
        <v>43313</v>
      </c>
      <c r="BT6" s="13">
        <v>43344</v>
      </c>
      <c r="BU6" s="13">
        <v>43374</v>
      </c>
      <c r="BV6" s="13">
        <v>43405</v>
      </c>
      <c r="BW6" s="13">
        <v>43435</v>
      </c>
      <c r="BX6" s="13">
        <v>43466</v>
      </c>
      <c r="BY6" s="13">
        <v>43497</v>
      </c>
      <c r="BZ6" s="13">
        <v>43525</v>
      </c>
      <c r="CA6" s="13">
        <v>43556</v>
      </c>
      <c r="CB6" s="13">
        <v>43586</v>
      </c>
      <c r="CC6" s="13">
        <v>43617</v>
      </c>
      <c r="CD6" s="13">
        <v>43647</v>
      </c>
      <c r="CE6" s="13">
        <v>43678</v>
      </c>
      <c r="CF6" s="13">
        <v>43709</v>
      </c>
      <c r="CG6" s="13">
        <v>43739</v>
      </c>
      <c r="CH6" s="13">
        <v>43770</v>
      </c>
      <c r="CI6" s="13">
        <v>43800</v>
      </c>
      <c r="CJ6" s="13">
        <v>43831</v>
      </c>
      <c r="CK6" s="13">
        <v>43862</v>
      </c>
      <c r="CL6" s="13">
        <v>43891</v>
      </c>
      <c r="CM6" s="13">
        <v>43922</v>
      </c>
      <c r="CN6" s="13">
        <v>43952</v>
      </c>
      <c r="CO6" s="13">
        <v>43983</v>
      </c>
      <c r="CP6" s="13">
        <v>44013</v>
      </c>
      <c r="CQ6" s="13">
        <v>44044</v>
      </c>
      <c r="CR6" s="13">
        <v>44075</v>
      </c>
      <c r="CS6" s="13">
        <v>44105</v>
      </c>
      <c r="CT6" s="13">
        <v>44136</v>
      </c>
      <c r="CU6" s="13">
        <v>44166</v>
      </c>
      <c r="CV6" s="13">
        <v>44197</v>
      </c>
      <c r="CW6" s="13">
        <v>44228</v>
      </c>
      <c r="CX6" s="13">
        <v>44256</v>
      </c>
      <c r="CY6" s="13">
        <v>44287</v>
      </c>
    </row>
    <row r="7" spans="1:103" x14ac:dyDescent="0.2">
      <c r="F7" s="192"/>
    </row>
    <row r="8" spans="1:103" x14ac:dyDescent="0.2">
      <c r="A8" s="14" t="s">
        <v>189</v>
      </c>
      <c r="C8" s="15">
        <v>18239082</v>
      </c>
      <c r="E8" s="17"/>
      <c r="F8" s="193"/>
    </row>
    <row r="9" spans="1:103" x14ac:dyDescent="0.2">
      <c r="B9" s="7" t="s">
        <v>190</v>
      </c>
      <c r="C9" s="15">
        <v>25400412</v>
      </c>
      <c r="D9" s="17">
        <v>0</v>
      </c>
      <c r="E9" s="17">
        <f t="shared" ref="E9:M9" si="0">D15</f>
        <v>0</v>
      </c>
      <c r="F9" s="17">
        <f t="shared" si="0"/>
        <v>0</v>
      </c>
      <c r="G9" s="17">
        <f t="shared" si="0"/>
        <v>0</v>
      </c>
      <c r="H9" s="17">
        <f t="shared" si="0"/>
        <v>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7">
        <f t="shared" si="0"/>
        <v>0</v>
      </c>
      <c r="M9" s="17">
        <f t="shared" si="0"/>
        <v>0</v>
      </c>
      <c r="N9" s="17">
        <f>M15</f>
        <v>0</v>
      </c>
      <c r="O9" s="17">
        <f>N15</f>
        <v>0</v>
      </c>
      <c r="P9" s="17">
        <f t="shared" ref="P9:CK9" si="1">O15</f>
        <v>0</v>
      </c>
      <c r="Q9" s="17">
        <f t="shared" si="1"/>
        <v>0</v>
      </c>
      <c r="R9" s="17">
        <f t="shared" si="1"/>
        <v>0</v>
      </c>
      <c r="S9" s="17">
        <f t="shared" si="1"/>
        <v>0</v>
      </c>
      <c r="T9" s="17">
        <f t="shared" si="1"/>
        <v>0</v>
      </c>
      <c r="U9" s="17">
        <f t="shared" si="1"/>
        <v>-5222526.7040983113</v>
      </c>
      <c r="V9" s="17">
        <f t="shared" si="1"/>
        <v>-5064939.8606615961</v>
      </c>
      <c r="W9" s="17">
        <f t="shared" si="1"/>
        <v>-4946106.7696486525</v>
      </c>
      <c r="X9" s="17">
        <f t="shared" si="1"/>
        <v>-4836352.1231295196</v>
      </c>
      <c r="Y9" s="17">
        <f t="shared" si="1"/>
        <v>-4701398.4451656453</v>
      </c>
      <c r="Z9" s="17">
        <f t="shared" si="1"/>
        <v>-4453407.2239690805</v>
      </c>
      <c r="AA9" s="17">
        <f t="shared" si="1"/>
        <v>-3824591.1652678656</v>
      </c>
      <c r="AB9" s="17">
        <f t="shared" si="1"/>
        <v>-3111835.317659677</v>
      </c>
      <c r="AC9" s="17">
        <f t="shared" si="1"/>
        <v>-2429085.1229123641</v>
      </c>
      <c r="AD9" s="17">
        <f t="shared" si="1"/>
        <v>-1922536.7854623632</v>
      </c>
      <c r="AE9" s="17">
        <f t="shared" si="1"/>
        <v>-1447617.5725841762</v>
      </c>
      <c r="AF9" s="17">
        <f t="shared" si="1"/>
        <v>-1048644.2981405864</v>
      </c>
      <c r="AG9" s="17">
        <f t="shared" si="1"/>
        <v>10957437.844701342</v>
      </c>
      <c r="AH9" s="17">
        <f t="shared" si="1"/>
        <v>10701971.866956672</v>
      </c>
      <c r="AI9" s="17">
        <f t="shared" si="1"/>
        <v>10487525.394495903</v>
      </c>
      <c r="AJ9" s="17">
        <f t="shared" si="1"/>
        <v>10257175.922051119</v>
      </c>
      <c r="AK9" s="17">
        <f t="shared" si="1"/>
        <v>9911407.402148664</v>
      </c>
      <c r="AL9" s="17">
        <f t="shared" si="1"/>
        <v>9358219.9825485852</v>
      </c>
      <c r="AM9" s="17">
        <f t="shared" si="1"/>
        <v>7991077.0738406461</v>
      </c>
      <c r="AN9" s="17">
        <f t="shared" si="1"/>
        <v>6351177.060204003</v>
      </c>
      <c r="AO9" s="17">
        <f t="shared" si="1"/>
        <v>4707283.1406416912</v>
      </c>
      <c r="AP9" s="17">
        <f t="shared" si="1"/>
        <v>3484712.6318692612</v>
      </c>
      <c r="AQ9" s="17">
        <f t="shared" si="1"/>
        <v>2314742.7941199057</v>
      </c>
      <c r="AR9" s="17">
        <f t="shared" si="1"/>
        <v>1705390.790814545</v>
      </c>
      <c r="AS9" s="17">
        <f t="shared" si="1"/>
        <v>22583186.061250929</v>
      </c>
      <c r="AT9" s="17">
        <f t="shared" si="1"/>
        <v>21965195.042341564</v>
      </c>
      <c r="AU9" s="17">
        <f t="shared" si="1"/>
        <v>21433779.068659481</v>
      </c>
      <c r="AV9" s="17">
        <f t="shared" si="1"/>
        <v>20977984.396871068</v>
      </c>
      <c r="AW9" s="17">
        <f t="shared" si="1"/>
        <v>20309269.94989638</v>
      </c>
      <c r="AX9" s="17">
        <f t="shared" si="1"/>
        <v>18939241.027016897</v>
      </c>
      <c r="AY9" s="17">
        <f t="shared" si="1"/>
        <v>17024348.727209497</v>
      </c>
      <c r="AZ9" s="17">
        <f t="shared" si="1"/>
        <v>13240555.566464433</v>
      </c>
      <c r="BA9" s="17">
        <f t="shared" si="1"/>
        <v>9126128.9464644343</v>
      </c>
      <c r="BB9" s="17">
        <f t="shared" si="1"/>
        <v>5922680.1764644347</v>
      </c>
      <c r="BC9" s="17">
        <f t="shared" si="1"/>
        <v>3165462.5864644349</v>
      </c>
      <c r="BD9" s="17">
        <f t="shared" si="1"/>
        <v>1301989.9964644348</v>
      </c>
      <c r="BE9" s="17">
        <f t="shared" si="1"/>
        <v>22817338.786464434</v>
      </c>
      <c r="BF9" s="17">
        <f t="shared" si="1"/>
        <v>22109910.816464435</v>
      </c>
      <c r="BG9" s="17">
        <f t="shared" si="1"/>
        <v>21576708.106464434</v>
      </c>
      <c r="BH9" s="17">
        <f t="shared" si="1"/>
        <v>21085745.736464433</v>
      </c>
      <c r="BI9" s="17">
        <f t="shared" si="1"/>
        <v>20425440.846464433</v>
      </c>
      <c r="BJ9" s="17">
        <f t="shared" si="1"/>
        <v>18686975.236464433</v>
      </c>
      <c r="BK9" s="17">
        <f t="shared" si="1"/>
        <v>15894968.716464434</v>
      </c>
      <c r="BL9" s="17">
        <f t="shared" ref="BL9" si="2">BK15</f>
        <v>12049034.546464434</v>
      </c>
      <c r="BM9" s="17">
        <f t="shared" ref="BM9" si="3">BL15</f>
        <v>8728972.4864644334</v>
      </c>
      <c r="BN9" s="17">
        <f t="shared" ref="BN9" si="4">BM15</f>
        <v>5269192.0564644337</v>
      </c>
      <c r="BO9" s="17">
        <f t="shared" ref="BO9" si="5">BN15</f>
        <v>2340214.0364644337</v>
      </c>
      <c r="BP9" s="17">
        <f t="shared" ref="BP9" si="6">BO15</f>
        <v>266403.79646443366</v>
      </c>
      <c r="BQ9" s="17">
        <f t="shared" ref="BQ9" si="7">BP15</f>
        <v>45565283.3791641</v>
      </c>
      <c r="BR9" s="17">
        <f t="shared" ref="BR9" si="8">BQ15</f>
        <v>44116788.609164096</v>
      </c>
      <c r="BS9" s="17">
        <f t="shared" ref="BS9" si="9">BR15</f>
        <v>43102177.819164097</v>
      </c>
      <c r="BT9" s="17">
        <f t="shared" ref="BT9" si="10">BS15</f>
        <v>42116154.179164097</v>
      </c>
      <c r="BU9" s="17">
        <f t="shared" ref="BU9" si="11">BT15</f>
        <v>40728027.549164094</v>
      </c>
      <c r="BV9" s="17">
        <f t="shared" ref="BV9" si="12">BU15</f>
        <v>37407785.509164095</v>
      </c>
      <c r="BW9" s="17">
        <f t="shared" ref="BW9" si="13">BV15</f>
        <v>32556567.519164093</v>
      </c>
      <c r="BX9" s="17">
        <f t="shared" ref="BX9" si="14">BW15</f>
        <v>25754332.809164092</v>
      </c>
      <c r="BY9" s="17">
        <f t="shared" ref="BY9" si="15">BX15</f>
        <v>19031417.969164092</v>
      </c>
      <c r="BZ9" s="17">
        <f t="shared" ref="BZ9" si="16">BY15</f>
        <v>10931919.669164091</v>
      </c>
      <c r="CA9" s="17">
        <f t="shared" ref="CA9" si="17">BZ15</f>
        <v>5204276.6291640913</v>
      </c>
      <c r="CB9" s="17">
        <f t="shared" ref="CB9" si="18">CA15</f>
        <v>1675719.0291640912</v>
      </c>
      <c r="CC9" s="17">
        <f t="shared" ref="CC9" si="19">CB15</f>
        <v>12094779.633998223</v>
      </c>
      <c r="CD9" s="17">
        <f t="shared" ref="CD9" si="20">CC15</f>
        <v>11752433.783998223</v>
      </c>
      <c r="CE9" s="17">
        <f t="shared" ref="CE9" si="21">CD15</f>
        <v>11490561.043998223</v>
      </c>
      <c r="CF9" s="17">
        <f t="shared" ref="CF9" si="22">CE15</f>
        <v>11249273.133998223</v>
      </c>
      <c r="CG9" s="17">
        <f t="shared" ref="CG9" si="23">CF15</f>
        <v>10907910.583998222</v>
      </c>
      <c r="CH9" s="17">
        <f t="shared" ref="CH9" si="24">CG15</f>
        <v>9913036.2239982225</v>
      </c>
      <c r="CI9" s="17">
        <f t="shared" ref="CI9" si="25">CH15</f>
        <v>8627936.6339982226</v>
      </c>
      <c r="CJ9" s="17">
        <f t="shared" ref="CJ9" si="26">CI15</f>
        <v>7015484.6139982231</v>
      </c>
      <c r="CK9" s="17">
        <f t="shared" si="1"/>
        <v>5377475.9039982231</v>
      </c>
      <c r="CL9" s="17">
        <f t="shared" ref="CL9" si="27">CK15</f>
        <v>3844872.4839982232</v>
      </c>
      <c r="CM9" s="17">
        <f t="shared" ref="CM9" si="28">CL15</f>
        <v>2351717.0539982235</v>
      </c>
      <c r="CN9" s="17">
        <f t="shared" ref="CN9" si="29">CM15</f>
        <v>1467330.5039982237</v>
      </c>
      <c r="CO9" s="17">
        <f t="shared" ref="CO9" si="30">CN15</f>
        <v>6784039.3339982228</v>
      </c>
      <c r="CP9" s="17">
        <f t="shared" ref="CP9" si="31">CO15</f>
        <v>6522276.9839982232</v>
      </c>
      <c r="CQ9" s="17">
        <f t="shared" ref="CQ9" si="32">CP15</f>
        <v>6336924.2739982232</v>
      </c>
      <c r="CR9" s="17">
        <f t="shared" ref="CR9" si="33">CQ15</f>
        <v>6173537.993998223</v>
      </c>
      <c r="CS9" s="17">
        <f t="shared" ref="CS9" si="34">CR15</f>
        <v>5983772.5639982233</v>
      </c>
      <c r="CT9" s="17">
        <f t="shared" ref="CT9" si="35">CS15</f>
        <v>5501358.3839982236</v>
      </c>
      <c r="CU9" s="17">
        <f t="shared" ref="CU9" si="36">CT15</f>
        <v>4655577.0639982233</v>
      </c>
      <c r="CV9" s="17">
        <f t="shared" ref="CV9:CY9" si="37">CU15</f>
        <v>3637243.7939982233</v>
      </c>
      <c r="CW9" s="17">
        <f t="shared" si="37"/>
        <v>2599971.533998223</v>
      </c>
      <c r="CX9" s="17">
        <f t="shared" si="37"/>
        <v>1541531.063998223</v>
      </c>
      <c r="CY9" s="17">
        <f t="shared" si="37"/>
        <v>631294.97669555177</v>
      </c>
    </row>
    <row r="10" spans="1:103" x14ac:dyDescent="0.2">
      <c r="B10" s="18" t="s">
        <v>191</v>
      </c>
      <c r="C10" s="19"/>
      <c r="D10" s="194">
        <v>0</v>
      </c>
      <c r="E10" s="194">
        <v>0</v>
      </c>
      <c r="F10" s="194">
        <v>0</v>
      </c>
      <c r="G10" s="194">
        <v>0</v>
      </c>
      <c r="H10" s="194">
        <v>0</v>
      </c>
      <c r="I10" s="194">
        <v>0</v>
      </c>
      <c r="J10" s="194">
        <v>0</v>
      </c>
      <c r="K10" s="194">
        <v>0</v>
      </c>
      <c r="L10" s="194">
        <v>0</v>
      </c>
      <c r="M10" s="194">
        <v>0</v>
      </c>
      <c r="N10" s="194">
        <v>0</v>
      </c>
      <c r="O10" s="194">
        <v>0</v>
      </c>
      <c r="P10" s="194">
        <v>0</v>
      </c>
      <c r="Q10" s="194">
        <v>0</v>
      </c>
      <c r="R10" s="194">
        <v>0</v>
      </c>
      <c r="S10" s="194">
        <v>0</v>
      </c>
      <c r="T10" s="194">
        <v>-5454930.8074556598</v>
      </c>
      <c r="U10" s="194">
        <v>0</v>
      </c>
      <c r="V10" s="194">
        <v>0</v>
      </c>
      <c r="W10" s="194">
        <v>0</v>
      </c>
      <c r="X10" s="194">
        <v>0</v>
      </c>
      <c r="Y10" s="194">
        <v>0</v>
      </c>
      <c r="Z10" s="194">
        <v>0</v>
      </c>
      <c r="AA10" s="194">
        <v>0</v>
      </c>
      <c r="AB10" s="194">
        <v>0</v>
      </c>
      <c r="AC10" s="194">
        <v>0</v>
      </c>
      <c r="AD10" s="194">
        <v>0</v>
      </c>
      <c r="AE10" s="194">
        <v>0</v>
      </c>
      <c r="AF10" s="16">
        <v>12484587.894814277</v>
      </c>
      <c r="AG10" s="194">
        <v>0</v>
      </c>
      <c r="AH10" s="194">
        <v>0</v>
      </c>
      <c r="AI10" s="194">
        <v>0</v>
      </c>
      <c r="AJ10" s="23">
        <v>0</v>
      </c>
      <c r="AK10" s="23">
        <v>0</v>
      </c>
      <c r="AL10" s="23">
        <v>0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>
        <v>21759954.130103283</v>
      </c>
      <c r="AS10" s="23">
        <v>0</v>
      </c>
      <c r="AT10" s="23">
        <v>0</v>
      </c>
      <c r="AU10" s="23">
        <v>0</v>
      </c>
      <c r="AV10" s="23">
        <v>0</v>
      </c>
      <c r="AW10" s="23">
        <v>0</v>
      </c>
      <c r="AX10" s="23">
        <v>0</v>
      </c>
      <c r="AY10" s="23">
        <v>0</v>
      </c>
      <c r="AZ10" s="23">
        <v>0</v>
      </c>
      <c r="BA10" s="23">
        <v>0</v>
      </c>
      <c r="BB10" s="23">
        <v>0</v>
      </c>
      <c r="BC10" s="23">
        <v>0</v>
      </c>
      <c r="BD10" s="23">
        <v>22736596.59</v>
      </c>
      <c r="BE10" s="23">
        <v>0</v>
      </c>
      <c r="BF10" s="23">
        <v>0</v>
      </c>
      <c r="BG10" s="23">
        <v>0</v>
      </c>
      <c r="BH10" s="23">
        <v>0</v>
      </c>
      <c r="BI10" s="23">
        <v>0</v>
      </c>
      <c r="BJ10" s="23">
        <v>0</v>
      </c>
      <c r="BK10" s="23">
        <v>0</v>
      </c>
      <c r="BL10" s="23">
        <v>0</v>
      </c>
      <c r="BM10" s="23">
        <v>0</v>
      </c>
      <c r="BN10" s="23">
        <v>0</v>
      </c>
      <c r="BO10" s="23">
        <v>0</v>
      </c>
      <c r="BP10" s="23">
        <v>47064040.012699664</v>
      </c>
      <c r="BQ10" s="23">
        <v>0</v>
      </c>
      <c r="BR10" s="23">
        <v>0</v>
      </c>
      <c r="BS10" s="23">
        <v>0</v>
      </c>
      <c r="BT10" s="23">
        <v>0</v>
      </c>
      <c r="BU10" s="23">
        <v>0</v>
      </c>
      <c r="BV10" s="23">
        <v>0</v>
      </c>
      <c r="BW10" s="23">
        <v>0</v>
      </c>
      <c r="BX10" s="194">
        <v>0</v>
      </c>
      <c r="BY10" s="194">
        <v>0</v>
      </c>
      <c r="BZ10" s="194">
        <v>0</v>
      </c>
      <c r="CA10" s="194">
        <v>0</v>
      </c>
      <c r="CB10" s="23">
        <v>10735612.764834132</v>
      </c>
      <c r="CC10" s="194">
        <v>0</v>
      </c>
      <c r="CD10" s="194">
        <v>0</v>
      </c>
      <c r="CE10" s="194">
        <v>0</v>
      </c>
      <c r="CF10" s="194">
        <v>0</v>
      </c>
      <c r="CG10" s="194">
        <v>0</v>
      </c>
      <c r="CH10" s="194">
        <v>0</v>
      </c>
      <c r="CI10" s="194">
        <v>0</v>
      </c>
      <c r="CJ10" s="23">
        <v>0</v>
      </c>
      <c r="CK10" s="23">
        <v>0</v>
      </c>
      <c r="CL10" s="23">
        <v>0</v>
      </c>
      <c r="CM10" s="23">
        <v>0</v>
      </c>
      <c r="CN10" s="23">
        <v>5648586.4099999992</v>
      </c>
      <c r="CO10" s="20">
        <v>0</v>
      </c>
      <c r="CP10" s="20">
        <v>0</v>
      </c>
      <c r="CQ10" s="20">
        <v>0</v>
      </c>
      <c r="CR10" s="20">
        <v>0</v>
      </c>
      <c r="CS10" s="20">
        <v>0</v>
      </c>
      <c r="CT10" s="20">
        <v>0</v>
      </c>
      <c r="CU10" s="20">
        <v>0</v>
      </c>
      <c r="CV10" s="20">
        <v>0</v>
      </c>
      <c r="CW10" s="20">
        <v>0</v>
      </c>
      <c r="CX10" s="20">
        <v>0</v>
      </c>
      <c r="CY10" s="20">
        <v>0</v>
      </c>
    </row>
    <row r="11" spans="1:103" x14ac:dyDescent="0.2">
      <c r="B11" s="21" t="s">
        <v>432</v>
      </c>
      <c r="C11" s="19"/>
      <c r="D11" s="194">
        <v>0</v>
      </c>
      <c r="E11" s="194">
        <v>0</v>
      </c>
      <c r="F11" s="194">
        <v>0</v>
      </c>
      <c r="G11" s="194">
        <v>0</v>
      </c>
      <c r="H11" s="194">
        <v>0</v>
      </c>
      <c r="I11" s="194">
        <v>0</v>
      </c>
      <c r="J11" s="194">
        <v>0</v>
      </c>
      <c r="K11" s="194">
        <v>0</v>
      </c>
      <c r="L11" s="194">
        <v>0</v>
      </c>
      <c r="M11" s="194">
        <v>0</v>
      </c>
      <c r="N11" s="194">
        <v>0</v>
      </c>
      <c r="O11" s="194">
        <v>0</v>
      </c>
      <c r="P11" s="194">
        <v>0</v>
      </c>
      <c r="Q11" s="194">
        <v>0</v>
      </c>
      <c r="R11" s="194">
        <v>0</v>
      </c>
      <c r="S11" s="194">
        <v>0</v>
      </c>
      <c r="T11" s="194">
        <v>0</v>
      </c>
      <c r="U11" s="194">
        <v>0</v>
      </c>
      <c r="V11" s="194">
        <v>0</v>
      </c>
      <c r="W11" s="194">
        <v>0</v>
      </c>
      <c r="X11" s="194">
        <v>0</v>
      </c>
      <c r="Y11" s="194">
        <v>0</v>
      </c>
      <c r="Z11" s="194">
        <v>0</v>
      </c>
      <c r="AA11" s="194">
        <v>0</v>
      </c>
      <c r="AB11" s="194">
        <v>0</v>
      </c>
      <c r="AC11" s="194">
        <v>0</v>
      </c>
      <c r="AD11" s="194">
        <v>0</v>
      </c>
      <c r="AE11" s="194">
        <v>0</v>
      </c>
      <c r="AF11" s="194">
        <v>0</v>
      </c>
      <c r="AG11" s="194">
        <v>0</v>
      </c>
      <c r="AH11" s="194">
        <v>0</v>
      </c>
      <c r="AI11" s="194">
        <v>0</v>
      </c>
      <c r="AJ11" s="194">
        <v>0</v>
      </c>
      <c r="AK11" s="194">
        <v>0</v>
      </c>
      <c r="AL11" s="194">
        <v>0</v>
      </c>
      <c r="AM11" s="194">
        <v>0</v>
      </c>
      <c r="AN11" s="194">
        <v>0</v>
      </c>
      <c r="AO11" s="194">
        <v>0</v>
      </c>
      <c r="AP11" s="194">
        <v>0</v>
      </c>
      <c r="AQ11" s="194">
        <v>0</v>
      </c>
      <c r="AR11" s="194">
        <v>0</v>
      </c>
      <c r="AS11" s="194">
        <v>0</v>
      </c>
      <c r="AT11" s="194">
        <v>0</v>
      </c>
      <c r="AU11" s="194">
        <v>0</v>
      </c>
      <c r="AV11" s="194">
        <v>0</v>
      </c>
      <c r="AW11" s="194">
        <v>0</v>
      </c>
      <c r="AX11" s="194">
        <v>0</v>
      </c>
      <c r="AY11" s="194">
        <v>0</v>
      </c>
      <c r="AZ11" s="194">
        <v>0</v>
      </c>
      <c r="BA11" s="194">
        <v>0</v>
      </c>
      <c r="BB11" s="194">
        <v>0</v>
      </c>
      <c r="BC11" s="194">
        <v>0</v>
      </c>
      <c r="BD11" s="194">
        <v>0</v>
      </c>
      <c r="BE11" s="194">
        <v>0</v>
      </c>
      <c r="BF11" s="194">
        <v>0</v>
      </c>
      <c r="BG11" s="194">
        <v>0</v>
      </c>
      <c r="BH11" s="194">
        <v>0</v>
      </c>
      <c r="BI11" s="194">
        <v>0</v>
      </c>
      <c r="BJ11" s="194">
        <v>0</v>
      </c>
      <c r="BK11" s="194">
        <v>0</v>
      </c>
      <c r="BL11" s="194">
        <v>0</v>
      </c>
      <c r="BM11" s="194">
        <v>0</v>
      </c>
      <c r="BN11" s="194">
        <v>0</v>
      </c>
      <c r="BO11" s="194">
        <v>0</v>
      </c>
      <c r="BP11" s="194">
        <v>0</v>
      </c>
      <c r="BQ11" s="194">
        <v>0</v>
      </c>
      <c r="BR11" s="194">
        <v>0</v>
      </c>
      <c r="BS11" s="194">
        <v>0</v>
      </c>
      <c r="BT11" s="194">
        <v>0</v>
      </c>
      <c r="BU11" s="194">
        <v>0</v>
      </c>
      <c r="BV11" s="194">
        <v>0</v>
      </c>
      <c r="BW11" s="194">
        <v>0</v>
      </c>
      <c r="BX11" s="194">
        <v>0</v>
      </c>
      <c r="BY11" s="194">
        <v>0</v>
      </c>
      <c r="BZ11" s="194">
        <v>0</v>
      </c>
      <c r="CA11" s="194">
        <v>0</v>
      </c>
      <c r="CB11" s="194">
        <v>0</v>
      </c>
      <c r="CC11" s="194">
        <v>0</v>
      </c>
      <c r="CD11" s="194">
        <v>0</v>
      </c>
      <c r="CE11" s="194">
        <v>0</v>
      </c>
      <c r="CF11" s="194">
        <v>0</v>
      </c>
      <c r="CG11" s="194">
        <v>0</v>
      </c>
      <c r="CH11" s="194">
        <v>0</v>
      </c>
      <c r="CI11" s="194">
        <v>0</v>
      </c>
      <c r="CJ11" s="194">
        <v>0</v>
      </c>
      <c r="CK11" s="194">
        <v>0</v>
      </c>
      <c r="CL11" s="194">
        <v>0</v>
      </c>
      <c r="CM11" s="194">
        <v>0</v>
      </c>
      <c r="CN11" s="194">
        <v>0</v>
      </c>
      <c r="CO11" s="194">
        <v>0</v>
      </c>
      <c r="CP11" s="194">
        <v>0</v>
      </c>
      <c r="CQ11" s="194">
        <v>0</v>
      </c>
      <c r="CR11" s="194">
        <v>0</v>
      </c>
      <c r="CS11" s="194">
        <v>0</v>
      </c>
      <c r="CT11" s="194">
        <v>0</v>
      </c>
      <c r="CU11" s="194">
        <v>0</v>
      </c>
      <c r="CV11" s="194">
        <v>0</v>
      </c>
      <c r="CW11" s="194">
        <v>0</v>
      </c>
      <c r="CX11" s="194">
        <v>0</v>
      </c>
      <c r="CY11" s="194">
        <v>0</v>
      </c>
    </row>
    <row r="12" spans="1:103" x14ac:dyDescent="0.2">
      <c r="B12" s="21" t="s">
        <v>447</v>
      </c>
      <c r="C12" s="19"/>
      <c r="D12" s="194">
        <v>0</v>
      </c>
      <c r="E12" s="194">
        <v>0</v>
      </c>
      <c r="F12" s="194">
        <v>0</v>
      </c>
      <c r="G12" s="194">
        <v>0</v>
      </c>
      <c r="H12" s="194">
        <v>0</v>
      </c>
      <c r="I12" s="194">
        <v>0</v>
      </c>
      <c r="J12" s="194">
        <v>0</v>
      </c>
      <c r="K12" s="194">
        <v>0</v>
      </c>
      <c r="L12" s="194">
        <v>0</v>
      </c>
      <c r="M12" s="194">
        <v>0</v>
      </c>
      <c r="N12" s="194">
        <v>0</v>
      </c>
      <c r="O12" s="194">
        <v>0</v>
      </c>
      <c r="P12" s="194">
        <v>0</v>
      </c>
      <c r="Q12" s="194">
        <v>0</v>
      </c>
      <c r="R12" s="194">
        <v>0</v>
      </c>
      <c r="S12" s="194">
        <v>0</v>
      </c>
      <c r="T12" s="194">
        <v>0</v>
      </c>
      <c r="U12" s="194">
        <v>0</v>
      </c>
      <c r="V12" s="194">
        <v>0</v>
      </c>
      <c r="W12" s="194">
        <v>0</v>
      </c>
      <c r="X12" s="194">
        <v>0</v>
      </c>
      <c r="Y12" s="194">
        <v>0</v>
      </c>
      <c r="Z12" s="194">
        <v>0</v>
      </c>
      <c r="AA12" s="194">
        <v>0</v>
      </c>
      <c r="AB12" s="194">
        <v>0</v>
      </c>
      <c r="AC12" s="194">
        <v>0</v>
      </c>
      <c r="AD12" s="194">
        <v>0</v>
      </c>
      <c r="AE12" s="194">
        <v>0</v>
      </c>
      <c r="AF12" s="194">
        <v>0</v>
      </c>
      <c r="AG12" s="194">
        <v>0</v>
      </c>
      <c r="AH12" s="194">
        <v>0</v>
      </c>
      <c r="AI12" s="194">
        <v>0</v>
      </c>
      <c r="AJ12" s="194">
        <v>0</v>
      </c>
      <c r="AK12" s="194">
        <v>0</v>
      </c>
      <c r="AL12" s="194">
        <v>0</v>
      </c>
      <c r="AM12" s="194">
        <v>0</v>
      </c>
      <c r="AN12" s="194">
        <v>0</v>
      </c>
      <c r="AO12" s="194">
        <v>0</v>
      </c>
      <c r="AP12" s="194">
        <v>0</v>
      </c>
      <c r="AQ12" s="194">
        <v>0</v>
      </c>
      <c r="AR12" s="194">
        <v>0</v>
      </c>
      <c r="AS12" s="194">
        <v>0</v>
      </c>
      <c r="AT12" s="194">
        <v>0</v>
      </c>
      <c r="AU12" s="194">
        <v>0</v>
      </c>
      <c r="AV12" s="194">
        <v>0</v>
      </c>
      <c r="AW12" s="194">
        <v>0</v>
      </c>
      <c r="AX12" s="194">
        <v>0</v>
      </c>
      <c r="AY12" s="194">
        <v>0</v>
      </c>
      <c r="AZ12" s="194">
        <v>0</v>
      </c>
      <c r="BA12" s="194">
        <v>0</v>
      </c>
      <c r="BB12" s="194">
        <v>0</v>
      </c>
      <c r="BC12" s="194">
        <v>0</v>
      </c>
      <c r="BD12" s="194">
        <v>0</v>
      </c>
      <c r="BE12" s="194">
        <v>0</v>
      </c>
      <c r="BF12" s="194">
        <v>0</v>
      </c>
      <c r="BG12" s="194">
        <v>0</v>
      </c>
      <c r="BH12" s="194">
        <v>0</v>
      </c>
      <c r="BI12" s="194">
        <v>0</v>
      </c>
      <c r="BJ12" s="194">
        <v>0</v>
      </c>
      <c r="BK12" s="194">
        <v>0</v>
      </c>
      <c r="BL12" s="194">
        <v>0</v>
      </c>
      <c r="BM12" s="194">
        <v>0</v>
      </c>
      <c r="BN12" s="194">
        <v>0</v>
      </c>
      <c r="BO12" s="194">
        <v>0</v>
      </c>
      <c r="BP12" s="194">
        <v>0</v>
      </c>
      <c r="BQ12" s="194">
        <v>0</v>
      </c>
      <c r="BR12" s="194">
        <v>0</v>
      </c>
      <c r="BS12" s="194">
        <v>0</v>
      </c>
      <c r="BT12" s="194">
        <v>0</v>
      </c>
      <c r="BU12" s="194">
        <v>0</v>
      </c>
      <c r="BV12" s="194">
        <v>0</v>
      </c>
      <c r="BW12" s="194">
        <v>0</v>
      </c>
      <c r="BX12" s="194">
        <v>0</v>
      </c>
      <c r="BY12" s="194">
        <v>0</v>
      </c>
      <c r="BZ12" s="194">
        <v>0</v>
      </c>
      <c r="CA12" s="194">
        <v>0</v>
      </c>
      <c r="CB12" s="194">
        <v>0</v>
      </c>
      <c r="CC12" s="194">
        <v>0</v>
      </c>
      <c r="CD12" s="194">
        <v>0</v>
      </c>
      <c r="CE12" s="194">
        <v>0</v>
      </c>
      <c r="CF12" s="194">
        <v>0</v>
      </c>
      <c r="CG12" s="194">
        <v>0</v>
      </c>
      <c r="CH12" s="194">
        <v>0</v>
      </c>
      <c r="CI12" s="194">
        <v>0</v>
      </c>
      <c r="CJ12" s="194">
        <v>0</v>
      </c>
      <c r="CK12" s="194">
        <v>0</v>
      </c>
      <c r="CL12" s="194">
        <v>0</v>
      </c>
      <c r="CM12" s="194">
        <v>-1017.86</v>
      </c>
      <c r="CN12" s="194">
        <v>0</v>
      </c>
      <c r="CO12" s="194">
        <v>0</v>
      </c>
      <c r="CP12" s="194">
        <v>0</v>
      </c>
      <c r="CQ12" s="194">
        <v>0</v>
      </c>
      <c r="CR12" s="194">
        <v>0</v>
      </c>
      <c r="CS12" s="194">
        <v>0</v>
      </c>
      <c r="CT12" s="194">
        <v>0</v>
      </c>
      <c r="CU12" s="194">
        <v>0</v>
      </c>
      <c r="CV12" s="194">
        <v>0</v>
      </c>
      <c r="CW12" s="194">
        <v>0</v>
      </c>
      <c r="CX12" s="194">
        <v>0</v>
      </c>
      <c r="CY12" s="194">
        <v>0</v>
      </c>
    </row>
    <row r="13" spans="1:103" x14ac:dyDescent="0.2">
      <c r="B13" s="21" t="s">
        <v>192</v>
      </c>
      <c r="D13" s="194">
        <v>0</v>
      </c>
      <c r="E13" s="194">
        <v>0</v>
      </c>
      <c r="F13" s="194">
        <v>0</v>
      </c>
      <c r="G13" s="194">
        <v>0</v>
      </c>
      <c r="H13" s="194">
        <v>0</v>
      </c>
      <c r="I13" s="194">
        <v>0</v>
      </c>
      <c r="J13" s="194">
        <v>0</v>
      </c>
      <c r="K13" s="194">
        <v>0</v>
      </c>
      <c r="L13" s="194">
        <v>0</v>
      </c>
      <c r="M13" s="194">
        <v>0</v>
      </c>
      <c r="N13" s="194">
        <v>0</v>
      </c>
      <c r="O13" s="194">
        <v>0</v>
      </c>
      <c r="P13" s="194">
        <v>0</v>
      </c>
      <c r="Q13" s="194">
        <v>0</v>
      </c>
      <c r="R13" s="194">
        <v>0</v>
      </c>
      <c r="S13" s="194">
        <v>0</v>
      </c>
      <c r="T13" s="23">
        <v>232404.10335734897</v>
      </c>
      <c r="U13" s="23">
        <v>157586.84343671499</v>
      </c>
      <c r="V13" s="23">
        <v>118833.09101294399</v>
      </c>
      <c r="W13" s="23">
        <v>109754.64651913299</v>
      </c>
      <c r="X13" s="23">
        <v>134953.67796387398</v>
      </c>
      <c r="Y13" s="23">
        <v>247991.22119656496</v>
      </c>
      <c r="Z13" s="23">
        <v>628816.05870121496</v>
      </c>
      <c r="AA13" s="23">
        <v>712755.84760818887</v>
      </c>
      <c r="AB13" s="23">
        <v>682750.19474731293</v>
      </c>
      <c r="AC13" s="23">
        <v>506548.33745000092</v>
      </c>
      <c r="AD13" s="23">
        <v>474919.21287818695</v>
      </c>
      <c r="AE13" s="23">
        <v>398973.27444358997</v>
      </c>
      <c r="AF13" s="23">
        <v>-478505.75197234703</v>
      </c>
      <c r="AG13" s="23">
        <v>-255465.97774466997</v>
      </c>
      <c r="AH13" s="23">
        <v>-214446.47246076999</v>
      </c>
      <c r="AI13" s="23">
        <v>-230349.47244478401</v>
      </c>
      <c r="AJ13" s="23">
        <v>-345768.51990245399</v>
      </c>
      <c r="AK13" s="23">
        <v>-553187.41960007907</v>
      </c>
      <c r="AL13" s="23">
        <v>-1367142.9087079391</v>
      </c>
      <c r="AM13" s="23">
        <v>-1639900.0136366431</v>
      </c>
      <c r="AN13" s="23">
        <v>-1643893.9195623118</v>
      </c>
      <c r="AO13" s="23">
        <v>-1222570.5087724302</v>
      </c>
      <c r="AP13" s="23">
        <v>-1169969.8377493555</v>
      </c>
      <c r="AQ13" s="23">
        <v>-609352.00330536067</v>
      </c>
      <c r="AR13" s="23">
        <v>-882158.85966690071</v>
      </c>
      <c r="AS13" s="23">
        <v>-617991.01890936634</v>
      </c>
      <c r="AT13" s="23">
        <v>-531415.97368208366</v>
      </c>
      <c r="AU13" s="23">
        <v>-455794.67178841273</v>
      </c>
      <c r="AV13" s="23">
        <v>-668714.44697468798</v>
      </c>
      <c r="AW13" s="23">
        <v>-1370028.9228794824</v>
      </c>
      <c r="AX13" s="23">
        <v>-1914892.2998073981</v>
      </c>
      <c r="AY13" s="23">
        <v>-3783793.1607450638</v>
      </c>
      <c r="AZ13" s="23">
        <v>-4114426.62</v>
      </c>
      <c r="BA13" s="23">
        <v>-3203448.77</v>
      </c>
      <c r="BB13" s="23">
        <v>-2757217.59</v>
      </c>
      <c r="BC13" s="23">
        <v>-1863472.59</v>
      </c>
      <c r="BD13" s="23">
        <v>-1221247.8</v>
      </c>
      <c r="BE13" s="23">
        <v>-707427.97</v>
      </c>
      <c r="BF13" s="23">
        <v>-533202.71</v>
      </c>
      <c r="BG13" s="23">
        <v>-490962.37</v>
      </c>
      <c r="BH13" s="23">
        <v>-660304.89</v>
      </c>
      <c r="BI13" s="23">
        <v>-1738465.61</v>
      </c>
      <c r="BJ13" s="23">
        <v>-2792006.52</v>
      </c>
      <c r="BK13" s="23">
        <v>-3845934.17</v>
      </c>
      <c r="BL13" s="23">
        <v>-3320062.06</v>
      </c>
      <c r="BM13" s="23">
        <v>-3459780.43</v>
      </c>
      <c r="BN13" s="23">
        <v>-2928978.02</v>
      </c>
      <c r="BO13" s="23">
        <v>-2073810.24</v>
      </c>
      <c r="BP13" s="23">
        <v>-1765160.43</v>
      </c>
      <c r="BQ13" s="23">
        <v>-1448494.77</v>
      </c>
      <c r="BR13" s="23">
        <v>-1014610.79</v>
      </c>
      <c r="BS13" s="23">
        <v>-986023.64</v>
      </c>
      <c r="BT13" s="23">
        <v>-1388126.63</v>
      </c>
      <c r="BU13" s="23">
        <v>-3320242.04</v>
      </c>
      <c r="BV13" s="23">
        <v>-4851217.99</v>
      </c>
      <c r="BW13" s="23">
        <v>-6802234.71</v>
      </c>
      <c r="BX13" s="23">
        <v>-6722914.8399999999</v>
      </c>
      <c r="BY13" s="23">
        <v>-8099498.2999999998</v>
      </c>
      <c r="BZ13" s="23">
        <v>-5727643.04</v>
      </c>
      <c r="CA13" s="23">
        <v>-3528557.6</v>
      </c>
      <c r="CB13" s="23">
        <v>-316552.15999999997</v>
      </c>
      <c r="CC13" s="23">
        <v>-342345.85</v>
      </c>
      <c r="CD13" s="23">
        <v>-261872.74</v>
      </c>
      <c r="CE13" s="23">
        <v>-241287.91</v>
      </c>
      <c r="CF13" s="23">
        <v>-341362.55</v>
      </c>
      <c r="CG13" s="23">
        <v>-994874.36</v>
      </c>
      <c r="CH13" s="23">
        <v>-1285099.5900000001</v>
      </c>
      <c r="CI13" s="23">
        <v>-1612452.02</v>
      </c>
      <c r="CJ13" s="22">
        <f>-'Sch23&amp;53 Deferral Calc'!C42</f>
        <v>-1638008.71</v>
      </c>
      <c r="CK13" s="22">
        <f>-'Sch23&amp;53 Deferral Calc'!D42</f>
        <v>-1532603.42</v>
      </c>
      <c r="CL13" s="22">
        <f>-'Sch23&amp;53 Deferral Calc'!E42</f>
        <v>-1493155.43</v>
      </c>
      <c r="CM13" s="22">
        <f>-'Sch23&amp;53 Deferral Calc'!F42</f>
        <v>-883368.69</v>
      </c>
      <c r="CN13" s="22">
        <f>-'Sch23&amp;53 Deferral Calc'!G42</f>
        <v>-331877.58</v>
      </c>
      <c r="CO13" s="22">
        <f>-'Sch23&amp;53 Deferral Calc'!H42</f>
        <v>-261762.35</v>
      </c>
      <c r="CP13" s="22">
        <f>-'Sch23&amp;53 Deferral Calc'!I42</f>
        <v>-185352.71</v>
      </c>
      <c r="CQ13" s="22">
        <f>-'Sch23&amp;53 Deferral Calc'!J42</f>
        <v>-163386.28</v>
      </c>
      <c r="CR13" s="22">
        <f>-'Sch23&amp;53 Deferral Calc'!K42</f>
        <v>-189765.43</v>
      </c>
      <c r="CS13" s="22">
        <f>-'Sch23&amp;53 Deferral Calc'!L42</f>
        <v>-482414.18</v>
      </c>
      <c r="CT13" s="22">
        <f>-'Sch23&amp;53 Deferral Calc'!M42</f>
        <v>-845781.32</v>
      </c>
      <c r="CU13" s="22">
        <f>-'Sch23&amp;53 Deferral Calc'!N42</f>
        <v>-1018333.27</v>
      </c>
      <c r="CV13" s="22">
        <f>-'Sch23&amp;53 Deferral Calc'!O42</f>
        <v>-1037272.26</v>
      </c>
      <c r="CW13" s="22">
        <f>-'Sch23&amp;53 Deferral Calc'!P42</f>
        <v>-1058440.47</v>
      </c>
      <c r="CX13" s="22">
        <f>-'Amort Estimate'!D15</f>
        <v>-910236.08730267128</v>
      </c>
      <c r="CY13" s="22">
        <f>-'Amort Estimate'!E15</f>
        <v>-640138.1161793957</v>
      </c>
    </row>
    <row r="14" spans="1:103" x14ac:dyDescent="0.2">
      <c r="B14" s="7" t="s">
        <v>193</v>
      </c>
      <c r="D14" s="24">
        <f t="shared" ref="D14" si="38">SUM(D10:D13)</f>
        <v>0</v>
      </c>
      <c r="E14" s="24">
        <f t="shared" ref="E14:BK14" si="39">SUM(E10:E13)</f>
        <v>0</v>
      </c>
      <c r="F14" s="24">
        <f t="shared" si="39"/>
        <v>0</v>
      </c>
      <c r="G14" s="24">
        <f t="shared" si="39"/>
        <v>0</v>
      </c>
      <c r="H14" s="24">
        <f t="shared" si="39"/>
        <v>0</v>
      </c>
      <c r="I14" s="24">
        <f t="shared" si="39"/>
        <v>0</v>
      </c>
      <c r="J14" s="24">
        <f t="shared" si="39"/>
        <v>0</v>
      </c>
      <c r="K14" s="24">
        <f t="shared" si="39"/>
        <v>0</v>
      </c>
      <c r="L14" s="24">
        <f t="shared" si="39"/>
        <v>0</v>
      </c>
      <c r="M14" s="24">
        <f t="shared" si="39"/>
        <v>0</v>
      </c>
      <c r="N14" s="24">
        <f t="shared" si="39"/>
        <v>0</v>
      </c>
      <c r="O14" s="24">
        <f t="shared" si="39"/>
        <v>0</v>
      </c>
      <c r="P14" s="24">
        <f t="shared" si="39"/>
        <v>0</v>
      </c>
      <c r="Q14" s="24">
        <f t="shared" si="39"/>
        <v>0</v>
      </c>
      <c r="R14" s="24">
        <f t="shared" si="39"/>
        <v>0</v>
      </c>
      <c r="S14" s="24">
        <f t="shared" si="39"/>
        <v>0</v>
      </c>
      <c r="T14" s="24">
        <f t="shared" si="39"/>
        <v>-5222526.7040983113</v>
      </c>
      <c r="U14" s="24">
        <f t="shared" si="39"/>
        <v>157586.84343671499</v>
      </c>
      <c r="V14" s="24">
        <f t="shared" si="39"/>
        <v>118833.09101294399</v>
      </c>
      <c r="W14" s="24">
        <f t="shared" si="39"/>
        <v>109754.64651913299</v>
      </c>
      <c r="X14" s="24">
        <f t="shared" si="39"/>
        <v>134953.67796387398</v>
      </c>
      <c r="Y14" s="24">
        <f t="shared" si="39"/>
        <v>247991.22119656496</v>
      </c>
      <c r="Z14" s="24">
        <f t="shared" si="39"/>
        <v>628816.05870121496</v>
      </c>
      <c r="AA14" s="24">
        <f t="shared" si="39"/>
        <v>712755.84760818887</v>
      </c>
      <c r="AB14" s="24">
        <f t="shared" si="39"/>
        <v>682750.19474731293</v>
      </c>
      <c r="AC14" s="24">
        <f t="shared" si="39"/>
        <v>506548.33745000092</v>
      </c>
      <c r="AD14" s="24">
        <f t="shared" si="39"/>
        <v>474919.21287818695</v>
      </c>
      <c r="AE14" s="24">
        <f t="shared" si="39"/>
        <v>398973.27444358997</v>
      </c>
      <c r="AF14" s="24">
        <f t="shared" si="39"/>
        <v>12006082.14284193</v>
      </c>
      <c r="AG14" s="24">
        <f t="shared" si="39"/>
        <v>-255465.97774466997</v>
      </c>
      <c r="AH14" s="24">
        <f t="shared" si="39"/>
        <v>-214446.47246076999</v>
      </c>
      <c r="AI14" s="24">
        <f t="shared" si="39"/>
        <v>-230349.47244478401</v>
      </c>
      <c r="AJ14" s="24">
        <f t="shared" si="39"/>
        <v>-345768.51990245399</v>
      </c>
      <c r="AK14" s="24">
        <f t="shared" si="39"/>
        <v>-553187.41960007907</v>
      </c>
      <c r="AL14" s="24">
        <f t="shared" si="39"/>
        <v>-1367142.9087079391</v>
      </c>
      <c r="AM14" s="24">
        <f t="shared" si="39"/>
        <v>-1639900.0136366431</v>
      </c>
      <c r="AN14" s="24">
        <f t="shared" si="39"/>
        <v>-1643893.9195623118</v>
      </c>
      <c r="AO14" s="24">
        <f t="shared" si="39"/>
        <v>-1222570.5087724302</v>
      </c>
      <c r="AP14" s="24">
        <f t="shared" si="39"/>
        <v>-1169969.8377493555</v>
      </c>
      <c r="AQ14" s="24">
        <f t="shared" si="39"/>
        <v>-609352.00330536067</v>
      </c>
      <c r="AR14" s="24">
        <f t="shared" si="39"/>
        <v>20877795.270436384</v>
      </c>
      <c r="AS14" s="24">
        <f t="shared" si="39"/>
        <v>-617991.01890936634</v>
      </c>
      <c r="AT14" s="24">
        <f t="shared" si="39"/>
        <v>-531415.97368208366</v>
      </c>
      <c r="AU14" s="24">
        <f t="shared" si="39"/>
        <v>-455794.67178841273</v>
      </c>
      <c r="AV14" s="24">
        <f t="shared" si="39"/>
        <v>-668714.44697468798</v>
      </c>
      <c r="AW14" s="24">
        <f t="shared" si="39"/>
        <v>-1370028.9228794824</v>
      </c>
      <c r="AX14" s="24">
        <f t="shared" si="39"/>
        <v>-1914892.2998073981</v>
      </c>
      <c r="AY14" s="24">
        <f t="shared" si="39"/>
        <v>-3783793.1607450638</v>
      </c>
      <c r="AZ14" s="24">
        <f t="shared" si="39"/>
        <v>-4114426.62</v>
      </c>
      <c r="BA14" s="24">
        <f t="shared" si="39"/>
        <v>-3203448.77</v>
      </c>
      <c r="BB14" s="24">
        <f t="shared" si="39"/>
        <v>-2757217.59</v>
      </c>
      <c r="BC14" s="24">
        <f t="shared" si="39"/>
        <v>-1863472.59</v>
      </c>
      <c r="BD14" s="24">
        <f t="shared" si="39"/>
        <v>21515348.789999999</v>
      </c>
      <c r="BE14" s="24">
        <f t="shared" si="39"/>
        <v>-707427.97</v>
      </c>
      <c r="BF14" s="24">
        <f t="shared" si="39"/>
        <v>-533202.71</v>
      </c>
      <c r="BG14" s="24">
        <f t="shared" si="39"/>
        <v>-490962.37</v>
      </c>
      <c r="BH14" s="24">
        <f t="shared" si="39"/>
        <v>-660304.89</v>
      </c>
      <c r="BI14" s="24">
        <f t="shared" si="39"/>
        <v>-1738465.61</v>
      </c>
      <c r="BJ14" s="24">
        <f t="shared" si="39"/>
        <v>-2792006.52</v>
      </c>
      <c r="BK14" s="24">
        <f t="shared" si="39"/>
        <v>-3845934.17</v>
      </c>
      <c r="BL14" s="24">
        <f t="shared" ref="BL14:BW14" si="40">SUM(BL10:BL13)</f>
        <v>-3320062.06</v>
      </c>
      <c r="BM14" s="24">
        <f t="shared" si="40"/>
        <v>-3459780.43</v>
      </c>
      <c r="BN14" s="24">
        <f t="shared" si="40"/>
        <v>-2928978.02</v>
      </c>
      <c r="BO14" s="24">
        <f t="shared" si="40"/>
        <v>-2073810.24</v>
      </c>
      <c r="BP14" s="24">
        <f t="shared" si="40"/>
        <v>45298879.582699664</v>
      </c>
      <c r="BQ14" s="24">
        <f t="shared" si="40"/>
        <v>-1448494.77</v>
      </c>
      <c r="BR14" s="24">
        <f t="shared" si="40"/>
        <v>-1014610.79</v>
      </c>
      <c r="BS14" s="24">
        <f t="shared" si="40"/>
        <v>-986023.64</v>
      </c>
      <c r="BT14" s="24">
        <f t="shared" si="40"/>
        <v>-1388126.63</v>
      </c>
      <c r="BU14" s="24">
        <f t="shared" si="40"/>
        <v>-3320242.04</v>
      </c>
      <c r="BV14" s="24">
        <f t="shared" si="40"/>
        <v>-4851217.99</v>
      </c>
      <c r="BW14" s="24">
        <f t="shared" si="40"/>
        <v>-6802234.71</v>
      </c>
      <c r="BX14" s="24">
        <f t="shared" ref="BX14:CJ14" si="41">SUM(BX10:BX13)</f>
        <v>-6722914.8399999999</v>
      </c>
      <c r="BY14" s="24">
        <f t="shared" si="41"/>
        <v>-8099498.2999999998</v>
      </c>
      <c r="BZ14" s="24">
        <f t="shared" si="41"/>
        <v>-5727643.04</v>
      </c>
      <c r="CA14" s="24">
        <f t="shared" si="41"/>
        <v>-3528557.6</v>
      </c>
      <c r="CB14" s="24">
        <f t="shared" si="41"/>
        <v>10419060.604834132</v>
      </c>
      <c r="CC14" s="24">
        <f t="shared" si="41"/>
        <v>-342345.85</v>
      </c>
      <c r="CD14" s="24">
        <f t="shared" si="41"/>
        <v>-261872.74</v>
      </c>
      <c r="CE14" s="24">
        <f t="shared" si="41"/>
        <v>-241287.91</v>
      </c>
      <c r="CF14" s="24">
        <f t="shared" si="41"/>
        <v>-341362.55</v>
      </c>
      <c r="CG14" s="24">
        <f t="shared" si="41"/>
        <v>-994874.36</v>
      </c>
      <c r="CH14" s="24">
        <f t="shared" si="41"/>
        <v>-1285099.5900000001</v>
      </c>
      <c r="CI14" s="24">
        <f t="shared" si="41"/>
        <v>-1612452.02</v>
      </c>
      <c r="CJ14" s="24">
        <f t="shared" si="41"/>
        <v>-1638008.71</v>
      </c>
      <c r="CK14" s="24">
        <f>SUM(CK10:CK13)</f>
        <v>-1532603.42</v>
      </c>
      <c r="CL14" s="24">
        <f t="shared" ref="CL14:CT14" si="42">SUM(CL10:CL13)</f>
        <v>-1493155.43</v>
      </c>
      <c r="CM14" s="24">
        <f t="shared" si="42"/>
        <v>-884386.54999999993</v>
      </c>
      <c r="CN14" s="24">
        <f t="shared" si="42"/>
        <v>5316708.8299999991</v>
      </c>
      <c r="CO14" s="24">
        <f t="shared" si="42"/>
        <v>-261762.35</v>
      </c>
      <c r="CP14" s="24">
        <f t="shared" si="42"/>
        <v>-185352.71</v>
      </c>
      <c r="CQ14" s="24">
        <f t="shared" si="42"/>
        <v>-163386.28</v>
      </c>
      <c r="CR14" s="24">
        <f t="shared" si="42"/>
        <v>-189765.43</v>
      </c>
      <c r="CS14" s="24">
        <f t="shared" si="42"/>
        <v>-482414.18</v>
      </c>
      <c r="CT14" s="24">
        <f t="shared" si="42"/>
        <v>-845781.32</v>
      </c>
      <c r="CU14" s="24">
        <f t="shared" ref="CU14:CX14" si="43">SUM(CU10:CU13)</f>
        <v>-1018333.27</v>
      </c>
      <c r="CV14" s="24">
        <f t="shared" si="43"/>
        <v>-1037272.26</v>
      </c>
      <c r="CW14" s="24">
        <f t="shared" si="43"/>
        <v>-1058440.47</v>
      </c>
      <c r="CX14" s="24">
        <f t="shared" si="43"/>
        <v>-910236.08730267128</v>
      </c>
      <c r="CY14" s="24">
        <f t="shared" ref="CY14" si="44">SUM(CY10:CY13)</f>
        <v>-640138.1161793957</v>
      </c>
    </row>
    <row r="15" spans="1:103" x14ac:dyDescent="0.2">
      <c r="B15" s="7" t="s">
        <v>194</v>
      </c>
      <c r="D15" s="17">
        <f t="shared" ref="D15:BK15" si="45">D9+D14</f>
        <v>0</v>
      </c>
      <c r="E15" s="17">
        <f t="shared" si="45"/>
        <v>0</v>
      </c>
      <c r="F15" s="17">
        <f t="shared" si="45"/>
        <v>0</v>
      </c>
      <c r="G15" s="17">
        <f t="shared" si="45"/>
        <v>0</v>
      </c>
      <c r="H15" s="17">
        <f t="shared" si="45"/>
        <v>0</v>
      </c>
      <c r="I15" s="17">
        <f t="shared" si="45"/>
        <v>0</v>
      </c>
      <c r="J15" s="17">
        <f t="shared" si="45"/>
        <v>0</v>
      </c>
      <c r="K15" s="17">
        <f t="shared" si="45"/>
        <v>0</v>
      </c>
      <c r="L15" s="17">
        <f t="shared" si="45"/>
        <v>0</v>
      </c>
      <c r="M15" s="17">
        <f t="shared" si="45"/>
        <v>0</v>
      </c>
      <c r="N15" s="17">
        <f t="shared" si="45"/>
        <v>0</v>
      </c>
      <c r="O15" s="17">
        <f t="shared" si="45"/>
        <v>0</v>
      </c>
      <c r="P15" s="17">
        <f t="shared" si="45"/>
        <v>0</v>
      </c>
      <c r="Q15" s="17">
        <f t="shared" si="45"/>
        <v>0</v>
      </c>
      <c r="R15" s="17">
        <f t="shared" si="45"/>
        <v>0</v>
      </c>
      <c r="S15" s="17">
        <f t="shared" si="45"/>
        <v>0</v>
      </c>
      <c r="T15" s="17">
        <f t="shared" si="45"/>
        <v>-5222526.7040983113</v>
      </c>
      <c r="U15" s="17">
        <f t="shared" si="45"/>
        <v>-5064939.8606615961</v>
      </c>
      <c r="V15" s="17">
        <f t="shared" si="45"/>
        <v>-4946106.7696486525</v>
      </c>
      <c r="W15" s="17">
        <f t="shared" si="45"/>
        <v>-4836352.1231295196</v>
      </c>
      <c r="X15" s="17">
        <f t="shared" si="45"/>
        <v>-4701398.4451656453</v>
      </c>
      <c r="Y15" s="17">
        <f t="shared" si="45"/>
        <v>-4453407.2239690805</v>
      </c>
      <c r="Z15" s="17">
        <f t="shared" si="45"/>
        <v>-3824591.1652678656</v>
      </c>
      <c r="AA15" s="17">
        <f t="shared" si="45"/>
        <v>-3111835.317659677</v>
      </c>
      <c r="AB15" s="17">
        <f t="shared" si="45"/>
        <v>-2429085.1229123641</v>
      </c>
      <c r="AC15" s="17">
        <f t="shared" si="45"/>
        <v>-1922536.7854623632</v>
      </c>
      <c r="AD15" s="17">
        <f t="shared" si="45"/>
        <v>-1447617.5725841762</v>
      </c>
      <c r="AE15" s="17">
        <f t="shared" si="45"/>
        <v>-1048644.2981405864</v>
      </c>
      <c r="AF15" s="17">
        <f t="shared" si="45"/>
        <v>10957437.844701342</v>
      </c>
      <c r="AG15" s="17">
        <f t="shared" si="45"/>
        <v>10701971.866956672</v>
      </c>
      <c r="AH15" s="17">
        <f t="shared" si="45"/>
        <v>10487525.394495903</v>
      </c>
      <c r="AI15" s="17">
        <f t="shared" si="45"/>
        <v>10257175.922051119</v>
      </c>
      <c r="AJ15" s="17">
        <f t="shared" si="45"/>
        <v>9911407.402148664</v>
      </c>
      <c r="AK15" s="17">
        <f t="shared" si="45"/>
        <v>9358219.9825485852</v>
      </c>
      <c r="AL15" s="17">
        <f t="shared" si="45"/>
        <v>7991077.0738406461</v>
      </c>
      <c r="AM15" s="17">
        <f t="shared" si="45"/>
        <v>6351177.060204003</v>
      </c>
      <c r="AN15" s="17">
        <f t="shared" si="45"/>
        <v>4707283.1406416912</v>
      </c>
      <c r="AO15" s="17">
        <f t="shared" si="45"/>
        <v>3484712.6318692612</v>
      </c>
      <c r="AP15" s="17">
        <f t="shared" si="45"/>
        <v>2314742.7941199057</v>
      </c>
      <c r="AQ15" s="17">
        <f t="shared" si="45"/>
        <v>1705390.790814545</v>
      </c>
      <c r="AR15" s="17">
        <f t="shared" si="45"/>
        <v>22583186.061250929</v>
      </c>
      <c r="AS15" s="17">
        <f t="shared" si="45"/>
        <v>21965195.042341564</v>
      </c>
      <c r="AT15" s="17">
        <f t="shared" si="45"/>
        <v>21433779.068659481</v>
      </c>
      <c r="AU15" s="17">
        <f t="shared" si="45"/>
        <v>20977984.396871068</v>
      </c>
      <c r="AV15" s="17">
        <f t="shared" si="45"/>
        <v>20309269.94989638</v>
      </c>
      <c r="AW15" s="17">
        <f t="shared" si="45"/>
        <v>18939241.027016897</v>
      </c>
      <c r="AX15" s="17">
        <f t="shared" si="45"/>
        <v>17024348.727209497</v>
      </c>
      <c r="AY15" s="17">
        <f t="shared" si="45"/>
        <v>13240555.566464433</v>
      </c>
      <c r="AZ15" s="17">
        <f t="shared" si="45"/>
        <v>9126128.9464644343</v>
      </c>
      <c r="BA15" s="17">
        <f t="shared" si="45"/>
        <v>5922680.1764644347</v>
      </c>
      <c r="BB15" s="17">
        <f t="shared" si="45"/>
        <v>3165462.5864644349</v>
      </c>
      <c r="BC15" s="17">
        <f t="shared" si="45"/>
        <v>1301989.9964644348</v>
      </c>
      <c r="BD15" s="17">
        <f t="shared" si="45"/>
        <v>22817338.786464434</v>
      </c>
      <c r="BE15" s="17">
        <f t="shared" si="45"/>
        <v>22109910.816464435</v>
      </c>
      <c r="BF15" s="17">
        <f t="shared" si="45"/>
        <v>21576708.106464434</v>
      </c>
      <c r="BG15" s="17">
        <f t="shared" si="45"/>
        <v>21085745.736464433</v>
      </c>
      <c r="BH15" s="17">
        <f t="shared" si="45"/>
        <v>20425440.846464433</v>
      </c>
      <c r="BI15" s="17">
        <f t="shared" si="45"/>
        <v>18686975.236464433</v>
      </c>
      <c r="BJ15" s="17">
        <f t="shared" si="45"/>
        <v>15894968.716464434</v>
      </c>
      <c r="BK15" s="17">
        <f t="shared" si="45"/>
        <v>12049034.546464434</v>
      </c>
      <c r="BL15" s="17">
        <f t="shared" ref="BL15:BW15" si="46">BL9+BL14</f>
        <v>8728972.4864644334</v>
      </c>
      <c r="BM15" s="17">
        <f t="shared" si="46"/>
        <v>5269192.0564644337</v>
      </c>
      <c r="BN15" s="17">
        <f t="shared" si="46"/>
        <v>2340214.0364644337</v>
      </c>
      <c r="BO15" s="17">
        <f t="shared" si="46"/>
        <v>266403.79646443366</v>
      </c>
      <c r="BP15" s="17">
        <f t="shared" si="46"/>
        <v>45565283.3791641</v>
      </c>
      <c r="BQ15" s="17">
        <f t="shared" si="46"/>
        <v>44116788.609164096</v>
      </c>
      <c r="BR15" s="17">
        <f t="shared" si="46"/>
        <v>43102177.819164097</v>
      </c>
      <c r="BS15" s="17">
        <f t="shared" si="46"/>
        <v>42116154.179164097</v>
      </c>
      <c r="BT15" s="17">
        <f t="shared" si="46"/>
        <v>40728027.549164094</v>
      </c>
      <c r="BU15" s="17">
        <f t="shared" si="46"/>
        <v>37407785.509164095</v>
      </c>
      <c r="BV15" s="17">
        <f t="shared" si="46"/>
        <v>32556567.519164093</v>
      </c>
      <c r="BW15" s="17">
        <f t="shared" si="46"/>
        <v>25754332.809164092</v>
      </c>
      <c r="BX15" s="17">
        <f t="shared" ref="BX15:CJ15" si="47">BX9+BX14</f>
        <v>19031417.969164092</v>
      </c>
      <c r="BY15" s="17">
        <f t="shared" si="47"/>
        <v>10931919.669164091</v>
      </c>
      <c r="BZ15" s="17">
        <f t="shared" si="47"/>
        <v>5204276.6291640913</v>
      </c>
      <c r="CA15" s="17">
        <f t="shared" si="47"/>
        <v>1675719.0291640912</v>
      </c>
      <c r="CB15" s="17">
        <f t="shared" si="47"/>
        <v>12094779.633998223</v>
      </c>
      <c r="CC15" s="17">
        <f t="shared" si="47"/>
        <v>11752433.783998223</v>
      </c>
      <c r="CD15" s="17">
        <f t="shared" si="47"/>
        <v>11490561.043998223</v>
      </c>
      <c r="CE15" s="17">
        <f t="shared" si="47"/>
        <v>11249273.133998223</v>
      </c>
      <c r="CF15" s="17">
        <f t="shared" si="47"/>
        <v>10907910.583998222</v>
      </c>
      <c r="CG15" s="17">
        <f t="shared" si="47"/>
        <v>9913036.2239982225</v>
      </c>
      <c r="CH15" s="17">
        <f t="shared" si="47"/>
        <v>8627936.6339982226</v>
      </c>
      <c r="CI15" s="17">
        <f t="shared" si="47"/>
        <v>7015484.6139982231</v>
      </c>
      <c r="CJ15" s="17">
        <f t="shared" si="47"/>
        <v>5377475.9039982231</v>
      </c>
      <c r="CK15" s="17">
        <f>CK9+CK14</f>
        <v>3844872.4839982232</v>
      </c>
      <c r="CL15" s="17">
        <f t="shared" ref="CL15:CT15" si="48">CL9+CL14</f>
        <v>2351717.0539982235</v>
      </c>
      <c r="CM15" s="17">
        <f t="shared" si="48"/>
        <v>1467330.5039982237</v>
      </c>
      <c r="CN15" s="17">
        <f t="shared" si="48"/>
        <v>6784039.3339982228</v>
      </c>
      <c r="CO15" s="17">
        <f t="shared" si="48"/>
        <v>6522276.9839982232</v>
      </c>
      <c r="CP15" s="17">
        <f t="shared" si="48"/>
        <v>6336924.2739982232</v>
      </c>
      <c r="CQ15" s="17">
        <f t="shared" si="48"/>
        <v>6173537.993998223</v>
      </c>
      <c r="CR15" s="17">
        <f t="shared" si="48"/>
        <v>5983772.5639982233</v>
      </c>
      <c r="CS15" s="17">
        <f t="shared" si="48"/>
        <v>5501358.3839982236</v>
      </c>
      <c r="CT15" s="17">
        <f t="shared" si="48"/>
        <v>4655577.0639982233</v>
      </c>
      <c r="CU15" s="17">
        <f t="shared" ref="CU15:CY15" si="49">CU9+CU14</f>
        <v>3637243.7939982233</v>
      </c>
      <c r="CV15" s="17">
        <f t="shared" si="49"/>
        <v>2599971.533998223</v>
      </c>
      <c r="CW15" s="17">
        <f t="shared" si="49"/>
        <v>1541531.063998223</v>
      </c>
      <c r="CX15" s="17">
        <f t="shared" si="49"/>
        <v>631294.97669555177</v>
      </c>
      <c r="CY15" s="17">
        <f t="shared" si="49"/>
        <v>-8843.1394838439301</v>
      </c>
    </row>
    <row r="16" spans="1:103" x14ac:dyDescent="0.2">
      <c r="C16" s="19"/>
      <c r="F16" s="8"/>
      <c r="CU16" s="8"/>
      <c r="CX16" s="8"/>
      <c r="CY16" s="8"/>
    </row>
    <row r="17" spans="1:103" x14ac:dyDescent="0.2">
      <c r="A17" s="71" t="s">
        <v>375</v>
      </c>
      <c r="B17" s="8"/>
      <c r="C17" s="130">
        <v>18239092</v>
      </c>
      <c r="F17" s="8"/>
      <c r="CU17" s="8"/>
      <c r="CX17" s="8"/>
      <c r="CY17" s="8"/>
    </row>
    <row r="18" spans="1:103" x14ac:dyDescent="0.2">
      <c r="A18" s="8"/>
      <c r="B18" s="8" t="s">
        <v>190</v>
      </c>
      <c r="C18" s="130">
        <v>25400422</v>
      </c>
      <c r="D18" s="17">
        <v>0</v>
      </c>
      <c r="E18" s="17">
        <f t="shared" ref="E18:M18" si="50">D24</f>
        <v>0</v>
      </c>
      <c r="F18" s="17">
        <f t="shared" si="50"/>
        <v>0</v>
      </c>
      <c r="G18" s="17">
        <f t="shared" si="50"/>
        <v>0</v>
      </c>
      <c r="H18" s="17">
        <f t="shared" si="50"/>
        <v>0</v>
      </c>
      <c r="I18" s="17">
        <f t="shared" si="50"/>
        <v>0</v>
      </c>
      <c r="J18" s="17">
        <f t="shared" si="50"/>
        <v>0</v>
      </c>
      <c r="K18" s="17">
        <f t="shared" si="50"/>
        <v>0</v>
      </c>
      <c r="L18" s="17">
        <f t="shared" si="50"/>
        <v>0</v>
      </c>
      <c r="M18" s="17">
        <f t="shared" si="50"/>
        <v>0</v>
      </c>
      <c r="N18" s="17">
        <f>M24</f>
        <v>0</v>
      </c>
      <c r="O18" s="17">
        <f>N24</f>
        <v>0</v>
      </c>
      <c r="P18" s="17">
        <f t="shared" ref="P18:BK18" si="51">O24</f>
        <v>0</v>
      </c>
      <c r="Q18" s="17">
        <f t="shared" si="51"/>
        <v>0</v>
      </c>
      <c r="R18" s="17">
        <f t="shared" si="51"/>
        <v>0</v>
      </c>
      <c r="S18" s="17">
        <f t="shared" si="51"/>
        <v>0</v>
      </c>
      <c r="T18" s="17">
        <f t="shared" si="51"/>
        <v>0</v>
      </c>
      <c r="U18" s="17">
        <f t="shared" si="51"/>
        <v>238053.66538763192</v>
      </c>
      <c r="V18" s="17">
        <f t="shared" si="51"/>
        <v>230586.59001145011</v>
      </c>
      <c r="W18" s="17">
        <f t="shared" si="51"/>
        <v>222594.22567545201</v>
      </c>
      <c r="X18" s="17">
        <f t="shared" si="51"/>
        <v>214620.52339179895</v>
      </c>
      <c r="Y18" s="17">
        <f t="shared" si="51"/>
        <v>206422.93583268652</v>
      </c>
      <c r="Z18" s="17">
        <f t="shared" si="51"/>
        <v>195081.16111722233</v>
      </c>
      <c r="AA18" s="17">
        <f t="shared" si="51"/>
        <v>170451.44474055726</v>
      </c>
      <c r="AB18" s="17">
        <f t="shared" si="51"/>
        <v>143868.60101756486</v>
      </c>
      <c r="AC18" s="17">
        <f t="shared" si="51"/>
        <v>117611.04907977948</v>
      </c>
      <c r="AD18" s="17">
        <f t="shared" si="51"/>
        <v>97269.286514728214</v>
      </c>
      <c r="AE18" s="17">
        <f t="shared" si="51"/>
        <v>77361.507511680815</v>
      </c>
      <c r="AF18" s="17">
        <f t="shared" si="51"/>
        <v>60297.320111638226</v>
      </c>
      <c r="AG18" s="17">
        <f t="shared" si="51"/>
        <v>5307905.2028076006</v>
      </c>
      <c r="AH18" s="17">
        <f t="shared" si="51"/>
        <v>5117110.4040621184</v>
      </c>
      <c r="AI18" s="17">
        <f t="shared" si="51"/>
        <v>4940926.7655538982</v>
      </c>
      <c r="AJ18" s="17">
        <f t="shared" si="51"/>
        <v>4755725.955852516</v>
      </c>
      <c r="AK18" s="17">
        <f t="shared" si="51"/>
        <v>4546902.1142505612</v>
      </c>
      <c r="AL18" s="17">
        <f t="shared" si="51"/>
        <v>4269554.9245421542</v>
      </c>
      <c r="AM18" s="17">
        <f t="shared" si="51"/>
        <v>3770192.4435498933</v>
      </c>
      <c r="AN18" s="17">
        <f t="shared" si="51"/>
        <v>3068961.7450243598</v>
      </c>
      <c r="AO18" s="17">
        <f t="shared" si="51"/>
        <v>2485075.3406491471</v>
      </c>
      <c r="AP18" s="17">
        <f t="shared" si="51"/>
        <v>2004407.5904290127</v>
      </c>
      <c r="AQ18" s="17">
        <f t="shared" si="51"/>
        <v>1499604.3855144724</v>
      </c>
      <c r="AR18" s="17">
        <f t="shared" si="51"/>
        <v>1187438.2001181981</v>
      </c>
      <c r="AS18" s="17">
        <f t="shared" si="51"/>
        <v>10267200.248905197</v>
      </c>
      <c r="AT18" s="17">
        <f t="shared" si="51"/>
        <v>9875046.2130130194</v>
      </c>
      <c r="AU18" s="17">
        <f t="shared" si="51"/>
        <v>9505473.6261175033</v>
      </c>
      <c r="AV18" s="17">
        <f t="shared" si="51"/>
        <v>9192121.9587167483</v>
      </c>
      <c r="AW18" s="17">
        <f t="shared" si="51"/>
        <v>8798289.7943648119</v>
      </c>
      <c r="AX18" s="17">
        <f t="shared" si="51"/>
        <v>8279004.8960010437</v>
      </c>
      <c r="AY18" s="17">
        <f t="shared" si="51"/>
        <v>7598281.9778405596</v>
      </c>
      <c r="AZ18" s="17">
        <f t="shared" si="51"/>
        <v>6399552.0940645272</v>
      </c>
      <c r="BA18" s="17">
        <f t="shared" si="51"/>
        <v>5015708.894064527</v>
      </c>
      <c r="BB18" s="17">
        <f t="shared" si="51"/>
        <v>3908143.1540645268</v>
      </c>
      <c r="BC18" s="17">
        <f t="shared" si="51"/>
        <v>2892587.8140645269</v>
      </c>
      <c r="BD18" s="17">
        <f t="shared" si="51"/>
        <v>2159657.2640645271</v>
      </c>
      <c r="BE18" s="17">
        <f t="shared" si="51"/>
        <v>14126309.68406453</v>
      </c>
      <c r="BF18" s="17">
        <f t="shared" si="51"/>
        <v>13600234.33406453</v>
      </c>
      <c r="BG18" s="17">
        <f t="shared" si="51"/>
        <v>13111525.714064531</v>
      </c>
      <c r="BH18" s="17">
        <f t="shared" si="51"/>
        <v>12668002.644064531</v>
      </c>
      <c r="BI18" s="17">
        <f t="shared" si="51"/>
        <v>12177416.67406453</v>
      </c>
      <c r="BJ18" s="17">
        <f t="shared" si="51"/>
        <v>11374695.07406453</v>
      </c>
      <c r="BK18" s="17">
        <f t="shared" si="51"/>
        <v>10190758.43406453</v>
      </c>
      <c r="BL18" s="17">
        <f t="shared" ref="BL18" si="52">BK24</f>
        <v>9277912.6640645303</v>
      </c>
      <c r="BM18" s="17">
        <f t="shared" ref="BM18" si="53">BL24</f>
        <v>2.0340645294636488</v>
      </c>
      <c r="BN18" s="17">
        <f t="shared" ref="BN18" si="54">BM24</f>
        <v>2.0340645294636488</v>
      </c>
      <c r="BO18" s="17">
        <f t="shared" ref="BO18" si="55">BN24</f>
        <v>2.0340645294636488</v>
      </c>
      <c r="BP18" s="17">
        <f t="shared" ref="BP18" si="56">BO24</f>
        <v>2.0340645294636488</v>
      </c>
      <c r="BQ18" s="17">
        <f t="shared" ref="BQ18" si="57">BP24</f>
        <v>2.0340645294636488</v>
      </c>
      <c r="BR18" s="17">
        <f t="shared" ref="BR18" si="58">BQ24</f>
        <v>2.0340645294636488</v>
      </c>
      <c r="BS18" s="17">
        <f t="shared" ref="BS18" si="59">BR24</f>
        <v>2.0340645294636488</v>
      </c>
      <c r="BT18" s="17">
        <f t="shared" ref="BT18" si="60">BS24</f>
        <v>2.0340645294636488</v>
      </c>
      <c r="BU18" s="17">
        <f t="shared" ref="BU18" si="61">BT24</f>
        <v>2.0340645294636488</v>
      </c>
      <c r="BV18" s="17">
        <f t="shared" ref="BV18" si="62">BU24</f>
        <v>2.0340645294636488</v>
      </c>
      <c r="BW18" s="17">
        <f t="shared" ref="BW18" si="63">BV24</f>
        <v>2.0340645294636488</v>
      </c>
      <c r="BX18" s="17">
        <f t="shared" ref="BX18" si="64">BW24</f>
        <v>4.0645294636489915E-3</v>
      </c>
      <c r="BY18" s="17">
        <f t="shared" ref="BY18" si="65">BX24</f>
        <v>4.0645294636489915E-3</v>
      </c>
      <c r="BZ18" s="17">
        <f t="shared" ref="BZ18" si="66">BY24</f>
        <v>4.0645294636489915E-3</v>
      </c>
      <c r="CA18" s="17">
        <f t="shared" ref="CA18" si="67">BZ24</f>
        <v>4.0645294636489915E-3</v>
      </c>
      <c r="CB18" s="17">
        <f t="shared" ref="CB18" si="68">CA24</f>
        <v>4.0645294636489915E-3</v>
      </c>
      <c r="CC18" s="17">
        <f t="shared" ref="CC18" si="69">CB24</f>
        <v>4.0645294636489915E-3</v>
      </c>
      <c r="CD18" s="17">
        <f t="shared" ref="CD18" si="70">CC24</f>
        <v>4.0645294636489915E-3</v>
      </c>
      <c r="CE18" s="17">
        <f t="shared" ref="CE18" si="71">CD24</f>
        <v>4.0645294636489915E-3</v>
      </c>
      <c r="CF18" s="17">
        <f t="shared" ref="CF18" si="72">CE24</f>
        <v>4.0645294636489915E-3</v>
      </c>
      <c r="CG18" s="17">
        <f t="shared" ref="CG18" si="73">CF24</f>
        <v>4.0645294636489915E-3</v>
      </c>
      <c r="CH18" s="17">
        <f t="shared" ref="CH18" si="74">CG24</f>
        <v>4.0645294636489915E-3</v>
      </c>
      <c r="CI18" s="17">
        <f t="shared" ref="CI18" si="75">CH24</f>
        <v>4.0645294636489915E-3</v>
      </c>
      <c r="CJ18" s="17">
        <f t="shared" ref="CJ18" si="76">CI24</f>
        <v>4.0645294636489915E-3</v>
      </c>
      <c r="CK18" s="17">
        <f t="shared" ref="CK18" si="77">CJ24</f>
        <v>4.0645294636489915E-3</v>
      </c>
      <c r="CL18" s="17">
        <f t="shared" ref="CL18" si="78">CK24</f>
        <v>4.0645294636489915E-3</v>
      </c>
      <c r="CM18" s="17">
        <f t="shared" ref="CM18" si="79">CL24</f>
        <v>4.0645294636489915E-3</v>
      </c>
      <c r="CN18" s="17">
        <f t="shared" ref="CN18" si="80">CM24</f>
        <v>4.0645294636489915E-3</v>
      </c>
      <c r="CO18" s="17">
        <f t="shared" ref="CO18" si="81">CN24</f>
        <v>4.0645294636489915E-3</v>
      </c>
      <c r="CP18" s="17">
        <f t="shared" ref="CP18" si="82">CO24</f>
        <v>4.0645294636489915E-3</v>
      </c>
      <c r="CQ18" s="17">
        <f t="shared" ref="CQ18" si="83">CP24</f>
        <v>4.0645294636489915E-3</v>
      </c>
      <c r="CR18" s="17">
        <f t="shared" ref="CR18" si="84">CQ24</f>
        <v>4.0645294636489915E-3</v>
      </c>
      <c r="CS18" s="17">
        <f t="shared" ref="CS18" si="85">CR24</f>
        <v>4.0645294636489915E-3</v>
      </c>
      <c r="CT18" s="17">
        <f t="shared" ref="CT18" si="86">CS24</f>
        <v>4.0645294636489915E-3</v>
      </c>
      <c r="CU18" s="17">
        <f t="shared" ref="CU18" si="87">CT24</f>
        <v>4.0645294636489915E-3</v>
      </c>
      <c r="CV18" s="17">
        <f t="shared" ref="CV18" si="88">CU24</f>
        <v>4.0645294636489915E-3</v>
      </c>
      <c r="CW18" s="17">
        <f t="shared" ref="CW18" si="89">CV24</f>
        <v>4.0645294636489915E-3</v>
      </c>
      <c r="CX18" s="17">
        <f t="shared" ref="CX18" si="90">CW24</f>
        <v>4.0645294636489915E-3</v>
      </c>
      <c r="CY18" s="17">
        <f t="shared" ref="CY18" si="91">CX24</f>
        <v>4.0645294636489915E-3</v>
      </c>
    </row>
    <row r="19" spans="1:103" x14ac:dyDescent="0.2">
      <c r="A19" s="8"/>
      <c r="B19" s="189" t="s">
        <v>191</v>
      </c>
      <c r="C19" s="130"/>
      <c r="D19" s="194">
        <v>0</v>
      </c>
      <c r="E19" s="194">
        <v>0</v>
      </c>
      <c r="F19" s="194">
        <v>0</v>
      </c>
      <c r="G19" s="194">
        <v>0</v>
      </c>
      <c r="H19" s="194">
        <v>0</v>
      </c>
      <c r="I19" s="194">
        <v>0</v>
      </c>
      <c r="J19" s="194">
        <v>0</v>
      </c>
      <c r="K19" s="194">
        <v>0</v>
      </c>
      <c r="L19" s="194">
        <v>0</v>
      </c>
      <c r="M19" s="194">
        <v>0</v>
      </c>
      <c r="N19" s="194">
        <v>0</v>
      </c>
      <c r="O19" s="194">
        <v>0</v>
      </c>
      <c r="P19" s="194">
        <v>0</v>
      </c>
      <c r="Q19" s="194">
        <v>0</v>
      </c>
      <c r="R19" s="194">
        <v>0</v>
      </c>
      <c r="S19" s="194">
        <v>0</v>
      </c>
      <c r="T19" s="194">
        <v>250942.28976841201</v>
      </c>
      <c r="U19" s="194">
        <v>0</v>
      </c>
      <c r="V19" s="194">
        <v>0</v>
      </c>
      <c r="W19" s="194">
        <v>0</v>
      </c>
      <c r="X19" s="194">
        <v>0</v>
      </c>
      <c r="Y19" s="194">
        <v>0</v>
      </c>
      <c r="Z19" s="194">
        <v>0</v>
      </c>
      <c r="AA19" s="194">
        <v>0</v>
      </c>
      <c r="AB19" s="194">
        <v>0</v>
      </c>
      <c r="AC19" s="194">
        <v>0</v>
      </c>
      <c r="AD19" s="194">
        <v>0</v>
      </c>
      <c r="AE19" s="194">
        <v>0</v>
      </c>
      <c r="AF19" s="16">
        <v>5474838.4769011335</v>
      </c>
      <c r="AG19" s="194">
        <v>0</v>
      </c>
      <c r="AH19" s="194">
        <v>0</v>
      </c>
      <c r="AI19" s="194">
        <v>0</v>
      </c>
      <c r="AJ19" s="194">
        <v>0</v>
      </c>
      <c r="AK19" s="194">
        <v>0</v>
      </c>
      <c r="AL19" s="194">
        <v>0</v>
      </c>
      <c r="AM19" s="194">
        <v>0</v>
      </c>
      <c r="AN19" s="194">
        <v>0</v>
      </c>
      <c r="AO19" s="194">
        <v>0</v>
      </c>
      <c r="AP19" s="194">
        <v>0</v>
      </c>
      <c r="AQ19" s="194">
        <v>0</v>
      </c>
      <c r="AR19" s="194">
        <v>9473239.356902115</v>
      </c>
      <c r="AS19" s="194">
        <v>0</v>
      </c>
      <c r="AT19" s="194">
        <v>0</v>
      </c>
      <c r="AU19" s="194">
        <v>0</v>
      </c>
      <c r="AV19" s="194">
        <v>0</v>
      </c>
      <c r="AW19" s="194">
        <v>0</v>
      </c>
      <c r="AX19" s="194">
        <v>0</v>
      </c>
      <c r="AY19" s="194">
        <v>0</v>
      </c>
      <c r="AZ19" s="194">
        <v>0</v>
      </c>
      <c r="BA19" s="194">
        <v>0</v>
      </c>
      <c r="BB19" s="194">
        <v>0</v>
      </c>
      <c r="BC19" s="194">
        <v>0</v>
      </c>
      <c r="BD19" s="23">
        <f>(12574592.26-543810.78+625875.65)</f>
        <v>12656657.130000001</v>
      </c>
      <c r="BE19" s="194">
        <v>0</v>
      </c>
      <c r="BF19" s="194">
        <v>0</v>
      </c>
      <c r="BG19" s="194">
        <v>0</v>
      </c>
      <c r="BH19" s="194">
        <v>0</v>
      </c>
      <c r="BI19" s="194">
        <v>0</v>
      </c>
      <c r="BJ19" s="194">
        <v>0</v>
      </c>
      <c r="BK19" s="194">
        <v>0</v>
      </c>
      <c r="BL19" s="194">
        <v>0</v>
      </c>
      <c r="BM19" s="194">
        <v>0</v>
      </c>
      <c r="BN19" s="194">
        <v>0</v>
      </c>
      <c r="BO19" s="194">
        <v>0</v>
      </c>
      <c r="BP19" s="194">
        <v>0</v>
      </c>
      <c r="BQ19" s="194">
        <v>0</v>
      </c>
      <c r="BR19" s="194">
        <v>0</v>
      </c>
      <c r="BS19" s="194">
        <v>0</v>
      </c>
      <c r="BT19" s="194">
        <v>0</v>
      </c>
      <c r="BU19" s="194">
        <v>0</v>
      </c>
      <c r="BV19" s="194">
        <v>0</v>
      </c>
      <c r="BW19" s="194">
        <v>0</v>
      </c>
      <c r="BX19" s="194">
        <v>0</v>
      </c>
      <c r="BY19" s="194">
        <v>0</v>
      </c>
      <c r="BZ19" s="194">
        <v>0</v>
      </c>
      <c r="CA19" s="194">
        <v>0</v>
      </c>
      <c r="CB19" s="194">
        <v>0</v>
      </c>
      <c r="CC19" s="194">
        <v>0</v>
      </c>
      <c r="CD19" s="194">
        <v>0</v>
      </c>
      <c r="CE19" s="194">
        <v>0</v>
      </c>
      <c r="CF19" s="194">
        <v>0</v>
      </c>
      <c r="CG19" s="194">
        <v>0</v>
      </c>
      <c r="CH19" s="194">
        <v>0</v>
      </c>
      <c r="CI19" s="194">
        <v>0</v>
      </c>
      <c r="CJ19" s="194">
        <v>0</v>
      </c>
      <c r="CK19" s="194">
        <v>0</v>
      </c>
      <c r="CL19" s="194">
        <v>0</v>
      </c>
      <c r="CM19" s="194">
        <v>0</v>
      </c>
      <c r="CN19" s="194">
        <v>0</v>
      </c>
      <c r="CO19" s="194">
        <v>0</v>
      </c>
      <c r="CP19" s="194">
        <v>0</v>
      </c>
      <c r="CQ19" s="194">
        <v>0</v>
      </c>
      <c r="CR19" s="194">
        <v>0</v>
      </c>
      <c r="CS19" s="194">
        <v>0</v>
      </c>
      <c r="CT19" s="194">
        <v>0</v>
      </c>
      <c r="CU19" s="194">
        <v>0</v>
      </c>
      <c r="CV19" s="194">
        <v>0</v>
      </c>
      <c r="CW19" s="194">
        <v>0</v>
      </c>
      <c r="CX19" s="194">
        <v>0</v>
      </c>
      <c r="CY19" s="194">
        <v>0</v>
      </c>
    </row>
    <row r="20" spans="1:103" x14ac:dyDescent="0.2">
      <c r="A20" s="8"/>
      <c r="B20" s="189" t="s">
        <v>196</v>
      </c>
      <c r="C20" s="19"/>
      <c r="D20" s="194">
        <v>0</v>
      </c>
      <c r="E20" s="194">
        <v>0</v>
      </c>
      <c r="F20" s="194">
        <v>0</v>
      </c>
      <c r="G20" s="194">
        <v>0</v>
      </c>
      <c r="H20" s="194">
        <v>0</v>
      </c>
      <c r="I20" s="194">
        <v>0</v>
      </c>
      <c r="J20" s="194">
        <v>0</v>
      </c>
      <c r="K20" s="194">
        <v>0</v>
      </c>
      <c r="L20" s="194">
        <v>0</v>
      </c>
      <c r="M20" s="194">
        <v>0</v>
      </c>
      <c r="N20" s="194">
        <v>0</v>
      </c>
      <c r="O20" s="194">
        <v>0</v>
      </c>
      <c r="P20" s="194">
        <v>0</v>
      </c>
      <c r="Q20" s="194">
        <v>0</v>
      </c>
      <c r="R20" s="194">
        <v>0</v>
      </c>
      <c r="S20" s="194">
        <v>0</v>
      </c>
      <c r="T20" s="194">
        <v>0</v>
      </c>
      <c r="U20" s="194">
        <v>0</v>
      </c>
      <c r="V20" s="194">
        <v>0</v>
      </c>
      <c r="W20" s="194">
        <v>0</v>
      </c>
      <c r="X20" s="194">
        <v>0</v>
      </c>
      <c r="Y20" s="194">
        <v>0</v>
      </c>
      <c r="Z20" s="194">
        <v>0</v>
      </c>
      <c r="AA20" s="194">
        <v>0</v>
      </c>
      <c r="AB20" s="194">
        <v>0</v>
      </c>
      <c r="AC20" s="194">
        <v>0</v>
      </c>
      <c r="AD20" s="194">
        <v>0</v>
      </c>
      <c r="AE20" s="194">
        <v>0</v>
      </c>
      <c r="AF20" s="194">
        <v>0</v>
      </c>
      <c r="AG20" s="194">
        <v>0</v>
      </c>
      <c r="AH20" s="194">
        <v>0</v>
      </c>
      <c r="AI20" s="194">
        <v>0</v>
      </c>
      <c r="AJ20" s="194">
        <v>0</v>
      </c>
      <c r="AK20" s="194">
        <v>0</v>
      </c>
      <c r="AL20" s="194">
        <v>0</v>
      </c>
      <c r="AM20" s="194">
        <v>0</v>
      </c>
      <c r="AN20" s="194">
        <v>0</v>
      </c>
      <c r="AO20" s="194">
        <v>0</v>
      </c>
      <c r="AP20" s="194">
        <v>0</v>
      </c>
      <c r="AQ20" s="194">
        <v>0</v>
      </c>
      <c r="AR20" s="194">
        <v>0</v>
      </c>
      <c r="AS20" s="194">
        <v>0</v>
      </c>
      <c r="AT20" s="194">
        <v>0</v>
      </c>
      <c r="AU20" s="194">
        <v>0</v>
      </c>
      <c r="AV20" s="194">
        <v>0</v>
      </c>
      <c r="AW20" s="194">
        <v>0</v>
      </c>
      <c r="AX20" s="194">
        <v>0</v>
      </c>
      <c r="AY20" s="194">
        <v>0</v>
      </c>
      <c r="AZ20" s="194">
        <v>0</v>
      </c>
      <c r="BA20" s="194">
        <v>0</v>
      </c>
      <c r="BB20" s="194">
        <v>0</v>
      </c>
      <c r="BC20" s="194">
        <v>0</v>
      </c>
      <c r="BD20" s="23">
        <v>0</v>
      </c>
      <c r="BE20" s="194">
        <v>0</v>
      </c>
      <c r="BF20" s="194">
        <v>0</v>
      </c>
      <c r="BG20" s="194">
        <v>0</v>
      </c>
      <c r="BH20" s="194">
        <v>0</v>
      </c>
      <c r="BI20" s="194">
        <v>0</v>
      </c>
      <c r="BJ20" s="194">
        <v>0</v>
      </c>
      <c r="BK20" s="194">
        <v>0</v>
      </c>
      <c r="BL20" s="194">
        <v>-9277910.6300000008</v>
      </c>
      <c r="BM20" s="194">
        <v>0</v>
      </c>
      <c r="BN20" s="194">
        <v>0</v>
      </c>
      <c r="BO20" s="194">
        <v>0</v>
      </c>
      <c r="BP20" s="194">
        <v>0</v>
      </c>
      <c r="BQ20" s="194">
        <v>0</v>
      </c>
      <c r="BR20" s="194">
        <v>0</v>
      </c>
      <c r="BS20" s="194">
        <v>0</v>
      </c>
      <c r="BT20" s="194">
        <v>0</v>
      </c>
      <c r="BU20" s="194">
        <v>0</v>
      </c>
      <c r="BV20" s="194">
        <v>0</v>
      </c>
      <c r="BW20" s="194">
        <v>-2.0299999999999998</v>
      </c>
      <c r="BX20" s="194">
        <v>0</v>
      </c>
      <c r="BY20" s="194">
        <v>0</v>
      </c>
      <c r="BZ20" s="194">
        <v>0</v>
      </c>
      <c r="CA20" s="194">
        <v>0</v>
      </c>
      <c r="CB20" s="194">
        <v>0</v>
      </c>
      <c r="CC20" s="194">
        <v>0</v>
      </c>
      <c r="CD20" s="194">
        <v>0</v>
      </c>
      <c r="CE20" s="194">
        <v>0</v>
      </c>
      <c r="CF20" s="194">
        <v>0</v>
      </c>
      <c r="CG20" s="194">
        <v>0</v>
      </c>
      <c r="CH20" s="194">
        <v>0</v>
      </c>
      <c r="CI20" s="194">
        <v>0</v>
      </c>
      <c r="CJ20" s="194">
        <v>0</v>
      </c>
      <c r="CK20" s="194">
        <v>0</v>
      </c>
      <c r="CL20" s="194">
        <v>0</v>
      </c>
      <c r="CM20" s="194">
        <v>0</v>
      </c>
      <c r="CN20" s="194">
        <v>0</v>
      </c>
      <c r="CO20" s="194">
        <v>0</v>
      </c>
      <c r="CP20" s="194">
        <v>0</v>
      </c>
      <c r="CQ20" s="194">
        <v>0</v>
      </c>
      <c r="CR20" s="194">
        <v>0</v>
      </c>
      <c r="CS20" s="194">
        <v>0</v>
      </c>
      <c r="CT20" s="194">
        <v>0</v>
      </c>
      <c r="CU20" s="194">
        <v>0</v>
      </c>
      <c r="CV20" s="194">
        <v>0</v>
      </c>
      <c r="CW20" s="194">
        <v>0</v>
      </c>
      <c r="CX20" s="194">
        <v>0</v>
      </c>
      <c r="CY20" s="194">
        <v>0</v>
      </c>
    </row>
    <row r="21" spans="1:103" x14ac:dyDescent="0.2">
      <c r="A21" s="8"/>
      <c r="B21" s="21" t="s">
        <v>447</v>
      </c>
      <c r="C21" s="19"/>
      <c r="D21" s="194">
        <v>0</v>
      </c>
      <c r="E21" s="194">
        <v>0</v>
      </c>
      <c r="F21" s="194">
        <v>0</v>
      </c>
      <c r="G21" s="194">
        <v>0</v>
      </c>
      <c r="H21" s="194">
        <v>0</v>
      </c>
      <c r="I21" s="194">
        <v>0</v>
      </c>
      <c r="J21" s="194">
        <v>0</v>
      </c>
      <c r="K21" s="194">
        <v>0</v>
      </c>
      <c r="L21" s="194">
        <v>0</v>
      </c>
      <c r="M21" s="194">
        <v>0</v>
      </c>
      <c r="N21" s="194">
        <v>0</v>
      </c>
      <c r="O21" s="194">
        <v>0</v>
      </c>
      <c r="P21" s="194">
        <v>0</v>
      </c>
      <c r="Q21" s="194">
        <v>0</v>
      </c>
      <c r="R21" s="194">
        <v>0</v>
      </c>
      <c r="S21" s="194">
        <v>0</v>
      </c>
      <c r="T21" s="194">
        <v>0</v>
      </c>
      <c r="U21" s="194">
        <v>0</v>
      </c>
      <c r="V21" s="194">
        <v>0</v>
      </c>
      <c r="W21" s="194">
        <v>0</v>
      </c>
      <c r="X21" s="194">
        <v>0</v>
      </c>
      <c r="Y21" s="194">
        <v>0</v>
      </c>
      <c r="Z21" s="194">
        <v>0</v>
      </c>
      <c r="AA21" s="194">
        <v>0</v>
      </c>
      <c r="AB21" s="194">
        <v>0</v>
      </c>
      <c r="AC21" s="194">
        <v>0</v>
      </c>
      <c r="AD21" s="194">
        <v>0</v>
      </c>
      <c r="AE21" s="194">
        <v>0</v>
      </c>
      <c r="AF21" s="194">
        <v>0</v>
      </c>
      <c r="AG21" s="194">
        <v>0</v>
      </c>
      <c r="AH21" s="194">
        <v>0</v>
      </c>
      <c r="AI21" s="194">
        <v>0</v>
      </c>
      <c r="AJ21" s="194">
        <v>0</v>
      </c>
      <c r="AK21" s="194">
        <v>0</v>
      </c>
      <c r="AL21" s="194">
        <v>0</v>
      </c>
      <c r="AM21" s="194">
        <v>0</v>
      </c>
      <c r="AN21" s="194">
        <v>0</v>
      </c>
      <c r="AO21" s="194">
        <v>0</v>
      </c>
      <c r="AP21" s="194">
        <v>0</v>
      </c>
      <c r="AQ21" s="194">
        <v>0</v>
      </c>
      <c r="AR21" s="194">
        <v>0</v>
      </c>
      <c r="AS21" s="194">
        <v>0</v>
      </c>
      <c r="AT21" s="194">
        <v>0</v>
      </c>
      <c r="AU21" s="194">
        <v>0</v>
      </c>
      <c r="AV21" s="194">
        <v>0</v>
      </c>
      <c r="AW21" s="194">
        <v>0</v>
      </c>
      <c r="AX21" s="194">
        <v>0</v>
      </c>
      <c r="AY21" s="194">
        <v>0</v>
      </c>
      <c r="AZ21" s="194">
        <v>0</v>
      </c>
      <c r="BA21" s="194">
        <v>0</v>
      </c>
      <c r="BB21" s="194">
        <v>0</v>
      </c>
      <c r="BC21" s="194">
        <v>0</v>
      </c>
      <c r="BD21" s="194">
        <v>0</v>
      </c>
      <c r="BE21" s="194">
        <v>0</v>
      </c>
      <c r="BF21" s="194">
        <v>0</v>
      </c>
      <c r="BG21" s="194">
        <v>0</v>
      </c>
      <c r="BH21" s="194">
        <v>0</v>
      </c>
      <c r="BI21" s="194">
        <v>0</v>
      </c>
      <c r="BJ21" s="194">
        <v>0</v>
      </c>
      <c r="BK21" s="194">
        <v>0</v>
      </c>
      <c r="BL21" s="194">
        <v>0</v>
      </c>
      <c r="BM21" s="194">
        <v>0</v>
      </c>
      <c r="BN21" s="194">
        <v>0</v>
      </c>
      <c r="BO21" s="194">
        <v>0</v>
      </c>
      <c r="BP21" s="194">
        <v>0</v>
      </c>
      <c r="BQ21" s="194">
        <v>0</v>
      </c>
      <c r="BR21" s="194">
        <v>0</v>
      </c>
      <c r="BS21" s="194">
        <v>0</v>
      </c>
      <c r="BT21" s="194">
        <v>0</v>
      </c>
      <c r="BU21" s="194">
        <v>0</v>
      </c>
      <c r="BV21" s="194">
        <v>0</v>
      </c>
      <c r="BW21" s="194">
        <v>0</v>
      </c>
      <c r="BX21" s="194">
        <v>0</v>
      </c>
      <c r="BY21" s="194">
        <v>0</v>
      </c>
      <c r="BZ21" s="194">
        <v>0</v>
      </c>
      <c r="CA21" s="194">
        <v>0</v>
      </c>
      <c r="CB21" s="194">
        <v>0</v>
      </c>
      <c r="CC21" s="194">
        <v>0</v>
      </c>
      <c r="CD21" s="194">
        <v>0</v>
      </c>
      <c r="CE21" s="194">
        <v>0</v>
      </c>
      <c r="CF21" s="194">
        <v>0</v>
      </c>
      <c r="CG21" s="194">
        <v>0</v>
      </c>
      <c r="CH21" s="194">
        <v>0</v>
      </c>
      <c r="CI21" s="194">
        <v>0</v>
      </c>
      <c r="CJ21" s="194">
        <v>0</v>
      </c>
      <c r="CK21" s="194">
        <v>0</v>
      </c>
      <c r="CL21" s="194">
        <v>0</v>
      </c>
      <c r="CM21" s="194">
        <v>0</v>
      </c>
      <c r="CN21" s="194">
        <v>0</v>
      </c>
      <c r="CO21" s="194">
        <v>0</v>
      </c>
      <c r="CP21" s="194">
        <v>0</v>
      </c>
      <c r="CQ21" s="194">
        <v>0</v>
      </c>
      <c r="CR21" s="194">
        <v>0</v>
      </c>
      <c r="CS21" s="194">
        <v>0</v>
      </c>
      <c r="CT21" s="194">
        <v>0</v>
      </c>
      <c r="CU21" s="194">
        <v>0</v>
      </c>
      <c r="CV21" s="194">
        <v>0</v>
      </c>
      <c r="CW21" s="194">
        <v>0</v>
      </c>
      <c r="CX21" s="194">
        <v>0</v>
      </c>
      <c r="CY21" s="194">
        <v>0</v>
      </c>
    </row>
    <row r="22" spans="1:103" x14ac:dyDescent="0.2">
      <c r="A22" s="8"/>
      <c r="B22" s="189" t="s">
        <v>192</v>
      </c>
      <c r="C22" s="8"/>
      <c r="D22" s="194">
        <v>0</v>
      </c>
      <c r="E22" s="194">
        <v>0</v>
      </c>
      <c r="F22" s="194">
        <v>0</v>
      </c>
      <c r="G22" s="194">
        <v>0</v>
      </c>
      <c r="H22" s="194">
        <v>0</v>
      </c>
      <c r="I22" s="194">
        <v>0</v>
      </c>
      <c r="J22" s="194">
        <v>0</v>
      </c>
      <c r="K22" s="194">
        <v>0</v>
      </c>
      <c r="L22" s="194">
        <v>0</v>
      </c>
      <c r="M22" s="194">
        <v>0</v>
      </c>
      <c r="N22" s="194">
        <v>0</v>
      </c>
      <c r="O22" s="194">
        <v>0</v>
      </c>
      <c r="P22" s="194">
        <v>0</v>
      </c>
      <c r="Q22" s="194">
        <v>0</v>
      </c>
      <c r="R22" s="194">
        <v>0</v>
      </c>
      <c r="S22" s="194">
        <v>0</v>
      </c>
      <c r="T22" s="23">
        <v>-12888.624380780098</v>
      </c>
      <c r="U22" s="23">
        <v>-7467.0753761818032</v>
      </c>
      <c r="V22" s="23">
        <v>-7992.364335998097</v>
      </c>
      <c r="W22" s="23">
        <v>-7973.7022836530414</v>
      </c>
      <c r="X22" s="23">
        <v>-8197.5875591124441</v>
      </c>
      <c r="Y22" s="23">
        <v>-11341.774715464175</v>
      </c>
      <c r="Z22" s="23">
        <v>-24629.716376665074</v>
      </c>
      <c r="AA22" s="23">
        <v>-26582.843722992413</v>
      </c>
      <c r="AB22" s="23">
        <v>-26257.551937785374</v>
      </c>
      <c r="AC22" s="23">
        <v>-20341.762565051264</v>
      </c>
      <c r="AD22" s="23">
        <v>-19907.779003047399</v>
      </c>
      <c r="AE22" s="23">
        <v>-17064.187400042585</v>
      </c>
      <c r="AF22" s="23">
        <v>-227230.59420517046</v>
      </c>
      <c r="AG22" s="23">
        <v>-190794.79874548214</v>
      </c>
      <c r="AH22" s="23">
        <v>-176183.63850822003</v>
      </c>
      <c r="AI22" s="23">
        <v>-185200.80970138207</v>
      </c>
      <c r="AJ22" s="23">
        <v>-208823.84160195506</v>
      </c>
      <c r="AK22" s="23">
        <v>-277347.18970840669</v>
      </c>
      <c r="AL22" s="23">
        <v>-499362.48099226074</v>
      </c>
      <c r="AM22" s="23">
        <v>-701230.69852553343</v>
      </c>
      <c r="AN22" s="23">
        <v>-583886.40437521273</v>
      </c>
      <c r="AO22" s="23">
        <v>-480667.75022013433</v>
      </c>
      <c r="AP22" s="23">
        <v>-504803.20491454034</v>
      </c>
      <c r="AQ22" s="23">
        <v>-312166.1853962742</v>
      </c>
      <c r="AR22" s="23">
        <v>-393477.3081151162</v>
      </c>
      <c r="AS22" s="23">
        <v>-392154.03589217796</v>
      </c>
      <c r="AT22" s="23">
        <v>-369572.58689551661</v>
      </c>
      <c r="AU22" s="23">
        <v>-313351.66740075476</v>
      </c>
      <c r="AV22" s="23">
        <v>-393832.16435193561</v>
      </c>
      <c r="AW22" s="23">
        <v>-519284.89836376801</v>
      </c>
      <c r="AX22" s="23">
        <v>-680722.91816048371</v>
      </c>
      <c r="AY22" s="23">
        <v>-1198729.8837760321</v>
      </c>
      <c r="AZ22" s="23">
        <v>-1383843.2</v>
      </c>
      <c r="BA22" s="23">
        <v>-1107565.74</v>
      </c>
      <c r="BB22" s="23">
        <v>-1015555.34</v>
      </c>
      <c r="BC22" s="23">
        <v>-732930.55</v>
      </c>
      <c r="BD22" s="23">
        <v>-690004.71</v>
      </c>
      <c r="BE22" s="23">
        <v>-526075.35</v>
      </c>
      <c r="BF22" s="23">
        <v>-488708.62</v>
      </c>
      <c r="BG22" s="23">
        <v>-443523.07</v>
      </c>
      <c r="BH22" s="23">
        <v>-490585.97</v>
      </c>
      <c r="BI22" s="23">
        <v>-802721.6</v>
      </c>
      <c r="BJ22" s="23">
        <v>-1183936.6399999999</v>
      </c>
      <c r="BK22" s="23">
        <v>-912845.77</v>
      </c>
      <c r="BL22" s="23">
        <v>0</v>
      </c>
      <c r="BM22" s="23">
        <v>0</v>
      </c>
      <c r="BN22" s="23">
        <v>0</v>
      </c>
      <c r="BO22" s="23">
        <v>0</v>
      </c>
      <c r="BP22" s="23">
        <v>0</v>
      </c>
      <c r="BQ22" s="23">
        <v>0</v>
      </c>
      <c r="BR22" s="23">
        <v>0</v>
      </c>
      <c r="BS22" s="23">
        <v>0</v>
      </c>
      <c r="BT22" s="23">
        <v>0</v>
      </c>
      <c r="BU22" s="23">
        <v>0</v>
      </c>
      <c r="BV22" s="23">
        <v>0</v>
      </c>
      <c r="BW22" s="23">
        <v>0</v>
      </c>
      <c r="BX22" s="23">
        <v>0</v>
      </c>
      <c r="BY22" s="23">
        <v>0</v>
      </c>
      <c r="BZ22" s="23">
        <v>0</v>
      </c>
      <c r="CA22" s="23">
        <v>0</v>
      </c>
      <c r="CB22" s="23">
        <v>0</v>
      </c>
      <c r="CC22" s="23">
        <v>0</v>
      </c>
      <c r="CD22" s="23">
        <v>0</v>
      </c>
      <c r="CE22" s="23">
        <v>0</v>
      </c>
      <c r="CF22" s="23">
        <v>0</v>
      </c>
      <c r="CG22" s="23">
        <v>0</v>
      </c>
      <c r="CH22" s="23">
        <v>0</v>
      </c>
      <c r="CI22" s="23">
        <v>0</v>
      </c>
      <c r="CJ22" s="23">
        <v>0</v>
      </c>
      <c r="CK22" s="23">
        <v>0</v>
      </c>
      <c r="CL22" s="23">
        <v>0</v>
      </c>
      <c r="CM22" s="23">
        <v>0</v>
      </c>
      <c r="CN22" s="23">
        <v>0</v>
      </c>
      <c r="CO22" s="23">
        <v>0</v>
      </c>
      <c r="CP22" s="23">
        <v>0</v>
      </c>
      <c r="CQ22" s="23">
        <v>0</v>
      </c>
      <c r="CR22" s="23">
        <v>0</v>
      </c>
      <c r="CS22" s="23">
        <v>0</v>
      </c>
      <c r="CT22" s="23">
        <v>0</v>
      </c>
      <c r="CU22" s="23">
        <v>0</v>
      </c>
      <c r="CV22" s="23">
        <v>0</v>
      </c>
      <c r="CW22" s="23">
        <v>0</v>
      </c>
      <c r="CX22" s="23">
        <v>0</v>
      </c>
      <c r="CY22" s="23">
        <v>0</v>
      </c>
    </row>
    <row r="23" spans="1:103" x14ac:dyDescent="0.2">
      <c r="A23" s="8"/>
      <c r="B23" s="8" t="s">
        <v>193</v>
      </c>
      <c r="C23" s="8"/>
      <c r="D23" s="24">
        <f t="shared" ref="D23:I23" si="92">SUM(D19:D22)</f>
        <v>0</v>
      </c>
      <c r="E23" s="24">
        <f t="shared" si="92"/>
        <v>0</v>
      </c>
      <c r="F23" s="24">
        <f t="shared" si="92"/>
        <v>0</v>
      </c>
      <c r="G23" s="24">
        <f t="shared" si="92"/>
        <v>0</v>
      </c>
      <c r="H23" s="24">
        <f t="shared" si="92"/>
        <v>0</v>
      </c>
      <c r="I23" s="24">
        <f t="shared" si="92"/>
        <v>0</v>
      </c>
      <c r="J23" s="24">
        <f>SUM(J19:J22)</f>
        <v>0</v>
      </c>
      <c r="K23" s="24">
        <f t="shared" ref="K23:CK23" si="93">SUM(K19:K22)</f>
        <v>0</v>
      </c>
      <c r="L23" s="24">
        <f t="shared" si="93"/>
        <v>0</v>
      </c>
      <c r="M23" s="24">
        <f t="shared" si="93"/>
        <v>0</v>
      </c>
      <c r="N23" s="24">
        <f t="shared" si="93"/>
        <v>0</v>
      </c>
      <c r="O23" s="24">
        <f t="shared" si="93"/>
        <v>0</v>
      </c>
      <c r="P23" s="24">
        <f t="shared" si="93"/>
        <v>0</v>
      </c>
      <c r="Q23" s="24">
        <f t="shared" si="93"/>
        <v>0</v>
      </c>
      <c r="R23" s="24">
        <f t="shared" si="93"/>
        <v>0</v>
      </c>
      <c r="S23" s="24">
        <f t="shared" si="93"/>
        <v>0</v>
      </c>
      <c r="T23" s="24">
        <f t="shared" si="93"/>
        <v>238053.66538763192</v>
      </c>
      <c r="U23" s="24">
        <f t="shared" si="93"/>
        <v>-7467.0753761818032</v>
      </c>
      <c r="V23" s="24">
        <f t="shared" si="93"/>
        <v>-7992.364335998097</v>
      </c>
      <c r="W23" s="24">
        <f t="shared" si="93"/>
        <v>-7973.7022836530414</v>
      </c>
      <c r="X23" s="24">
        <f t="shared" si="93"/>
        <v>-8197.5875591124441</v>
      </c>
      <c r="Y23" s="24">
        <f t="shared" si="93"/>
        <v>-11341.774715464175</v>
      </c>
      <c r="Z23" s="24">
        <f t="shared" si="93"/>
        <v>-24629.716376665074</v>
      </c>
      <c r="AA23" s="24">
        <f t="shared" si="93"/>
        <v>-26582.843722992413</v>
      </c>
      <c r="AB23" s="24">
        <f t="shared" si="93"/>
        <v>-26257.551937785374</v>
      </c>
      <c r="AC23" s="24">
        <f t="shared" si="93"/>
        <v>-20341.762565051264</v>
      </c>
      <c r="AD23" s="24">
        <f t="shared" si="93"/>
        <v>-19907.779003047399</v>
      </c>
      <c r="AE23" s="24">
        <f t="shared" si="93"/>
        <v>-17064.187400042585</v>
      </c>
      <c r="AF23" s="24">
        <f t="shared" si="93"/>
        <v>5247607.8826959627</v>
      </c>
      <c r="AG23" s="24">
        <f t="shared" si="93"/>
        <v>-190794.79874548214</v>
      </c>
      <c r="AH23" s="24">
        <f t="shared" si="93"/>
        <v>-176183.63850822003</v>
      </c>
      <c r="AI23" s="24">
        <f t="shared" si="93"/>
        <v>-185200.80970138207</v>
      </c>
      <c r="AJ23" s="24">
        <f t="shared" si="93"/>
        <v>-208823.84160195506</v>
      </c>
      <c r="AK23" s="24">
        <f t="shared" si="93"/>
        <v>-277347.18970840669</v>
      </c>
      <c r="AL23" s="24">
        <f t="shared" si="93"/>
        <v>-499362.48099226074</v>
      </c>
      <c r="AM23" s="24">
        <f t="shared" si="93"/>
        <v>-701230.69852553343</v>
      </c>
      <c r="AN23" s="24">
        <f t="shared" si="93"/>
        <v>-583886.40437521273</v>
      </c>
      <c r="AO23" s="24">
        <f t="shared" si="93"/>
        <v>-480667.75022013433</v>
      </c>
      <c r="AP23" s="24">
        <f t="shared" si="93"/>
        <v>-504803.20491454034</v>
      </c>
      <c r="AQ23" s="24">
        <f t="shared" si="93"/>
        <v>-312166.1853962742</v>
      </c>
      <c r="AR23" s="24">
        <f t="shared" si="93"/>
        <v>9079762.0487869997</v>
      </c>
      <c r="AS23" s="24">
        <f t="shared" si="93"/>
        <v>-392154.03589217796</v>
      </c>
      <c r="AT23" s="24">
        <f t="shared" si="93"/>
        <v>-369572.58689551661</v>
      </c>
      <c r="AU23" s="24">
        <f t="shared" si="93"/>
        <v>-313351.66740075476</v>
      </c>
      <c r="AV23" s="24">
        <f t="shared" si="93"/>
        <v>-393832.16435193561</v>
      </c>
      <c r="AW23" s="24">
        <f t="shared" si="93"/>
        <v>-519284.89836376801</v>
      </c>
      <c r="AX23" s="24">
        <f t="shared" si="93"/>
        <v>-680722.91816048371</v>
      </c>
      <c r="AY23" s="24">
        <f t="shared" si="93"/>
        <v>-1198729.8837760321</v>
      </c>
      <c r="AZ23" s="24">
        <f t="shared" si="93"/>
        <v>-1383843.2</v>
      </c>
      <c r="BA23" s="24">
        <f t="shared" si="93"/>
        <v>-1107565.74</v>
      </c>
      <c r="BB23" s="24">
        <f t="shared" si="93"/>
        <v>-1015555.34</v>
      </c>
      <c r="BC23" s="24">
        <f t="shared" si="93"/>
        <v>-732930.55</v>
      </c>
      <c r="BD23" s="24">
        <f t="shared" si="93"/>
        <v>11966652.420000002</v>
      </c>
      <c r="BE23" s="24">
        <f t="shared" si="93"/>
        <v>-526075.35</v>
      </c>
      <c r="BF23" s="24">
        <f t="shared" si="93"/>
        <v>-488708.62</v>
      </c>
      <c r="BG23" s="24">
        <f t="shared" si="93"/>
        <v>-443523.07</v>
      </c>
      <c r="BH23" s="24">
        <f t="shared" si="93"/>
        <v>-490585.97</v>
      </c>
      <c r="BI23" s="24">
        <f t="shared" si="93"/>
        <v>-802721.6</v>
      </c>
      <c r="BJ23" s="24">
        <f t="shared" si="93"/>
        <v>-1183936.6399999999</v>
      </c>
      <c r="BK23" s="24">
        <f t="shared" si="93"/>
        <v>-912845.77</v>
      </c>
      <c r="BL23" s="24">
        <f t="shared" ref="BL23:BW23" si="94">SUM(BL19:BL22)</f>
        <v>-9277910.6300000008</v>
      </c>
      <c r="BM23" s="24">
        <f t="shared" si="94"/>
        <v>0</v>
      </c>
      <c r="BN23" s="24">
        <f t="shared" si="94"/>
        <v>0</v>
      </c>
      <c r="BO23" s="24">
        <f t="shared" si="94"/>
        <v>0</v>
      </c>
      <c r="BP23" s="24">
        <f t="shared" si="94"/>
        <v>0</v>
      </c>
      <c r="BQ23" s="24">
        <f t="shared" si="94"/>
        <v>0</v>
      </c>
      <c r="BR23" s="24">
        <f t="shared" si="94"/>
        <v>0</v>
      </c>
      <c r="BS23" s="24">
        <f t="shared" si="94"/>
        <v>0</v>
      </c>
      <c r="BT23" s="24">
        <f t="shared" si="94"/>
        <v>0</v>
      </c>
      <c r="BU23" s="24">
        <f t="shared" si="94"/>
        <v>0</v>
      </c>
      <c r="BV23" s="24">
        <f t="shared" si="94"/>
        <v>0</v>
      </c>
      <c r="BW23" s="24">
        <f t="shared" si="94"/>
        <v>-2.0299999999999998</v>
      </c>
      <c r="BX23" s="24">
        <f t="shared" ref="BX23:CJ23" si="95">SUM(BX19:BX22)</f>
        <v>0</v>
      </c>
      <c r="BY23" s="24">
        <f t="shared" si="95"/>
        <v>0</v>
      </c>
      <c r="BZ23" s="24">
        <f t="shared" si="95"/>
        <v>0</v>
      </c>
      <c r="CA23" s="24">
        <f t="shared" si="95"/>
        <v>0</v>
      </c>
      <c r="CB23" s="24">
        <f t="shared" si="95"/>
        <v>0</v>
      </c>
      <c r="CC23" s="24">
        <f t="shared" si="95"/>
        <v>0</v>
      </c>
      <c r="CD23" s="24">
        <f t="shared" si="95"/>
        <v>0</v>
      </c>
      <c r="CE23" s="24">
        <f t="shared" si="95"/>
        <v>0</v>
      </c>
      <c r="CF23" s="24">
        <f t="shared" si="95"/>
        <v>0</v>
      </c>
      <c r="CG23" s="24">
        <f t="shared" si="95"/>
        <v>0</v>
      </c>
      <c r="CH23" s="24">
        <f t="shared" si="95"/>
        <v>0</v>
      </c>
      <c r="CI23" s="24">
        <f t="shared" si="95"/>
        <v>0</v>
      </c>
      <c r="CJ23" s="24">
        <f t="shared" si="95"/>
        <v>0</v>
      </c>
      <c r="CK23" s="24">
        <f t="shared" si="93"/>
        <v>0</v>
      </c>
      <c r="CL23" s="24">
        <f t="shared" ref="CL23:CY23" si="96">SUM(CL19:CL22)</f>
        <v>0</v>
      </c>
      <c r="CM23" s="24">
        <f t="shared" si="96"/>
        <v>0</v>
      </c>
      <c r="CN23" s="24">
        <f t="shared" si="96"/>
        <v>0</v>
      </c>
      <c r="CO23" s="24">
        <f t="shared" si="96"/>
        <v>0</v>
      </c>
      <c r="CP23" s="24">
        <f t="shared" si="96"/>
        <v>0</v>
      </c>
      <c r="CQ23" s="24">
        <f t="shared" si="96"/>
        <v>0</v>
      </c>
      <c r="CR23" s="24">
        <f t="shared" si="96"/>
        <v>0</v>
      </c>
      <c r="CS23" s="24">
        <f t="shared" si="96"/>
        <v>0</v>
      </c>
      <c r="CT23" s="24">
        <f t="shared" si="96"/>
        <v>0</v>
      </c>
      <c r="CU23" s="24">
        <f t="shared" si="96"/>
        <v>0</v>
      </c>
      <c r="CV23" s="24">
        <f t="shared" si="96"/>
        <v>0</v>
      </c>
      <c r="CW23" s="24">
        <f t="shared" si="96"/>
        <v>0</v>
      </c>
      <c r="CX23" s="24">
        <f t="shared" si="96"/>
        <v>0</v>
      </c>
      <c r="CY23" s="24">
        <f t="shared" si="96"/>
        <v>0</v>
      </c>
    </row>
    <row r="24" spans="1:103" x14ac:dyDescent="0.2">
      <c r="A24" s="8"/>
      <c r="B24" s="8" t="s">
        <v>194</v>
      </c>
      <c r="C24" s="8"/>
      <c r="D24" s="17">
        <f t="shared" ref="D24:CK24" si="97">D18+D23</f>
        <v>0</v>
      </c>
      <c r="E24" s="17">
        <f t="shared" si="97"/>
        <v>0</v>
      </c>
      <c r="F24" s="17">
        <f t="shared" si="97"/>
        <v>0</v>
      </c>
      <c r="G24" s="17">
        <f t="shared" si="97"/>
        <v>0</v>
      </c>
      <c r="H24" s="17">
        <f t="shared" si="97"/>
        <v>0</v>
      </c>
      <c r="I24" s="17">
        <f t="shared" si="97"/>
        <v>0</v>
      </c>
      <c r="J24" s="17">
        <f t="shared" si="97"/>
        <v>0</v>
      </c>
      <c r="K24" s="17">
        <f t="shared" si="97"/>
        <v>0</v>
      </c>
      <c r="L24" s="17">
        <f t="shared" si="97"/>
        <v>0</v>
      </c>
      <c r="M24" s="17">
        <f t="shared" si="97"/>
        <v>0</v>
      </c>
      <c r="N24" s="17">
        <f t="shared" si="97"/>
        <v>0</v>
      </c>
      <c r="O24" s="17">
        <f t="shared" si="97"/>
        <v>0</v>
      </c>
      <c r="P24" s="17">
        <f t="shared" si="97"/>
        <v>0</v>
      </c>
      <c r="Q24" s="17">
        <f t="shared" si="97"/>
        <v>0</v>
      </c>
      <c r="R24" s="17">
        <f t="shared" si="97"/>
        <v>0</v>
      </c>
      <c r="S24" s="17">
        <f t="shared" si="97"/>
        <v>0</v>
      </c>
      <c r="T24" s="17">
        <f t="shared" si="97"/>
        <v>238053.66538763192</v>
      </c>
      <c r="U24" s="17">
        <f t="shared" si="97"/>
        <v>230586.59001145011</v>
      </c>
      <c r="V24" s="17">
        <f t="shared" si="97"/>
        <v>222594.22567545201</v>
      </c>
      <c r="W24" s="17">
        <f t="shared" si="97"/>
        <v>214620.52339179895</v>
      </c>
      <c r="X24" s="17">
        <f t="shared" si="97"/>
        <v>206422.93583268652</v>
      </c>
      <c r="Y24" s="17">
        <f t="shared" si="97"/>
        <v>195081.16111722233</v>
      </c>
      <c r="Z24" s="17">
        <f t="shared" si="97"/>
        <v>170451.44474055726</v>
      </c>
      <c r="AA24" s="17">
        <f t="shared" si="97"/>
        <v>143868.60101756486</v>
      </c>
      <c r="AB24" s="17">
        <f t="shared" si="97"/>
        <v>117611.04907977948</v>
      </c>
      <c r="AC24" s="17">
        <f t="shared" si="97"/>
        <v>97269.286514728214</v>
      </c>
      <c r="AD24" s="17">
        <f t="shared" si="97"/>
        <v>77361.507511680815</v>
      </c>
      <c r="AE24" s="17">
        <f t="shared" si="97"/>
        <v>60297.320111638226</v>
      </c>
      <c r="AF24" s="17">
        <f t="shared" si="97"/>
        <v>5307905.2028076006</v>
      </c>
      <c r="AG24" s="17">
        <f t="shared" si="97"/>
        <v>5117110.4040621184</v>
      </c>
      <c r="AH24" s="17">
        <f t="shared" si="97"/>
        <v>4940926.7655538982</v>
      </c>
      <c r="AI24" s="17">
        <f t="shared" si="97"/>
        <v>4755725.955852516</v>
      </c>
      <c r="AJ24" s="17">
        <f t="shared" si="97"/>
        <v>4546902.1142505612</v>
      </c>
      <c r="AK24" s="17">
        <f t="shared" si="97"/>
        <v>4269554.9245421542</v>
      </c>
      <c r="AL24" s="17">
        <f t="shared" si="97"/>
        <v>3770192.4435498933</v>
      </c>
      <c r="AM24" s="17">
        <f t="shared" si="97"/>
        <v>3068961.7450243598</v>
      </c>
      <c r="AN24" s="17">
        <f t="shared" si="97"/>
        <v>2485075.3406491471</v>
      </c>
      <c r="AO24" s="17">
        <f t="shared" si="97"/>
        <v>2004407.5904290127</v>
      </c>
      <c r="AP24" s="17">
        <f t="shared" si="97"/>
        <v>1499604.3855144724</v>
      </c>
      <c r="AQ24" s="17">
        <f t="shared" si="97"/>
        <v>1187438.2001181981</v>
      </c>
      <c r="AR24" s="17">
        <f t="shared" si="97"/>
        <v>10267200.248905197</v>
      </c>
      <c r="AS24" s="17">
        <f t="shared" si="97"/>
        <v>9875046.2130130194</v>
      </c>
      <c r="AT24" s="17">
        <f t="shared" si="97"/>
        <v>9505473.6261175033</v>
      </c>
      <c r="AU24" s="17">
        <f t="shared" si="97"/>
        <v>9192121.9587167483</v>
      </c>
      <c r="AV24" s="17">
        <f t="shared" si="97"/>
        <v>8798289.7943648119</v>
      </c>
      <c r="AW24" s="17">
        <f t="shared" si="97"/>
        <v>8279004.8960010437</v>
      </c>
      <c r="AX24" s="17">
        <f t="shared" si="97"/>
        <v>7598281.9778405596</v>
      </c>
      <c r="AY24" s="17">
        <f t="shared" si="97"/>
        <v>6399552.0940645272</v>
      </c>
      <c r="AZ24" s="17">
        <f t="shared" si="97"/>
        <v>5015708.894064527</v>
      </c>
      <c r="BA24" s="17">
        <f t="shared" si="97"/>
        <v>3908143.1540645268</v>
      </c>
      <c r="BB24" s="17">
        <f t="shared" si="97"/>
        <v>2892587.8140645269</v>
      </c>
      <c r="BC24" s="17">
        <f t="shared" si="97"/>
        <v>2159657.2640645271</v>
      </c>
      <c r="BD24" s="17">
        <f t="shared" si="97"/>
        <v>14126309.68406453</v>
      </c>
      <c r="BE24" s="17">
        <f t="shared" si="97"/>
        <v>13600234.33406453</v>
      </c>
      <c r="BF24" s="17">
        <f t="shared" si="97"/>
        <v>13111525.714064531</v>
      </c>
      <c r="BG24" s="17">
        <f t="shared" si="97"/>
        <v>12668002.644064531</v>
      </c>
      <c r="BH24" s="17">
        <f t="shared" si="97"/>
        <v>12177416.67406453</v>
      </c>
      <c r="BI24" s="17">
        <f t="shared" si="97"/>
        <v>11374695.07406453</v>
      </c>
      <c r="BJ24" s="17">
        <f t="shared" si="97"/>
        <v>10190758.43406453</v>
      </c>
      <c r="BK24" s="17">
        <f t="shared" si="97"/>
        <v>9277912.6640645303</v>
      </c>
      <c r="BL24" s="17">
        <f t="shared" ref="BL24:BW24" si="98">BL18+BL23</f>
        <v>2.0340645294636488</v>
      </c>
      <c r="BM24" s="17">
        <f t="shared" si="98"/>
        <v>2.0340645294636488</v>
      </c>
      <c r="BN24" s="17">
        <f t="shared" si="98"/>
        <v>2.0340645294636488</v>
      </c>
      <c r="BO24" s="17">
        <f t="shared" si="98"/>
        <v>2.0340645294636488</v>
      </c>
      <c r="BP24" s="17">
        <f t="shared" si="98"/>
        <v>2.0340645294636488</v>
      </c>
      <c r="BQ24" s="17">
        <f t="shared" si="98"/>
        <v>2.0340645294636488</v>
      </c>
      <c r="BR24" s="17">
        <f t="shared" si="98"/>
        <v>2.0340645294636488</v>
      </c>
      <c r="BS24" s="17">
        <f t="shared" si="98"/>
        <v>2.0340645294636488</v>
      </c>
      <c r="BT24" s="17">
        <f t="shared" si="98"/>
        <v>2.0340645294636488</v>
      </c>
      <c r="BU24" s="17">
        <f t="shared" si="98"/>
        <v>2.0340645294636488</v>
      </c>
      <c r="BV24" s="17">
        <f t="shared" si="98"/>
        <v>2.0340645294636488</v>
      </c>
      <c r="BW24" s="17">
        <f t="shared" si="98"/>
        <v>4.0645294636489915E-3</v>
      </c>
      <c r="BX24" s="17">
        <f t="shared" ref="BX24:CJ24" si="99">BX18+BX23</f>
        <v>4.0645294636489915E-3</v>
      </c>
      <c r="BY24" s="17">
        <f t="shared" si="99"/>
        <v>4.0645294636489915E-3</v>
      </c>
      <c r="BZ24" s="17">
        <f t="shared" si="99"/>
        <v>4.0645294636489915E-3</v>
      </c>
      <c r="CA24" s="17">
        <f t="shared" si="99"/>
        <v>4.0645294636489915E-3</v>
      </c>
      <c r="CB24" s="17">
        <f t="shared" si="99"/>
        <v>4.0645294636489915E-3</v>
      </c>
      <c r="CC24" s="17">
        <f t="shared" si="99"/>
        <v>4.0645294636489915E-3</v>
      </c>
      <c r="CD24" s="17">
        <f t="shared" si="99"/>
        <v>4.0645294636489915E-3</v>
      </c>
      <c r="CE24" s="17">
        <f t="shared" si="99"/>
        <v>4.0645294636489915E-3</v>
      </c>
      <c r="CF24" s="17">
        <f t="shared" si="99"/>
        <v>4.0645294636489915E-3</v>
      </c>
      <c r="CG24" s="17">
        <f t="shared" si="99"/>
        <v>4.0645294636489915E-3</v>
      </c>
      <c r="CH24" s="17">
        <f t="shared" si="99"/>
        <v>4.0645294636489915E-3</v>
      </c>
      <c r="CI24" s="17">
        <f t="shared" si="99"/>
        <v>4.0645294636489915E-3</v>
      </c>
      <c r="CJ24" s="17">
        <f t="shared" si="99"/>
        <v>4.0645294636489915E-3</v>
      </c>
      <c r="CK24" s="17">
        <f t="shared" si="97"/>
        <v>4.0645294636489915E-3</v>
      </c>
      <c r="CL24" s="17">
        <f t="shared" ref="CL24:CY24" si="100">CL18+CL23</f>
        <v>4.0645294636489915E-3</v>
      </c>
      <c r="CM24" s="17">
        <f t="shared" si="100"/>
        <v>4.0645294636489915E-3</v>
      </c>
      <c r="CN24" s="17">
        <f t="shared" si="100"/>
        <v>4.0645294636489915E-3</v>
      </c>
      <c r="CO24" s="17">
        <f t="shared" si="100"/>
        <v>4.0645294636489915E-3</v>
      </c>
      <c r="CP24" s="17">
        <f t="shared" si="100"/>
        <v>4.0645294636489915E-3</v>
      </c>
      <c r="CQ24" s="17">
        <f t="shared" si="100"/>
        <v>4.0645294636489915E-3</v>
      </c>
      <c r="CR24" s="17">
        <f t="shared" si="100"/>
        <v>4.0645294636489915E-3</v>
      </c>
      <c r="CS24" s="17">
        <f t="shared" si="100"/>
        <v>4.0645294636489915E-3</v>
      </c>
      <c r="CT24" s="17">
        <f t="shared" si="100"/>
        <v>4.0645294636489915E-3</v>
      </c>
      <c r="CU24" s="17">
        <f t="shared" si="100"/>
        <v>4.0645294636489915E-3</v>
      </c>
      <c r="CV24" s="17">
        <f t="shared" si="100"/>
        <v>4.0645294636489915E-3</v>
      </c>
      <c r="CW24" s="17">
        <f t="shared" si="100"/>
        <v>4.0645294636489915E-3</v>
      </c>
      <c r="CX24" s="17">
        <f t="shared" si="100"/>
        <v>4.0645294636489915E-3</v>
      </c>
      <c r="CY24" s="17">
        <f t="shared" si="100"/>
        <v>4.0645294636489915E-3</v>
      </c>
    </row>
    <row r="25" spans="1:103" x14ac:dyDescent="0.2">
      <c r="C25" s="19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8"/>
      <c r="CX25" s="8"/>
      <c r="CY25" s="8"/>
    </row>
    <row r="26" spans="1:103" x14ac:dyDescent="0.2">
      <c r="A26" s="14" t="s">
        <v>195</v>
      </c>
      <c r="C26" s="15">
        <v>18237502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8"/>
      <c r="CX26" s="8"/>
      <c r="CY26" s="8"/>
    </row>
    <row r="27" spans="1:103" x14ac:dyDescent="0.2">
      <c r="B27" s="7" t="s">
        <v>190</v>
      </c>
      <c r="C27" s="15">
        <v>25400902</v>
      </c>
      <c r="D27" s="17">
        <v>0</v>
      </c>
      <c r="E27" s="17">
        <f>D32</f>
        <v>0</v>
      </c>
      <c r="F27" s="17">
        <f t="shared" ref="F27:CK27" si="101">E32</f>
        <v>0</v>
      </c>
      <c r="G27" s="17">
        <f t="shared" si="101"/>
        <v>0</v>
      </c>
      <c r="H27" s="17">
        <f t="shared" si="101"/>
        <v>0</v>
      </c>
      <c r="I27" s="17">
        <f t="shared" si="101"/>
        <v>0</v>
      </c>
      <c r="J27" s="17">
        <f t="shared" si="101"/>
        <v>0</v>
      </c>
      <c r="K27" s="17">
        <f t="shared" si="101"/>
        <v>0</v>
      </c>
      <c r="L27" s="17">
        <f t="shared" si="101"/>
        <v>0</v>
      </c>
      <c r="M27" s="17">
        <f t="shared" si="101"/>
        <v>0</v>
      </c>
      <c r="N27" s="17">
        <f t="shared" si="101"/>
        <v>0</v>
      </c>
      <c r="O27" s="17">
        <f t="shared" si="101"/>
        <v>0</v>
      </c>
      <c r="P27" s="17">
        <f t="shared" si="101"/>
        <v>0</v>
      </c>
      <c r="Q27" s="17">
        <f t="shared" si="101"/>
        <v>0</v>
      </c>
      <c r="R27" s="17">
        <f t="shared" si="101"/>
        <v>0</v>
      </c>
      <c r="S27" s="17">
        <f t="shared" si="101"/>
        <v>0</v>
      </c>
      <c r="T27" s="17">
        <f t="shared" si="101"/>
        <v>0</v>
      </c>
      <c r="U27" s="17">
        <f t="shared" si="101"/>
        <v>0</v>
      </c>
      <c r="V27" s="17">
        <f t="shared" si="101"/>
        <v>0</v>
      </c>
      <c r="W27" s="17">
        <f t="shared" si="101"/>
        <v>0</v>
      </c>
      <c r="X27" s="17">
        <f t="shared" si="101"/>
        <v>0</v>
      </c>
      <c r="Y27" s="17">
        <f t="shared" si="101"/>
        <v>0</v>
      </c>
      <c r="Z27" s="17">
        <f t="shared" si="101"/>
        <v>0</v>
      </c>
      <c r="AA27" s="17">
        <f t="shared" si="101"/>
        <v>0</v>
      </c>
      <c r="AB27" s="17">
        <f t="shared" si="101"/>
        <v>0</v>
      </c>
      <c r="AC27" s="17">
        <f t="shared" si="101"/>
        <v>0</v>
      </c>
      <c r="AD27" s="17">
        <f t="shared" si="101"/>
        <v>0</v>
      </c>
      <c r="AE27" s="17">
        <f t="shared" si="101"/>
        <v>0</v>
      </c>
      <c r="AF27" s="17">
        <f t="shared" si="101"/>
        <v>0</v>
      </c>
      <c r="AG27" s="17">
        <f t="shared" si="101"/>
        <v>0</v>
      </c>
      <c r="AH27" s="17">
        <f t="shared" si="101"/>
        <v>0</v>
      </c>
      <c r="AI27" s="17">
        <f t="shared" si="101"/>
        <v>0</v>
      </c>
      <c r="AJ27" s="17">
        <f t="shared" si="101"/>
        <v>0</v>
      </c>
      <c r="AK27" s="17">
        <f t="shared" si="101"/>
        <v>0</v>
      </c>
      <c r="AL27" s="17">
        <f t="shared" si="101"/>
        <v>0</v>
      </c>
      <c r="AM27" s="17">
        <f t="shared" si="101"/>
        <v>0</v>
      </c>
      <c r="AN27" s="17">
        <f t="shared" si="101"/>
        <v>0</v>
      </c>
      <c r="AO27" s="17">
        <f t="shared" si="101"/>
        <v>0</v>
      </c>
      <c r="AP27" s="17">
        <f t="shared" si="101"/>
        <v>0</v>
      </c>
      <c r="AQ27" s="17">
        <f t="shared" si="101"/>
        <v>0</v>
      </c>
      <c r="AR27" s="17">
        <f t="shared" si="101"/>
        <v>0</v>
      </c>
      <c r="AS27" s="17">
        <f t="shared" si="101"/>
        <v>0</v>
      </c>
      <c r="AT27" s="17">
        <f t="shared" si="101"/>
        <v>0</v>
      </c>
      <c r="AU27" s="17">
        <f t="shared" si="101"/>
        <v>0</v>
      </c>
      <c r="AV27" s="17">
        <f t="shared" si="101"/>
        <v>0</v>
      </c>
      <c r="AW27" s="17">
        <f t="shared" si="101"/>
        <v>0</v>
      </c>
      <c r="AX27" s="17">
        <f t="shared" si="101"/>
        <v>0</v>
      </c>
      <c r="AY27" s="17">
        <f t="shared" si="101"/>
        <v>0</v>
      </c>
      <c r="AZ27" s="17">
        <f t="shared" si="101"/>
        <v>0</v>
      </c>
      <c r="BA27" s="17">
        <f t="shared" si="101"/>
        <v>0</v>
      </c>
      <c r="BB27" s="17">
        <f t="shared" si="101"/>
        <v>0</v>
      </c>
      <c r="BC27" s="17">
        <f t="shared" si="101"/>
        <v>0</v>
      </c>
      <c r="BD27" s="17">
        <f t="shared" si="101"/>
        <v>0</v>
      </c>
      <c r="BE27" s="17">
        <f t="shared" si="101"/>
        <v>0</v>
      </c>
      <c r="BF27" s="17">
        <f t="shared" si="101"/>
        <v>0</v>
      </c>
      <c r="BG27" s="17">
        <f t="shared" si="101"/>
        <v>0</v>
      </c>
      <c r="BH27" s="17">
        <f t="shared" si="101"/>
        <v>0</v>
      </c>
      <c r="BI27" s="17">
        <f t="shared" si="101"/>
        <v>0</v>
      </c>
      <c r="BJ27" s="17">
        <f t="shared" si="101"/>
        <v>0</v>
      </c>
      <c r="BK27" s="17">
        <f t="shared" si="101"/>
        <v>0</v>
      </c>
      <c r="BL27" s="17">
        <f t="shared" ref="BL27" si="102">BK32</f>
        <v>-567913.01</v>
      </c>
      <c r="BM27" s="17">
        <f t="shared" ref="BM27" si="103">BL32</f>
        <v>4734808.6528900005</v>
      </c>
      <c r="BN27" s="17">
        <f t="shared" ref="BN27" si="104">BM32</f>
        <v>3487510.0528900004</v>
      </c>
      <c r="BO27" s="17">
        <f t="shared" ref="BO27" si="105">BN32</f>
        <v>2363798.3128900006</v>
      </c>
      <c r="BP27" s="17">
        <f t="shared" ref="BP27" si="106">BO32</f>
        <v>1609188.6728900005</v>
      </c>
      <c r="BQ27" s="17">
        <f t="shared" ref="BQ27" si="107">BP32</f>
        <v>1385855.7428881619</v>
      </c>
      <c r="BR27" s="17">
        <f t="shared" ref="BR27" si="108">BQ32</f>
        <v>1307804.802888162</v>
      </c>
      <c r="BS27" s="17">
        <f t="shared" ref="BS27" si="109">BR32</f>
        <v>1254829.9628881619</v>
      </c>
      <c r="BT27" s="17">
        <f t="shared" ref="BT27" si="110">BS32</f>
        <v>1197700.812888162</v>
      </c>
      <c r="BU27" s="17">
        <f t="shared" ref="BU27" si="111">BT32</f>
        <v>1133788.2428881619</v>
      </c>
      <c r="BV27" s="17">
        <f t="shared" ref="BV27" si="112">BU32</f>
        <v>1022274.4328881619</v>
      </c>
      <c r="BW27" s="17">
        <f t="shared" ref="BW27" si="113">BV32</f>
        <v>868291.21288816188</v>
      </c>
      <c r="BX27" s="17">
        <f t="shared" ref="BX27" si="114">BW32</f>
        <v>639222.58288816188</v>
      </c>
      <c r="BY27" s="17">
        <f t="shared" ref="BY27" si="115">BX32</f>
        <v>440711.84288816189</v>
      </c>
      <c r="BZ27" s="17">
        <f t="shared" ref="BZ27" si="116">BY32</f>
        <v>191719.08288816188</v>
      </c>
      <c r="CA27" s="17">
        <f t="shared" ref="CA27" si="117">BZ32</f>
        <v>-714.47711183811771</v>
      </c>
      <c r="CB27" s="17">
        <f t="shared" ref="CB27" si="118">CA32</f>
        <v>-127426.15711183811</v>
      </c>
      <c r="CC27" s="17">
        <f t="shared" ref="CC27" si="119">CB32</f>
        <v>-2223845.8771118387</v>
      </c>
      <c r="CD27" s="17">
        <f t="shared" ref="CD27" si="120">CC32</f>
        <v>-2142368.9171118387</v>
      </c>
      <c r="CE27" s="17">
        <f t="shared" ref="CE27" si="121">CD32</f>
        <v>-2063192.7871118388</v>
      </c>
      <c r="CF27" s="17">
        <f t="shared" ref="CF27" si="122">CE32</f>
        <v>-1976534.0971118389</v>
      </c>
      <c r="CG27" s="17">
        <f t="shared" ref="CG27" si="123">CF32</f>
        <v>-1863635.6471118389</v>
      </c>
      <c r="CH27" s="17">
        <f t="shared" ref="CH27" si="124">CG32</f>
        <v>-1676922.967111839</v>
      </c>
      <c r="CI27" s="17">
        <f t="shared" ref="CI27" si="125">CH32</f>
        <v>-1464145.977111839</v>
      </c>
      <c r="CJ27" s="17">
        <f t="shared" ref="CJ27" si="126">CI32</f>
        <v>-1139841.767111839</v>
      </c>
      <c r="CK27" s="17">
        <f t="shared" si="101"/>
        <v>-816854.63711183902</v>
      </c>
      <c r="CL27" s="17">
        <f t="shared" ref="CL27" si="127">CK32</f>
        <v>-528988.17711183894</v>
      </c>
      <c r="CM27" s="17">
        <f t="shared" ref="CM27" si="128">CL32</f>
        <v>-258386.01711183897</v>
      </c>
      <c r="CN27" s="17">
        <f t="shared" ref="CN27" si="129">CM32</f>
        <v>-101788.89711183897</v>
      </c>
      <c r="CO27" s="17">
        <f t="shared" ref="CO27" si="130">CN32</f>
        <v>-1653585.4171118387</v>
      </c>
      <c r="CP27" s="17">
        <f t="shared" ref="CP27" si="131">CO32</f>
        <v>-1589128.4971118388</v>
      </c>
      <c r="CQ27" s="17">
        <f t="shared" ref="CQ27" si="132">CP32</f>
        <v>-1537956.8571118389</v>
      </c>
      <c r="CR27" s="17">
        <f t="shared" ref="CR27" si="133">CQ32</f>
        <v>-1492629.3171118388</v>
      </c>
      <c r="CS27" s="17">
        <f t="shared" ref="CS27" si="134">CR32</f>
        <v>-1439333.4671118387</v>
      </c>
      <c r="CT27" s="17">
        <f t="shared" ref="CT27" si="135">CS32</f>
        <v>-1340283.8371118386</v>
      </c>
      <c r="CU27" s="17">
        <f t="shared" ref="CU27" si="136">CT32</f>
        <v>-1168753.0271118386</v>
      </c>
      <c r="CV27" s="17">
        <f t="shared" ref="CV27" si="137">CU32</f>
        <v>-957094.99711183854</v>
      </c>
      <c r="CW27" s="17">
        <f t="shared" ref="CW27" si="138">CV32</f>
        <v>-755569.34711183852</v>
      </c>
      <c r="CX27" s="17">
        <f t="shared" ref="CX27" si="139">CW32</f>
        <v>-532211.08711183851</v>
      </c>
      <c r="CY27" s="17">
        <f t="shared" ref="CY27" si="140">CX32</f>
        <v>-345098.35121099447</v>
      </c>
    </row>
    <row r="28" spans="1:103" x14ac:dyDescent="0.2">
      <c r="B28" s="21" t="s">
        <v>191</v>
      </c>
      <c r="C28" s="19"/>
      <c r="D28" s="194">
        <v>0</v>
      </c>
      <c r="E28" s="194">
        <v>0</v>
      </c>
      <c r="F28" s="194">
        <v>0</v>
      </c>
      <c r="G28" s="194">
        <v>0</v>
      </c>
      <c r="H28" s="194">
        <v>0</v>
      </c>
      <c r="I28" s="194">
        <v>0</v>
      </c>
      <c r="J28" s="194">
        <v>0</v>
      </c>
      <c r="K28" s="194">
        <v>0</v>
      </c>
      <c r="L28" s="194">
        <v>0</v>
      </c>
      <c r="M28" s="194">
        <v>0</v>
      </c>
      <c r="N28" s="194">
        <v>0</v>
      </c>
      <c r="O28" s="194">
        <v>0</v>
      </c>
      <c r="P28" s="194">
        <v>0</v>
      </c>
      <c r="Q28" s="194">
        <v>0</v>
      </c>
      <c r="R28" s="194">
        <v>0</v>
      </c>
      <c r="S28" s="194">
        <v>0</v>
      </c>
      <c r="T28" s="194">
        <v>0</v>
      </c>
      <c r="U28" s="194">
        <v>0</v>
      </c>
      <c r="V28" s="194">
        <v>0</v>
      </c>
      <c r="W28" s="194">
        <v>0</v>
      </c>
      <c r="X28" s="194">
        <v>0</v>
      </c>
      <c r="Y28" s="194">
        <v>0</v>
      </c>
      <c r="Z28" s="194">
        <v>0</v>
      </c>
      <c r="AA28" s="194">
        <v>0</v>
      </c>
      <c r="AB28" s="194">
        <v>0</v>
      </c>
      <c r="AC28" s="194">
        <v>0</v>
      </c>
      <c r="AD28" s="194">
        <v>0</v>
      </c>
      <c r="AE28" s="194">
        <v>0</v>
      </c>
      <c r="AF28" s="194">
        <v>0</v>
      </c>
      <c r="AG28" s="194">
        <v>0</v>
      </c>
      <c r="AH28" s="194">
        <v>0</v>
      </c>
      <c r="AI28" s="194">
        <v>0</v>
      </c>
      <c r="AJ28" s="194">
        <v>0</v>
      </c>
      <c r="AK28" s="194">
        <v>0</v>
      </c>
      <c r="AL28" s="194">
        <v>0</v>
      </c>
      <c r="AM28" s="194">
        <v>0</v>
      </c>
      <c r="AN28" s="194">
        <v>0</v>
      </c>
      <c r="AO28" s="194">
        <v>0</v>
      </c>
      <c r="AP28" s="194">
        <v>0</v>
      </c>
      <c r="AQ28" s="194">
        <v>0</v>
      </c>
      <c r="AR28" s="194">
        <v>0</v>
      </c>
      <c r="AS28" s="194">
        <v>0</v>
      </c>
      <c r="AT28" s="194">
        <v>0</v>
      </c>
      <c r="AU28" s="194">
        <v>0</v>
      </c>
      <c r="AV28" s="194">
        <v>0</v>
      </c>
      <c r="AW28" s="194">
        <v>0</v>
      </c>
      <c r="AX28" s="194">
        <v>0</v>
      </c>
      <c r="AY28" s="194">
        <v>0</v>
      </c>
      <c r="AZ28" s="194">
        <v>0</v>
      </c>
      <c r="BA28" s="194">
        <v>0</v>
      </c>
      <c r="BB28" s="194">
        <v>0</v>
      </c>
      <c r="BC28" s="194">
        <v>0</v>
      </c>
      <c r="BD28" s="194">
        <v>0</v>
      </c>
      <c r="BE28" s="194">
        <v>0</v>
      </c>
      <c r="BF28" s="194">
        <v>0</v>
      </c>
      <c r="BG28" s="194">
        <v>0</v>
      </c>
      <c r="BH28" s="194">
        <v>0</v>
      </c>
      <c r="BI28" s="194">
        <v>0</v>
      </c>
      <c r="BJ28" s="194">
        <v>0</v>
      </c>
      <c r="BK28" s="194">
        <v>0</v>
      </c>
      <c r="BL28" s="194">
        <v>0</v>
      </c>
      <c r="BM28" s="194">
        <v>0</v>
      </c>
      <c r="BN28" s="194">
        <v>0</v>
      </c>
      <c r="BO28" s="194">
        <v>0</v>
      </c>
      <c r="BP28" s="194">
        <v>-106404.90000183869</v>
      </c>
      <c r="BQ28" s="194">
        <v>0</v>
      </c>
      <c r="BR28" s="194">
        <v>0</v>
      </c>
      <c r="BS28" s="194">
        <v>0</v>
      </c>
      <c r="BT28" s="194">
        <v>0</v>
      </c>
      <c r="BU28" s="194">
        <v>0</v>
      </c>
      <c r="BV28" s="194">
        <v>0</v>
      </c>
      <c r="BW28" s="194">
        <v>0</v>
      </c>
      <c r="BX28" s="194">
        <v>0</v>
      </c>
      <c r="BY28" s="194">
        <v>0</v>
      </c>
      <c r="BZ28" s="194">
        <v>0</v>
      </c>
      <c r="CA28" s="194">
        <v>0</v>
      </c>
      <c r="CB28" s="194">
        <v>-2240555.5600000005</v>
      </c>
      <c r="CC28" s="194">
        <v>0</v>
      </c>
      <c r="CD28" s="194">
        <v>0</v>
      </c>
      <c r="CE28" s="194">
        <v>0</v>
      </c>
      <c r="CF28" s="194">
        <v>0</v>
      </c>
      <c r="CG28" s="194">
        <v>0</v>
      </c>
      <c r="CH28" s="194">
        <v>0</v>
      </c>
      <c r="CI28" s="194">
        <v>0</v>
      </c>
      <c r="CJ28" s="194">
        <v>0</v>
      </c>
      <c r="CK28" s="194">
        <v>0</v>
      </c>
      <c r="CL28" s="194">
        <v>0</v>
      </c>
      <c r="CM28" s="194">
        <v>0</v>
      </c>
      <c r="CN28" s="23">
        <v>-1621596.3599999999</v>
      </c>
      <c r="CO28" s="23">
        <v>0</v>
      </c>
      <c r="CP28" s="23">
        <v>0</v>
      </c>
      <c r="CQ28" s="23">
        <v>0</v>
      </c>
      <c r="CR28" s="23">
        <v>0</v>
      </c>
      <c r="CS28" s="23">
        <v>0</v>
      </c>
      <c r="CT28" s="23">
        <v>0</v>
      </c>
      <c r="CU28" s="23">
        <v>0</v>
      </c>
      <c r="CV28" s="23">
        <v>0</v>
      </c>
      <c r="CW28" s="23">
        <v>0</v>
      </c>
      <c r="CX28" s="23">
        <v>0</v>
      </c>
      <c r="CY28" s="23">
        <v>0</v>
      </c>
    </row>
    <row r="29" spans="1:103" x14ac:dyDescent="0.2">
      <c r="B29" s="21" t="s">
        <v>196</v>
      </c>
      <c r="C29" s="19"/>
      <c r="D29" s="194">
        <v>0</v>
      </c>
      <c r="E29" s="194">
        <v>0</v>
      </c>
      <c r="F29" s="194">
        <v>0</v>
      </c>
      <c r="G29" s="194">
        <v>0</v>
      </c>
      <c r="H29" s="194">
        <v>0</v>
      </c>
      <c r="I29" s="194">
        <v>0</v>
      </c>
      <c r="J29" s="194">
        <v>0</v>
      </c>
      <c r="K29" s="194">
        <v>0</v>
      </c>
      <c r="L29" s="194">
        <v>0</v>
      </c>
      <c r="M29" s="194">
        <v>0</v>
      </c>
      <c r="N29" s="194">
        <v>0</v>
      </c>
      <c r="O29" s="194">
        <v>0</v>
      </c>
      <c r="P29" s="194">
        <v>0</v>
      </c>
      <c r="Q29" s="194">
        <v>0</v>
      </c>
      <c r="R29" s="194">
        <v>0</v>
      </c>
      <c r="S29" s="194">
        <v>0</v>
      </c>
      <c r="T29" s="194">
        <v>0</v>
      </c>
      <c r="U29" s="194">
        <v>0</v>
      </c>
      <c r="V29" s="194">
        <v>0</v>
      </c>
      <c r="W29" s="194">
        <v>0</v>
      </c>
      <c r="X29" s="194">
        <v>0</v>
      </c>
      <c r="Y29" s="194">
        <v>0</v>
      </c>
      <c r="Z29" s="194">
        <v>0</v>
      </c>
      <c r="AA29" s="194">
        <v>0</v>
      </c>
      <c r="AB29" s="194">
        <v>0</v>
      </c>
      <c r="AC29" s="194">
        <v>0</v>
      </c>
      <c r="AD29" s="194">
        <v>0</v>
      </c>
      <c r="AE29" s="194">
        <v>0</v>
      </c>
      <c r="AF29" s="194">
        <v>0</v>
      </c>
      <c r="AG29" s="194">
        <v>0</v>
      </c>
      <c r="AH29" s="194">
        <v>0</v>
      </c>
      <c r="AI29" s="194">
        <v>0</v>
      </c>
      <c r="AJ29" s="194">
        <v>0</v>
      </c>
      <c r="AK29" s="194">
        <v>0</v>
      </c>
      <c r="AL29" s="194">
        <v>0</v>
      </c>
      <c r="AM29" s="194">
        <v>0</v>
      </c>
      <c r="AN29" s="194">
        <v>0</v>
      </c>
      <c r="AO29" s="194">
        <v>0</v>
      </c>
      <c r="AP29" s="194">
        <v>0</v>
      </c>
      <c r="AQ29" s="194">
        <v>0</v>
      </c>
      <c r="AR29" s="194">
        <v>0</v>
      </c>
      <c r="AS29" s="194">
        <v>0</v>
      </c>
      <c r="AT29" s="194">
        <v>0</v>
      </c>
      <c r="AU29" s="194">
        <v>0</v>
      </c>
      <c r="AV29" s="194">
        <v>0</v>
      </c>
      <c r="AW29" s="194">
        <v>0</v>
      </c>
      <c r="AX29" s="194">
        <v>0</v>
      </c>
      <c r="AY29" s="194">
        <v>0</v>
      </c>
      <c r="AZ29" s="194">
        <v>0</v>
      </c>
      <c r="BA29" s="194">
        <v>0</v>
      </c>
      <c r="BB29" s="194">
        <v>0</v>
      </c>
      <c r="BC29" s="194">
        <v>0</v>
      </c>
      <c r="BD29" s="194">
        <v>0</v>
      </c>
      <c r="BE29" s="194">
        <v>0</v>
      </c>
      <c r="BF29" s="194">
        <v>0</v>
      </c>
      <c r="BG29" s="194">
        <v>0</v>
      </c>
      <c r="BH29" s="194">
        <v>0</v>
      </c>
      <c r="BI29" s="194">
        <v>0</v>
      </c>
      <c r="BJ29" s="194">
        <v>0</v>
      </c>
      <c r="BK29" s="194">
        <v>0</v>
      </c>
      <c r="BL29" s="194">
        <v>6522371.17289</v>
      </c>
      <c r="BM29" s="194">
        <v>0</v>
      </c>
      <c r="BN29" s="194">
        <v>0</v>
      </c>
      <c r="BO29" s="194">
        <v>0</v>
      </c>
      <c r="BP29" s="194">
        <v>0</v>
      </c>
      <c r="BQ29" s="194">
        <v>0</v>
      </c>
      <c r="BR29" s="194">
        <v>0</v>
      </c>
      <c r="BS29" s="194">
        <v>0</v>
      </c>
      <c r="BT29" s="194">
        <v>0</v>
      </c>
      <c r="BU29" s="194">
        <v>0</v>
      </c>
      <c r="BV29" s="194">
        <v>0</v>
      </c>
      <c r="BW29" s="194">
        <v>0</v>
      </c>
      <c r="BX29" s="194">
        <v>0</v>
      </c>
      <c r="BY29" s="194">
        <v>0</v>
      </c>
      <c r="BZ29" s="194">
        <v>0</v>
      </c>
      <c r="CA29" s="194">
        <v>0</v>
      </c>
      <c r="CB29" s="194">
        <v>0</v>
      </c>
      <c r="CC29" s="194">
        <v>0</v>
      </c>
      <c r="CD29" s="194">
        <v>0</v>
      </c>
      <c r="CE29" s="194">
        <v>0</v>
      </c>
      <c r="CF29" s="194">
        <v>0</v>
      </c>
      <c r="CG29" s="194">
        <v>0</v>
      </c>
      <c r="CH29" s="194">
        <v>0</v>
      </c>
      <c r="CI29" s="194">
        <v>0</v>
      </c>
      <c r="CJ29" s="23">
        <v>0</v>
      </c>
      <c r="CK29" s="194">
        <v>0</v>
      </c>
      <c r="CL29" s="194">
        <v>0</v>
      </c>
      <c r="CM29" s="194">
        <v>0</v>
      </c>
      <c r="CN29" s="194">
        <v>0</v>
      </c>
      <c r="CO29" s="23">
        <v>0</v>
      </c>
      <c r="CP29" s="23">
        <v>0</v>
      </c>
      <c r="CQ29" s="23">
        <v>0</v>
      </c>
      <c r="CR29" s="23">
        <v>0</v>
      </c>
      <c r="CS29" s="23">
        <v>0</v>
      </c>
      <c r="CT29" s="23">
        <v>0</v>
      </c>
      <c r="CU29" s="23">
        <v>0</v>
      </c>
      <c r="CV29" s="23">
        <v>0</v>
      </c>
      <c r="CW29" s="23">
        <v>0</v>
      </c>
      <c r="CX29" s="23">
        <v>0</v>
      </c>
      <c r="CY29" s="23">
        <v>0</v>
      </c>
    </row>
    <row r="30" spans="1:103" x14ac:dyDescent="0.2">
      <c r="B30" s="21" t="s">
        <v>192</v>
      </c>
      <c r="D30" s="194">
        <v>0</v>
      </c>
      <c r="E30" s="194">
        <v>0</v>
      </c>
      <c r="F30" s="194">
        <v>0</v>
      </c>
      <c r="G30" s="194">
        <v>0</v>
      </c>
      <c r="H30" s="194">
        <v>0</v>
      </c>
      <c r="I30" s="194">
        <v>0</v>
      </c>
      <c r="J30" s="194">
        <v>0</v>
      </c>
      <c r="K30" s="194">
        <v>0</v>
      </c>
      <c r="L30" s="194">
        <v>0</v>
      </c>
      <c r="M30" s="194">
        <v>0</v>
      </c>
      <c r="N30" s="194">
        <v>0</v>
      </c>
      <c r="O30" s="194">
        <v>0</v>
      </c>
      <c r="P30" s="194">
        <v>0</v>
      </c>
      <c r="Q30" s="194">
        <v>0</v>
      </c>
      <c r="R30" s="194">
        <v>0</v>
      </c>
      <c r="S30" s="194">
        <v>0</v>
      </c>
      <c r="T30" s="194">
        <v>0</v>
      </c>
      <c r="U30" s="194">
        <v>0</v>
      </c>
      <c r="V30" s="194">
        <v>0</v>
      </c>
      <c r="W30" s="194">
        <v>0</v>
      </c>
      <c r="X30" s="194">
        <v>0</v>
      </c>
      <c r="Y30" s="194">
        <v>0</v>
      </c>
      <c r="Z30" s="194">
        <v>0</v>
      </c>
      <c r="AA30" s="194">
        <v>0</v>
      </c>
      <c r="AB30" s="194">
        <v>0</v>
      </c>
      <c r="AC30" s="194">
        <v>0</v>
      </c>
      <c r="AD30" s="194">
        <v>0</v>
      </c>
      <c r="AE30" s="194">
        <v>0</v>
      </c>
      <c r="AF30" s="194">
        <v>0</v>
      </c>
      <c r="AG30" s="194">
        <v>0</v>
      </c>
      <c r="AH30" s="194">
        <v>0</v>
      </c>
      <c r="AI30" s="194">
        <v>0</v>
      </c>
      <c r="AJ30" s="194">
        <v>0</v>
      </c>
      <c r="AK30" s="194">
        <v>0</v>
      </c>
      <c r="AL30" s="194">
        <v>0</v>
      </c>
      <c r="AM30" s="194">
        <v>0</v>
      </c>
      <c r="AN30" s="194">
        <v>0</v>
      </c>
      <c r="AO30" s="194">
        <v>0</v>
      </c>
      <c r="AP30" s="194">
        <v>0</v>
      </c>
      <c r="AQ30" s="194">
        <v>0</v>
      </c>
      <c r="AR30" s="194">
        <v>0</v>
      </c>
      <c r="AS30" s="194">
        <v>0</v>
      </c>
      <c r="AT30" s="194">
        <v>0</v>
      </c>
      <c r="AU30" s="194">
        <v>0</v>
      </c>
      <c r="AV30" s="194">
        <v>0</v>
      </c>
      <c r="AW30" s="194">
        <v>0</v>
      </c>
      <c r="AX30" s="194">
        <v>0</v>
      </c>
      <c r="AY30" s="194">
        <v>0</v>
      </c>
      <c r="AZ30" s="194">
        <v>0</v>
      </c>
      <c r="BA30" s="194">
        <v>0</v>
      </c>
      <c r="BB30" s="194">
        <v>0</v>
      </c>
      <c r="BC30" s="194">
        <v>0</v>
      </c>
      <c r="BD30" s="194">
        <v>0</v>
      </c>
      <c r="BE30" s="194">
        <v>0</v>
      </c>
      <c r="BF30" s="194">
        <v>0</v>
      </c>
      <c r="BG30" s="194">
        <v>0</v>
      </c>
      <c r="BH30" s="194">
        <v>0</v>
      </c>
      <c r="BI30" s="194">
        <v>0</v>
      </c>
      <c r="BJ30" s="194">
        <v>0</v>
      </c>
      <c r="BK30" s="23">
        <v>-567913.01</v>
      </c>
      <c r="BL30" s="23">
        <v>-1219649.51</v>
      </c>
      <c r="BM30" s="23">
        <v>-1247298.6000000001</v>
      </c>
      <c r="BN30" s="23">
        <v>-1123711.74</v>
      </c>
      <c r="BO30" s="23">
        <v>-754609.64</v>
      </c>
      <c r="BP30" s="23">
        <v>-116928.03</v>
      </c>
      <c r="BQ30" s="23">
        <v>-78050.94</v>
      </c>
      <c r="BR30" s="23">
        <v>-52974.84</v>
      </c>
      <c r="BS30" s="23">
        <v>-57129.15</v>
      </c>
      <c r="BT30" s="23">
        <v>-63912.57</v>
      </c>
      <c r="BU30" s="23">
        <v>-111513.81</v>
      </c>
      <c r="BV30" s="23">
        <v>-153983.22</v>
      </c>
      <c r="BW30" s="23">
        <v>-229068.63</v>
      </c>
      <c r="BX30" s="23">
        <v>-198510.74</v>
      </c>
      <c r="BY30" s="23">
        <v>-248992.76</v>
      </c>
      <c r="BZ30" s="23">
        <v>-192433.56</v>
      </c>
      <c r="CA30" s="23">
        <v>-126711.67999999999</v>
      </c>
      <c r="CB30" s="23">
        <v>144135.84</v>
      </c>
      <c r="CC30" s="23">
        <v>81476.960000000006</v>
      </c>
      <c r="CD30" s="23">
        <v>79176.13</v>
      </c>
      <c r="CE30" s="23">
        <v>86658.69</v>
      </c>
      <c r="CF30" s="23">
        <v>112898.45</v>
      </c>
      <c r="CG30" s="23">
        <v>186712.68</v>
      </c>
      <c r="CH30" s="23">
        <v>212776.99</v>
      </c>
      <c r="CI30" s="23">
        <v>324304.21000000002</v>
      </c>
      <c r="CJ30" s="22">
        <f>-'Sch31&amp;31T Deferral Calc'!C30</f>
        <v>322987.13</v>
      </c>
      <c r="CK30" s="22">
        <f>-'Sch31&amp;31T Deferral Calc'!D30</f>
        <v>287866.46000000002</v>
      </c>
      <c r="CL30" s="22">
        <f>-'Sch31&amp;31T Deferral Calc'!E30</f>
        <v>270602.15999999997</v>
      </c>
      <c r="CM30" s="22">
        <f>-'Sch31&amp;31T Deferral Calc'!F30</f>
        <v>156597.12</v>
      </c>
      <c r="CN30" s="22">
        <f>-'Sch31&amp;31T Deferral Calc'!G30</f>
        <v>69799.839999999997</v>
      </c>
      <c r="CO30" s="22">
        <f>-'Sch31&amp;31T Deferral Calc'!H30</f>
        <v>64456.92</v>
      </c>
      <c r="CP30" s="22">
        <f>-'Sch31&amp;31T Deferral Calc'!I30</f>
        <v>51171.64</v>
      </c>
      <c r="CQ30" s="22">
        <f>-'Sch31&amp;31T Deferral Calc'!J30</f>
        <v>45327.54</v>
      </c>
      <c r="CR30" s="22">
        <f>-'Sch31&amp;31T Deferral Calc'!K30</f>
        <v>53295.85</v>
      </c>
      <c r="CS30" s="22">
        <f>-'Sch31&amp;31T Deferral Calc'!L30</f>
        <v>99049.63</v>
      </c>
      <c r="CT30" s="22">
        <f>-'Sch31&amp;31T Deferral Calc'!M30</f>
        <v>171530.81</v>
      </c>
      <c r="CU30" s="22">
        <f>-'Sch31&amp;31T Deferral Calc'!N30</f>
        <v>211658.03</v>
      </c>
      <c r="CV30" s="22">
        <f>-'Sch31&amp;31T Deferral Calc'!O30</f>
        <v>201525.65</v>
      </c>
      <c r="CW30" s="22">
        <f>-'Sch31&amp;31T Deferral Calc'!P30</f>
        <v>223358.26</v>
      </c>
      <c r="CX30" s="22">
        <f>-'Amort Estimate'!D24</f>
        <v>187112.73590084404</v>
      </c>
      <c r="CY30" s="22">
        <f>-'Amort Estimate'!E24</f>
        <v>139653.59398513791</v>
      </c>
    </row>
    <row r="31" spans="1:103" x14ac:dyDescent="0.2">
      <c r="B31" s="7" t="s">
        <v>193</v>
      </c>
      <c r="D31" s="24">
        <f t="shared" ref="D31:BK31" si="141">SUM(D28:D30)</f>
        <v>0</v>
      </c>
      <c r="E31" s="24">
        <f t="shared" si="141"/>
        <v>0</v>
      </c>
      <c r="F31" s="24">
        <f t="shared" si="141"/>
        <v>0</v>
      </c>
      <c r="G31" s="24">
        <f t="shared" si="141"/>
        <v>0</v>
      </c>
      <c r="H31" s="24">
        <f t="shared" si="141"/>
        <v>0</v>
      </c>
      <c r="I31" s="24">
        <f t="shared" si="141"/>
        <v>0</v>
      </c>
      <c r="J31" s="24">
        <f t="shared" si="141"/>
        <v>0</v>
      </c>
      <c r="K31" s="24">
        <f t="shared" si="141"/>
        <v>0</v>
      </c>
      <c r="L31" s="24">
        <f t="shared" si="141"/>
        <v>0</v>
      </c>
      <c r="M31" s="24">
        <f t="shared" si="141"/>
        <v>0</v>
      </c>
      <c r="N31" s="24">
        <f t="shared" si="141"/>
        <v>0</v>
      </c>
      <c r="O31" s="24">
        <f t="shared" si="141"/>
        <v>0</v>
      </c>
      <c r="P31" s="24">
        <f t="shared" si="141"/>
        <v>0</v>
      </c>
      <c r="Q31" s="24">
        <f t="shared" si="141"/>
        <v>0</v>
      </c>
      <c r="R31" s="24">
        <f t="shared" si="141"/>
        <v>0</v>
      </c>
      <c r="S31" s="24">
        <f t="shared" si="141"/>
        <v>0</v>
      </c>
      <c r="T31" s="24">
        <f t="shared" si="141"/>
        <v>0</v>
      </c>
      <c r="U31" s="24">
        <f t="shared" si="141"/>
        <v>0</v>
      </c>
      <c r="V31" s="24">
        <f t="shared" si="141"/>
        <v>0</v>
      </c>
      <c r="W31" s="24">
        <f t="shared" si="141"/>
        <v>0</v>
      </c>
      <c r="X31" s="24">
        <f t="shared" si="141"/>
        <v>0</v>
      </c>
      <c r="Y31" s="24">
        <f t="shared" si="141"/>
        <v>0</v>
      </c>
      <c r="Z31" s="24">
        <f t="shared" si="141"/>
        <v>0</v>
      </c>
      <c r="AA31" s="24">
        <f t="shared" si="141"/>
        <v>0</v>
      </c>
      <c r="AB31" s="24">
        <f t="shared" si="141"/>
        <v>0</v>
      </c>
      <c r="AC31" s="24">
        <f t="shared" si="141"/>
        <v>0</v>
      </c>
      <c r="AD31" s="24">
        <f t="shared" si="141"/>
        <v>0</v>
      </c>
      <c r="AE31" s="24">
        <f t="shared" si="141"/>
        <v>0</v>
      </c>
      <c r="AF31" s="24">
        <f t="shared" si="141"/>
        <v>0</v>
      </c>
      <c r="AG31" s="24">
        <f t="shared" si="141"/>
        <v>0</v>
      </c>
      <c r="AH31" s="24">
        <f t="shared" si="141"/>
        <v>0</v>
      </c>
      <c r="AI31" s="24">
        <f t="shared" si="141"/>
        <v>0</v>
      </c>
      <c r="AJ31" s="24">
        <f t="shared" si="141"/>
        <v>0</v>
      </c>
      <c r="AK31" s="24">
        <f t="shared" si="141"/>
        <v>0</v>
      </c>
      <c r="AL31" s="24">
        <f t="shared" si="141"/>
        <v>0</v>
      </c>
      <c r="AM31" s="24">
        <f t="shared" si="141"/>
        <v>0</v>
      </c>
      <c r="AN31" s="24">
        <f t="shared" si="141"/>
        <v>0</v>
      </c>
      <c r="AO31" s="24">
        <f t="shared" si="141"/>
        <v>0</v>
      </c>
      <c r="AP31" s="24">
        <f t="shared" si="141"/>
        <v>0</v>
      </c>
      <c r="AQ31" s="24">
        <f t="shared" si="141"/>
        <v>0</v>
      </c>
      <c r="AR31" s="24">
        <f t="shared" si="141"/>
        <v>0</v>
      </c>
      <c r="AS31" s="24">
        <f t="shared" si="141"/>
        <v>0</v>
      </c>
      <c r="AT31" s="24">
        <f t="shared" si="141"/>
        <v>0</v>
      </c>
      <c r="AU31" s="24">
        <f t="shared" si="141"/>
        <v>0</v>
      </c>
      <c r="AV31" s="24">
        <f t="shared" si="141"/>
        <v>0</v>
      </c>
      <c r="AW31" s="24">
        <f t="shared" si="141"/>
        <v>0</v>
      </c>
      <c r="AX31" s="24">
        <f t="shared" si="141"/>
        <v>0</v>
      </c>
      <c r="AY31" s="24">
        <f t="shared" si="141"/>
        <v>0</v>
      </c>
      <c r="AZ31" s="24">
        <f t="shared" si="141"/>
        <v>0</v>
      </c>
      <c r="BA31" s="24">
        <f t="shared" si="141"/>
        <v>0</v>
      </c>
      <c r="BB31" s="24">
        <f t="shared" si="141"/>
        <v>0</v>
      </c>
      <c r="BC31" s="24">
        <f t="shared" si="141"/>
        <v>0</v>
      </c>
      <c r="BD31" s="24">
        <f t="shared" si="141"/>
        <v>0</v>
      </c>
      <c r="BE31" s="24">
        <f t="shared" si="141"/>
        <v>0</v>
      </c>
      <c r="BF31" s="24">
        <f t="shared" si="141"/>
        <v>0</v>
      </c>
      <c r="BG31" s="24">
        <f t="shared" si="141"/>
        <v>0</v>
      </c>
      <c r="BH31" s="24">
        <f t="shared" si="141"/>
        <v>0</v>
      </c>
      <c r="BI31" s="24">
        <f t="shared" si="141"/>
        <v>0</v>
      </c>
      <c r="BJ31" s="24">
        <f t="shared" si="141"/>
        <v>0</v>
      </c>
      <c r="BK31" s="24">
        <f t="shared" si="141"/>
        <v>-567913.01</v>
      </c>
      <c r="BL31" s="24">
        <f t="shared" ref="BL31:CL31" si="142">SUM(BL28:BL30)</f>
        <v>5302721.6628900003</v>
      </c>
      <c r="BM31" s="24">
        <f t="shared" si="142"/>
        <v>-1247298.6000000001</v>
      </c>
      <c r="BN31" s="24">
        <f t="shared" si="142"/>
        <v>-1123711.74</v>
      </c>
      <c r="BO31" s="24">
        <f t="shared" si="142"/>
        <v>-754609.64</v>
      </c>
      <c r="BP31" s="24">
        <f t="shared" si="142"/>
        <v>-223332.93000183869</v>
      </c>
      <c r="BQ31" s="24">
        <f t="shared" si="142"/>
        <v>-78050.94</v>
      </c>
      <c r="BR31" s="24">
        <f t="shared" si="142"/>
        <v>-52974.84</v>
      </c>
      <c r="BS31" s="24">
        <f t="shared" si="142"/>
        <v>-57129.15</v>
      </c>
      <c r="BT31" s="24">
        <f t="shared" si="142"/>
        <v>-63912.57</v>
      </c>
      <c r="BU31" s="24">
        <f t="shared" si="142"/>
        <v>-111513.81</v>
      </c>
      <c r="BV31" s="24">
        <f t="shared" si="142"/>
        <v>-153983.22</v>
      </c>
      <c r="BW31" s="24">
        <f t="shared" si="142"/>
        <v>-229068.63</v>
      </c>
      <c r="BX31" s="24">
        <f t="shared" ref="BX31:CJ31" si="143">SUM(BX28:BX30)</f>
        <v>-198510.74</v>
      </c>
      <c r="BY31" s="24">
        <f t="shared" si="143"/>
        <v>-248992.76</v>
      </c>
      <c r="BZ31" s="24">
        <f t="shared" si="143"/>
        <v>-192433.56</v>
      </c>
      <c r="CA31" s="24">
        <f t="shared" si="143"/>
        <v>-126711.67999999999</v>
      </c>
      <c r="CB31" s="24">
        <f t="shared" si="143"/>
        <v>-2096419.7200000004</v>
      </c>
      <c r="CC31" s="24">
        <f t="shared" si="143"/>
        <v>81476.960000000006</v>
      </c>
      <c r="CD31" s="24">
        <f t="shared" si="143"/>
        <v>79176.13</v>
      </c>
      <c r="CE31" s="24">
        <f t="shared" si="143"/>
        <v>86658.69</v>
      </c>
      <c r="CF31" s="24">
        <f t="shared" si="143"/>
        <v>112898.45</v>
      </c>
      <c r="CG31" s="24">
        <f t="shared" si="143"/>
        <v>186712.68</v>
      </c>
      <c r="CH31" s="24">
        <f t="shared" si="143"/>
        <v>212776.99</v>
      </c>
      <c r="CI31" s="24">
        <f t="shared" si="143"/>
        <v>324304.21000000002</v>
      </c>
      <c r="CJ31" s="24">
        <f t="shared" si="143"/>
        <v>322987.13</v>
      </c>
      <c r="CK31" s="24">
        <f t="shared" si="142"/>
        <v>287866.46000000002</v>
      </c>
      <c r="CL31" s="24">
        <f t="shared" si="142"/>
        <v>270602.15999999997</v>
      </c>
      <c r="CM31" s="24">
        <f t="shared" ref="CM31:CU31" si="144">SUM(CM28:CM30)</f>
        <v>156597.12</v>
      </c>
      <c r="CN31" s="24">
        <f t="shared" si="144"/>
        <v>-1551796.5199999998</v>
      </c>
      <c r="CO31" s="24">
        <f t="shared" si="144"/>
        <v>64456.92</v>
      </c>
      <c r="CP31" s="24">
        <f t="shared" si="144"/>
        <v>51171.64</v>
      </c>
      <c r="CQ31" s="24">
        <f t="shared" si="144"/>
        <v>45327.54</v>
      </c>
      <c r="CR31" s="24">
        <f t="shared" si="144"/>
        <v>53295.85</v>
      </c>
      <c r="CS31" s="24">
        <f t="shared" si="144"/>
        <v>99049.63</v>
      </c>
      <c r="CT31" s="24">
        <f t="shared" si="144"/>
        <v>171530.81</v>
      </c>
      <c r="CU31" s="24">
        <f t="shared" si="144"/>
        <v>211658.03</v>
      </c>
      <c r="CV31" s="24">
        <f t="shared" ref="CV31:CY31" si="145">SUM(CV28:CV30)</f>
        <v>201525.65</v>
      </c>
      <c r="CW31" s="24">
        <f t="shared" si="145"/>
        <v>223358.26</v>
      </c>
      <c r="CX31" s="24">
        <f t="shared" si="145"/>
        <v>187112.73590084404</v>
      </c>
      <c r="CY31" s="24">
        <f t="shared" si="145"/>
        <v>139653.59398513791</v>
      </c>
    </row>
    <row r="32" spans="1:103" x14ac:dyDescent="0.2">
      <c r="B32" s="7" t="s">
        <v>194</v>
      </c>
      <c r="D32" s="17">
        <f>D27+D31</f>
        <v>0</v>
      </c>
      <c r="E32" s="17">
        <f t="shared" ref="E32:BK32" si="146">E27+E31</f>
        <v>0</v>
      </c>
      <c r="F32" s="17">
        <f t="shared" si="146"/>
        <v>0</v>
      </c>
      <c r="G32" s="17">
        <f t="shared" si="146"/>
        <v>0</v>
      </c>
      <c r="H32" s="17">
        <f t="shared" si="146"/>
        <v>0</v>
      </c>
      <c r="I32" s="17">
        <f t="shared" si="146"/>
        <v>0</v>
      </c>
      <c r="J32" s="17">
        <f t="shared" si="146"/>
        <v>0</v>
      </c>
      <c r="K32" s="17">
        <f t="shared" si="146"/>
        <v>0</v>
      </c>
      <c r="L32" s="17">
        <f t="shared" si="146"/>
        <v>0</v>
      </c>
      <c r="M32" s="17">
        <f t="shared" si="146"/>
        <v>0</v>
      </c>
      <c r="N32" s="17">
        <f t="shared" si="146"/>
        <v>0</v>
      </c>
      <c r="O32" s="17">
        <f t="shared" si="146"/>
        <v>0</v>
      </c>
      <c r="P32" s="17">
        <f t="shared" si="146"/>
        <v>0</v>
      </c>
      <c r="Q32" s="17">
        <f t="shared" si="146"/>
        <v>0</v>
      </c>
      <c r="R32" s="17">
        <f t="shared" si="146"/>
        <v>0</v>
      </c>
      <c r="S32" s="17">
        <f t="shared" si="146"/>
        <v>0</v>
      </c>
      <c r="T32" s="17">
        <f t="shared" si="146"/>
        <v>0</v>
      </c>
      <c r="U32" s="17">
        <f t="shared" si="146"/>
        <v>0</v>
      </c>
      <c r="V32" s="17">
        <f t="shared" si="146"/>
        <v>0</v>
      </c>
      <c r="W32" s="17">
        <f t="shared" si="146"/>
        <v>0</v>
      </c>
      <c r="X32" s="17">
        <f t="shared" si="146"/>
        <v>0</v>
      </c>
      <c r="Y32" s="17">
        <f t="shared" si="146"/>
        <v>0</v>
      </c>
      <c r="Z32" s="17">
        <f t="shared" si="146"/>
        <v>0</v>
      </c>
      <c r="AA32" s="17">
        <f t="shared" si="146"/>
        <v>0</v>
      </c>
      <c r="AB32" s="17">
        <f t="shared" si="146"/>
        <v>0</v>
      </c>
      <c r="AC32" s="17">
        <f t="shared" si="146"/>
        <v>0</v>
      </c>
      <c r="AD32" s="17">
        <f t="shared" si="146"/>
        <v>0</v>
      </c>
      <c r="AE32" s="17">
        <f t="shared" si="146"/>
        <v>0</v>
      </c>
      <c r="AF32" s="17">
        <f t="shared" si="146"/>
        <v>0</v>
      </c>
      <c r="AG32" s="17">
        <f t="shared" si="146"/>
        <v>0</v>
      </c>
      <c r="AH32" s="17">
        <f t="shared" si="146"/>
        <v>0</v>
      </c>
      <c r="AI32" s="17">
        <f t="shared" si="146"/>
        <v>0</v>
      </c>
      <c r="AJ32" s="17">
        <f t="shared" si="146"/>
        <v>0</v>
      </c>
      <c r="AK32" s="17">
        <f t="shared" si="146"/>
        <v>0</v>
      </c>
      <c r="AL32" s="17">
        <f t="shared" si="146"/>
        <v>0</v>
      </c>
      <c r="AM32" s="17">
        <f t="shared" si="146"/>
        <v>0</v>
      </c>
      <c r="AN32" s="17">
        <f t="shared" si="146"/>
        <v>0</v>
      </c>
      <c r="AO32" s="17">
        <f t="shared" si="146"/>
        <v>0</v>
      </c>
      <c r="AP32" s="17">
        <f t="shared" si="146"/>
        <v>0</v>
      </c>
      <c r="AQ32" s="17">
        <f t="shared" si="146"/>
        <v>0</v>
      </c>
      <c r="AR32" s="17">
        <f t="shared" si="146"/>
        <v>0</v>
      </c>
      <c r="AS32" s="17">
        <f t="shared" si="146"/>
        <v>0</v>
      </c>
      <c r="AT32" s="17">
        <f t="shared" si="146"/>
        <v>0</v>
      </c>
      <c r="AU32" s="17">
        <f t="shared" si="146"/>
        <v>0</v>
      </c>
      <c r="AV32" s="17">
        <f t="shared" si="146"/>
        <v>0</v>
      </c>
      <c r="AW32" s="17">
        <f t="shared" si="146"/>
        <v>0</v>
      </c>
      <c r="AX32" s="17">
        <f t="shared" si="146"/>
        <v>0</v>
      </c>
      <c r="AY32" s="17">
        <f t="shared" si="146"/>
        <v>0</v>
      </c>
      <c r="AZ32" s="17">
        <f t="shared" si="146"/>
        <v>0</v>
      </c>
      <c r="BA32" s="17">
        <f t="shared" si="146"/>
        <v>0</v>
      </c>
      <c r="BB32" s="17">
        <f t="shared" si="146"/>
        <v>0</v>
      </c>
      <c r="BC32" s="17">
        <f t="shared" si="146"/>
        <v>0</v>
      </c>
      <c r="BD32" s="17">
        <f t="shared" si="146"/>
        <v>0</v>
      </c>
      <c r="BE32" s="17">
        <f t="shared" si="146"/>
        <v>0</v>
      </c>
      <c r="BF32" s="17">
        <f t="shared" si="146"/>
        <v>0</v>
      </c>
      <c r="BG32" s="17">
        <f t="shared" si="146"/>
        <v>0</v>
      </c>
      <c r="BH32" s="17">
        <f t="shared" si="146"/>
        <v>0</v>
      </c>
      <c r="BI32" s="17">
        <f t="shared" si="146"/>
        <v>0</v>
      </c>
      <c r="BJ32" s="17">
        <f t="shared" si="146"/>
        <v>0</v>
      </c>
      <c r="BK32" s="17">
        <f t="shared" si="146"/>
        <v>-567913.01</v>
      </c>
      <c r="BL32" s="17">
        <f t="shared" ref="BL32:CL32" si="147">BL27+BL31</f>
        <v>4734808.6528900005</v>
      </c>
      <c r="BM32" s="17">
        <f t="shared" si="147"/>
        <v>3487510.0528900004</v>
      </c>
      <c r="BN32" s="17">
        <f t="shared" si="147"/>
        <v>2363798.3128900006</v>
      </c>
      <c r="BO32" s="17">
        <f t="shared" si="147"/>
        <v>1609188.6728900005</v>
      </c>
      <c r="BP32" s="17">
        <f t="shared" si="147"/>
        <v>1385855.7428881619</v>
      </c>
      <c r="BQ32" s="17">
        <f t="shared" si="147"/>
        <v>1307804.802888162</v>
      </c>
      <c r="BR32" s="17">
        <f t="shared" si="147"/>
        <v>1254829.9628881619</v>
      </c>
      <c r="BS32" s="17">
        <f t="shared" si="147"/>
        <v>1197700.812888162</v>
      </c>
      <c r="BT32" s="17">
        <f t="shared" si="147"/>
        <v>1133788.2428881619</v>
      </c>
      <c r="BU32" s="17">
        <f t="shared" si="147"/>
        <v>1022274.4328881619</v>
      </c>
      <c r="BV32" s="17">
        <f t="shared" si="147"/>
        <v>868291.21288816188</v>
      </c>
      <c r="BW32" s="17">
        <f t="shared" si="147"/>
        <v>639222.58288816188</v>
      </c>
      <c r="BX32" s="17">
        <f t="shared" ref="BX32:CJ32" si="148">BX27+BX31</f>
        <v>440711.84288816189</v>
      </c>
      <c r="BY32" s="17">
        <f t="shared" si="148"/>
        <v>191719.08288816188</v>
      </c>
      <c r="BZ32" s="17">
        <f t="shared" si="148"/>
        <v>-714.47711183811771</v>
      </c>
      <c r="CA32" s="17">
        <f t="shared" si="148"/>
        <v>-127426.15711183811</v>
      </c>
      <c r="CB32" s="17">
        <f t="shared" si="148"/>
        <v>-2223845.8771118387</v>
      </c>
      <c r="CC32" s="17">
        <f t="shared" si="148"/>
        <v>-2142368.9171118387</v>
      </c>
      <c r="CD32" s="17">
        <f t="shared" si="148"/>
        <v>-2063192.7871118388</v>
      </c>
      <c r="CE32" s="17">
        <f t="shared" si="148"/>
        <v>-1976534.0971118389</v>
      </c>
      <c r="CF32" s="17">
        <f t="shared" si="148"/>
        <v>-1863635.6471118389</v>
      </c>
      <c r="CG32" s="17">
        <f t="shared" si="148"/>
        <v>-1676922.967111839</v>
      </c>
      <c r="CH32" s="17">
        <f t="shared" si="148"/>
        <v>-1464145.977111839</v>
      </c>
      <c r="CI32" s="17">
        <f t="shared" si="148"/>
        <v>-1139841.767111839</v>
      </c>
      <c r="CJ32" s="17">
        <f t="shared" si="148"/>
        <v>-816854.63711183902</v>
      </c>
      <c r="CK32" s="17">
        <f t="shared" si="147"/>
        <v>-528988.17711183894</v>
      </c>
      <c r="CL32" s="17">
        <f t="shared" si="147"/>
        <v>-258386.01711183897</v>
      </c>
      <c r="CM32" s="17">
        <f t="shared" ref="CM32:CU32" si="149">CM27+CM31</f>
        <v>-101788.89711183897</v>
      </c>
      <c r="CN32" s="17">
        <f t="shared" si="149"/>
        <v>-1653585.4171118387</v>
      </c>
      <c r="CO32" s="17">
        <f t="shared" si="149"/>
        <v>-1589128.4971118388</v>
      </c>
      <c r="CP32" s="17">
        <f t="shared" si="149"/>
        <v>-1537956.8571118389</v>
      </c>
      <c r="CQ32" s="17">
        <f t="shared" si="149"/>
        <v>-1492629.3171118388</v>
      </c>
      <c r="CR32" s="17">
        <f t="shared" si="149"/>
        <v>-1439333.4671118387</v>
      </c>
      <c r="CS32" s="17">
        <f t="shared" si="149"/>
        <v>-1340283.8371118386</v>
      </c>
      <c r="CT32" s="17">
        <f t="shared" si="149"/>
        <v>-1168753.0271118386</v>
      </c>
      <c r="CU32" s="17">
        <f t="shared" si="149"/>
        <v>-957094.99711183854</v>
      </c>
      <c r="CV32" s="17">
        <f t="shared" ref="CV32:CY32" si="150">CV27+CV31</f>
        <v>-755569.34711183852</v>
      </c>
      <c r="CW32" s="17">
        <f t="shared" si="150"/>
        <v>-532211.08711183851</v>
      </c>
      <c r="CX32" s="17">
        <f t="shared" si="150"/>
        <v>-345098.35121099447</v>
      </c>
      <c r="CY32" s="17">
        <f t="shared" si="150"/>
        <v>-205444.75722585656</v>
      </c>
    </row>
    <row r="33" spans="1:104" x14ac:dyDescent="0.2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</row>
    <row r="34" spans="1:104" x14ac:dyDescent="0.2">
      <c r="A34" s="14" t="s">
        <v>197</v>
      </c>
      <c r="C34" s="15">
        <v>18237512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</row>
    <row r="35" spans="1:104" x14ac:dyDescent="0.2">
      <c r="B35" s="7" t="s">
        <v>190</v>
      </c>
      <c r="C35" s="15">
        <v>25400912</v>
      </c>
      <c r="D35" s="17">
        <v>0</v>
      </c>
      <c r="E35" s="17">
        <f>D40</f>
        <v>0</v>
      </c>
      <c r="F35" s="17">
        <f t="shared" ref="F35:CL35" si="151">E40</f>
        <v>0</v>
      </c>
      <c r="G35" s="17">
        <f t="shared" si="151"/>
        <v>0</v>
      </c>
      <c r="H35" s="17">
        <f t="shared" si="151"/>
        <v>0</v>
      </c>
      <c r="I35" s="17">
        <f t="shared" si="151"/>
        <v>0</v>
      </c>
      <c r="J35" s="17">
        <f t="shared" si="151"/>
        <v>0</v>
      </c>
      <c r="K35" s="17">
        <f t="shared" si="151"/>
        <v>0</v>
      </c>
      <c r="L35" s="17">
        <f t="shared" si="151"/>
        <v>0</v>
      </c>
      <c r="M35" s="17">
        <f t="shared" si="151"/>
        <v>0</v>
      </c>
      <c r="N35" s="17">
        <f t="shared" si="151"/>
        <v>0</v>
      </c>
      <c r="O35" s="17">
        <f t="shared" si="151"/>
        <v>0</v>
      </c>
      <c r="P35" s="17">
        <f t="shared" si="151"/>
        <v>0</v>
      </c>
      <c r="Q35" s="17">
        <f t="shared" si="151"/>
        <v>0</v>
      </c>
      <c r="R35" s="17">
        <f t="shared" si="151"/>
        <v>0</v>
      </c>
      <c r="S35" s="17">
        <f t="shared" si="151"/>
        <v>0</v>
      </c>
      <c r="T35" s="17">
        <f t="shared" si="151"/>
        <v>0</v>
      </c>
      <c r="U35" s="17">
        <f t="shared" si="151"/>
        <v>0</v>
      </c>
      <c r="V35" s="17">
        <f t="shared" si="151"/>
        <v>0</v>
      </c>
      <c r="W35" s="17">
        <f t="shared" si="151"/>
        <v>0</v>
      </c>
      <c r="X35" s="17">
        <f t="shared" si="151"/>
        <v>0</v>
      </c>
      <c r="Y35" s="17">
        <f t="shared" si="151"/>
        <v>0</v>
      </c>
      <c r="Z35" s="17">
        <f t="shared" si="151"/>
        <v>0</v>
      </c>
      <c r="AA35" s="17">
        <f t="shared" si="151"/>
        <v>0</v>
      </c>
      <c r="AB35" s="17">
        <f t="shared" si="151"/>
        <v>0</v>
      </c>
      <c r="AC35" s="17">
        <f t="shared" si="151"/>
        <v>0</v>
      </c>
      <c r="AD35" s="17">
        <f t="shared" si="151"/>
        <v>0</v>
      </c>
      <c r="AE35" s="17">
        <f t="shared" si="151"/>
        <v>0</v>
      </c>
      <c r="AF35" s="17">
        <f t="shared" si="151"/>
        <v>0</v>
      </c>
      <c r="AG35" s="17">
        <f t="shared" si="151"/>
        <v>0</v>
      </c>
      <c r="AH35" s="17">
        <f t="shared" si="151"/>
        <v>0</v>
      </c>
      <c r="AI35" s="17">
        <f t="shared" si="151"/>
        <v>0</v>
      </c>
      <c r="AJ35" s="17">
        <f t="shared" si="151"/>
        <v>0</v>
      </c>
      <c r="AK35" s="17">
        <f t="shared" si="151"/>
        <v>0</v>
      </c>
      <c r="AL35" s="17">
        <f t="shared" si="151"/>
        <v>0</v>
      </c>
      <c r="AM35" s="17">
        <f t="shared" si="151"/>
        <v>0</v>
      </c>
      <c r="AN35" s="17">
        <f t="shared" si="151"/>
        <v>0</v>
      </c>
      <c r="AO35" s="17">
        <f t="shared" si="151"/>
        <v>0</v>
      </c>
      <c r="AP35" s="17">
        <f t="shared" si="151"/>
        <v>0</v>
      </c>
      <c r="AQ35" s="17">
        <f t="shared" si="151"/>
        <v>0</v>
      </c>
      <c r="AR35" s="17">
        <f t="shared" si="151"/>
        <v>0</v>
      </c>
      <c r="AS35" s="17">
        <f t="shared" si="151"/>
        <v>0</v>
      </c>
      <c r="AT35" s="17">
        <f t="shared" si="151"/>
        <v>0</v>
      </c>
      <c r="AU35" s="17">
        <f t="shared" si="151"/>
        <v>0</v>
      </c>
      <c r="AV35" s="17">
        <f t="shared" si="151"/>
        <v>0</v>
      </c>
      <c r="AW35" s="17">
        <f t="shared" si="151"/>
        <v>0</v>
      </c>
      <c r="AX35" s="17">
        <f t="shared" si="151"/>
        <v>0</v>
      </c>
      <c r="AY35" s="17">
        <f t="shared" si="151"/>
        <v>0</v>
      </c>
      <c r="AZ35" s="17">
        <f t="shared" si="151"/>
        <v>0</v>
      </c>
      <c r="BA35" s="17">
        <f t="shared" si="151"/>
        <v>0</v>
      </c>
      <c r="BB35" s="17">
        <f t="shared" si="151"/>
        <v>0</v>
      </c>
      <c r="BC35" s="17">
        <f t="shared" si="151"/>
        <v>0</v>
      </c>
      <c r="BD35" s="17">
        <f t="shared" si="151"/>
        <v>0</v>
      </c>
      <c r="BE35" s="17">
        <f t="shared" si="151"/>
        <v>0</v>
      </c>
      <c r="BF35" s="17">
        <f t="shared" si="151"/>
        <v>0</v>
      </c>
      <c r="BG35" s="17">
        <f t="shared" si="151"/>
        <v>0</v>
      </c>
      <c r="BH35" s="17">
        <f t="shared" si="151"/>
        <v>0</v>
      </c>
      <c r="BI35" s="17">
        <f t="shared" si="151"/>
        <v>0</v>
      </c>
      <c r="BJ35" s="17">
        <f t="shared" si="151"/>
        <v>0</v>
      </c>
      <c r="BK35" s="17">
        <f t="shared" si="151"/>
        <v>0</v>
      </c>
      <c r="BL35" s="17">
        <f t="shared" ref="BL35" si="152">BK40</f>
        <v>-85799.86</v>
      </c>
      <c r="BM35" s="17">
        <f t="shared" ref="BM35" si="153">BL40</f>
        <v>2441010.5171100004</v>
      </c>
      <c r="BN35" s="17">
        <f t="shared" ref="BN35" si="154">BM40</f>
        <v>2191392.1971100005</v>
      </c>
      <c r="BO35" s="17">
        <f t="shared" ref="BO35" si="155">BN40</f>
        <v>2010594.1371100005</v>
      </c>
      <c r="BP35" s="17">
        <f t="shared" ref="BP35" si="156">BO40</f>
        <v>1825742.4571100005</v>
      </c>
      <c r="BQ35" s="17">
        <f t="shared" ref="BQ35" si="157">BP40</f>
        <v>1798440.8133436516</v>
      </c>
      <c r="BR35" s="17">
        <f t="shared" ref="BR35" si="158">BQ40</f>
        <v>1686715.5633436516</v>
      </c>
      <c r="BS35" s="17">
        <f t="shared" ref="BS35" si="159">BR40</f>
        <v>1623245.9733436515</v>
      </c>
      <c r="BT35" s="17">
        <f t="shared" ref="BT35" si="160">BS40</f>
        <v>1461501.7633436515</v>
      </c>
      <c r="BU35" s="17">
        <f t="shared" ref="BU35" si="161">BT40</f>
        <v>1357169.5433436516</v>
      </c>
      <c r="BV35" s="17">
        <f t="shared" ref="BV35" si="162">BU40</f>
        <v>1223770.3033436516</v>
      </c>
      <c r="BW35" s="17">
        <f t="shared" ref="BW35" si="163">BV40</f>
        <v>1067532.8333436516</v>
      </c>
      <c r="BX35" s="17">
        <f t="shared" ref="BX35" si="164">BW40</f>
        <v>879938.12334365165</v>
      </c>
      <c r="BY35" s="17">
        <f t="shared" ref="BY35" si="165">BX40</f>
        <v>700036.33334365161</v>
      </c>
      <c r="BZ35" s="17">
        <f t="shared" ref="BZ35" si="166">BY40</f>
        <v>515259.96334365162</v>
      </c>
      <c r="CA35" s="17">
        <f t="shared" ref="CA35" si="167">BZ40</f>
        <v>334122.79334365157</v>
      </c>
      <c r="CB35" s="17">
        <f t="shared" ref="CB35" si="168">CA40</f>
        <v>174803.98334365158</v>
      </c>
      <c r="CC35" s="17">
        <f t="shared" ref="CC35" si="169">CB40</f>
        <v>-125840.64665634843</v>
      </c>
      <c r="CD35" s="17">
        <f t="shared" ref="CD35" si="170">CC40</f>
        <v>-134782.02665634843</v>
      </c>
      <c r="CE35" s="17">
        <f t="shared" ref="CE35" si="171">CD40</f>
        <v>-123655.85665634843</v>
      </c>
      <c r="CF35" s="17">
        <f t="shared" ref="CF35" si="172">CE40</f>
        <v>-116230.17665634843</v>
      </c>
      <c r="CG35" s="17">
        <f t="shared" ref="CG35" si="173">CF40</f>
        <v>-108533.77665634843</v>
      </c>
      <c r="CH35" s="17">
        <f t="shared" ref="CH35" si="174">CG40</f>
        <v>-99090.706656348426</v>
      </c>
      <c r="CI35" s="17">
        <f t="shared" ref="CI35" si="175">CH40</f>
        <v>-88773.666656348418</v>
      </c>
      <c r="CJ35" s="17">
        <f t="shared" ref="CJ35" si="176">CI40</f>
        <v>-77563.336656348416</v>
      </c>
      <c r="CK35" s="17">
        <f t="shared" si="151"/>
        <v>-66031.136656348419</v>
      </c>
      <c r="CL35" s="17">
        <f t="shared" si="151"/>
        <v>-53422.936656348422</v>
      </c>
      <c r="CM35" s="17">
        <f t="shared" ref="CM35" si="177">CL40</f>
        <v>-44521.616656348422</v>
      </c>
      <c r="CN35" s="17">
        <f t="shared" ref="CN35" si="178">CM40</f>
        <v>-35929.516656348424</v>
      </c>
      <c r="CO35" s="17">
        <f t="shared" ref="CO35" si="179">CN40</f>
        <v>-1152147.4266563484</v>
      </c>
      <c r="CP35" s="17">
        <f t="shared" ref="CP35" si="180">CO40</f>
        <v>-1062507.9866563485</v>
      </c>
      <c r="CQ35" s="17">
        <f t="shared" ref="CQ35" si="181">CP40</f>
        <v>-988875.11665634846</v>
      </c>
      <c r="CR35" s="17">
        <f t="shared" ref="CR35" si="182">CQ40</f>
        <v>-920731.07665634842</v>
      </c>
      <c r="CS35" s="17">
        <f t="shared" ref="CS35" si="183">CR40</f>
        <v>-849862.73665634845</v>
      </c>
      <c r="CT35" s="17">
        <f t="shared" ref="CT35" si="184">CS40</f>
        <v>-754843.51665634848</v>
      </c>
      <c r="CU35" s="17">
        <f t="shared" ref="CU35" si="185">CT40</f>
        <v>-645576.48665634845</v>
      </c>
      <c r="CV35" s="17">
        <f t="shared" ref="CV35" si="186">CU40</f>
        <v>-530737.20665634843</v>
      </c>
      <c r="CW35" s="17">
        <f t="shared" ref="CW35" si="187">CV40</f>
        <v>-420839.1766563484</v>
      </c>
      <c r="CX35" s="17">
        <f t="shared" ref="CX35" si="188">CW40</f>
        <v>-290068.28665634838</v>
      </c>
      <c r="CY35" s="17">
        <f t="shared" ref="CY35" si="189">CX40</f>
        <v>-172857.58718100021</v>
      </c>
    </row>
    <row r="36" spans="1:104" x14ac:dyDescent="0.2">
      <c r="B36" s="21" t="s">
        <v>191</v>
      </c>
      <c r="C36" s="19"/>
      <c r="D36" s="194">
        <v>0</v>
      </c>
      <c r="E36" s="194">
        <v>0</v>
      </c>
      <c r="F36" s="194">
        <v>0</v>
      </c>
      <c r="G36" s="194">
        <v>0</v>
      </c>
      <c r="H36" s="194">
        <v>0</v>
      </c>
      <c r="I36" s="194">
        <v>0</v>
      </c>
      <c r="J36" s="194">
        <v>0</v>
      </c>
      <c r="K36" s="194">
        <v>0</v>
      </c>
      <c r="L36" s="194">
        <v>0</v>
      </c>
      <c r="M36" s="194">
        <v>0</v>
      </c>
      <c r="N36" s="194">
        <v>0</v>
      </c>
      <c r="O36" s="194">
        <v>0</v>
      </c>
      <c r="P36" s="194">
        <v>0</v>
      </c>
      <c r="Q36" s="194">
        <v>0</v>
      </c>
      <c r="R36" s="194">
        <v>0</v>
      </c>
      <c r="S36" s="194">
        <v>0</v>
      </c>
      <c r="T36" s="194">
        <v>0</v>
      </c>
      <c r="U36" s="194">
        <v>0</v>
      </c>
      <c r="V36" s="194">
        <v>0</v>
      </c>
      <c r="W36" s="194">
        <v>0</v>
      </c>
      <c r="X36" s="194">
        <v>0</v>
      </c>
      <c r="Y36" s="194">
        <v>0</v>
      </c>
      <c r="Z36" s="194">
        <v>0</v>
      </c>
      <c r="AA36" s="194">
        <v>0</v>
      </c>
      <c r="AB36" s="194">
        <v>0</v>
      </c>
      <c r="AC36" s="194">
        <v>0</v>
      </c>
      <c r="AD36" s="194">
        <v>0</v>
      </c>
      <c r="AE36" s="194">
        <v>0</v>
      </c>
      <c r="AF36" s="194">
        <v>0</v>
      </c>
      <c r="AG36" s="194">
        <v>0</v>
      </c>
      <c r="AH36" s="194">
        <v>0</v>
      </c>
      <c r="AI36" s="194">
        <v>0</v>
      </c>
      <c r="AJ36" s="194">
        <v>0</v>
      </c>
      <c r="AK36" s="194">
        <v>0</v>
      </c>
      <c r="AL36" s="194">
        <v>0</v>
      </c>
      <c r="AM36" s="194">
        <v>0</v>
      </c>
      <c r="AN36" s="194">
        <v>0</v>
      </c>
      <c r="AO36" s="194">
        <v>0</v>
      </c>
      <c r="AP36" s="194">
        <v>0</v>
      </c>
      <c r="AQ36" s="194">
        <v>0</v>
      </c>
      <c r="AR36" s="194">
        <v>0</v>
      </c>
      <c r="AS36" s="194">
        <v>0</v>
      </c>
      <c r="AT36" s="194">
        <v>0</v>
      </c>
      <c r="AU36" s="194">
        <v>0</v>
      </c>
      <c r="AV36" s="194">
        <v>0</v>
      </c>
      <c r="AW36" s="194">
        <v>0</v>
      </c>
      <c r="AX36" s="194">
        <v>0</v>
      </c>
      <c r="AY36" s="194">
        <v>0</v>
      </c>
      <c r="AZ36" s="194">
        <v>0</v>
      </c>
      <c r="BA36" s="194">
        <v>0</v>
      </c>
      <c r="BB36" s="194">
        <v>0</v>
      </c>
      <c r="BC36" s="194">
        <v>0</v>
      </c>
      <c r="BD36" s="194">
        <v>0</v>
      </c>
      <c r="BE36" s="194">
        <v>0</v>
      </c>
      <c r="BF36" s="194">
        <v>0</v>
      </c>
      <c r="BG36" s="194">
        <v>0</v>
      </c>
      <c r="BH36" s="194">
        <v>0</v>
      </c>
      <c r="BI36" s="194">
        <v>0</v>
      </c>
      <c r="BJ36" s="194">
        <v>0</v>
      </c>
      <c r="BK36" s="23">
        <v>0</v>
      </c>
      <c r="BL36" s="23">
        <v>0</v>
      </c>
      <c r="BM36" s="23">
        <v>0</v>
      </c>
      <c r="BN36" s="23">
        <v>0</v>
      </c>
      <c r="BO36" s="23">
        <v>0</v>
      </c>
      <c r="BP36" s="23">
        <v>102791.13623365108</v>
      </c>
      <c r="BQ36" s="23">
        <v>0</v>
      </c>
      <c r="BR36" s="23">
        <v>0</v>
      </c>
      <c r="BS36" s="23">
        <v>0</v>
      </c>
      <c r="BT36" s="23">
        <v>0</v>
      </c>
      <c r="BU36" s="23">
        <v>0</v>
      </c>
      <c r="BV36" s="23">
        <v>0</v>
      </c>
      <c r="BW36" s="23">
        <v>0</v>
      </c>
      <c r="BX36" s="23">
        <v>0</v>
      </c>
      <c r="BY36" s="23">
        <v>0</v>
      </c>
      <c r="BZ36" s="23">
        <v>0</v>
      </c>
      <c r="CA36" s="23">
        <v>0</v>
      </c>
      <c r="CB36" s="23">
        <v>-261008.87</v>
      </c>
      <c r="CC36" s="23">
        <v>0</v>
      </c>
      <c r="CD36" s="23">
        <v>0</v>
      </c>
      <c r="CE36" s="23">
        <v>0</v>
      </c>
      <c r="CF36" s="23">
        <v>0</v>
      </c>
      <c r="CG36" s="23">
        <v>0</v>
      </c>
      <c r="CH36" s="23">
        <v>0</v>
      </c>
      <c r="CI36" s="23">
        <v>0</v>
      </c>
      <c r="CJ36" s="23">
        <v>0</v>
      </c>
      <c r="CK36" s="23">
        <v>0</v>
      </c>
      <c r="CL36" s="23">
        <v>0</v>
      </c>
      <c r="CM36" s="23">
        <v>0</v>
      </c>
      <c r="CN36" s="23">
        <v>-1170079.68</v>
      </c>
      <c r="CO36" s="23">
        <v>0</v>
      </c>
      <c r="CP36" s="23">
        <v>0</v>
      </c>
      <c r="CQ36" s="23">
        <v>0</v>
      </c>
      <c r="CR36" s="23">
        <v>0</v>
      </c>
      <c r="CS36" s="23">
        <v>0</v>
      </c>
      <c r="CT36" s="23">
        <v>0</v>
      </c>
      <c r="CU36" s="23">
        <v>0</v>
      </c>
      <c r="CV36" s="23">
        <v>0</v>
      </c>
      <c r="CW36" s="23">
        <v>0</v>
      </c>
      <c r="CX36" s="23">
        <v>0</v>
      </c>
      <c r="CY36" s="23">
        <v>0</v>
      </c>
    </row>
    <row r="37" spans="1:104" x14ac:dyDescent="0.2">
      <c r="B37" s="21" t="s">
        <v>196</v>
      </c>
      <c r="C37" s="19"/>
      <c r="D37" s="194">
        <v>0</v>
      </c>
      <c r="E37" s="194">
        <v>0</v>
      </c>
      <c r="F37" s="194">
        <v>0</v>
      </c>
      <c r="G37" s="194">
        <v>0</v>
      </c>
      <c r="H37" s="194">
        <v>0</v>
      </c>
      <c r="I37" s="194">
        <v>0</v>
      </c>
      <c r="J37" s="194">
        <v>0</v>
      </c>
      <c r="K37" s="194">
        <v>0</v>
      </c>
      <c r="L37" s="194">
        <v>0</v>
      </c>
      <c r="M37" s="194">
        <v>0</v>
      </c>
      <c r="N37" s="194">
        <v>0</v>
      </c>
      <c r="O37" s="194">
        <v>0</v>
      </c>
      <c r="P37" s="194">
        <v>0</v>
      </c>
      <c r="Q37" s="194">
        <v>0</v>
      </c>
      <c r="R37" s="194">
        <v>0</v>
      </c>
      <c r="S37" s="194">
        <v>0</v>
      </c>
      <c r="T37" s="194">
        <v>0</v>
      </c>
      <c r="U37" s="194">
        <v>0</v>
      </c>
      <c r="V37" s="194">
        <v>0</v>
      </c>
      <c r="W37" s="194">
        <v>0</v>
      </c>
      <c r="X37" s="194">
        <v>0</v>
      </c>
      <c r="Y37" s="194">
        <v>0</v>
      </c>
      <c r="Z37" s="194">
        <v>0</v>
      </c>
      <c r="AA37" s="194">
        <v>0</v>
      </c>
      <c r="AB37" s="194">
        <v>0</v>
      </c>
      <c r="AC37" s="194">
        <v>0</v>
      </c>
      <c r="AD37" s="194">
        <v>0</v>
      </c>
      <c r="AE37" s="194">
        <v>0</v>
      </c>
      <c r="AF37" s="194">
        <v>0</v>
      </c>
      <c r="AG37" s="194">
        <v>0</v>
      </c>
      <c r="AH37" s="194">
        <v>0</v>
      </c>
      <c r="AI37" s="194">
        <v>0</v>
      </c>
      <c r="AJ37" s="194">
        <v>0</v>
      </c>
      <c r="AK37" s="194">
        <v>0</v>
      </c>
      <c r="AL37" s="194">
        <v>0</v>
      </c>
      <c r="AM37" s="194">
        <v>0</v>
      </c>
      <c r="AN37" s="194">
        <v>0</v>
      </c>
      <c r="AO37" s="194">
        <v>0</v>
      </c>
      <c r="AP37" s="194">
        <v>0</v>
      </c>
      <c r="AQ37" s="194">
        <v>0</v>
      </c>
      <c r="AR37" s="194">
        <v>0</v>
      </c>
      <c r="AS37" s="194">
        <v>0</v>
      </c>
      <c r="AT37" s="194">
        <v>0</v>
      </c>
      <c r="AU37" s="194">
        <v>0</v>
      </c>
      <c r="AV37" s="194">
        <v>0</v>
      </c>
      <c r="AW37" s="194">
        <v>0</v>
      </c>
      <c r="AX37" s="194">
        <v>0</v>
      </c>
      <c r="AY37" s="194">
        <v>0</v>
      </c>
      <c r="AZ37" s="194">
        <v>0</v>
      </c>
      <c r="BA37" s="194">
        <v>0</v>
      </c>
      <c r="BB37" s="194">
        <v>0</v>
      </c>
      <c r="BC37" s="194">
        <v>0</v>
      </c>
      <c r="BD37" s="194">
        <v>0</v>
      </c>
      <c r="BE37" s="194">
        <v>0</v>
      </c>
      <c r="BF37" s="194">
        <v>0</v>
      </c>
      <c r="BG37" s="194">
        <v>0</v>
      </c>
      <c r="BH37" s="194">
        <v>0</v>
      </c>
      <c r="BI37" s="194">
        <v>0</v>
      </c>
      <c r="BJ37" s="194">
        <v>0</v>
      </c>
      <c r="BK37" s="23">
        <v>0</v>
      </c>
      <c r="BL37" s="23">
        <v>2755539.4571100003</v>
      </c>
      <c r="BM37" s="23">
        <v>0</v>
      </c>
      <c r="BN37" s="23">
        <v>0</v>
      </c>
      <c r="BO37" s="23">
        <v>0</v>
      </c>
      <c r="BP37" s="23">
        <v>0</v>
      </c>
      <c r="BQ37" s="23">
        <v>0</v>
      </c>
      <c r="BR37" s="23">
        <v>0</v>
      </c>
      <c r="BS37" s="23">
        <v>0</v>
      </c>
      <c r="BT37" s="23">
        <v>0</v>
      </c>
      <c r="BU37" s="23">
        <v>0</v>
      </c>
      <c r="BV37" s="23">
        <v>0</v>
      </c>
      <c r="BW37" s="23">
        <v>0</v>
      </c>
      <c r="BX37" s="23">
        <v>0</v>
      </c>
      <c r="BY37" s="23">
        <v>0</v>
      </c>
      <c r="BZ37" s="23">
        <v>0</v>
      </c>
      <c r="CA37" s="23">
        <v>0</v>
      </c>
      <c r="CB37" s="23">
        <v>0</v>
      </c>
      <c r="CC37" s="23">
        <v>0</v>
      </c>
      <c r="CD37" s="23">
        <v>0</v>
      </c>
      <c r="CE37" s="23">
        <v>0</v>
      </c>
      <c r="CF37" s="23">
        <v>0</v>
      </c>
      <c r="CG37" s="23">
        <v>0</v>
      </c>
      <c r="CH37" s="23">
        <v>0</v>
      </c>
      <c r="CI37" s="23">
        <v>0</v>
      </c>
      <c r="CJ37" s="23">
        <v>0</v>
      </c>
      <c r="CK37" s="23">
        <v>0</v>
      </c>
      <c r="CL37" s="23">
        <v>0</v>
      </c>
      <c r="CM37" s="23">
        <v>0</v>
      </c>
      <c r="CN37" s="23">
        <v>0</v>
      </c>
      <c r="CO37" s="23">
        <v>0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3">
        <v>0</v>
      </c>
      <c r="CW37" s="23">
        <v>0</v>
      </c>
      <c r="CX37" s="23">
        <v>0</v>
      </c>
      <c r="CY37" s="23">
        <v>0</v>
      </c>
    </row>
    <row r="38" spans="1:104" x14ac:dyDescent="0.2">
      <c r="B38" s="21" t="s">
        <v>192</v>
      </c>
      <c r="D38" s="194">
        <v>0</v>
      </c>
      <c r="E38" s="194">
        <v>0</v>
      </c>
      <c r="F38" s="194">
        <v>0</v>
      </c>
      <c r="G38" s="194">
        <v>0</v>
      </c>
      <c r="H38" s="194">
        <v>0</v>
      </c>
      <c r="I38" s="194">
        <v>0</v>
      </c>
      <c r="J38" s="194">
        <v>0</v>
      </c>
      <c r="K38" s="194">
        <v>0</v>
      </c>
      <c r="L38" s="194">
        <v>0</v>
      </c>
      <c r="M38" s="194">
        <v>0</v>
      </c>
      <c r="N38" s="194">
        <v>0</v>
      </c>
      <c r="O38" s="194">
        <v>0</v>
      </c>
      <c r="P38" s="194">
        <v>0</v>
      </c>
      <c r="Q38" s="194">
        <v>0</v>
      </c>
      <c r="R38" s="194">
        <v>0</v>
      </c>
      <c r="S38" s="194">
        <v>0</v>
      </c>
      <c r="T38" s="194">
        <v>0</v>
      </c>
      <c r="U38" s="194">
        <v>0</v>
      </c>
      <c r="V38" s="194">
        <v>0</v>
      </c>
      <c r="W38" s="194">
        <v>0</v>
      </c>
      <c r="X38" s="194">
        <v>0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0</v>
      </c>
      <c r="AE38" s="194">
        <v>0</v>
      </c>
      <c r="AF38" s="194">
        <v>0</v>
      </c>
      <c r="AG38" s="194">
        <v>0</v>
      </c>
      <c r="AH38" s="194">
        <v>0</v>
      </c>
      <c r="AI38" s="194">
        <v>0</v>
      </c>
      <c r="AJ38" s="194">
        <v>0</v>
      </c>
      <c r="AK38" s="194">
        <v>0</v>
      </c>
      <c r="AL38" s="194">
        <v>0</v>
      </c>
      <c r="AM38" s="194">
        <v>0</v>
      </c>
      <c r="AN38" s="194">
        <v>0</v>
      </c>
      <c r="AO38" s="194">
        <v>0</v>
      </c>
      <c r="AP38" s="194">
        <v>0</v>
      </c>
      <c r="AQ38" s="194">
        <v>0</v>
      </c>
      <c r="AR38" s="194">
        <v>0</v>
      </c>
      <c r="AS38" s="194">
        <v>0</v>
      </c>
      <c r="AT38" s="194">
        <v>0</v>
      </c>
      <c r="AU38" s="194">
        <v>0</v>
      </c>
      <c r="AV38" s="194">
        <v>0</v>
      </c>
      <c r="AW38" s="194">
        <v>0</v>
      </c>
      <c r="AX38" s="194">
        <v>0</v>
      </c>
      <c r="AY38" s="194">
        <v>0</v>
      </c>
      <c r="AZ38" s="194">
        <v>0</v>
      </c>
      <c r="BA38" s="194">
        <v>0</v>
      </c>
      <c r="BB38" s="194">
        <v>0</v>
      </c>
      <c r="BC38" s="194">
        <v>0</v>
      </c>
      <c r="BD38" s="194">
        <v>0</v>
      </c>
      <c r="BE38" s="194">
        <v>0</v>
      </c>
      <c r="BF38" s="194">
        <v>0</v>
      </c>
      <c r="BG38" s="194">
        <v>0</v>
      </c>
      <c r="BH38" s="194">
        <v>0</v>
      </c>
      <c r="BI38" s="194">
        <v>0</v>
      </c>
      <c r="BJ38" s="194">
        <v>0</v>
      </c>
      <c r="BK38" s="23">
        <v>-85799.86</v>
      </c>
      <c r="BL38" s="23">
        <v>-228729.08</v>
      </c>
      <c r="BM38" s="23">
        <v>-249618.32</v>
      </c>
      <c r="BN38" s="23">
        <v>-180798.06</v>
      </c>
      <c r="BO38" s="23">
        <v>-184851.68</v>
      </c>
      <c r="BP38" s="23">
        <v>-130092.78</v>
      </c>
      <c r="BQ38" s="23">
        <v>-111725.25</v>
      </c>
      <c r="BR38" s="23">
        <v>-63469.59</v>
      </c>
      <c r="BS38" s="23">
        <v>-161744.21</v>
      </c>
      <c r="BT38" s="23">
        <v>-104332.22</v>
      </c>
      <c r="BU38" s="23">
        <v>-133399.24</v>
      </c>
      <c r="BV38" s="23">
        <v>-156237.47</v>
      </c>
      <c r="BW38" s="23">
        <v>-187594.71</v>
      </c>
      <c r="BX38" s="23">
        <v>-179901.79</v>
      </c>
      <c r="BY38" s="23">
        <v>-184776.37</v>
      </c>
      <c r="BZ38" s="23">
        <v>-181137.17</v>
      </c>
      <c r="CA38" s="23">
        <v>-159318.81</v>
      </c>
      <c r="CB38" s="23">
        <v>-39635.760000000002</v>
      </c>
      <c r="CC38" s="23">
        <v>-8941.3799999999992</v>
      </c>
      <c r="CD38" s="23">
        <v>11126.17</v>
      </c>
      <c r="CE38" s="23">
        <v>7425.68</v>
      </c>
      <c r="CF38" s="23">
        <v>7696.4</v>
      </c>
      <c r="CG38" s="23">
        <v>9443.07</v>
      </c>
      <c r="CH38" s="23">
        <v>10317.040000000001</v>
      </c>
      <c r="CI38" s="23">
        <v>11210.33</v>
      </c>
      <c r="CJ38" s="22">
        <f>-'Sch 41&amp;86 Deferral Calc'!C30</f>
        <v>11532.2</v>
      </c>
      <c r="CK38" s="22">
        <f>-'Sch 41&amp;86 Deferral Calc'!D30</f>
        <v>12608.2</v>
      </c>
      <c r="CL38" s="22">
        <f>-'Sch 41&amp;86 Deferral Calc'!E30</f>
        <v>8901.32</v>
      </c>
      <c r="CM38" s="22">
        <f>-'Sch 41&amp;86 Deferral Calc'!F30</f>
        <v>8592.1</v>
      </c>
      <c r="CN38" s="22">
        <f>-'Sch 41&amp;86 Deferral Calc'!G30</f>
        <v>53861.77</v>
      </c>
      <c r="CO38" s="22">
        <f>-'Sch 41&amp;86 Deferral Calc'!H30</f>
        <v>89639.44</v>
      </c>
      <c r="CP38" s="22">
        <f>-'Sch 41&amp;86 Deferral Calc'!I30</f>
        <v>73632.87</v>
      </c>
      <c r="CQ38" s="22">
        <f>-'Sch 41&amp;86 Deferral Calc'!J30</f>
        <v>68144.039999999994</v>
      </c>
      <c r="CR38" s="22">
        <f>-'Sch 41&amp;86 Deferral Calc'!K30</f>
        <v>70868.34</v>
      </c>
      <c r="CS38" s="22">
        <f>-'Sch 41&amp;86 Deferral Calc'!L30</f>
        <v>95019.22</v>
      </c>
      <c r="CT38" s="22">
        <f>-'Sch 41&amp;86 Deferral Calc'!M30</f>
        <v>109267.03</v>
      </c>
      <c r="CU38" s="22">
        <f>-'Sch 41&amp;86 Deferral Calc'!N30</f>
        <v>114839.28</v>
      </c>
      <c r="CV38" s="22">
        <f>-'Sch 41&amp;86 Deferral Calc'!O30</f>
        <v>109898.03</v>
      </c>
      <c r="CW38" s="22">
        <f>-'Sch 41&amp;86 Deferral Calc'!P30</f>
        <v>130770.89</v>
      </c>
      <c r="CX38" s="22">
        <f>-'Amort Estimate'!D33</f>
        <v>117210.69947534816</v>
      </c>
      <c r="CY38" s="22">
        <f>-'Amort Estimate'!E33</f>
        <v>101162.58869076525</v>
      </c>
    </row>
    <row r="39" spans="1:104" x14ac:dyDescent="0.2">
      <c r="B39" s="7" t="s">
        <v>193</v>
      </c>
      <c r="D39" s="24">
        <f t="shared" ref="D39:CK39" si="190">SUM(D36:D38)</f>
        <v>0</v>
      </c>
      <c r="E39" s="24">
        <f t="shared" si="190"/>
        <v>0</v>
      </c>
      <c r="F39" s="24">
        <f t="shared" si="190"/>
        <v>0</v>
      </c>
      <c r="G39" s="24">
        <f t="shared" si="190"/>
        <v>0</v>
      </c>
      <c r="H39" s="24">
        <f t="shared" si="190"/>
        <v>0</v>
      </c>
      <c r="I39" s="24">
        <f t="shared" si="190"/>
        <v>0</v>
      </c>
      <c r="J39" s="24">
        <f t="shared" si="190"/>
        <v>0</v>
      </c>
      <c r="K39" s="24">
        <f t="shared" si="190"/>
        <v>0</v>
      </c>
      <c r="L39" s="24">
        <f t="shared" si="190"/>
        <v>0</v>
      </c>
      <c r="M39" s="24">
        <f t="shared" si="190"/>
        <v>0</v>
      </c>
      <c r="N39" s="24">
        <f t="shared" si="190"/>
        <v>0</v>
      </c>
      <c r="O39" s="24">
        <f t="shared" si="190"/>
        <v>0</v>
      </c>
      <c r="P39" s="24">
        <f t="shared" si="190"/>
        <v>0</v>
      </c>
      <c r="Q39" s="24">
        <f t="shared" si="190"/>
        <v>0</v>
      </c>
      <c r="R39" s="24">
        <f t="shared" si="190"/>
        <v>0</v>
      </c>
      <c r="S39" s="24">
        <f t="shared" si="190"/>
        <v>0</v>
      </c>
      <c r="T39" s="24">
        <f t="shared" si="190"/>
        <v>0</v>
      </c>
      <c r="U39" s="24">
        <f t="shared" si="190"/>
        <v>0</v>
      </c>
      <c r="V39" s="24">
        <f t="shared" si="190"/>
        <v>0</v>
      </c>
      <c r="W39" s="24">
        <f t="shared" si="190"/>
        <v>0</v>
      </c>
      <c r="X39" s="24">
        <f t="shared" si="190"/>
        <v>0</v>
      </c>
      <c r="Y39" s="24">
        <f t="shared" si="190"/>
        <v>0</v>
      </c>
      <c r="Z39" s="24">
        <f t="shared" si="190"/>
        <v>0</v>
      </c>
      <c r="AA39" s="24">
        <f t="shared" si="190"/>
        <v>0</v>
      </c>
      <c r="AB39" s="24">
        <f t="shared" si="190"/>
        <v>0</v>
      </c>
      <c r="AC39" s="24">
        <f t="shared" si="190"/>
        <v>0</v>
      </c>
      <c r="AD39" s="24">
        <f t="shared" si="190"/>
        <v>0</v>
      </c>
      <c r="AE39" s="24">
        <f t="shared" si="190"/>
        <v>0</v>
      </c>
      <c r="AF39" s="24">
        <f t="shared" si="190"/>
        <v>0</v>
      </c>
      <c r="AG39" s="24">
        <f t="shared" si="190"/>
        <v>0</v>
      </c>
      <c r="AH39" s="24">
        <f t="shared" si="190"/>
        <v>0</v>
      </c>
      <c r="AI39" s="24">
        <f t="shared" si="190"/>
        <v>0</v>
      </c>
      <c r="AJ39" s="24">
        <f t="shared" si="190"/>
        <v>0</v>
      </c>
      <c r="AK39" s="24">
        <f t="shared" si="190"/>
        <v>0</v>
      </c>
      <c r="AL39" s="24">
        <f t="shared" si="190"/>
        <v>0</v>
      </c>
      <c r="AM39" s="24">
        <f t="shared" si="190"/>
        <v>0</v>
      </c>
      <c r="AN39" s="24">
        <f t="shared" si="190"/>
        <v>0</v>
      </c>
      <c r="AO39" s="24">
        <f t="shared" si="190"/>
        <v>0</v>
      </c>
      <c r="AP39" s="24">
        <f t="shared" si="190"/>
        <v>0</v>
      </c>
      <c r="AQ39" s="24">
        <f t="shared" si="190"/>
        <v>0</v>
      </c>
      <c r="AR39" s="24">
        <f t="shared" si="190"/>
        <v>0</v>
      </c>
      <c r="AS39" s="24">
        <f t="shared" si="190"/>
        <v>0</v>
      </c>
      <c r="AT39" s="24">
        <f t="shared" si="190"/>
        <v>0</v>
      </c>
      <c r="AU39" s="24">
        <f t="shared" si="190"/>
        <v>0</v>
      </c>
      <c r="AV39" s="24">
        <f t="shared" si="190"/>
        <v>0</v>
      </c>
      <c r="AW39" s="24">
        <f t="shared" si="190"/>
        <v>0</v>
      </c>
      <c r="AX39" s="24">
        <f t="shared" si="190"/>
        <v>0</v>
      </c>
      <c r="AY39" s="24">
        <f t="shared" si="190"/>
        <v>0</v>
      </c>
      <c r="AZ39" s="24">
        <f t="shared" si="190"/>
        <v>0</v>
      </c>
      <c r="BA39" s="24">
        <f t="shared" si="190"/>
        <v>0</v>
      </c>
      <c r="BB39" s="24">
        <f t="shared" si="190"/>
        <v>0</v>
      </c>
      <c r="BC39" s="24">
        <f t="shared" si="190"/>
        <v>0</v>
      </c>
      <c r="BD39" s="24">
        <f t="shared" si="190"/>
        <v>0</v>
      </c>
      <c r="BE39" s="24">
        <f t="shared" si="190"/>
        <v>0</v>
      </c>
      <c r="BF39" s="24">
        <f t="shared" si="190"/>
        <v>0</v>
      </c>
      <c r="BG39" s="24">
        <f t="shared" si="190"/>
        <v>0</v>
      </c>
      <c r="BH39" s="24">
        <f t="shared" si="190"/>
        <v>0</v>
      </c>
      <c r="BI39" s="24">
        <f t="shared" si="190"/>
        <v>0</v>
      </c>
      <c r="BJ39" s="24">
        <f t="shared" si="190"/>
        <v>0</v>
      </c>
      <c r="BK39" s="24">
        <f t="shared" si="190"/>
        <v>-85799.86</v>
      </c>
      <c r="BL39" s="24">
        <f t="shared" ref="BL39:BW39" si="191">SUM(BL36:BL38)</f>
        <v>2526810.3771100002</v>
      </c>
      <c r="BM39" s="24">
        <f t="shared" si="191"/>
        <v>-249618.32</v>
      </c>
      <c r="BN39" s="24">
        <f t="shared" si="191"/>
        <v>-180798.06</v>
      </c>
      <c r="BO39" s="24">
        <f t="shared" si="191"/>
        <v>-184851.68</v>
      </c>
      <c r="BP39" s="24">
        <f t="shared" si="191"/>
        <v>-27301.64376634892</v>
      </c>
      <c r="BQ39" s="24">
        <f t="shared" si="191"/>
        <v>-111725.25</v>
      </c>
      <c r="BR39" s="24">
        <f t="shared" si="191"/>
        <v>-63469.59</v>
      </c>
      <c r="BS39" s="24">
        <f t="shared" si="191"/>
        <v>-161744.21</v>
      </c>
      <c r="BT39" s="24">
        <f t="shared" si="191"/>
        <v>-104332.22</v>
      </c>
      <c r="BU39" s="24">
        <f t="shared" si="191"/>
        <v>-133399.24</v>
      </c>
      <c r="BV39" s="24">
        <f t="shared" si="191"/>
        <v>-156237.47</v>
      </c>
      <c r="BW39" s="24">
        <f t="shared" si="191"/>
        <v>-187594.71</v>
      </c>
      <c r="BX39" s="24">
        <f t="shared" ref="BX39:CJ39" si="192">SUM(BX36:BX38)</f>
        <v>-179901.79</v>
      </c>
      <c r="BY39" s="24">
        <f t="shared" si="192"/>
        <v>-184776.37</v>
      </c>
      <c r="BZ39" s="24">
        <f t="shared" si="192"/>
        <v>-181137.17</v>
      </c>
      <c r="CA39" s="24">
        <f t="shared" si="192"/>
        <v>-159318.81</v>
      </c>
      <c r="CB39" s="24">
        <f t="shared" si="192"/>
        <v>-300644.63</v>
      </c>
      <c r="CC39" s="24">
        <f t="shared" si="192"/>
        <v>-8941.3799999999992</v>
      </c>
      <c r="CD39" s="24">
        <f t="shared" si="192"/>
        <v>11126.17</v>
      </c>
      <c r="CE39" s="24">
        <f t="shared" si="192"/>
        <v>7425.68</v>
      </c>
      <c r="CF39" s="24">
        <f t="shared" si="192"/>
        <v>7696.4</v>
      </c>
      <c r="CG39" s="24">
        <f t="shared" si="192"/>
        <v>9443.07</v>
      </c>
      <c r="CH39" s="24">
        <f t="shared" si="192"/>
        <v>10317.040000000001</v>
      </c>
      <c r="CI39" s="24">
        <f t="shared" si="192"/>
        <v>11210.33</v>
      </c>
      <c r="CJ39" s="24">
        <f t="shared" si="192"/>
        <v>11532.2</v>
      </c>
      <c r="CK39" s="24">
        <f t="shared" si="190"/>
        <v>12608.2</v>
      </c>
      <c r="CL39" s="24">
        <f t="shared" ref="CL39:CT39" si="193">SUM(CL36:CL38)</f>
        <v>8901.32</v>
      </c>
      <c r="CM39" s="24">
        <f t="shared" si="193"/>
        <v>8592.1</v>
      </c>
      <c r="CN39" s="24">
        <f t="shared" si="193"/>
        <v>-1116217.9099999999</v>
      </c>
      <c r="CO39" s="24">
        <f t="shared" si="193"/>
        <v>89639.44</v>
      </c>
      <c r="CP39" s="24">
        <f t="shared" si="193"/>
        <v>73632.87</v>
      </c>
      <c r="CQ39" s="24">
        <f t="shared" si="193"/>
        <v>68144.039999999994</v>
      </c>
      <c r="CR39" s="24">
        <f t="shared" si="193"/>
        <v>70868.34</v>
      </c>
      <c r="CS39" s="24">
        <f t="shared" si="193"/>
        <v>95019.22</v>
      </c>
      <c r="CT39" s="24">
        <f t="shared" si="193"/>
        <v>109267.03</v>
      </c>
      <c r="CU39" s="24">
        <f t="shared" ref="CU39:CY39" si="194">SUM(CU36:CU38)</f>
        <v>114839.28</v>
      </c>
      <c r="CV39" s="24">
        <f t="shared" si="194"/>
        <v>109898.03</v>
      </c>
      <c r="CW39" s="24">
        <f t="shared" si="194"/>
        <v>130770.89</v>
      </c>
      <c r="CX39" s="24">
        <f t="shared" si="194"/>
        <v>117210.69947534816</v>
      </c>
      <c r="CY39" s="24">
        <f t="shared" si="194"/>
        <v>101162.58869076525</v>
      </c>
    </row>
    <row r="40" spans="1:104" x14ac:dyDescent="0.2">
      <c r="B40" s="7" t="s">
        <v>194</v>
      </c>
      <c r="D40" s="17">
        <f>D35+D39</f>
        <v>0</v>
      </c>
      <c r="E40" s="17">
        <f t="shared" ref="E40:CK40" si="195">E35+E39</f>
        <v>0</v>
      </c>
      <c r="F40" s="17">
        <f t="shared" si="195"/>
        <v>0</v>
      </c>
      <c r="G40" s="17">
        <f t="shared" si="195"/>
        <v>0</v>
      </c>
      <c r="H40" s="17">
        <f t="shared" si="195"/>
        <v>0</v>
      </c>
      <c r="I40" s="17">
        <f t="shared" si="195"/>
        <v>0</v>
      </c>
      <c r="J40" s="17">
        <f t="shared" si="195"/>
        <v>0</v>
      </c>
      <c r="K40" s="17">
        <f t="shared" si="195"/>
        <v>0</v>
      </c>
      <c r="L40" s="17">
        <f t="shared" si="195"/>
        <v>0</v>
      </c>
      <c r="M40" s="17">
        <f t="shared" si="195"/>
        <v>0</v>
      </c>
      <c r="N40" s="17">
        <f t="shared" si="195"/>
        <v>0</v>
      </c>
      <c r="O40" s="17">
        <f t="shared" si="195"/>
        <v>0</v>
      </c>
      <c r="P40" s="17">
        <f t="shared" si="195"/>
        <v>0</v>
      </c>
      <c r="Q40" s="17">
        <f t="shared" si="195"/>
        <v>0</v>
      </c>
      <c r="R40" s="17">
        <f t="shared" si="195"/>
        <v>0</v>
      </c>
      <c r="S40" s="17">
        <f t="shared" si="195"/>
        <v>0</v>
      </c>
      <c r="T40" s="17">
        <f t="shared" si="195"/>
        <v>0</v>
      </c>
      <c r="U40" s="17">
        <f t="shared" si="195"/>
        <v>0</v>
      </c>
      <c r="V40" s="17">
        <f t="shared" si="195"/>
        <v>0</v>
      </c>
      <c r="W40" s="17">
        <f t="shared" si="195"/>
        <v>0</v>
      </c>
      <c r="X40" s="17">
        <f t="shared" si="195"/>
        <v>0</v>
      </c>
      <c r="Y40" s="17">
        <f t="shared" si="195"/>
        <v>0</v>
      </c>
      <c r="Z40" s="17">
        <f t="shared" si="195"/>
        <v>0</v>
      </c>
      <c r="AA40" s="17">
        <f t="shared" si="195"/>
        <v>0</v>
      </c>
      <c r="AB40" s="17">
        <f t="shared" si="195"/>
        <v>0</v>
      </c>
      <c r="AC40" s="17">
        <f t="shared" si="195"/>
        <v>0</v>
      </c>
      <c r="AD40" s="17">
        <f t="shared" si="195"/>
        <v>0</v>
      </c>
      <c r="AE40" s="17">
        <f t="shared" si="195"/>
        <v>0</v>
      </c>
      <c r="AF40" s="17">
        <f t="shared" si="195"/>
        <v>0</v>
      </c>
      <c r="AG40" s="17">
        <f t="shared" si="195"/>
        <v>0</v>
      </c>
      <c r="AH40" s="17">
        <f t="shared" si="195"/>
        <v>0</v>
      </c>
      <c r="AI40" s="17">
        <f t="shared" si="195"/>
        <v>0</v>
      </c>
      <c r="AJ40" s="17">
        <f t="shared" si="195"/>
        <v>0</v>
      </c>
      <c r="AK40" s="17">
        <f t="shared" si="195"/>
        <v>0</v>
      </c>
      <c r="AL40" s="17">
        <f t="shared" si="195"/>
        <v>0</v>
      </c>
      <c r="AM40" s="17">
        <f t="shared" si="195"/>
        <v>0</v>
      </c>
      <c r="AN40" s="17">
        <f t="shared" si="195"/>
        <v>0</v>
      </c>
      <c r="AO40" s="17">
        <f t="shared" si="195"/>
        <v>0</v>
      </c>
      <c r="AP40" s="17">
        <f t="shared" si="195"/>
        <v>0</v>
      </c>
      <c r="AQ40" s="17">
        <f t="shared" si="195"/>
        <v>0</v>
      </c>
      <c r="AR40" s="17">
        <f t="shared" si="195"/>
        <v>0</v>
      </c>
      <c r="AS40" s="17">
        <f t="shared" si="195"/>
        <v>0</v>
      </c>
      <c r="AT40" s="17">
        <f t="shared" si="195"/>
        <v>0</v>
      </c>
      <c r="AU40" s="17">
        <f t="shared" si="195"/>
        <v>0</v>
      </c>
      <c r="AV40" s="17">
        <f t="shared" si="195"/>
        <v>0</v>
      </c>
      <c r="AW40" s="17">
        <f t="shared" si="195"/>
        <v>0</v>
      </c>
      <c r="AX40" s="17">
        <f t="shared" si="195"/>
        <v>0</v>
      </c>
      <c r="AY40" s="17">
        <f t="shared" si="195"/>
        <v>0</v>
      </c>
      <c r="AZ40" s="17">
        <f t="shared" si="195"/>
        <v>0</v>
      </c>
      <c r="BA40" s="17">
        <f t="shared" si="195"/>
        <v>0</v>
      </c>
      <c r="BB40" s="17">
        <f t="shared" si="195"/>
        <v>0</v>
      </c>
      <c r="BC40" s="17">
        <f t="shared" si="195"/>
        <v>0</v>
      </c>
      <c r="BD40" s="17">
        <f t="shared" si="195"/>
        <v>0</v>
      </c>
      <c r="BE40" s="17">
        <f t="shared" si="195"/>
        <v>0</v>
      </c>
      <c r="BF40" s="17">
        <f t="shared" si="195"/>
        <v>0</v>
      </c>
      <c r="BG40" s="17">
        <f t="shared" si="195"/>
        <v>0</v>
      </c>
      <c r="BH40" s="17">
        <f t="shared" si="195"/>
        <v>0</v>
      </c>
      <c r="BI40" s="17">
        <f t="shared" si="195"/>
        <v>0</v>
      </c>
      <c r="BJ40" s="17">
        <f t="shared" si="195"/>
        <v>0</v>
      </c>
      <c r="BK40" s="17">
        <f t="shared" si="195"/>
        <v>-85799.86</v>
      </c>
      <c r="BL40" s="17">
        <f t="shared" ref="BL40:BW40" si="196">BL35+BL39</f>
        <v>2441010.5171100004</v>
      </c>
      <c r="BM40" s="17">
        <f t="shared" si="196"/>
        <v>2191392.1971100005</v>
      </c>
      <c r="BN40" s="17">
        <f t="shared" si="196"/>
        <v>2010594.1371100005</v>
      </c>
      <c r="BO40" s="17">
        <f t="shared" si="196"/>
        <v>1825742.4571100005</v>
      </c>
      <c r="BP40" s="17">
        <f t="shared" si="196"/>
        <v>1798440.8133436516</v>
      </c>
      <c r="BQ40" s="17">
        <f t="shared" si="196"/>
        <v>1686715.5633436516</v>
      </c>
      <c r="BR40" s="17">
        <f t="shared" si="196"/>
        <v>1623245.9733436515</v>
      </c>
      <c r="BS40" s="17">
        <f t="shared" si="196"/>
        <v>1461501.7633436515</v>
      </c>
      <c r="BT40" s="17">
        <f t="shared" si="196"/>
        <v>1357169.5433436516</v>
      </c>
      <c r="BU40" s="17">
        <f t="shared" si="196"/>
        <v>1223770.3033436516</v>
      </c>
      <c r="BV40" s="17">
        <f t="shared" si="196"/>
        <v>1067532.8333436516</v>
      </c>
      <c r="BW40" s="17">
        <f t="shared" si="196"/>
        <v>879938.12334365165</v>
      </c>
      <c r="BX40" s="17">
        <f t="shared" ref="BX40:CJ40" si="197">BX35+BX39</f>
        <v>700036.33334365161</v>
      </c>
      <c r="BY40" s="17">
        <f t="shared" si="197"/>
        <v>515259.96334365162</v>
      </c>
      <c r="BZ40" s="17">
        <f t="shared" si="197"/>
        <v>334122.79334365157</v>
      </c>
      <c r="CA40" s="17">
        <f t="shared" si="197"/>
        <v>174803.98334365158</v>
      </c>
      <c r="CB40" s="17">
        <f t="shared" si="197"/>
        <v>-125840.64665634843</v>
      </c>
      <c r="CC40" s="17">
        <f t="shared" si="197"/>
        <v>-134782.02665634843</v>
      </c>
      <c r="CD40" s="17">
        <f t="shared" si="197"/>
        <v>-123655.85665634843</v>
      </c>
      <c r="CE40" s="17">
        <f t="shared" si="197"/>
        <v>-116230.17665634843</v>
      </c>
      <c r="CF40" s="17">
        <f t="shared" si="197"/>
        <v>-108533.77665634843</v>
      </c>
      <c r="CG40" s="17">
        <f t="shared" si="197"/>
        <v>-99090.706656348426</v>
      </c>
      <c r="CH40" s="17">
        <f t="shared" si="197"/>
        <v>-88773.666656348418</v>
      </c>
      <c r="CI40" s="17">
        <f t="shared" si="197"/>
        <v>-77563.336656348416</v>
      </c>
      <c r="CJ40" s="17">
        <f t="shared" si="197"/>
        <v>-66031.136656348419</v>
      </c>
      <c r="CK40" s="17">
        <f t="shared" si="195"/>
        <v>-53422.936656348422</v>
      </c>
      <c r="CL40" s="17">
        <f t="shared" ref="CL40:CT40" si="198">CL35+CL39</f>
        <v>-44521.616656348422</v>
      </c>
      <c r="CM40" s="17">
        <f t="shared" si="198"/>
        <v>-35929.516656348424</v>
      </c>
      <c r="CN40" s="17">
        <f t="shared" si="198"/>
        <v>-1152147.4266563484</v>
      </c>
      <c r="CO40" s="17">
        <f t="shared" si="198"/>
        <v>-1062507.9866563485</v>
      </c>
      <c r="CP40" s="17">
        <f t="shared" si="198"/>
        <v>-988875.11665634846</v>
      </c>
      <c r="CQ40" s="17">
        <f t="shared" si="198"/>
        <v>-920731.07665634842</v>
      </c>
      <c r="CR40" s="17">
        <f t="shared" si="198"/>
        <v>-849862.73665634845</v>
      </c>
      <c r="CS40" s="17">
        <f t="shared" si="198"/>
        <v>-754843.51665634848</v>
      </c>
      <c r="CT40" s="17">
        <f t="shared" si="198"/>
        <v>-645576.48665634845</v>
      </c>
      <c r="CU40" s="17">
        <f t="shared" ref="CU40:CY40" si="199">CU35+CU39</f>
        <v>-530737.20665634843</v>
      </c>
      <c r="CV40" s="17">
        <f t="shared" si="199"/>
        <v>-420839.1766563484</v>
      </c>
      <c r="CW40" s="17">
        <f t="shared" si="199"/>
        <v>-290068.28665634838</v>
      </c>
      <c r="CX40" s="17">
        <f t="shared" si="199"/>
        <v>-172857.58718100021</v>
      </c>
      <c r="CY40" s="17">
        <f t="shared" si="199"/>
        <v>-71694.998490234968</v>
      </c>
    </row>
    <row r="41" spans="1:104" x14ac:dyDescent="0.2"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</row>
    <row r="42" spans="1:104" x14ac:dyDescent="0.2">
      <c r="A42" s="4" t="s">
        <v>198</v>
      </c>
      <c r="C42" s="15">
        <v>18238142</v>
      </c>
      <c r="F42" s="8"/>
      <c r="CU42" s="8"/>
      <c r="CX42" s="8"/>
      <c r="CY42" s="8"/>
    </row>
    <row r="43" spans="1:104" x14ac:dyDescent="0.2">
      <c r="B43" s="7" t="s">
        <v>190</v>
      </c>
      <c r="C43" s="15">
        <v>25400342</v>
      </c>
      <c r="D43" s="17">
        <v>0</v>
      </c>
      <c r="E43" s="17">
        <f>D49</f>
        <v>0</v>
      </c>
      <c r="F43" s="17">
        <f t="shared" ref="F43:CO43" si="200">E49</f>
        <v>0</v>
      </c>
      <c r="G43" s="17">
        <f t="shared" si="200"/>
        <v>0</v>
      </c>
      <c r="H43" s="17">
        <f t="shared" si="200"/>
        <v>0</v>
      </c>
      <c r="I43" s="17">
        <f t="shared" si="200"/>
        <v>0</v>
      </c>
      <c r="J43" s="17">
        <f t="shared" si="200"/>
        <v>0</v>
      </c>
      <c r="K43" s="17">
        <f t="shared" si="200"/>
        <v>948189.55861061451</v>
      </c>
      <c r="L43" s="17">
        <f t="shared" si="200"/>
        <v>1309380.914206563</v>
      </c>
      <c r="M43" s="17">
        <f t="shared" si="200"/>
        <v>1585414.1343927504</v>
      </c>
      <c r="N43" s="17">
        <f t="shared" si="200"/>
        <v>-1292661.2666015443</v>
      </c>
      <c r="O43" s="17">
        <f t="shared" si="200"/>
        <v>-1019644.9975526362</v>
      </c>
      <c r="P43" s="17">
        <f t="shared" si="200"/>
        <v>-5451693.8924886947</v>
      </c>
      <c r="Q43" s="17">
        <f t="shared" si="200"/>
        <v>-5883642.9405475566</v>
      </c>
      <c r="R43" s="17">
        <f t="shared" si="200"/>
        <v>-6890920.3557745451</v>
      </c>
      <c r="S43" s="17">
        <f t="shared" si="200"/>
        <v>-5107113.3438407267</v>
      </c>
      <c r="T43" s="17">
        <f t="shared" si="200"/>
        <v>-2660706.099599483</v>
      </c>
      <c r="U43" s="17">
        <f t="shared" si="200"/>
        <v>5805839.1381995417</v>
      </c>
      <c r="V43" s="17">
        <f t="shared" si="200"/>
        <v>6919630.2114182347</v>
      </c>
      <c r="W43" s="17">
        <f t="shared" si="200"/>
        <v>8026633.245574818</v>
      </c>
      <c r="X43" s="17">
        <f t="shared" si="200"/>
        <v>9051922.6478806362</v>
      </c>
      <c r="Y43" s="17">
        <f t="shared" si="200"/>
        <v>11137400.832769608</v>
      </c>
      <c r="Z43" s="17">
        <f t="shared" si="200"/>
        <v>16861799.080129482</v>
      </c>
      <c r="AA43" s="17">
        <f t="shared" si="200"/>
        <v>18421242.087891102</v>
      </c>
      <c r="AB43" s="17">
        <f t="shared" si="200"/>
        <v>23504773.279758234</v>
      </c>
      <c r="AC43" s="17">
        <f t="shared" si="200"/>
        <v>30135800.84475198</v>
      </c>
      <c r="AD43" s="17">
        <f t="shared" si="200"/>
        <v>41226697.414950356</v>
      </c>
      <c r="AE43" s="17">
        <f t="shared" si="200"/>
        <v>44927909.796243265</v>
      </c>
      <c r="AF43" s="17">
        <f t="shared" si="200"/>
        <v>47759894.536120407</v>
      </c>
      <c r="AG43" s="17">
        <f t="shared" si="200"/>
        <v>37617584.338868715</v>
      </c>
      <c r="AH43" s="17">
        <f t="shared" si="200"/>
        <v>40029651.535180777</v>
      </c>
      <c r="AI43" s="17">
        <f t="shared" si="200"/>
        <v>41784370.954414472</v>
      </c>
      <c r="AJ43" s="17">
        <f t="shared" si="200"/>
        <v>42807769.764948323</v>
      </c>
      <c r="AK43" s="17">
        <f t="shared" si="200"/>
        <v>43713451.087717578</v>
      </c>
      <c r="AL43" s="17">
        <f t="shared" si="200"/>
        <v>48950342.592510745</v>
      </c>
      <c r="AM43" s="17">
        <f t="shared" si="200"/>
        <v>49386298.475011207</v>
      </c>
      <c r="AN43" s="17">
        <f t="shared" si="200"/>
        <v>51590267.038251668</v>
      </c>
      <c r="AO43" s="17">
        <f t="shared" si="200"/>
        <v>54108520.22397361</v>
      </c>
      <c r="AP43" s="17">
        <f t="shared" si="200"/>
        <v>62352740.65854118</v>
      </c>
      <c r="AQ43" s="17">
        <f t="shared" si="200"/>
        <v>66827164.623767182</v>
      </c>
      <c r="AR43" s="17">
        <f t="shared" si="200"/>
        <v>74444070.725021631</v>
      </c>
      <c r="AS43" s="17">
        <f t="shared" si="200"/>
        <v>53650765.155978046</v>
      </c>
      <c r="AT43" s="17">
        <f t="shared" si="200"/>
        <v>55203724.259705514</v>
      </c>
      <c r="AU43" s="17">
        <f t="shared" si="200"/>
        <v>56020083.043803379</v>
      </c>
      <c r="AV43" s="17">
        <f t="shared" si="200"/>
        <v>57138080.592591062</v>
      </c>
      <c r="AW43" s="17">
        <f t="shared" si="200"/>
        <v>58317423.099107809</v>
      </c>
      <c r="AX43" s="17">
        <f t="shared" si="200"/>
        <v>61123938.86965885</v>
      </c>
      <c r="AY43" s="17">
        <f t="shared" si="200"/>
        <v>69907437.121819332</v>
      </c>
      <c r="AZ43" s="17">
        <f t="shared" si="200"/>
        <v>67008877.481961094</v>
      </c>
      <c r="BA43" s="17">
        <f t="shared" si="200"/>
        <v>61103428.351961091</v>
      </c>
      <c r="BB43" s="17">
        <f t="shared" si="200"/>
        <v>61930898.431961089</v>
      </c>
      <c r="BC43" s="17">
        <f t="shared" si="200"/>
        <v>62272516.471961088</v>
      </c>
      <c r="BD43" s="17">
        <f t="shared" si="200"/>
        <v>63637637.741961092</v>
      </c>
      <c r="BE43" s="17">
        <f t="shared" si="200"/>
        <v>42385959.391961098</v>
      </c>
      <c r="BF43" s="17">
        <f t="shared" si="200"/>
        <v>43477855.731961101</v>
      </c>
      <c r="BG43" s="17">
        <f t="shared" si="200"/>
        <v>44602172.691961102</v>
      </c>
      <c r="BH43" s="17">
        <f t="shared" si="200"/>
        <v>45661534.331961103</v>
      </c>
      <c r="BI43" s="17">
        <f t="shared" si="200"/>
        <v>47343191.751961105</v>
      </c>
      <c r="BJ43" s="17">
        <f t="shared" si="200"/>
        <v>47298062.251961105</v>
      </c>
      <c r="BK43" s="17">
        <f t="shared" si="200"/>
        <v>48666277.821961105</v>
      </c>
      <c r="BL43" s="17">
        <f t="shared" ref="BL43" si="201">BK49</f>
        <v>48106219.391961105</v>
      </c>
      <c r="BM43" s="17">
        <f t="shared" ref="BM43" si="202">BL49</f>
        <v>52122114.241961107</v>
      </c>
      <c r="BN43" s="17">
        <f t="shared" ref="BN43" si="203">BM49</f>
        <v>49790310.971961103</v>
      </c>
      <c r="BO43" s="17">
        <f t="shared" ref="BO43" si="204">BN49</f>
        <v>47683988.981961101</v>
      </c>
      <c r="BP43" s="17">
        <f t="shared" ref="BP43" si="205">BO49</f>
        <v>46029538.861961104</v>
      </c>
      <c r="BQ43" s="17">
        <f t="shared" ref="BQ43" si="206">BP49</f>
        <v>569295.06196109951</v>
      </c>
      <c r="BR43" s="17">
        <f t="shared" ref="BR43" si="207">BQ49</f>
        <v>984864.00196109945</v>
      </c>
      <c r="BS43" s="17">
        <f t="shared" ref="BS43" si="208">BR49</f>
        <v>1643080.9219610994</v>
      </c>
      <c r="BT43" s="17">
        <f t="shared" ref="BT43" si="209">BS49</f>
        <v>2057694.5919610993</v>
      </c>
      <c r="BU43" s="17">
        <f t="shared" ref="BU43" si="210">BT49</f>
        <v>2790361.0619610995</v>
      </c>
      <c r="BV43" s="17">
        <f t="shared" ref="BV43" si="211">BU49</f>
        <v>3417884.2319610994</v>
      </c>
      <c r="BW43" s="17">
        <f t="shared" ref="BW43" si="212">BV49</f>
        <v>4241976.5419611</v>
      </c>
      <c r="BX43" s="17">
        <f t="shared" ref="BX43" si="213">BW49</f>
        <v>8679582.1019610986</v>
      </c>
      <c r="BY43" s="17">
        <f t="shared" ref="BY43" si="214">BX49</f>
        <v>11756480.441961098</v>
      </c>
      <c r="BZ43" s="17">
        <f t="shared" ref="BZ43" si="215">BY49</f>
        <v>4199202.5819610981</v>
      </c>
      <c r="CA43" s="17">
        <f t="shared" ref="CA43" si="216">BZ49</f>
        <v>5491121.1319610979</v>
      </c>
      <c r="CB43" s="17">
        <f t="shared" ref="CB43" si="217">CA49</f>
        <v>7535959.3819610979</v>
      </c>
      <c r="CC43" s="17">
        <f t="shared" ref="CC43" si="218">CB49</f>
        <v>1198266.0299999993</v>
      </c>
      <c r="CD43" s="17">
        <f t="shared" ref="CD43" si="219">CC49</f>
        <v>1833873.2899999993</v>
      </c>
      <c r="CE43" s="17">
        <f t="shared" ref="CE43" si="220">CD49</f>
        <v>1764389.2799999993</v>
      </c>
      <c r="CF43" s="17">
        <f t="shared" ref="CF43" si="221">CE49</f>
        <v>1787116.5899999994</v>
      </c>
      <c r="CG43" s="17">
        <f t="shared" ref="CG43" si="222">CF49</f>
        <v>3107848.3599999994</v>
      </c>
      <c r="CH43" s="17">
        <f t="shared" ref="CH43" si="223">CG49</f>
        <v>1010727.9099999995</v>
      </c>
      <c r="CI43" s="17">
        <f t="shared" ref="CI43" si="224">CH49</f>
        <v>3361222.459999999</v>
      </c>
      <c r="CJ43" s="17">
        <f t="shared" ref="CJ43" si="225">CI49</f>
        <v>4929971.0699999994</v>
      </c>
      <c r="CK43" s="17">
        <f t="shared" si="200"/>
        <v>9167674.6899999995</v>
      </c>
      <c r="CL43" s="17">
        <f t="shared" si="200"/>
        <v>6887975.9199999999</v>
      </c>
      <c r="CM43" s="17">
        <f t="shared" si="200"/>
        <v>6241140.79</v>
      </c>
      <c r="CN43" s="17">
        <f t="shared" si="200"/>
        <v>7783227.1899999995</v>
      </c>
      <c r="CO43" s="17">
        <f t="shared" si="200"/>
        <v>4139134.71</v>
      </c>
      <c r="CP43" s="17">
        <f t="shared" ref="CP43:CY43" si="226">CO49</f>
        <v>3359623.98</v>
      </c>
      <c r="CQ43" s="17">
        <f t="shared" si="226"/>
        <v>2713421.45</v>
      </c>
      <c r="CR43" s="17">
        <f t="shared" si="226"/>
        <v>2458558.1500000004</v>
      </c>
      <c r="CS43" s="17">
        <f t="shared" si="226"/>
        <v>4622511.24</v>
      </c>
      <c r="CT43" s="17">
        <f t="shared" si="226"/>
        <v>6560203.5800000001</v>
      </c>
      <c r="CU43" s="17">
        <f t="shared" si="226"/>
        <v>7265696.5300000003</v>
      </c>
      <c r="CV43" s="17">
        <f t="shared" si="226"/>
        <v>13065205.890000001</v>
      </c>
      <c r="CW43" s="17">
        <f t="shared" si="226"/>
        <v>16448160.690000001</v>
      </c>
      <c r="CX43" s="17">
        <f t="shared" si="226"/>
        <v>13777790.140000001</v>
      </c>
      <c r="CY43" s="17">
        <f t="shared" si="226"/>
        <v>13777790.140000001</v>
      </c>
    </row>
    <row r="44" spans="1:104" s="25" customFormat="1" x14ac:dyDescent="0.2">
      <c r="B44" s="21" t="s">
        <v>191</v>
      </c>
      <c r="C44" s="11"/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5451693.8924886901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  <c r="AA44" s="23">
        <v>0</v>
      </c>
      <c r="AB44" s="23">
        <v>0</v>
      </c>
      <c r="AC44" s="23">
        <v>0</v>
      </c>
      <c r="AD44" s="23">
        <v>0</v>
      </c>
      <c r="AE44" s="23">
        <v>0</v>
      </c>
      <c r="AF44" s="23">
        <v>-13317115.033646883</v>
      </c>
      <c r="AG44" s="23">
        <v>0</v>
      </c>
      <c r="AH44" s="23">
        <v>0</v>
      </c>
      <c r="AI44" s="23">
        <v>0</v>
      </c>
      <c r="AJ44" s="23">
        <v>0</v>
      </c>
      <c r="AK44" s="23">
        <v>0</v>
      </c>
      <c r="AL44" s="23">
        <v>0</v>
      </c>
      <c r="AM44" s="23">
        <v>0</v>
      </c>
      <c r="AN44" s="23">
        <v>0</v>
      </c>
      <c r="AO44" s="23">
        <v>0</v>
      </c>
      <c r="AP44" s="23">
        <v>0</v>
      </c>
      <c r="AQ44" s="23">
        <v>0</v>
      </c>
      <c r="AR44" s="23">
        <v>-24120599.683439501</v>
      </c>
      <c r="AS44" s="23">
        <v>0</v>
      </c>
      <c r="AT44" s="23">
        <v>0</v>
      </c>
      <c r="AU44" s="23">
        <v>0</v>
      </c>
      <c r="AV44" s="23">
        <v>0</v>
      </c>
      <c r="AW44" s="23">
        <v>0</v>
      </c>
      <c r="AX44" s="23">
        <v>0</v>
      </c>
      <c r="AY44" s="23">
        <v>0</v>
      </c>
      <c r="AZ44" s="23">
        <v>0</v>
      </c>
      <c r="BA44" s="23">
        <v>0</v>
      </c>
      <c r="BB44" s="23">
        <v>0</v>
      </c>
      <c r="BC44" s="23">
        <v>0</v>
      </c>
      <c r="BD44" s="23">
        <v>-21668662.969999999</v>
      </c>
      <c r="BE44" s="23">
        <v>0</v>
      </c>
      <c r="BF44" s="23">
        <v>0</v>
      </c>
      <c r="BG44" s="23">
        <v>0</v>
      </c>
      <c r="BH44" s="23">
        <v>0</v>
      </c>
      <c r="BI44" s="23">
        <v>0</v>
      </c>
      <c r="BJ44" s="23">
        <v>0</v>
      </c>
      <c r="BK44" s="23">
        <v>0</v>
      </c>
      <c r="BL44" s="23">
        <v>0</v>
      </c>
      <c r="BM44" s="23">
        <v>0</v>
      </c>
      <c r="BN44" s="23">
        <v>0</v>
      </c>
      <c r="BO44" s="23">
        <v>0</v>
      </c>
      <c r="BP44" s="23">
        <v>-48106199.670000002</v>
      </c>
      <c r="BQ44" s="23">
        <v>0</v>
      </c>
      <c r="BR44" s="23">
        <v>0</v>
      </c>
      <c r="BS44" s="23">
        <v>0</v>
      </c>
      <c r="BT44" s="23">
        <v>0</v>
      </c>
      <c r="BU44" s="23">
        <v>0</v>
      </c>
      <c r="BV44" s="23">
        <v>0</v>
      </c>
      <c r="BW44" s="23">
        <v>0</v>
      </c>
      <c r="BX44" s="23">
        <v>0</v>
      </c>
      <c r="BY44" s="23">
        <v>0</v>
      </c>
      <c r="BZ44" s="23">
        <v>0</v>
      </c>
      <c r="CA44" s="23">
        <v>0</v>
      </c>
      <c r="CB44" s="23">
        <v>-8679582.1019610986</v>
      </c>
      <c r="CC44" s="23">
        <v>0</v>
      </c>
      <c r="CD44" s="23">
        <v>0</v>
      </c>
      <c r="CE44" s="23">
        <v>0</v>
      </c>
      <c r="CF44" s="23">
        <v>0</v>
      </c>
      <c r="CG44" s="23">
        <v>0</v>
      </c>
      <c r="CH44" s="23">
        <v>0</v>
      </c>
      <c r="CI44" s="23">
        <v>0</v>
      </c>
      <c r="CJ44" s="23">
        <v>0</v>
      </c>
      <c r="CK44" s="194">
        <v>0</v>
      </c>
      <c r="CL44" s="194">
        <v>0</v>
      </c>
      <c r="CM44" s="194">
        <v>0</v>
      </c>
      <c r="CN44" s="194">
        <v>-4929971.0699999994</v>
      </c>
      <c r="CO44" s="194">
        <v>0</v>
      </c>
      <c r="CP44" s="194">
        <v>0</v>
      </c>
      <c r="CQ44" s="194">
        <v>0</v>
      </c>
      <c r="CR44" s="23">
        <v>0</v>
      </c>
      <c r="CS44" s="23">
        <v>0</v>
      </c>
      <c r="CT44" s="23">
        <v>0</v>
      </c>
      <c r="CU44" s="23">
        <v>0</v>
      </c>
      <c r="CV44" s="23">
        <v>0</v>
      </c>
      <c r="CW44" s="23">
        <v>0</v>
      </c>
      <c r="CX44" s="23"/>
      <c r="CY44" s="23"/>
    </row>
    <row r="45" spans="1:104" s="21" customFormat="1" x14ac:dyDescent="0.2">
      <c r="A45" s="25"/>
      <c r="B45" s="21" t="s">
        <v>383</v>
      </c>
      <c r="C45" s="11"/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-4007313.2348715151</v>
      </c>
      <c r="AE45" s="23">
        <v>-398973.27444359008</v>
      </c>
      <c r="AF45" s="23">
        <v>13602.820653037168</v>
      </c>
      <c r="AG45" s="23">
        <v>-2678.5843998761848</v>
      </c>
      <c r="AH45" s="23">
        <v>-524.31119779497385</v>
      </c>
      <c r="AI45" s="23">
        <v>0</v>
      </c>
      <c r="AJ45" s="23">
        <v>0</v>
      </c>
      <c r="AK45" s="23">
        <v>0</v>
      </c>
      <c r="AL45" s="23">
        <v>0</v>
      </c>
      <c r="AM45" s="23">
        <v>0</v>
      </c>
      <c r="AN45" s="23">
        <v>0</v>
      </c>
      <c r="AO45" s="23">
        <v>0</v>
      </c>
      <c r="AP45" s="23">
        <v>0</v>
      </c>
      <c r="AQ45" s="23">
        <v>0</v>
      </c>
      <c r="AR45" s="23">
        <v>0</v>
      </c>
      <c r="AS45" s="23">
        <v>0</v>
      </c>
      <c r="AT45" s="23">
        <v>0</v>
      </c>
      <c r="AU45" s="23">
        <v>0</v>
      </c>
      <c r="AV45" s="23">
        <v>0</v>
      </c>
      <c r="AW45" s="23">
        <v>0</v>
      </c>
      <c r="AX45" s="23">
        <v>0</v>
      </c>
      <c r="AY45" s="23">
        <v>0</v>
      </c>
      <c r="AZ45" s="23">
        <v>0</v>
      </c>
      <c r="BA45" s="23">
        <v>0</v>
      </c>
      <c r="BB45" s="23">
        <v>0</v>
      </c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  <c r="BI45" s="23">
        <v>0</v>
      </c>
      <c r="BJ45" s="23">
        <v>0</v>
      </c>
      <c r="BK45" s="23">
        <v>0</v>
      </c>
      <c r="BL45" s="23">
        <v>0</v>
      </c>
      <c r="BM45" s="23">
        <v>0</v>
      </c>
      <c r="BN45" s="23">
        <v>0</v>
      </c>
      <c r="BO45" s="23">
        <v>0</v>
      </c>
      <c r="BP45" s="23">
        <v>0</v>
      </c>
      <c r="BQ45" s="23">
        <v>0</v>
      </c>
      <c r="BR45" s="23">
        <v>0</v>
      </c>
      <c r="BS45" s="23">
        <v>0</v>
      </c>
      <c r="BT45" s="23">
        <v>0</v>
      </c>
      <c r="BU45" s="23">
        <v>0</v>
      </c>
      <c r="BV45" s="23">
        <v>0</v>
      </c>
      <c r="BW45" s="23">
        <v>0</v>
      </c>
      <c r="BX45" s="23">
        <v>0</v>
      </c>
      <c r="BY45" s="23">
        <v>0</v>
      </c>
      <c r="BZ45" s="23">
        <v>0</v>
      </c>
      <c r="CA45" s="23">
        <v>0</v>
      </c>
      <c r="CB45" s="23">
        <v>0</v>
      </c>
      <c r="CC45" s="23">
        <v>0</v>
      </c>
      <c r="CD45" s="23">
        <v>0</v>
      </c>
      <c r="CE45" s="23">
        <v>0</v>
      </c>
      <c r="CF45" s="23">
        <v>0</v>
      </c>
      <c r="CG45" s="23">
        <v>0</v>
      </c>
      <c r="CH45" s="23">
        <v>0</v>
      </c>
      <c r="CI45" s="23">
        <v>0</v>
      </c>
      <c r="CJ45" s="23">
        <v>0</v>
      </c>
      <c r="CK45" s="194">
        <v>0</v>
      </c>
      <c r="CL45" s="194">
        <v>0</v>
      </c>
      <c r="CM45" s="194">
        <v>0</v>
      </c>
      <c r="CN45" s="194">
        <v>0</v>
      </c>
      <c r="CO45" s="194">
        <v>0</v>
      </c>
      <c r="CP45" s="194">
        <v>0</v>
      </c>
      <c r="CQ45" s="194">
        <v>0</v>
      </c>
      <c r="CR45" s="23">
        <v>0</v>
      </c>
      <c r="CS45" s="23">
        <v>0</v>
      </c>
      <c r="CT45" s="23">
        <v>0</v>
      </c>
      <c r="CU45" s="23">
        <v>0</v>
      </c>
      <c r="CV45" s="23">
        <v>0</v>
      </c>
      <c r="CW45" s="23">
        <v>0</v>
      </c>
      <c r="CX45" s="23"/>
      <c r="CY45" s="23"/>
      <c r="CZ45" s="25"/>
    </row>
    <row r="46" spans="1:104" s="21" customFormat="1" x14ac:dyDescent="0.2">
      <c r="A46" s="25"/>
      <c r="B46" s="21" t="s">
        <v>447</v>
      </c>
      <c r="C46" s="11"/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  <c r="AC46" s="23"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3">
        <v>0</v>
      </c>
      <c r="AL46" s="23">
        <v>0</v>
      </c>
      <c r="AM46" s="23">
        <v>0</v>
      </c>
      <c r="AN46" s="23">
        <v>0</v>
      </c>
      <c r="AO46" s="23">
        <v>0</v>
      </c>
      <c r="AP46" s="23">
        <v>0</v>
      </c>
      <c r="AQ46" s="23">
        <v>0</v>
      </c>
      <c r="AR46" s="23">
        <v>0</v>
      </c>
      <c r="AS46" s="23">
        <v>0</v>
      </c>
      <c r="AT46" s="23">
        <v>0</v>
      </c>
      <c r="AU46" s="23">
        <v>0</v>
      </c>
      <c r="AV46" s="23">
        <v>0</v>
      </c>
      <c r="AW46" s="23">
        <v>0</v>
      </c>
      <c r="AX46" s="23">
        <v>0</v>
      </c>
      <c r="AY46" s="23">
        <v>0</v>
      </c>
      <c r="AZ46" s="23">
        <v>0</v>
      </c>
      <c r="BA46" s="23">
        <v>0</v>
      </c>
      <c r="BB46" s="23">
        <v>0</v>
      </c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  <c r="BI46" s="23">
        <v>0</v>
      </c>
      <c r="BJ46" s="23">
        <v>0</v>
      </c>
      <c r="BK46" s="23">
        <v>0</v>
      </c>
      <c r="BL46" s="23">
        <v>0</v>
      </c>
      <c r="BM46" s="23">
        <v>0</v>
      </c>
      <c r="BN46" s="23">
        <v>0</v>
      </c>
      <c r="BO46" s="23">
        <v>0</v>
      </c>
      <c r="BP46" s="23">
        <v>0</v>
      </c>
      <c r="BQ46" s="23">
        <v>0</v>
      </c>
      <c r="BR46" s="23">
        <v>0</v>
      </c>
      <c r="BS46" s="23">
        <v>0</v>
      </c>
      <c r="BT46" s="23">
        <v>0</v>
      </c>
      <c r="BU46" s="23">
        <v>0</v>
      </c>
      <c r="BV46" s="23">
        <v>0</v>
      </c>
      <c r="BW46" s="23">
        <v>0</v>
      </c>
      <c r="BX46" s="23">
        <v>0</v>
      </c>
      <c r="BY46" s="23">
        <v>0</v>
      </c>
      <c r="BZ46" s="23">
        <v>0</v>
      </c>
      <c r="CA46" s="23">
        <v>0</v>
      </c>
      <c r="CB46" s="23">
        <v>0</v>
      </c>
      <c r="CC46" s="23">
        <v>0</v>
      </c>
      <c r="CD46" s="23">
        <v>0</v>
      </c>
      <c r="CE46" s="23">
        <v>0</v>
      </c>
      <c r="CF46" s="23">
        <v>0</v>
      </c>
      <c r="CG46" s="23">
        <v>0</v>
      </c>
      <c r="CH46" s="23">
        <v>0</v>
      </c>
      <c r="CI46" s="23">
        <v>0</v>
      </c>
      <c r="CJ46" s="23">
        <v>0</v>
      </c>
      <c r="CK46" s="23">
        <v>0</v>
      </c>
      <c r="CL46" s="23">
        <v>0</v>
      </c>
      <c r="CM46" s="194">
        <v>269.93</v>
      </c>
      <c r="CN46" s="194">
        <v>0</v>
      </c>
      <c r="CO46" s="194">
        <v>0</v>
      </c>
      <c r="CP46" s="194">
        <v>0</v>
      </c>
      <c r="CQ46" s="194">
        <v>0</v>
      </c>
      <c r="CR46" s="194">
        <v>0</v>
      </c>
      <c r="CS46" s="194">
        <v>0</v>
      </c>
      <c r="CT46" s="194">
        <v>0</v>
      </c>
      <c r="CU46" s="194">
        <v>0</v>
      </c>
      <c r="CV46" s="194">
        <v>0</v>
      </c>
      <c r="CW46" s="194">
        <v>0</v>
      </c>
      <c r="CX46" s="194"/>
      <c r="CY46" s="194"/>
      <c r="CZ46" s="25"/>
    </row>
    <row r="47" spans="1:104" x14ac:dyDescent="0.2">
      <c r="A47" s="21"/>
      <c r="B47" s="21" t="s">
        <v>199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948189.55861061451</v>
      </c>
      <c r="K47" s="23">
        <v>361191.35559594858</v>
      </c>
      <c r="L47" s="23">
        <v>276033.22018618736</v>
      </c>
      <c r="M47" s="23">
        <v>-2878075.4009942948</v>
      </c>
      <c r="N47" s="23">
        <v>273016.26904890814</v>
      </c>
      <c r="O47" s="23">
        <v>-4432048.8949360587</v>
      </c>
      <c r="P47" s="23">
        <v>-431949.04805886181</v>
      </c>
      <c r="Q47" s="23">
        <v>-1007277.4152269885</v>
      </c>
      <c r="R47" s="23">
        <v>1783807.0119338187</v>
      </c>
      <c r="S47" s="23">
        <v>2446407.2442412437</v>
      </c>
      <c r="T47" s="23">
        <v>3014851.3453103346</v>
      </c>
      <c r="U47" s="23">
        <v>1113791.0732186933</v>
      </c>
      <c r="V47" s="23">
        <v>1107003.0341565832</v>
      </c>
      <c r="W47" s="23">
        <v>1025289.4023058179</v>
      </c>
      <c r="X47" s="23">
        <v>2085478.1848889724</v>
      </c>
      <c r="Y47" s="23">
        <v>5724398.2473598737</v>
      </c>
      <c r="Z47" s="23">
        <v>1559443.0077616186</v>
      </c>
      <c r="AA47" s="23">
        <v>5083531.1918671317</v>
      </c>
      <c r="AB47" s="23">
        <v>6631027.5649937475</v>
      </c>
      <c r="AC47" s="23">
        <v>11090896.570198379</v>
      </c>
      <c r="AD47" s="23">
        <v>7708525.6161644282</v>
      </c>
      <c r="AE47" s="23">
        <v>3230958.0143207326</v>
      </c>
      <c r="AF47" s="23">
        <v>3161202.0157421548</v>
      </c>
      <c r="AG47" s="23">
        <v>2414745.7807119414</v>
      </c>
      <c r="AH47" s="23">
        <v>1755243.7304314866</v>
      </c>
      <c r="AI47" s="23">
        <v>1023398.8105338494</v>
      </c>
      <c r="AJ47" s="23">
        <v>905681.32276925654</v>
      </c>
      <c r="AK47" s="23">
        <v>5236891.5047931699</v>
      </c>
      <c r="AL47" s="23">
        <v>435955.8825004641</v>
      </c>
      <c r="AM47" s="23">
        <v>2203968.5632404643</v>
      </c>
      <c r="AN47" s="23">
        <v>2518253.1857219427</v>
      </c>
      <c r="AO47" s="23">
        <v>8244220.4345675725</v>
      </c>
      <c r="AP47" s="23">
        <v>4474423.965226003</v>
      </c>
      <c r="AQ47" s="23">
        <v>7616906.1012544511</v>
      </c>
      <c r="AR47" s="23">
        <v>3327294.1143959179</v>
      </c>
      <c r="AS47" s="23">
        <v>1552959.103727466</v>
      </c>
      <c r="AT47" s="23">
        <v>816358.78409786616</v>
      </c>
      <c r="AU47" s="23">
        <v>1117997.5487876867</v>
      </c>
      <c r="AV47" s="23">
        <v>1179342.5065167502</v>
      </c>
      <c r="AW47" s="23">
        <v>2806515.7705510389</v>
      </c>
      <c r="AX47" s="23">
        <v>8783498.2521604802</v>
      </c>
      <c r="AY47" s="23">
        <v>-2898559.6398582365</v>
      </c>
      <c r="AZ47" s="23">
        <v>-5905449.1299999999</v>
      </c>
      <c r="BA47" s="23">
        <v>827470.08</v>
      </c>
      <c r="BB47" s="23">
        <v>341618.04</v>
      </c>
      <c r="BC47" s="23">
        <v>1365121.27</v>
      </c>
      <c r="BD47" s="23">
        <v>416984.62</v>
      </c>
      <c r="BE47" s="23">
        <v>1091896.3400000001</v>
      </c>
      <c r="BF47" s="23">
        <v>1124316.96</v>
      </c>
      <c r="BG47" s="23">
        <v>1059361.6399999999</v>
      </c>
      <c r="BH47" s="23">
        <v>1681657.42</v>
      </c>
      <c r="BI47" s="23">
        <v>-45129.5</v>
      </c>
      <c r="BJ47" s="23">
        <v>1368215.57</v>
      </c>
      <c r="BK47" s="23">
        <v>-560058.42999999993</v>
      </c>
      <c r="BL47" s="23">
        <v>4015894.85</v>
      </c>
      <c r="BM47" s="23">
        <v>-2331803.27</v>
      </c>
      <c r="BN47" s="23">
        <v>-2106321.9900000002</v>
      </c>
      <c r="BO47" s="23">
        <v>-1654450.12</v>
      </c>
      <c r="BP47" s="23">
        <v>2645955.87</v>
      </c>
      <c r="BQ47" s="23">
        <v>415568.94</v>
      </c>
      <c r="BR47" s="23">
        <v>658216.92000000004</v>
      </c>
      <c r="BS47" s="23">
        <v>414613.67</v>
      </c>
      <c r="BT47" s="23">
        <v>732666.47</v>
      </c>
      <c r="BU47" s="23">
        <v>627523.17000000004</v>
      </c>
      <c r="BV47" s="23">
        <v>824092.31</v>
      </c>
      <c r="BW47" s="23">
        <v>4437605.5599999996</v>
      </c>
      <c r="BX47" s="23">
        <v>3076898.34</v>
      </c>
      <c r="BY47" s="23">
        <v>-7557277.8600000003</v>
      </c>
      <c r="BZ47" s="23">
        <v>1291918.55</v>
      </c>
      <c r="CA47" s="23">
        <v>2044838.25</v>
      </c>
      <c r="CB47" s="23">
        <v>2341888.75</v>
      </c>
      <c r="CC47" s="23">
        <v>635607.26</v>
      </c>
      <c r="CD47" s="23">
        <v>-69484.009999999995</v>
      </c>
      <c r="CE47" s="23">
        <v>22727.31</v>
      </c>
      <c r="CF47" s="23">
        <v>1320731.77</v>
      </c>
      <c r="CG47" s="23">
        <v>-2097120.45</v>
      </c>
      <c r="CH47" s="23">
        <v>2350494.5499999998</v>
      </c>
      <c r="CI47" s="23">
        <v>1568748.61</v>
      </c>
      <c r="CJ47" s="22">
        <f>'Sch23&amp;53 Deferral Calc'!C40</f>
        <v>4237703.62</v>
      </c>
      <c r="CK47" s="22">
        <f>'Sch23&amp;53 Deferral Calc'!D40</f>
        <v>-2279698.77</v>
      </c>
      <c r="CL47" s="22">
        <f>'Sch23&amp;53 Deferral Calc'!E40</f>
        <v>-646835.13</v>
      </c>
      <c r="CM47" s="22">
        <f>'Sch23&amp;53 Deferral Calc'!F40</f>
        <v>1541816.47</v>
      </c>
      <c r="CN47" s="22">
        <f>'Sch23&amp;53 Deferral Calc'!G40</f>
        <v>1285878.5900000001</v>
      </c>
      <c r="CO47" s="22">
        <f>'Sch23&amp;53 Deferral Calc'!H40</f>
        <v>-779510.73</v>
      </c>
      <c r="CP47" s="22">
        <f>'Sch23&amp;53 Deferral Calc'!I40</f>
        <v>-646202.53</v>
      </c>
      <c r="CQ47" s="22">
        <f>'Sch23&amp;53 Deferral Calc'!J40</f>
        <v>-254863.3</v>
      </c>
      <c r="CR47" s="22">
        <f>'Sch23&amp;53 Deferral Calc'!K40</f>
        <v>2163953.09</v>
      </c>
      <c r="CS47" s="22">
        <f>'Sch23&amp;53 Deferral Calc'!L40</f>
        <v>1937692.34</v>
      </c>
      <c r="CT47" s="22">
        <f>'Sch23&amp;53 Deferral Calc'!M40</f>
        <v>705492.95</v>
      </c>
      <c r="CU47" s="22">
        <f>'Sch23&amp;53 Deferral Calc'!N40</f>
        <v>5799509.3600000003</v>
      </c>
      <c r="CV47" s="22">
        <f>'Sch23&amp;53 Deferral Calc'!O40</f>
        <v>3382954.8</v>
      </c>
      <c r="CW47" s="22">
        <f>'Sch23&amp;53 Deferral Calc'!P40</f>
        <v>-2670370.5499999998</v>
      </c>
      <c r="CX47" s="23"/>
      <c r="CY47" s="23"/>
      <c r="CZ47" s="21"/>
    </row>
    <row r="48" spans="1:104" x14ac:dyDescent="0.2">
      <c r="B48" s="7" t="s">
        <v>193</v>
      </c>
      <c r="D48" s="24">
        <f t="shared" ref="D48:O48" si="227">SUM(D44:D47)</f>
        <v>0</v>
      </c>
      <c r="E48" s="24">
        <f t="shared" si="227"/>
        <v>0</v>
      </c>
      <c r="F48" s="24">
        <f t="shared" si="227"/>
        <v>0</v>
      </c>
      <c r="G48" s="24">
        <f t="shared" si="227"/>
        <v>0</v>
      </c>
      <c r="H48" s="24">
        <f t="shared" si="227"/>
        <v>0</v>
      </c>
      <c r="I48" s="24">
        <f t="shared" si="227"/>
        <v>0</v>
      </c>
      <c r="J48" s="24">
        <f>SUM(J44:J47)</f>
        <v>948189.55861061451</v>
      </c>
      <c r="K48" s="24">
        <f t="shared" si="227"/>
        <v>361191.35559594858</v>
      </c>
      <c r="L48" s="24">
        <f t="shared" si="227"/>
        <v>276033.22018618736</v>
      </c>
      <c r="M48" s="24">
        <f t="shared" si="227"/>
        <v>-2878075.4009942948</v>
      </c>
      <c r="N48" s="24">
        <f t="shared" si="227"/>
        <v>273016.26904890814</v>
      </c>
      <c r="O48" s="24">
        <f t="shared" si="227"/>
        <v>-4432048.8949360587</v>
      </c>
      <c r="P48" s="24">
        <f>SUM(P44:P47)</f>
        <v>-431949.04805886181</v>
      </c>
      <c r="Q48" s="24">
        <f>SUM(Q44:Q47)</f>
        <v>-1007277.4152269885</v>
      </c>
      <c r="R48" s="24">
        <f t="shared" ref="R48:CK48" si="228">SUM(R44:R47)</f>
        <v>1783807.0119338187</v>
      </c>
      <c r="S48" s="24">
        <f t="shared" si="228"/>
        <v>2446407.2442412437</v>
      </c>
      <c r="T48" s="24">
        <f t="shared" si="228"/>
        <v>8466545.2377990242</v>
      </c>
      <c r="U48" s="24">
        <f t="shared" si="228"/>
        <v>1113791.0732186933</v>
      </c>
      <c r="V48" s="24">
        <f t="shared" si="228"/>
        <v>1107003.0341565832</v>
      </c>
      <c r="W48" s="24">
        <f t="shared" si="228"/>
        <v>1025289.4023058179</v>
      </c>
      <c r="X48" s="24">
        <f t="shared" si="228"/>
        <v>2085478.1848889724</v>
      </c>
      <c r="Y48" s="24">
        <f t="shared" si="228"/>
        <v>5724398.2473598737</v>
      </c>
      <c r="Z48" s="24">
        <f t="shared" si="228"/>
        <v>1559443.0077616186</v>
      </c>
      <c r="AA48" s="24">
        <f t="shared" si="228"/>
        <v>5083531.1918671317</v>
      </c>
      <c r="AB48" s="24">
        <f t="shared" si="228"/>
        <v>6631027.5649937475</v>
      </c>
      <c r="AC48" s="24">
        <f t="shared" si="228"/>
        <v>11090896.570198379</v>
      </c>
      <c r="AD48" s="24">
        <f t="shared" si="228"/>
        <v>3701212.3812929131</v>
      </c>
      <c r="AE48" s="24">
        <f t="shared" si="228"/>
        <v>2831984.7398771425</v>
      </c>
      <c r="AF48" s="24">
        <f t="shared" si="228"/>
        <v>-10142310.197251691</v>
      </c>
      <c r="AG48" s="24">
        <f t="shared" si="228"/>
        <v>2412067.1963120652</v>
      </c>
      <c r="AH48" s="24">
        <f t="shared" si="228"/>
        <v>1754719.4192336916</v>
      </c>
      <c r="AI48" s="24">
        <f t="shared" si="228"/>
        <v>1023398.8105338494</v>
      </c>
      <c r="AJ48" s="24">
        <f t="shared" si="228"/>
        <v>905681.32276925654</v>
      </c>
      <c r="AK48" s="24">
        <f t="shared" si="228"/>
        <v>5236891.5047931699</v>
      </c>
      <c r="AL48" s="24">
        <f t="shared" si="228"/>
        <v>435955.8825004641</v>
      </c>
      <c r="AM48" s="24">
        <f t="shared" si="228"/>
        <v>2203968.5632404643</v>
      </c>
      <c r="AN48" s="24">
        <f t="shared" si="228"/>
        <v>2518253.1857219427</v>
      </c>
      <c r="AO48" s="24">
        <f t="shared" si="228"/>
        <v>8244220.4345675725</v>
      </c>
      <c r="AP48" s="24">
        <f t="shared" si="228"/>
        <v>4474423.965226003</v>
      </c>
      <c r="AQ48" s="24">
        <f t="shared" si="228"/>
        <v>7616906.1012544511</v>
      </c>
      <c r="AR48" s="24">
        <f t="shared" si="228"/>
        <v>-20793305.569043584</v>
      </c>
      <c r="AS48" s="24">
        <f t="shared" si="228"/>
        <v>1552959.103727466</v>
      </c>
      <c r="AT48" s="24">
        <f t="shared" si="228"/>
        <v>816358.78409786616</v>
      </c>
      <c r="AU48" s="24">
        <f t="shared" si="228"/>
        <v>1117997.5487876867</v>
      </c>
      <c r="AV48" s="24">
        <f t="shared" si="228"/>
        <v>1179342.5065167502</v>
      </c>
      <c r="AW48" s="24">
        <f t="shared" si="228"/>
        <v>2806515.7705510389</v>
      </c>
      <c r="AX48" s="24">
        <f t="shared" si="228"/>
        <v>8783498.2521604802</v>
      </c>
      <c r="AY48" s="24">
        <f t="shared" si="228"/>
        <v>-2898559.6398582365</v>
      </c>
      <c r="AZ48" s="24">
        <f t="shared" si="228"/>
        <v>-5905449.1299999999</v>
      </c>
      <c r="BA48" s="24">
        <f t="shared" si="228"/>
        <v>827470.08</v>
      </c>
      <c r="BB48" s="24">
        <f t="shared" si="228"/>
        <v>341618.04</v>
      </c>
      <c r="BC48" s="24">
        <f t="shared" si="228"/>
        <v>1365121.27</v>
      </c>
      <c r="BD48" s="24">
        <f t="shared" si="228"/>
        <v>-21251678.349999998</v>
      </c>
      <c r="BE48" s="24">
        <f t="shared" si="228"/>
        <v>1091896.3400000001</v>
      </c>
      <c r="BF48" s="24">
        <f t="shared" si="228"/>
        <v>1124316.96</v>
      </c>
      <c r="BG48" s="24">
        <f t="shared" si="228"/>
        <v>1059361.6399999999</v>
      </c>
      <c r="BH48" s="24">
        <f t="shared" si="228"/>
        <v>1681657.42</v>
      </c>
      <c r="BI48" s="24">
        <f t="shared" si="228"/>
        <v>-45129.5</v>
      </c>
      <c r="BJ48" s="24">
        <f t="shared" si="228"/>
        <v>1368215.57</v>
      </c>
      <c r="BK48" s="24">
        <f t="shared" si="228"/>
        <v>-560058.42999999993</v>
      </c>
      <c r="BL48" s="24">
        <f t="shared" ref="BL48:BW48" si="229">SUM(BL44:BL47)</f>
        <v>4015894.85</v>
      </c>
      <c r="BM48" s="24">
        <f t="shared" si="229"/>
        <v>-2331803.27</v>
      </c>
      <c r="BN48" s="24">
        <f t="shared" si="229"/>
        <v>-2106321.9900000002</v>
      </c>
      <c r="BO48" s="24">
        <f t="shared" si="229"/>
        <v>-1654450.12</v>
      </c>
      <c r="BP48" s="24">
        <f t="shared" si="229"/>
        <v>-45460243.800000004</v>
      </c>
      <c r="BQ48" s="24">
        <f t="shared" si="229"/>
        <v>415568.94</v>
      </c>
      <c r="BR48" s="24">
        <f t="shared" si="229"/>
        <v>658216.92000000004</v>
      </c>
      <c r="BS48" s="24">
        <f t="shared" si="229"/>
        <v>414613.67</v>
      </c>
      <c r="BT48" s="24">
        <f t="shared" si="229"/>
        <v>732666.47</v>
      </c>
      <c r="BU48" s="24">
        <f t="shared" si="229"/>
        <v>627523.17000000004</v>
      </c>
      <c r="BV48" s="24">
        <f t="shared" si="229"/>
        <v>824092.31</v>
      </c>
      <c r="BW48" s="24">
        <f t="shared" si="229"/>
        <v>4437605.5599999996</v>
      </c>
      <c r="BX48" s="24">
        <f t="shared" ref="BX48:CJ48" si="230">SUM(BX44:BX47)</f>
        <v>3076898.34</v>
      </c>
      <c r="BY48" s="24">
        <f t="shared" si="230"/>
        <v>-7557277.8600000003</v>
      </c>
      <c r="BZ48" s="24">
        <f t="shared" si="230"/>
        <v>1291918.55</v>
      </c>
      <c r="CA48" s="24">
        <f t="shared" si="230"/>
        <v>2044838.25</v>
      </c>
      <c r="CB48" s="24">
        <f t="shared" si="230"/>
        <v>-6337693.3519610986</v>
      </c>
      <c r="CC48" s="24">
        <f t="shared" si="230"/>
        <v>635607.26</v>
      </c>
      <c r="CD48" s="24">
        <f t="shared" si="230"/>
        <v>-69484.009999999995</v>
      </c>
      <c r="CE48" s="24">
        <f t="shared" si="230"/>
        <v>22727.31</v>
      </c>
      <c r="CF48" s="24">
        <f t="shared" si="230"/>
        <v>1320731.77</v>
      </c>
      <c r="CG48" s="24">
        <f t="shared" si="230"/>
        <v>-2097120.45</v>
      </c>
      <c r="CH48" s="24">
        <f t="shared" si="230"/>
        <v>2350494.5499999998</v>
      </c>
      <c r="CI48" s="24">
        <f t="shared" si="230"/>
        <v>1568748.61</v>
      </c>
      <c r="CJ48" s="24">
        <f t="shared" si="230"/>
        <v>4237703.62</v>
      </c>
      <c r="CK48" s="24">
        <f t="shared" si="228"/>
        <v>-2279698.77</v>
      </c>
      <c r="CL48" s="24">
        <f t="shared" ref="CL48:CR48" si="231">SUM(CL44:CL47)</f>
        <v>-646835.13</v>
      </c>
      <c r="CM48" s="24">
        <f t="shared" si="231"/>
        <v>1542086.4</v>
      </c>
      <c r="CN48" s="24">
        <f t="shared" si="231"/>
        <v>-3644092.4799999995</v>
      </c>
      <c r="CO48" s="24">
        <f t="shared" si="231"/>
        <v>-779510.73</v>
      </c>
      <c r="CP48" s="24">
        <f t="shared" si="231"/>
        <v>-646202.53</v>
      </c>
      <c r="CQ48" s="24">
        <f t="shared" si="231"/>
        <v>-254863.3</v>
      </c>
      <c r="CR48" s="24">
        <f t="shared" si="231"/>
        <v>2163953.09</v>
      </c>
      <c r="CS48" s="24">
        <f t="shared" ref="CS48:CY48" si="232">SUM(CS44:CS47)</f>
        <v>1937692.34</v>
      </c>
      <c r="CT48" s="24">
        <f t="shared" si="232"/>
        <v>705492.95</v>
      </c>
      <c r="CU48" s="24">
        <f t="shared" si="232"/>
        <v>5799509.3600000003</v>
      </c>
      <c r="CV48" s="24">
        <f t="shared" si="232"/>
        <v>3382954.8</v>
      </c>
      <c r="CW48" s="24">
        <f t="shared" si="232"/>
        <v>-2670370.5499999998</v>
      </c>
      <c r="CX48" s="24">
        <f t="shared" si="232"/>
        <v>0</v>
      </c>
      <c r="CY48" s="24">
        <f t="shared" si="232"/>
        <v>0</v>
      </c>
    </row>
    <row r="49" spans="1:104" x14ac:dyDescent="0.2">
      <c r="B49" s="7" t="s">
        <v>194</v>
      </c>
      <c r="D49" s="17">
        <f>D43+D48</f>
        <v>0</v>
      </c>
      <c r="E49" s="17">
        <f t="shared" ref="E49:CN49" si="233">E43+E48</f>
        <v>0</v>
      </c>
      <c r="F49" s="17">
        <f t="shared" si="233"/>
        <v>0</v>
      </c>
      <c r="G49" s="17">
        <f t="shared" si="233"/>
        <v>0</v>
      </c>
      <c r="H49" s="17">
        <f t="shared" si="233"/>
        <v>0</v>
      </c>
      <c r="I49" s="17">
        <f t="shared" si="233"/>
        <v>0</v>
      </c>
      <c r="J49" s="17">
        <f t="shared" si="233"/>
        <v>948189.55861061451</v>
      </c>
      <c r="K49" s="17">
        <f>K43+K48</f>
        <v>1309380.914206563</v>
      </c>
      <c r="L49" s="17">
        <f>L43+L48</f>
        <v>1585414.1343927504</v>
      </c>
      <c r="M49" s="17">
        <f t="shared" si="233"/>
        <v>-1292661.2666015443</v>
      </c>
      <c r="N49" s="17">
        <f t="shared" si="233"/>
        <v>-1019644.9975526362</v>
      </c>
      <c r="O49" s="17">
        <f>O43+O48</f>
        <v>-5451693.8924886947</v>
      </c>
      <c r="P49" s="17">
        <f t="shared" si="233"/>
        <v>-5883642.9405475566</v>
      </c>
      <c r="Q49" s="17">
        <f t="shared" si="233"/>
        <v>-6890920.3557745451</v>
      </c>
      <c r="R49" s="17">
        <f t="shared" si="233"/>
        <v>-5107113.3438407267</v>
      </c>
      <c r="S49" s="17">
        <f t="shared" si="233"/>
        <v>-2660706.099599483</v>
      </c>
      <c r="T49" s="17">
        <f t="shared" si="233"/>
        <v>5805839.1381995417</v>
      </c>
      <c r="U49" s="17">
        <f t="shared" si="233"/>
        <v>6919630.2114182347</v>
      </c>
      <c r="V49" s="17">
        <f t="shared" si="233"/>
        <v>8026633.245574818</v>
      </c>
      <c r="W49" s="17">
        <f t="shared" si="233"/>
        <v>9051922.6478806362</v>
      </c>
      <c r="X49" s="17">
        <f t="shared" si="233"/>
        <v>11137400.832769608</v>
      </c>
      <c r="Y49" s="17">
        <f t="shared" si="233"/>
        <v>16861799.080129482</v>
      </c>
      <c r="Z49" s="17">
        <f t="shared" si="233"/>
        <v>18421242.087891102</v>
      </c>
      <c r="AA49" s="17">
        <f t="shared" si="233"/>
        <v>23504773.279758234</v>
      </c>
      <c r="AB49" s="17">
        <f t="shared" si="233"/>
        <v>30135800.84475198</v>
      </c>
      <c r="AC49" s="17">
        <f t="shared" si="233"/>
        <v>41226697.414950356</v>
      </c>
      <c r="AD49" s="17">
        <f t="shared" si="233"/>
        <v>44927909.796243265</v>
      </c>
      <c r="AE49" s="17">
        <f t="shared" si="233"/>
        <v>47759894.536120407</v>
      </c>
      <c r="AF49" s="17">
        <f t="shared" si="233"/>
        <v>37617584.338868715</v>
      </c>
      <c r="AG49" s="17">
        <f t="shared" si="233"/>
        <v>40029651.535180777</v>
      </c>
      <c r="AH49" s="17">
        <f t="shared" si="233"/>
        <v>41784370.954414472</v>
      </c>
      <c r="AI49" s="17">
        <f t="shared" si="233"/>
        <v>42807769.764948323</v>
      </c>
      <c r="AJ49" s="17">
        <f t="shared" si="233"/>
        <v>43713451.087717578</v>
      </c>
      <c r="AK49" s="17">
        <f t="shared" si="233"/>
        <v>48950342.592510745</v>
      </c>
      <c r="AL49" s="17">
        <f t="shared" si="233"/>
        <v>49386298.475011207</v>
      </c>
      <c r="AM49" s="17">
        <f t="shared" si="233"/>
        <v>51590267.038251668</v>
      </c>
      <c r="AN49" s="17">
        <f t="shared" si="233"/>
        <v>54108520.22397361</v>
      </c>
      <c r="AO49" s="17">
        <f t="shared" si="233"/>
        <v>62352740.65854118</v>
      </c>
      <c r="AP49" s="17">
        <f t="shared" si="233"/>
        <v>66827164.623767182</v>
      </c>
      <c r="AQ49" s="17">
        <f t="shared" si="233"/>
        <v>74444070.725021631</v>
      </c>
      <c r="AR49" s="17">
        <f t="shared" si="233"/>
        <v>53650765.155978046</v>
      </c>
      <c r="AS49" s="17">
        <f t="shared" si="233"/>
        <v>55203724.259705514</v>
      </c>
      <c r="AT49" s="17">
        <f t="shared" si="233"/>
        <v>56020083.043803379</v>
      </c>
      <c r="AU49" s="17">
        <f t="shared" si="233"/>
        <v>57138080.592591062</v>
      </c>
      <c r="AV49" s="17">
        <f t="shared" si="233"/>
        <v>58317423.099107809</v>
      </c>
      <c r="AW49" s="17">
        <f t="shared" si="233"/>
        <v>61123938.86965885</v>
      </c>
      <c r="AX49" s="17">
        <f t="shared" si="233"/>
        <v>69907437.121819332</v>
      </c>
      <c r="AY49" s="17">
        <f t="shared" si="233"/>
        <v>67008877.481961094</v>
      </c>
      <c r="AZ49" s="17">
        <f t="shared" si="233"/>
        <v>61103428.351961091</v>
      </c>
      <c r="BA49" s="17">
        <f t="shared" si="233"/>
        <v>61930898.431961089</v>
      </c>
      <c r="BB49" s="17">
        <f t="shared" si="233"/>
        <v>62272516.471961088</v>
      </c>
      <c r="BC49" s="17">
        <f t="shared" si="233"/>
        <v>63637637.741961092</v>
      </c>
      <c r="BD49" s="17">
        <f t="shared" si="233"/>
        <v>42385959.391961098</v>
      </c>
      <c r="BE49" s="17">
        <f t="shared" si="233"/>
        <v>43477855.731961101</v>
      </c>
      <c r="BF49" s="17">
        <f t="shared" si="233"/>
        <v>44602172.691961102</v>
      </c>
      <c r="BG49" s="17">
        <f t="shared" si="233"/>
        <v>45661534.331961103</v>
      </c>
      <c r="BH49" s="17">
        <f t="shared" si="233"/>
        <v>47343191.751961105</v>
      </c>
      <c r="BI49" s="17">
        <f t="shared" si="233"/>
        <v>47298062.251961105</v>
      </c>
      <c r="BJ49" s="17">
        <f t="shared" si="233"/>
        <v>48666277.821961105</v>
      </c>
      <c r="BK49" s="17">
        <f t="shared" si="233"/>
        <v>48106219.391961105</v>
      </c>
      <c r="BL49" s="17">
        <f t="shared" ref="BL49:BW49" si="234">BL43+BL48</f>
        <v>52122114.241961107</v>
      </c>
      <c r="BM49" s="17">
        <f t="shared" si="234"/>
        <v>49790310.971961103</v>
      </c>
      <c r="BN49" s="17">
        <f t="shared" si="234"/>
        <v>47683988.981961101</v>
      </c>
      <c r="BO49" s="17">
        <f t="shared" si="234"/>
        <v>46029538.861961104</v>
      </c>
      <c r="BP49" s="17">
        <f t="shared" si="234"/>
        <v>569295.06196109951</v>
      </c>
      <c r="BQ49" s="17">
        <f t="shared" si="234"/>
        <v>984864.00196109945</v>
      </c>
      <c r="BR49" s="17">
        <f t="shared" si="234"/>
        <v>1643080.9219610994</v>
      </c>
      <c r="BS49" s="17">
        <f t="shared" si="234"/>
        <v>2057694.5919610993</v>
      </c>
      <c r="BT49" s="17">
        <f t="shared" si="234"/>
        <v>2790361.0619610995</v>
      </c>
      <c r="BU49" s="17">
        <f t="shared" si="234"/>
        <v>3417884.2319610994</v>
      </c>
      <c r="BV49" s="17">
        <f t="shared" si="234"/>
        <v>4241976.5419611</v>
      </c>
      <c r="BW49" s="17">
        <f t="shared" si="234"/>
        <v>8679582.1019610986</v>
      </c>
      <c r="BX49" s="17">
        <f t="shared" ref="BX49:CJ49" si="235">BX43+BX48</f>
        <v>11756480.441961098</v>
      </c>
      <c r="BY49" s="17">
        <f t="shared" si="235"/>
        <v>4199202.5819610981</v>
      </c>
      <c r="BZ49" s="17">
        <f t="shared" si="235"/>
        <v>5491121.1319610979</v>
      </c>
      <c r="CA49" s="17">
        <f t="shared" si="235"/>
        <v>7535959.3819610979</v>
      </c>
      <c r="CB49" s="17">
        <f t="shared" si="235"/>
        <v>1198266.0299999993</v>
      </c>
      <c r="CC49" s="17">
        <f t="shared" si="235"/>
        <v>1833873.2899999993</v>
      </c>
      <c r="CD49" s="17">
        <f t="shared" si="235"/>
        <v>1764389.2799999993</v>
      </c>
      <c r="CE49" s="17">
        <f t="shared" si="235"/>
        <v>1787116.5899999994</v>
      </c>
      <c r="CF49" s="17">
        <f t="shared" si="235"/>
        <v>3107848.3599999994</v>
      </c>
      <c r="CG49" s="17">
        <f t="shared" si="235"/>
        <v>1010727.9099999995</v>
      </c>
      <c r="CH49" s="17">
        <f t="shared" si="235"/>
        <v>3361222.459999999</v>
      </c>
      <c r="CI49" s="17">
        <f t="shared" si="235"/>
        <v>4929971.0699999994</v>
      </c>
      <c r="CJ49" s="17">
        <f t="shared" si="235"/>
        <v>9167674.6899999995</v>
      </c>
      <c r="CK49" s="17">
        <f t="shared" si="233"/>
        <v>6887975.9199999999</v>
      </c>
      <c r="CL49" s="17">
        <f t="shared" si="233"/>
        <v>6241140.79</v>
      </c>
      <c r="CM49" s="17">
        <f t="shared" si="233"/>
        <v>7783227.1899999995</v>
      </c>
      <c r="CN49" s="17">
        <f t="shared" si="233"/>
        <v>4139134.71</v>
      </c>
      <c r="CO49" s="17">
        <f t="shared" ref="CO49:CY49" si="236">CO43+CO48</f>
        <v>3359623.98</v>
      </c>
      <c r="CP49" s="17">
        <f t="shared" si="236"/>
        <v>2713421.45</v>
      </c>
      <c r="CQ49" s="17">
        <f t="shared" si="236"/>
        <v>2458558.1500000004</v>
      </c>
      <c r="CR49" s="17">
        <f t="shared" si="236"/>
        <v>4622511.24</v>
      </c>
      <c r="CS49" s="17">
        <f t="shared" si="236"/>
        <v>6560203.5800000001</v>
      </c>
      <c r="CT49" s="17">
        <f>CT43+CT48</f>
        <v>7265696.5300000003</v>
      </c>
      <c r="CU49" s="17">
        <f t="shared" si="236"/>
        <v>13065205.890000001</v>
      </c>
      <c r="CV49" s="17">
        <f t="shared" si="236"/>
        <v>16448160.690000001</v>
      </c>
      <c r="CW49" s="17">
        <f t="shared" si="236"/>
        <v>13777790.140000001</v>
      </c>
      <c r="CX49" s="17">
        <f t="shared" si="236"/>
        <v>13777790.140000001</v>
      </c>
      <c r="CY49" s="17">
        <f t="shared" si="236"/>
        <v>13777790.140000001</v>
      </c>
    </row>
    <row r="50" spans="1:104" x14ac:dyDescent="0.2"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CU50" s="8"/>
      <c r="CX50" s="8"/>
      <c r="CY50" s="8"/>
      <c r="CZ50" s="32"/>
    </row>
    <row r="51" spans="1:104" x14ac:dyDescent="0.2">
      <c r="A51" s="71" t="s">
        <v>376</v>
      </c>
      <c r="B51" s="8"/>
      <c r="C51" s="130">
        <v>18238152</v>
      </c>
      <c r="F51" s="8"/>
      <c r="CU51" s="8"/>
      <c r="CX51" s="8"/>
      <c r="CY51" s="8"/>
    </row>
    <row r="52" spans="1:104" x14ac:dyDescent="0.2">
      <c r="A52" s="8"/>
      <c r="B52" s="8" t="s">
        <v>190</v>
      </c>
      <c r="C52" s="130">
        <v>25400352</v>
      </c>
      <c r="D52" s="17">
        <v>0</v>
      </c>
      <c r="E52" s="17">
        <f>D60</f>
        <v>0</v>
      </c>
      <c r="F52" s="17">
        <f t="shared" ref="F52:BK52" si="237">E60</f>
        <v>0</v>
      </c>
      <c r="G52" s="17">
        <f t="shared" si="237"/>
        <v>0</v>
      </c>
      <c r="H52" s="17">
        <f t="shared" si="237"/>
        <v>0</v>
      </c>
      <c r="I52" s="17">
        <f t="shared" si="237"/>
        <v>0</v>
      </c>
      <c r="J52" s="17">
        <f t="shared" si="237"/>
        <v>0</v>
      </c>
      <c r="K52" s="17">
        <f t="shared" si="237"/>
        <v>-199465.60817156127</v>
      </c>
      <c r="L52" s="17">
        <f t="shared" si="237"/>
        <v>640444.03112079646</v>
      </c>
      <c r="M52" s="17">
        <f t="shared" si="237"/>
        <v>507915.77304489387</v>
      </c>
      <c r="N52" s="17">
        <f t="shared" si="237"/>
        <v>404431.40087758645</v>
      </c>
      <c r="O52" s="17">
        <f t="shared" si="237"/>
        <v>1105202.2605628944</v>
      </c>
      <c r="P52" s="17">
        <f t="shared" si="237"/>
        <v>286419.05858386646</v>
      </c>
      <c r="Q52" s="17">
        <f t="shared" si="237"/>
        <v>1341192.9534952273</v>
      </c>
      <c r="R52" s="17">
        <f t="shared" si="237"/>
        <v>523882.64398179576</v>
      </c>
      <c r="S52" s="17">
        <f t="shared" si="237"/>
        <v>1482052.6553668785</v>
      </c>
      <c r="T52" s="17">
        <f t="shared" si="237"/>
        <v>2266995.2812781716</v>
      </c>
      <c r="U52" s="17">
        <f t="shared" si="237"/>
        <v>2052782.7193476232</v>
      </c>
      <c r="V52" s="17">
        <f t="shared" si="237"/>
        <v>2725822.7582124844</v>
      </c>
      <c r="W52" s="17">
        <f t="shared" si="237"/>
        <v>2989154.0642003417</v>
      </c>
      <c r="X52" s="17">
        <f t="shared" si="237"/>
        <v>3027270.3802636154</v>
      </c>
      <c r="Y52" s="17">
        <f t="shared" si="237"/>
        <v>3376249.6029822449</v>
      </c>
      <c r="Z52" s="17">
        <f t="shared" si="237"/>
        <v>4662532.9972754084</v>
      </c>
      <c r="AA52" s="17">
        <f t="shared" si="237"/>
        <v>4241192.6902960446</v>
      </c>
      <c r="AB52" s="17">
        <f t="shared" si="237"/>
        <v>5611247.5599752879</v>
      </c>
      <c r="AC52" s="17">
        <f t="shared" si="237"/>
        <v>7101704.1663728394</v>
      </c>
      <c r="AD52" s="17">
        <f t="shared" si="237"/>
        <v>9923249.7587148584</v>
      </c>
      <c r="AE52" s="17">
        <f t="shared" si="237"/>
        <v>11775518.935626514</v>
      </c>
      <c r="AF52" s="17">
        <f t="shared" si="237"/>
        <v>12289432.012997026</v>
      </c>
      <c r="AG52" s="17">
        <f t="shared" si="237"/>
        <v>7246141.5101591153</v>
      </c>
      <c r="AH52" s="17">
        <f t="shared" si="237"/>
        <v>7974280.2420591097</v>
      </c>
      <c r="AI52" s="17">
        <f t="shared" si="237"/>
        <v>8621637.6560921781</v>
      </c>
      <c r="AJ52" s="17">
        <f t="shared" si="237"/>
        <v>8881023.9591175783</v>
      </c>
      <c r="AK52" s="17">
        <f t="shared" si="237"/>
        <v>9160349.8499225825</v>
      </c>
      <c r="AL52" s="17">
        <f t="shared" si="237"/>
        <v>10404749.434073124</v>
      </c>
      <c r="AM52" s="17">
        <f t="shared" si="237"/>
        <v>11122489.456258822</v>
      </c>
      <c r="AN52" s="17">
        <f t="shared" si="237"/>
        <v>10454405.387318356</v>
      </c>
      <c r="AO52" s="17">
        <f t="shared" si="237"/>
        <v>11942785.61356739</v>
      </c>
      <c r="AP52" s="17">
        <f t="shared" si="237"/>
        <v>14516156.931008631</v>
      </c>
      <c r="AQ52" s="17">
        <f t="shared" si="237"/>
        <v>15268377.011117622</v>
      </c>
      <c r="AR52" s="17">
        <f t="shared" si="237"/>
        <v>17218909.579018887</v>
      </c>
      <c r="AS52" s="17">
        <f t="shared" si="237"/>
        <v>8044826.1208727099</v>
      </c>
      <c r="AT52" s="17">
        <f t="shared" si="237"/>
        <v>8296047.587166464</v>
      </c>
      <c r="AU52" s="17">
        <f t="shared" si="237"/>
        <v>8475389.2918473985</v>
      </c>
      <c r="AV52" s="17">
        <f t="shared" si="237"/>
        <v>8925421.900420526</v>
      </c>
      <c r="AW52" s="17">
        <f t="shared" si="237"/>
        <v>8891223.5858451556</v>
      </c>
      <c r="AX52" s="17">
        <f t="shared" si="237"/>
        <v>9919947.4071879443</v>
      </c>
      <c r="AY52" s="17">
        <f t="shared" si="237"/>
        <v>12499399.044342099</v>
      </c>
      <c r="AZ52" s="17">
        <f t="shared" si="237"/>
        <v>12574592.261257906</v>
      </c>
      <c r="BA52" s="17">
        <f t="shared" si="237"/>
        <v>10927950.611257905</v>
      </c>
      <c r="BB52" s="17">
        <f t="shared" si="237"/>
        <v>11232170.191257905</v>
      </c>
      <c r="BC52" s="17">
        <f t="shared" si="237"/>
        <v>11065089.301257905</v>
      </c>
      <c r="BD52" s="17">
        <f t="shared" si="237"/>
        <v>11307205.361257905</v>
      </c>
      <c r="BE52" s="17">
        <f t="shared" si="237"/>
        <v>-1348957.798742095</v>
      </c>
      <c r="BF52" s="17">
        <f t="shared" si="237"/>
        <v>-1131284.2187420949</v>
      </c>
      <c r="BG52" s="17">
        <f t="shared" si="237"/>
        <v>-1050216.768742095</v>
      </c>
      <c r="BH52" s="17">
        <f t="shared" si="237"/>
        <v>-791591.64874209499</v>
      </c>
      <c r="BI52" s="17">
        <f t="shared" si="237"/>
        <v>-520854.81874209497</v>
      </c>
      <c r="BJ52" s="17">
        <f t="shared" si="237"/>
        <v>-341874.97874209494</v>
      </c>
      <c r="BK52" s="17">
        <f t="shared" si="237"/>
        <v>301967.00125790504</v>
      </c>
      <c r="BL52" s="17">
        <f t="shared" ref="BL52" si="238">BK60</f>
        <v>639328.12125790503</v>
      </c>
      <c r="BM52" s="17">
        <f t="shared" ref="BM52" si="239">BL60</f>
        <v>0.24125790502876043</v>
      </c>
      <c r="BN52" s="17">
        <f t="shared" ref="BN52" si="240">BM60</f>
        <v>0.24125790502876043</v>
      </c>
      <c r="BO52" s="17">
        <f t="shared" ref="BO52" si="241">BN60</f>
        <v>0.24125790502876043</v>
      </c>
      <c r="BP52" s="17">
        <f t="shared" ref="BP52" si="242">BO60</f>
        <v>0.24125790502876043</v>
      </c>
      <c r="BQ52" s="17">
        <f t="shared" ref="BQ52" si="243">BP60</f>
        <v>0.24125790502876043</v>
      </c>
      <c r="BR52" s="17">
        <f t="shared" ref="BR52" si="244">BQ60</f>
        <v>0.24125790502876043</v>
      </c>
      <c r="BS52" s="17">
        <f t="shared" ref="BS52" si="245">BR60</f>
        <v>0.24125790502876043</v>
      </c>
      <c r="BT52" s="17">
        <f t="shared" ref="BT52" si="246">BS60</f>
        <v>0.24125790502876043</v>
      </c>
      <c r="BU52" s="17">
        <f t="shared" ref="BU52" si="247">BT60</f>
        <v>0.24125790502876043</v>
      </c>
      <c r="BV52" s="17">
        <f t="shared" ref="BV52" si="248">BU60</f>
        <v>0.24125790502876043</v>
      </c>
      <c r="BW52" s="17">
        <f t="shared" ref="BW52" si="249">BV60</f>
        <v>0.24125790502876043</v>
      </c>
      <c r="BX52" s="17">
        <f t="shared" ref="BX52" si="250">BW60</f>
        <v>1.2579050287604421E-3</v>
      </c>
      <c r="BY52" s="17">
        <f t="shared" ref="BY52" si="251">BX60</f>
        <v>1.2579050287604421E-3</v>
      </c>
      <c r="BZ52" s="17">
        <f t="shared" ref="BZ52" si="252">BY60</f>
        <v>1.2579050287604421E-3</v>
      </c>
      <c r="CA52" s="17">
        <f t="shared" ref="CA52" si="253">BZ60</f>
        <v>1.2579050287604421E-3</v>
      </c>
      <c r="CB52" s="17">
        <f t="shared" ref="CB52" si="254">CA60</f>
        <v>1.2579050287604421E-3</v>
      </c>
      <c r="CC52" s="17">
        <f t="shared" ref="CC52" si="255">CB60</f>
        <v>1.2579050287604421E-3</v>
      </c>
      <c r="CD52" s="17">
        <f t="shared" ref="CD52" si="256">CC60</f>
        <v>1.2579050287604421E-3</v>
      </c>
      <c r="CE52" s="17">
        <f t="shared" ref="CE52" si="257">CD60</f>
        <v>1.2579050287604421E-3</v>
      </c>
      <c r="CF52" s="17">
        <f t="shared" ref="CF52" si="258">CE60</f>
        <v>1.2579050287604421E-3</v>
      </c>
      <c r="CG52" s="17">
        <f t="shared" ref="CG52" si="259">CF60</f>
        <v>1.2579050287604421E-3</v>
      </c>
      <c r="CH52" s="17">
        <f t="shared" ref="CH52" si="260">CG60</f>
        <v>1.2579050287604421E-3</v>
      </c>
      <c r="CI52" s="17">
        <f t="shared" ref="CI52" si="261">CH60</f>
        <v>1.2579050287604421E-3</v>
      </c>
      <c r="CJ52" s="17">
        <f t="shared" ref="CJ52" si="262">CI60</f>
        <v>1.2579050287604421E-3</v>
      </c>
      <c r="CK52" s="17">
        <f>CJ60</f>
        <v>1.2579050287604421E-3</v>
      </c>
      <c r="CL52" s="17">
        <f t="shared" ref="CL52:CY52" si="263">CK60</f>
        <v>1.2579050287604421E-3</v>
      </c>
      <c r="CM52" s="17">
        <f t="shared" si="263"/>
        <v>1.2579050287604421E-3</v>
      </c>
      <c r="CN52" s="17">
        <f t="shared" si="263"/>
        <v>1.2579050287604421E-3</v>
      </c>
      <c r="CO52" s="17">
        <f t="shared" si="263"/>
        <v>1.2579050287604421E-3</v>
      </c>
      <c r="CP52" s="17">
        <f t="shared" si="263"/>
        <v>1.2579050287604421E-3</v>
      </c>
      <c r="CQ52" s="17">
        <f t="shared" si="263"/>
        <v>1.2579050287604421E-3</v>
      </c>
      <c r="CR52" s="17">
        <f t="shared" si="263"/>
        <v>1.2579050287604421E-3</v>
      </c>
      <c r="CS52" s="17">
        <f t="shared" si="263"/>
        <v>1.2579050287604421E-3</v>
      </c>
      <c r="CT52" s="17">
        <f t="shared" si="263"/>
        <v>1.2579050287604421E-3</v>
      </c>
      <c r="CU52" s="17">
        <f t="shared" si="263"/>
        <v>1.2579050287604421E-3</v>
      </c>
      <c r="CV52" s="17">
        <f t="shared" si="263"/>
        <v>1.2579050287604421E-3</v>
      </c>
      <c r="CW52" s="17">
        <f t="shared" si="263"/>
        <v>1.2579050287604421E-3</v>
      </c>
      <c r="CX52" s="17">
        <f t="shared" si="263"/>
        <v>1.2579050287604421E-3</v>
      </c>
      <c r="CY52" s="17">
        <f t="shared" si="263"/>
        <v>1.2579050287604421E-3</v>
      </c>
    </row>
    <row r="53" spans="1:104" x14ac:dyDescent="0.2">
      <c r="A53" s="190"/>
      <c r="B53" s="189" t="s">
        <v>191</v>
      </c>
      <c r="C53" s="189"/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-244916.936995064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-5735253.9088435043</v>
      </c>
      <c r="AG53" s="23">
        <v>0</v>
      </c>
      <c r="AH53" s="23">
        <v>0</v>
      </c>
      <c r="AI53" s="23">
        <v>0</v>
      </c>
      <c r="AJ53" s="23">
        <v>0</v>
      </c>
      <c r="AK53" s="23">
        <v>0</v>
      </c>
      <c r="AL53" s="23">
        <v>0</v>
      </c>
      <c r="AM53" s="23">
        <v>0</v>
      </c>
      <c r="AN53" s="23">
        <v>0</v>
      </c>
      <c r="AO53" s="23">
        <v>0</v>
      </c>
      <c r="AP53" s="23">
        <v>0</v>
      </c>
      <c r="AQ53" s="23">
        <v>0</v>
      </c>
      <c r="AR53" s="23">
        <v>-10454405.387318401</v>
      </c>
      <c r="AS53" s="23">
        <v>0</v>
      </c>
      <c r="AT53" s="23">
        <v>0</v>
      </c>
      <c r="AU53" s="23">
        <v>0</v>
      </c>
      <c r="AV53" s="23">
        <v>0</v>
      </c>
      <c r="AW53" s="23">
        <v>0</v>
      </c>
      <c r="AX53" s="23">
        <v>0</v>
      </c>
      <c r="AY53" s="23">
        <v>0</v>
      </c>
      <c r="AZ53" s="23">
        <v>0</v>
      </c>
      <c r="BA53" s="23">
        <v>0</v>
      </c>
      <c r="BB53" s="23">
        <v>0</v>
      </c>
      <c r="BC53" s="23">
        <v>0</v>
      </c>
      <c r="BD53" s="195">
        <v>-12574592.26</v>
      </c>
      <c r="BE53" s="23">
        <v>0</v>
      </c>
      <c r="BF53" s="23">
        <v>0</v>
      </c>
      <c r="BG53" s="23">
        <v>0</v>
      </c>
      <c r="BH53" s="23">
        <v>0</v>
      </c>
      <c r="BI53" s="23">
        <v>0</v>
      </c>
      <c r="BJ53" s="23">
        <v>0</v>
      </c>
      <c r="BK53" s="23">
        <v>0</v>
      </c>
      <c r="BL53" s="23">
        <v>0</v>
      </c>
      <c r="BM53" s="23">
        <v>0</v>
      </c>
      <c r="BN53" s="23">
        <v>0</v>
      </c>
      <c r="BO53" s="23">
        <v>0</v>
      </c>
      <c r="BP53" s="23">
        <v>0</v>
      </c>
      <c r="BQ53" s="23">
        <v>0</v>
      </c>
      <c r="BR53" s="23">
        <v>0</v>
      </c>
      <c r="BS53" s="23">
        <v>0</v>
      </c>
      <c r="BT53" s="23">
        <v>0</v>
      </c>
      <c r="BU53" s="23">
        <v>0</v>
      </c>
      <c r="BV53" s="23">
        <v>0</v>
      </c>
      <c r="BW53" s="23">
        <v>0</v>
      </c>
      <c r="BX53" s="23">
        <v>0</v>
      </c>
      <c r="BY53" s="23">
        <v>0</v>
      </c>
      <c r="BZ53" s="23">
        <v>0</v>
      </c>
      <c r="CA53" s="23">
        <v>0</v>
      </c>
      <c r="CB53" s="23">
        <v>0</v>
      </c>
      <c r="CC53" s="23">
        <v>0</v>
      </c>
      <c r="CD53" s="23">
        <v>0</v>
      </c>
      <c r="CE53" s="23">
        <v>0</v>
      </c>
      <c r="CF53" s="23">
        <v>0</v>
      </c>
      <c r="CG53" s="23">
        <v>0</v>
      </c>
      <c r="CH53" s="23">
        <v>0</v>
      </c>
      <c r="CI53" s="23">
        <v>0</v>
      </c>
      <c r="CJ53" s="23">
        <v>0</v>
      </c>
      <c r="CK53" s="23">
        <v>0</v>
      </c>
      <c r="CL53" s="23">
        <v>0</v>
      </c>
      <c r="CM53" s="23">
        <v>0</v>
      </c>
      <c r="CN53" s="23">
        <v>0</v>
      </c>
      <c r="CO53" s="23">
        <v>0</v>
      </c>
      <c r="CP53" s="23">
        <v>0</v>
      </c>
      <c r="CQ53" s="23">
        <v>0</v>
      </c>
      <c r="CR53" s="23">
        <v>0</v>
      </c>
      <c r="CS53" s="23">
        <v>0</v>
      </c>
      <c r="CT53" s="23">
        <v>0</v>
      </c>
      <c r="CU53" s="23">
        <v>0</v>
      </c>
      <c r="CV53" s="23">
        <v>0</v>
      </c>
      <c r="CW53" s="23">
        <v>0</v>
      </c>
      <c r="CX53" s="23"/>
      <c r="CY53" s="23"/>
    </row>
    <row r="54" spans="1:104" x14ac:dyDescent="0.2">
      <c r="A54" s="8"/>
      <c r="B54" s="189" t="s">
        <v>196</v>
      </c>
      <c r="C54" s="19"/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23">
        <v>0</v>
      </c>
      <c r="W54" s="23">
        <v>0</v>
      </c>
      <c r="X54" s="23">
        <v>0</v>
      </c>
      <c r="Y54" s="23">
        <v>0</v>
      </c>
      <c r="Z54" s="23">
        <v>0</v>
      </c>
      <c r="AA54" s="23">
        <v>0</v>
      </c>
      <c r="AB54" s="23">
        <v>0</v>
      </c>
      <c r="AC54" s="23">
        <v>0</v>
      </c>
      <c r="AD54" s="23">
        <v>0</v>
      </c>
      <c r="AE54" s="23">
        <v>0</v>
      </c>
      <c r="AF54" s="23">
        <v>0</v>
      </c>
      <c r="AG54" s="23">
        <v>0</v>
      </c>
      <c r="AH54" s="23">
        <v>0</v>
      </c>
      <c r="AI54" s="23">
        <v>0</v>
      </c>
      <c r="AJ54" s="23">
        <v>0</v>
      </c>
      <c r="AK54" s="23">
        <v>0</v>
      </c>
      <c r="AL54" s="23">
        <v>0</v>
      </c>
      <c r="AM54" s="23">
        <v>0</v>
      </c>
      <c r="AN54" s="23">
        <v>0</v>
      </c>
      <c r="AO54" s="23">
        <v>0</v>
      </c>
      <c r="AP54" s="23">
        <v>0</v>
      </c>
      <c r="AQ54" s="23">
        <v>0</v>
      </c>
      <c r="AR54" s="23">
        <v>0</v>
      </c>
      <c r="AS54" s="23">
        <v>0</v>
      </c>
      <c r="AT54" s="23">
        <v>0</v>
      </c>
      <c r="AU54" s="23">
        <v>0</v>
      </c>
      <c r="AV54" s="23">
        <v>0</v>
      </c>
      <c r="AW54" s="23">
        <v>0</v>
      </c>
      <c r="AX54" s="23">
        <v>0</v>
      </c>
      <c r="AY54" s="23">
        <v>0</v>
      </c>
      <c r="AZ54" s="23">
        <v>0</v>
      </c>
      <c r="BA54" s="23">
        <v>0</v>
      </c>
      <c r="BB54" s="23">
        <v>0</v>
      </c>
      <c r="BC54" s="23">
        <v>0</v>
      </c>
      <c r="BD54" s="195"/>
      <c r="BE54" s="23">
        <v>0</v>
      </c>
      <c r="BF54" s="23">
        <v>0</v>
      </c>
      <c r="BG54" s="23">
        <v>0</v>
      </c>
      <c r="BH54" s="23">
        <v>0</v>
      </c>
      <c r="BI54" s="23">
        <v>0</v>
      </c>
      <c r="BJ54" s="23">
        <v>0</v>
      </c>
      <c r="BK54" s="23">
        <v>0</v>
      </c>
      <c r="BL54" s="23">
        <v>-639327.88</v>
      </c>
      <c r="BM54" s="23">
        <v>0</v>
      </c>
      <c r="BN54" s="23">
        <v>0</v>
      </c>
      <c r="BO54" s="23">
        <v>0</v>
      </c>
      <c r="BP54" s="23">
        <v>0</v>
      </c>
      <c r="BQ54" s="23">
        <v>0</v>
      </c>
      <c r="BR54" s="23">
        <v>0</v>
      </c>
      <c r="BS54" s="23">
        <v>0</v>
      </c>
      <c r="BT54" s="23">
        <v>0</v>
      </c>
      <c r="BU54" s="23">
        <v>0</v>
      </c>
      <c r="BV54" s="23">
        <v>0</v>
      </c>
      <c r="BW54" s="23">
        <v>0</v>
      </c>
      <c r="BX54" s="23">
        <v>0</v>
      </c>
      <c r="BY54" s="23">
        <v>0</v>
      </c>
      <c r="BZ54" s="23">
        <v>0</v>
      </c>
      <c r="CA54" s="23">
        <v>0</v>
      </c>
      <c r="CB54" s="23">
        <v>0</v>
      </c>
      <c r="CC54" s="23">
        <v>0</v>
      </c>
      <c r="CD54" s="23">
        <v>0</v>
      </c>
      <c r="CE54" s="23">
        <v>0</v>
      </c>
      <c r="CF54" s="23">
        <v>0</v>
      </c>
      <c r="CG54" s="23">
        <v>0</v>
      </c>
      <c r="CH54" s="23">
        <v>0</v>
      </c>
      <c r="CI54" s="23">
        <v>0</v>
      </c>
      <c r="CJ54" s="23">
        <v>0</v>
      </c>
      <c r="CK54" s="23">
        <v>0</v>
      </c>
      <c r="CL54" s="23">
        <v>0</v>
      </c>
      <c r="CM54" s="23">
        <v>0</v>
      </c>
      <c r="CN54" s="23">
        <v>0</v>
      </c>
      <c r="CO54" s="23">
        <v>0</v>
      </c>
      <c r="CP54" s="23">
        <v>0</v>
      </c>
      <c r="CQ54" s="23">
        <v>0</v>
      </c>
      <c r="CR54" s="23">
        <v>0</v>
      </c>
      <c r="CS54" s="23">
        <v>0</v>
      </c>
      <c r="CT54" s="23">
        <v>0</v>
      </c>
      <c r="CU54" s="23">
        <v>0</v>
      </c>
      <c r="CV54" s="23">
        <v>0</v>
      </c>
      <c r="CW54" s="23">
        <v>0</v>
      </c>
      <c r="CX54" s="23"/>
      <c r="CY54" s="23"/>
    </row>
    <row r="55" spans="1:104" x14ac:dyDescent="0.2">
      <c r="A55" s="190"/>
      <c r="B55" s="191" t="s">
        <v>377</v>
      </c>
      <c r="C55" s="189"/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0</v>
      </c>
      <c r="AB55" s="23">
        <v>0</v>
      </c>
      <c r="AC55" s="23">
        <v>0</v>
      </c>
      <c r="AD55" s="23">
        <v>197720.5331578434</v>
      </c>
      <c r="AE55" s="23">
        <v>19809.365142105962</v>
      </c>
      <c r="AF55" s="23">
        <v>1775.0925828351174</v>
      </c>
      <c r="AG55" s="23">
        <v>388.0742268152535</v>
      </c>
      <c r="AH55" s="23">
        <v>168.33523267018609</v>
      </c>
      <c r="AI55" s="23">
        <v>0</v>
      </c>
      <c r="AJ55" s="23">
        <v>0</v>
      </c>
      <c r="AK55" s="23">
        <v>0</v>
      </c>
      <c r="AL55" s="23">
        <v>0</v>
      </c>
      <c r="AM55" s="23">
        <v>0</v>
      </c>
      <c r="AN55" s="23">
        <v>0</v>
      </c>
      <c r="AO55" s="23">
        <v>0</v>
      </c>
      <c r="AP55" s="23">
        <v>0</v>
      </c>
      <c r="AQ55" s="23">
        <v>0</v>
      </c>
      <c r="AR55" s="23">
        <v>0</v>
      </c>
      <c r="AS55" s="23">
        <v>0</v>
      </c>
      <c r="AT55" s="23">
        <v>0</v>
      </c>
      <c r="AU55" s="23">
        <v>0</v>
      </c>
      <c r="AV55" s="23">
        <v>0</v>
      </c>
      <c r="AW55" s="23">
        <v>0</v>
      </c>
      <c r="AX55" s="23">
        <v>0</v>
      </c>
      <c r="AY55" s="23">
        <v>0</v>
      </c>
      <c r="AZ55" s="23">
        <v>0</v>
      </c>
      <c r="BA55" s="23">
        <v>0</v>
      </c>
      <c r="BB55" s="23">
        <v>0</v>
      </c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  <c r="BI55" s="23">
        <v>0</v>
      </c>
      <c r="BJ55" s="23">
        <v>0</v>
      </c>
      <c r="BK55" s="23">
        <v>0</v>
      </c>
      <c r="BL55" s="23">
        <v>0</v>
      </c>
      <c r="BM55" s="23">
        <v>0</v>
      </c>
      <c r="BN55" s="23">
        <v>0</v>
      </c>
      <c r="BO55" s="23">
        <v>0</v>
      </c>
      <c r="BP55" s="23">
        <v>0</v>
      </c>
      <c r="BQ55" s="23">
        <v>0</v>
      </c>
      <c r="BR55" s="23">
        <v>0</v>
      </c>
      <c r="BS55" s="23">
        <v>0</v>
      </c>
      <c r="BT55" s="23">
        <v>0</v>
      </c>
      <c r="BU55" s="23">
        <v>0</v>
      </c>
      <c r="BV55" s="23">
        <v>0</v>
      </c>
      <c r="BW55" s="23">
        <v>0</v>
      </c>
      <c r="BX55" s="23">
        <v>0</v>
      </c>
      <c r="BY55" s="23">
        <v>0</v>
      </c>
      <c r="BZ55" s="23">
        <v>0</v>
      </c>
      <c r="CA55" s="23">
        <v>0</v>
      </c>
      <c r="CB55" s="23">
        <v>0</v>
      </c>
      <c r="CC55" s="23">
        <v>0</v>
      </c>
      <c r="CD55" s="23">
        <v>0</v>
      </c>
      <c r="CE55" s="23">
        <v>0</v>
      </c>
      <c r="CF55" s="23">
        <v>0</v>
      </c>
      <c r="CG55" s="23">
        <v>0</v>
      </c>
      <c r="CH55" s="23">
        <v>0</v>
      </c>
      <c r="CI55" s="23">
        <v>0</v>
      </c>
      <c r="CJ55" s="23">
        <v>0</v>
      </c>
      <c r="CK55" s="23">
        <v>0</v>
      </c>
      <c r="CL55" s="23">
        <v>0</v>
      </c>
      <c r="CM55" s="23">
        <v>0</v>
      </c>
      <c r="CN55" s="23">
        <v>0</v>
      </c>
      <c r="CO55" s="23">
        <v>0</v>
      </c>
      <c r="CP55" s="23">
        <v>0</v>
      </c>
      <c r="CQ55" s="23">
        <v>0</v>
      </c>
      <c r="CR55" s="23">
        <v>0</v>
      </c>
      <c r="CS55" s="23">
        <v>0</v>
      </c>
      <c r="CT55" s="23">
        <v>0</v>
      </c>
      <c r="CU55" s="23">
        <v>0</v>
      </c>
      <c r="CV55" s="23">
        <v>0</v>
      </c>
      <c r="CW55" s="23">
        <v>0</v>
      </c>
      <c r="CX55" s="23"/>
      <c r="CY55" s="23"/>
    </row>
    <row r="56" spans="1:104" x14ac:dyDescent="0.2">
      <c r="A56" s="190"/>
      <c r="B56" s="189" t="s">
        <v>378</v>
      </c>
      <c r="C56" s="189"/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-41502.121588802249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3">
        <v>0</v>
      </c>
      <c r="X56" s="23">
        <v>0</v>
      </c>
      <c r="Y56" s="23">
        <v>0</v>
      </c>
      <c r="Z56" s="23">
        <v>0</v>
      </c>
      <c r="AA56" s="23">
        <v>0</v>
      </c>
      <c r="AB56" s="23">
        <v>0</v>
      </c>
      <c r="AC56" s="23">
        <v>0</v>
      </c>
      <c r="AD56" s="23">
        <v>0</v>
      </c>
      <c r="AE56" s="23">
        <v>0</v>
      </c>
      <c r="AF56" s="23">
        <v>0</v>
      </c>
      <c r="AG56" s="23">
        <v>0</v>
      </c>
      <c r="AH56" s="23">
        <v>0</v>
      </c>
      <c r="AI56" s="23">
        <v>0</v>
      </c>
      <c r="AJ56" s="23">
        <v>0</v>
      </c>
      <c r="AK56" s="23">
        <v>0</v>
      </c>
      <c r="AL56" s="23">
        <v>0</v>
      </c>
      <c r="AM56" s="23">
        <v>0</v>
      </c>
      <c r="AN56" s="23">
        <v>0</v>
      </c>
      <c r="AO56" s="23">
        <v>0</v>
      </c>
      <c r="AP56" s="23">
        <v>0</v>
      </c>
      <c r="AQ56" s="23">
        <v>0</v>
      </c>
      <c r="AR56" s="23">
        <v>0</v>
      </c>
      <c r="AS56" s="23">
        <v>0</v>
      </c>
      <c r="AT56" s="23">
        <v>0</v>
      </c>
      <c r="AU56" s="23">
        <v>0</v>
      </c>
      <c r="AV56" s="23">
        <v>0</v>
      </c>
      <c r="AW56" s="23">
        <v>0</v>
      </c>
      <c r="AX56" s="23">
        <v>0</v>
      </c>
      <c r="AY56" s="23">
        <v>0</v>
      </c>
      <c r="AZ56" s="23">
        <v>0</v>
      </c>
      <c r="BA56" s="23">
        <v>0</v>
      </c>
      <c r="BB56" s="23">
        <v>0</v>
      </c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  <c r="BI56" s="23">
        <v>0</v>
      </c>
      <c r="BJ56" s="23">
        <v>0</v>
      </c>
      <c r="BK56" s="23">
        <v>0</v>
      </c>
      <c r="BL56" s="23">
        <v>0</v>
      </c>
      <c r="BM56" s="23">
        <v>0</v>
      </c>
      <c r="BN56" s="23">
        <v>0</v>
      </c>
      <c r="BO56" s="23">
        <v>0</v>
      </c>
      <c r="BP56" s="23">
        <v>0</v>
      </c>
      <c r="BQ56" s="23">
        <v>0</v>
      </c>
      <c r="BR56" s="23">
        <v>0</v>
      </c>
      <c r="BS56" s="23">
        <v>0</v>
      </c>
      <c r="BT56" s="23">
        <v>0</v>
      </c>
      <c r="BU56" s="23">
        <v>0</v>
      </c>
      <c r="BV56" s="23">
        <v>0</v>
      </c>
      <c r="BW56" s="23">
        <v>0</v>
      </c>
      <c r="BX56" s="23">
        <v>0</v>
      </c>
      <c r="BY56" s="23">
        <v>0</v>
      </c>
      <c r="BZ56" s="23">
        <v>0</v>
      </c>
      <c r="CA56" s="23">
        <v>0</v>
      </c>
      <c r="CB56" s="23">
        <v>0</v>
      </c>
      <c r="CC56" s="23">
        <v>0</v>
      </c>
      <c r="CD56" s="23">
        <v>0</v>
      </c>
      <c r="CE56" s="23">
        <v>0</v>
      </c>
      <c r="CF56" s="23">
        <v>0</v>
      </c>
      <c r="CG56" s="23">
        <v>0</v>
      </c>
      <c r="CH56" s="23">
        <v>0</v>
      </c>
      <c r="CI56" s="23">
        <v>0</v>
      </c>
      <c r="CJ56" s="23">
        <v>0</v>
      </c>
      <c r="CK56" s="23">
        <v>0</v>
      </c>
      <c r="CL56" s="23">
        <v>0</v>
      </c>
      <c r="CM56" s="23">
        <v>0</v>
      </c>
      <c r="CN56" s="23">
        <v>0</v>
      </c>
      <c r="CO56" s="23">
        <v>0</v>
      </c>
      <c r="CP56" s="23">
        <v>0</v>
      </c>
      <c r="CQ56" s="23">
        <v>0</v>
      </c>
      <c r="CR56" s="23">
        <v>0</v>
      </c>
      <c r="CS56" s="23">
        <v>0</v>
      </c>
      <c r="CT56" s="23">
        <v>0</v>
      </c>
      <c r="CU56" s="23">
        <v>0</v>
      </c>
      <c r="CV56" s="23">
        <v>0</v>
      </c>
      <c r="CW56" s="23">
        <v>0</v>
      </c>
      <c r="CX56" s="23"/>
      <c r="CY56" s="23"/>
    </row>
    <row r="57" spans="1:104" x14ac:dyDescent="0.2">
      <c r="A57" s="190"/>
      <c r="B57" s="21" t="s">
        <v>447</v>
      </c>
      <c r="C57" s="189"/>
      <c r="D57" s="23"/>
      <c r="E57" s="23"/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>
        <v>0</v>
      </c>
      <c r="AB57" s="23">
        <v>0</v>
      </c>
      <c r="AC57" s="23">
        <v>0</v>
      </c>
      <c r="AD57" s="23">
        <v>0</v>
      </c>
      <c r="AE57" s="23">
        <v>0</v>
      </c>
      <c r="AF57" s="23">
        <v>0</v>
      </c>
      <c r="AG57" s="23">
        <v>0</v>
      </c>
      <c r="AH57" s="23">
        <v>0</v>
      </c>
      <c r="AI57" s="23">
        <v>0</v>
      </c>
      <c r="AJ57" s="23">
        <v>0</v>
      </c>
      <c r="AK57" s="23">
        <v>0</v>
      </c>
      <c r="AL57" s="23">
        <v>0</v>
      </c>
      <c r="AM57" s="23">
        <v>0</v>
      </c>
      <c r="AN57" s="23">
        <v>0</v>
      </c>
      <c r="AO57" s="23">
        <v>0</v>
      </c>
      <c r="AP57" s="23">
        <v>0</v>
      </c>
      <c r="AQ57" s="23">
        <v>0</v>
      </c>
      <c r="AR57" s="23">
        <v>0</v>
      </c>
      <c r="AS57" s="23">
        <v>0</v>
      </c>
      <c r="AT57" s="23">
        <v>0</v>
      </c>
      <c r="AU57" s="23">
        <v>0</v>
      </c>
      <c r="AV57" s="23">
        <v>0</v>
      </c>
      <c r="AW57" s="23">
        <v>0</v>
      </c>
      <c r="AX57" s="23">
        <v>0</v>
      </c>
      <c r="AY57" s="23">
        <v>0</v>
      </c>
      <c r="AZ57" s="23">
        <v>0</v>
      </c>
      <c r="BA57" s="23">
        <v>0</v>
      </c>
      <c r="BB57" s="23">
        <v>0</v>
      </c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  <c r="BI57" s="23">
        <v>0</v>
      </c>
      <c r="BJ57" s="23">
        <v>0</v>
      </c>
      <c r="BK57" s="23">
        <v>0</v>
      </c>
      <c r="BL57" s="23">
        <v>0</v>
      </c>
      <c r="BM57" s="23">
        <v>0</v>
      </c>
      <c r="BN57" s="23">
        <v>0</v>
      </c>
      <c r="BO57" s="23">
        <v>0</v>
      </c>
      <c r="BP57" s="23">
        <v>0</v>
      </c>
      <c r="BQ57" s="23">
        <v>0</v>
      </c>
      <c r="BR57" s="23">
        <v>0</v>
      </c>
      <c r="BS57" s="23">
        <v>0</v>
      </c>
      <c r="BT57" s="23">
        <v>0</v>
      </c>
      <c r="BU57" s="23">
        <v>0</v>
      </c>
      <c r="BV57" s="23">
        <v>0</v>
      </c>
      <c r="BW57" s="23">
        <v>-0.24</v>
      </c>
      <c r="BX57" s="23">
        <v>0</v>
      </c>
      <c r="BY57" s="23">
        <v>0</v>
      </c>
      <c r="BZ57" s="23">
        <v>0</v>
      </c>
      <c r="CA57" s="23">
        <v>0</v>
      </c>
      <c r="CB57" s="23">
        <v>0</v>
      </c>
      <c r="CC57" s="23">
        <v>0</v>
      </c>
      <c r="CD57" s="23">
        <v>0</v>
      </c>
      <c r="CE57" s="23">
        <v>0</v>
      </c>
      <c r="CF57" s="23">
        <v>0</v>
      </c>
      <c r="CG57" s="23">
        <v>0</v>
      </c>
      <c r="CH57" s="23">
        <v>0</v>
      </c>
      <c r="CI57" s="23">
        <v>0</v>
      </c>
      <c r="CJ57" s="23">
        <v>0</v>
      </c>
      <c r="CK57" s="23">
        <v>0</v>
      </c>
      <c r="CL57" s="23">
        <v>0</v>
      </c>
      <c r="CM57" s="23">
        <v>0</v>
      </c>
      <c r="CN57" s="23">
        <v>0</v>
      </c>
      <c r="CO57" s="23">
        <v>0</v>
      </c>
      <c r="CP57" s="23">
        <v>0</v>
      </c>
      <c r="CQ57" s="23">
        <v>0</v>
      </c>
      <c r="CR57" s="23">
        <v>0</v>
      </c>
      <c r="CS57" s="23">
        <v>0</v>
      </c>
      <c r="CT57" s="23">
        <v>0</v>
      </c>
      <c r="CU57" s="23">
        <v>0</v>
      </c>
      <c r="CV57" s="23">
        <v>0</v>
      </c>
      <c r="CW57" s="23">
        <v>0</v>
      </c>
      <c r="CX57" s="23"/>
      <c r="CY57" s="23"/>
    </row>
    <row r="58" spans="1:104" x14ac:dyDescent="0.2">
      <c r="A58" s="189"/>
      <c r="B58" s="189" t="s">
        <v>199</v>
      </c>
      <c r="C58" s="189"/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-199465.60817156127</v>
      </c>
      <c r="K58" s="23">
        <v>839909.63929235772</v>
      </c>
      <c r="L58" s="23">
        <v>-132528.25807590262</v>
      </c>
      <c r="M58" s="23">
        <v>-103484.37216730745</v>
      </c>
      <c r="N58" s="23">
        <v>700770.85968530783</v>
      </c>
      <c r="O58" s="23">
        <v>-818783.20197902794</v>
      </c>
      <c r="P58" s="23">
        <v>1096276.0165001631</v>
      </c>
      <c r="Q58" s="23">
        <v>-817310.30951343151</v>
      </c>
      <c r="R58" s="23">
        <v>958170.01138508262</v>
      </c>
      <c r="S58" s="23">
        <v>784942.6259112932</v>
      </c>
      <c r="T58" s="23">
        <v>30704.375064515523</v>
      </c>
      <c r="U58" s="23">
        <v>673040.03886486136</v>
      </c>
      <c r="V58" s="23">
        <v>263331.30598785734</v>
      </c>
      <c r="W58" s="23">
        <v>38116.316063273625</v>
      </c>
      <c r="X58" s="23">
        <v>348979.22271862964</v>
      </c>
      <c r="Y58" s="23">
        <v>1286283.3942931639</v>
      </c>
      <c r="Z58" s="23">
        <v>-421340.3069793639</v>
      </c>
      <c r="AA58" s="23">
        <v>1370054.8696792435</v>
      </c>
      <c r="AB58" s="23">
        <v>1490456.606397552</v>
      </c>
      <c r="AC58" s="23">
        <v>2821545.5923420191</v>
      </c>
      <c r="AD58" s="23">
        <v>1654548.6437538122</v>
      </c>
      <c r="AE58" s="23">
        <v>494103.71222840523</v>
      </c>
      <c r="AF58" s="23">
        <v>690188.31342275883</v>
      </c>
      <c r="AG58" s="23">
        <v>727750.65767317871</v>
      </c>
      <c r="AH58" s="23">
        <v>647189.07880039897</v>
      </c>
      <c r="AI58" s="23">
        <v>259386.30302540021</v>
      </c>
      <c r="AJ58" s="23">
        <v>279325.8908050044</v>
      </c>
      <c r="AK58" s="23">
        <v>1244399.5841505413</v>
      </c>
      <c r="AL58" s="23">
        <v>717740.02218569873</v>
      </c>
      <c r="AM58" s="23">
        <v>-668084.06894046708</v>
      </c>
      <c r="AN58" s="23">
        <v>1488380.2262490329</v>
      </c>
      <c r="AO58" s="23">
        <v>2573371.3174412423</v>
      </c>
      <c r="AP58" s="23">
        <v>752220.08010899019</v>
      </c>
      <c r="AQ58" s="23">
        <v>1950532.5679012637</v>
      </c>
      <c r="AR58" s="23">
        <v>1280321.929172223</v>
      </c>
      <c r="AS58" s="23">
        <v>251221.46629375406</v>
      </c>
      <c r="AT58" s="23">
        <v>179341.70468093536</v>
      </c>
      <c r="AU58" s="23">
        <v>450032.60857312684</v>
      </c>
      <c r="AV58" s="23">
        <v>-34198.314575369746</v>
      </c>
      <c r="AW58" s="23">
        <v>1028723.8213427879</v>
      </c>
      <c r="AX58" s="23">
        <v>2579451.6371541549</v>
      </c>
      <c r="AY58" s="23">
        <v>75193.216915806799</v>
      </c>
      <c r="AZ58" s="23">
        <v>-1646641.65</v>
      </c>
      <c r="BA58" s="23">
        <v>304219.58</v>
      </c>
      <c r="BB58" s="23">
        <v>-167080.89000000001</v>
      </c>
      <c r="BC58" s="23">
        <v>242116.06</v>
      </c>
      <c r="BD58" s="23">
        <v>-81570.899999999994</v>
      </c>
      <c r="BE58" s="23">
        <v>217673.58</v>
      </c>
      <c r="BF58" s="23">
        <v>81067.45</v>
      </c>
      <c r="BG58" s="23">
        <v>258625.12</v>
      </c>
      <c r="BH58" s="23">
        <v>270736.83</v>
      </c>
      <c r="BI58" s="23">
        <v>178979.84</v>
      </c>
      <c r="BJ58" s="23">
        <v>643841.98</v>
      </c>
      <c r="BK58" s="23">
        <v>337361.12</v>
      </c>
      <c r="BL58" s="23">
        <v>0</v>
      </c>
      <c r="BM58" s="23">
        <v>0</v>
      </c>
      <c r="BN58" s="23">
        <v>0</v>
      </c>
      <c r="BO58" s="23">
        <v>0</v>
      </c>
      <c r="BP58" s="23">
        <v>0</v>
      </c>
      <c r="BQ58" s="23">
        <v>0</v>
      </c>
      <c r="BR58" s="23">
        <v>0</v>
      </c>
      <c r="BS58" s="23">
        <v>0</v>
      </c>
      <c r="BT58" s="23">
        <v>0</v>
      </c>
      <c r="BU58" s="23">
        <v>0</v>
      </c>
      <c r="BV58" s="23">
        <v>0</v>
      </c>
      <c r="BW58" s="23">
        <v>0</v>
      </c>
      <c r="BX58" s="23">
        <v>0</v>
      </c>
      <c r="BY58" s="23">
        <v>0</v>
      </c>
      <c r="BZ58" s="23">
        <v>0</v>
      </c>
      <c r="CA58" s="23">
        <v>0</v>
      </c>
      <c r="CB58" s="23">
        <v>0</v>
      </c>
      <c r="CC58" s="23">
        <v>0</v>
      </c>
      <c r="CD58" s="23">
        <v>0</v>
      </c>
      <c r="CE58" s="23">
        <v>0</v>
      </c>
      <c r="CF58" s="23">
        <v>0</v>
      </c>
      <c r="CG58" s="23">
        <v>0</v>
      </c>
      <c r="CH58" s="23">
        <v>0</v>
      </c>
      <c r="CI58" s="23">
        <v>0</v>
      </c>
      <c r="CJ58" s="23">
        <v>0</v>
      </c>
      <c r="CK58" s="23">
        <v>0</v>
      </c>
      <c r="CL58" s="23">
        <v>0</v>
      </c>
      <c r="CM58" s="23">
        <v>0</v>
      </c>
      <c r="CN58" s="23">
        <v>0</v>
      </c>
      <c r="CO58" s="23">
        <v>0</v>
      </c>
      <c r="CP58" s="23">
        <v>0</v>
      </c>
      <c r="CQ58" s="23">
        <v>0</v>
      </c>
      <c r="CR58" s="23">
        <v>0</v>
      </c>
      <c r="CS58" s="23">
        <v>0</v>
      </c>
      <c r="CT58" s="23">
        <v>0</v>
      </c>
      <c r="CU58" s="23">
        <v>0</v>
      </c>
      <c r="CV58" s="23">
        <v>0</v>
      </c>
      <c r="CW58" s="23">
        <v>0</v>
      </c>
      <c r="CX58" s="23"/>
      <c r="CY58" s="23"/>
    </row>
    <row r="59" spans="1:104" x14ac:dyDescent="0.2">
      <c r="A59" s="8"/>
      <c r="B59" s="8" t="s">
        <v>193</v>
      </c>
      <c r="C59" s="8"/>
      <c r="D59" s="24">
        <f>SUM(D53:D58)</f>
        <v>0</v>
      </c>
      <c r="E59" s="24">
        <f>SUM(E53:E58)</f>
        <v>0</v>
      </c>
      <c r="F59" s="24">
        <f t="shared" ref="F59:AF59" si="264">SUM(F53:F58)</f>
        <v>0</v>
      </c>
      <c r="G59" s="24">
        <f t="shared" si="264"/>
        <v>0</v>
      </c>
      <c r="H59" s="24">
        <f t="shared" si="264"/>
        <v>0</v>
      </c>
      <c r="I59" s="24">
        <f t="shared" si="264"/>
        <v>0</v>
      </c>
      <c r="J59" s="24">
        <f t="shared" si="264"/>
        <v>-199465.60817156127</v>
      </c>
      <c r="K59" s="24">
        <f t="shared" si="264"/>
        <v>839909.63929235772</v>
      </c>
      <c r="L59" s="24">
        <f t="shared" si="264"/>
        <v>-132528.25807590262</v>
      </c>
      <c r="M59" s="24">
        <f t="shared" si="264"/>
        <v>-103484.37216730745</v>
      </c>
      <c r="N59" s="24">
        <f t="shared" si="264"/>
        <v>700770.85968530783</v>
      </c>
      <c r="O59" s="24">
        <f t="shared" si="264"/>
        <v>-818783.20197902794</v>
      </c>
      <c r="P59" s="24">
        <f t="shared" si="264"/>
        <v>1054773.8949113609</v>
      </c>
      <c r="Q59" s="24">
        <f t="shared" si="264"/>
        <v>-817310.30951343151</v>
      </c>
      <c r="R59" s="24">
        <f t="shared" si="264"/>
        <v>958170.01138508262</v>
      </c>
      <c r="S59" s="24">
        <f t="shared" si="264"/>
        <v>784942.6259112932</v>
      </c>
      <c r="T59" s="24">
        <f t="shared" si="264"/>
        <v>-214212.56193054846</v>
      </c>
      <c r="U59" s="24">
        <f t="shared" si="264"/>
        <v>673040.03886486136</v>
      </c>
      <c r="V59" s="24">
        <f t="shared" si="264"/>
        <v>263331.30598785734</v>
      </c>
      <c r="W59" s="24">
        <f t="shared" si="264"/>
        <v>38116.316063273625</v>
      </c>
      <c r="X59" s="24">
        <f t="shared" si="264"/>
        <v>348979.22271862964</v>
      </c>
      <c r="Y59" s="24">
        <f t="shared" si="264"/>
        <v>1286283.3942931639</v>
      </c>
      <c r="Z59" s="24">
        <f t="shared" si="264"/>
        <v>-421340.3069793639</v>
      </c>
      <c r="AA59" s="24">
        <f t="shared" si="264"/>
        <v>1370054.8696792435</v>
      </c>
      <c r="AB59" s="24">
        <f t="shared" si="264"/>
        <v>1490456.606397552</v>
      </c>
      <c r="AC59" s="24">
        <f t="shared" si="264"/>
        <v>2821545.5923420191</v>
      </c>
      <c r="AD59" s="24">
        <f t="shared" si="264"/>
        <v>1852269.1769116556</v>
      </c>
      <c r="AE59" s="24">
        <f t="shared" si="264"/>
        <v>513913.07737051119</v>
      </c>
      <c r="AF59" s="24">
        <f t="shared" si="264"/>
        <v>-5043290.5028379103</v>
      </c>
      <c r="AG59" s="24">
        <f>SUM(AG53:AG58)</f>
        <v>728138.73189999396</v>
      </c>
      <c r="AH59" s="24">
        <f t="shared" ref="AH59:BK59" si="265">SUM(AH53:AH58)</f>
        <v>647357.41403306916</v>
      </c>
      <c r="AI59" s="24">
        <f t="shared" si="265"/>
        <v>259386.30302540021</v>
      </c>
      <c r="AJ59" s="24">
        <f t="shared" si="265"/>
        <v>279325.8908050044</v>
      </c>
      <c r="AK59" s="24">
        <f t="shared" si="265"/>
        <v>1244399.5841505413</v>
      </c>
      <c r="AL59" s="24">
        <f t="shared" si="265"/>
        <v>717740.02218569873</v>
      </c>
      <c r="AM59" s="24">
        <f t="shared" si="265"/>
        <v>-668084.06894046708</v>
      </c>
      <c r="AN59" s="24">
        <f t="shared" si="265"/>
        <v>1488380.2262490329</v>
      </c>
      <c r="AO59" s="24">
        <f t="shared" si="265"/>
        <v>2573371.3174412423</v>
      </c>
      <c r="AP59" s="24">
        <f t="shared" si="265"/>
        <v>752220.08010899019</v>
      </c>
      <c r="AQ59" s="24">
        <f t="shared" si="265"/>
        <v>1950532.5679012637</v>
      </c>
      <c r="AR59" s="24">
        <f t="shared" si="265"/>
        <v>-9174083.4581461772</v>
      </c>
      <c r="AS59" s="24">
        <f t="shared" si="265"/>
        <v>251221.46629375406</v>
      </c>
      <c r="AT59" s="24">
        <f t="shared" si="265"/>
        <v>179341.70468093536</v>
      </c>
      <c r="AU59" s="24">
        <f t="shared" si="265"/>
        <v>450032.60857312684</v>
      </c>
      <c r="AV59" s="24">
        <f t="shared" si="265"/>
        <v>-34198.314575369746</v>
      </c>
      <c r="AW59" s="24">
        <f t="shared" si="265"/>
        <v>1028723.8213427879</v>
      </c>
      <c r="AX59" s="24">
        <f t="shared" si="265"/>
        <v>2579451.6371541549</v>
      </c>
      <c r="AY59" s="24">
        <f t="shared" si="265"/>
        <v>75193.216915806799</v>
      </c>
      <c r="AZ59" s="24">
        <f t="shared" si="265"/>
        <v>-1646641.65</v>
      </c>
      <c r="BA59" s="24">
        <f t="shared" si="265"/>
        <v>304219.58</v>
      </c>
      <c r="BB59" s="24">
        <f t="shared" si="265"/>
        <v>-167080.89000000001</v>
      </c>
      <c r="BC59" s="24">
        <f t="shared" si="265"/>
        <v>242116.06</v>
      </c>
      <c r="BD59" s="24">
        <f t="shared" si="265"/>
        <v>-12656163.16</v>
      </c>
      <c r="BE59" s="24">
        <f t="shared" si="265"/>
        <v>217673.58</v>
      </c>
      <c r="BF59" s="24">
        <f t="shared" si="265"/>
        <v>81067.45</v>
      </c>
      <c r="BG59" s="24">
        <f t="shared" si="265"/>
        <v>258625.12</v>
      </c>
      <c r="BH59" s="24">
        <f t="shared" si="265"/>
        <v>270736.83</v>
      </c>
      <c r="BI59" s="24">
        <f t="shared" si="265"/>
        <v>178979.84</v>
      </c>
      <c r="BJ59" s="24">
        <f t="shared" si="265"/>
        <v>643841.98</v>
      </c>
      <c r="BK59" s="24">
        <f t="shared" si="265"/>
        <v>337361.12</v>
      </c>
      <c r="BL59" s="24">
        <f t="shared" ref="BL59:BW59" si="266">SUM(BL53:BL58)</f>
        <v>-639327.88</v>
      </c>
      <c r="BM59" s="24">
        <f t="shared" si="266"/>
        <v>0</v>
      </c>
      <c r="BN59" s="24">
        <f t="shared" si="266"/>
        <v>0</v>
      </c>
      <c r="BO59" s="24">
        <f t="shared" si="266"/>
        <v>0</v>
      </c>
      <c r="BP59" s="24">
        <f t="shared" si="266"/>
        <v>0</v>
      </c>
      <c r="BQ59" s="24">
        <f t="shared" si="266"/>
        <v>0</v>
      </c>
      <c r="BR59" s="24">
        <f t="shared" si="266"/>
        <v>0</v>
      </c>
      <c r="BS59" s="24">
        <f t="shared" si="266"/>
        <v>0</v>
      </c>
      <c r="BT59" s="24">
        <f t="shared" si="266"/>
        <v>0</v>
      </c>
      <c r="BU59" s="24">
        <f t="shared" si="266"/>
        <v>0</v>
      </c>
      <c r="BV59" s="24">
        <f t="shared" si="266"/>
        <v>0</v>
      </c>
      <c r="BW59" s="24">
        <f t="shared" si="266"/>
        <v>-0.24</v>
      </c>
      <c r="BX59" s="24">
        <f t="shared" ref="BX59:CJ59" si="267">SUM(BX53:BX58)</f>
        <v>0</v>
      </c>
      <c r="BY59" s="24">
        <f t="shared" si="267"/>
        <v>0</v>
      </c>
      <c r="BZ59" s="24">
        <f t="shared" si="267"/>
        <v>0</v>
      </c>
      <c r="CA59" s="24">
        <f t="shared" si="267"/>
        <v>0</v>
      </c>
      <c r="CB59" s="24">
        <f t="shared" si="267"/>
        <v>0</v>
      </c>
      <c r="CC59" s="24">
        <f t="shared" si="267"/>
        <v>0</v>
      </c>
      <c r="CD59" s="24">
        <f t="shared" si="267"/>
        <v>0</v>
      </c>
      <c r="CE59" s="24">
        <f t="shared" si="267"/>
        <v>0</v>
      </c>
      <c r="CF59" s="24">
        <f t="shared" si="267"/>
        <v>0</v>
      </c>
      <c r="CG59" s="24">
        <f t="shared" si="267"/>
        <v>0</v>
      </c>
      <c r="CH59" s="24">
        <f t="shared" si="267"/>
        <v>0</v>
      </c>
      <c r="CI59" s="24">
        <f t="shared" si="267"/>
        <v>0</v>
      </c>
      <c r="CJ59" s="24">
        <f t="shared" si="267"/>
        <v>0</v>
      </c>
      <c r="CK59" s="24">
        <f t="shared" ref="CK59:CY59" si="268">SUM(CK53:CK58)</f>
        <v>0</v>
      </c>
      <c r="CL59" s="24">
        <f t="shared" si="268"/>
        <v>0</v>
      </c>
      <c r="CM59" s="24">
        <f t="shared" si="268"/>
        <v>0</v>
      </c>
      <c r="CN59" s="24">
        <f t="shared" si="268"/>
        <v>0</v>
      </c>
      <c r="CO59" s="24">
        <f t="shared" si="268"/>
        <v>0</v>
      </c>
      <c r="CP59" s="24">
        <f t="shared" si="268"/>
        <v>0</v>
      </c>
      <c r="CQ59" s="24">
        <f t="shared" si="268"/>
        <v>0</v>
      </c>
      <c r="CR59" s="24">
        <f t="shared" si="268"/>
        <v>0</v>
      </c>
      <c r="CS59" s="24">
        <f t="shared" si="268"/>
        <v>0</v>
      </c>
      <c r="CT59" s="24">
        <f t="shared" si="268"/>
        <v>0</v>
      </c>
      <c r="CU59" s="24">
        <f t="shared" si="268"/>
        <v>0</v>
      </c>
      <c r="CV59" s="24">
        <f t="shared" si="268"/>
        <v>0</v>
      </c>
      <c r="CW59" s="24">
        <f t="shared" si="268"/>
        <v>0</v>
      </c>
      <c r="CX59" s="24">
        <f t="shared" si="268"/>
        <v>0</v>
      </c>
      <c r="CY59" s="24">
        <f t="shared" si="268"/>
        <v>0</v>
      </c>
    </row>
    <row r="60" spans="1:104" x14ac:dyDescent="0.2">
      <c r="A60" s="8"/>
      <c r="B60" s="8" t="s">
        <v>194</v>
      </c>
      <c r="C60" s="8"/>
      <c r="D60" s="17">
        <f>D52+D59</f>
        <v>0</v>
      </c>
      <c r="E60" s="17">
        <f t="shared" ref="E60:CK60" si="269">E52+E59</f>
        <v>0</v>
      </c>
      <c r="F60" s="17">
        <f t="shared" si="269"/>
        <v>0</v>
      </c>
      <c r="G60" s="17">
        <f t="shared" si="269"/>
        <v>0</v>
      </c>
      <c r="H60" s="17">
        <f t="shared" si="269"/>
        <v>0</v>
      </c>
      <c r="I60" s="17">
        <f t="shared" si="269"/>
        <v>0</v>
      </c>
      <c r="J60" s="17">
        <f t="shared" si="269"/>
        <v>-199465.60817156127</v>
      </c>
      <c r="K60" s="17">
        <f t="shared" si="269"/>
        <v>640444.03112079646</v>
      </c>
      <c r="L60" s="17">
        <f t="shared" si="269"/>
        <v>507915.77304489387</v>
      </c>
      <c r="M60" s="17">
        <f t="shared" si="269"/>
        <v>404431.40087758645</v>
      </c>
      <c r="N60" s="17">
        <f t="shared" si="269"/>
        <v>1105202.2605628944</v>
      </c>
      <c r="O60" s="17">
        <f t="shared" si="269"/>
        <v>286419.05858386646</v>
      </c>
      <c r="P60" s="17">
        <f t="shared" si="269"/>
        <v>1341192.9534952273</v>
      </c>
      <c r="Q60" s="17">
        <f t="shared" si="269"/>
        <v>523882.64398179576</v>
      </c>
      <c r="R60" s="17">
        <f t="shared" si="269"/>
        <v>1482052.6553668785</v>
      </c>
      <c r="S60" s="17">
        <f t="shared" si="269"/>
        <v>2266995.2812781716</v>
      </c>
      <c r="T60" s="17">
        <f t="shared" si="269"/>
        <v>2052782.7193476232</v>
      </c>
      <c r="U60" s="17">
        <f t="shared" si="269"/>
        <v>2725822.7582124844</v>
      </c>
      <c r="V60" s="17">
        <f t="shared" si="269"/>
        <v>2989154.0642003417</v>
      </c>
      <c r="W60" s="17">
        <f t="shared" si="269"/>
        <v>3027270.3802636154</v>
      </c>
      <c r="X60" s="17">
        <f t="shared" si="269"/>
        <v>3376249.6029822449</v>
      </c>
      <c r="Y60" s="17">
        <f t="shared" si="269"/>
        <v>4662532.9972754084</v>
      </c>
      <c r="Z60" s="17">
        <f t="shared" si="269"/>
        <v>4241192.6902960446</v>
      </c>
      <c r="AA60" s="17">
        <f t="shared" si="269"/>
        <v>5611247.5599752879</v>
      </c>
      <c r="AB60" s="17">
        <f t="shared" si="269"/>
        <v>7101704.1663728394</v>
      </c>
      <c r="AC60" s="17">
        <f t="shared" si="269"/>
        <v>9923249.7587148584</v>
      </c>
      <c r="AD60" s="17">
        <f t="shared" si="269"/>
        <v>11775518.935626514</v>
      </c>
      <c r="AE60" s="17">
        <f t="shared" si="269"/>
        <v>12289432.012997026</v>
      </c>
      <c r="AF60" s="17">
        <f t="shared" si="269"/>
        <v>7246141.5101591153</v>
      </c>
      <c r="AG60" s="17">
        <f t="shared" si="269"/>
        <v>7974280.2420591097</v>
      </c>
      <c r="AH60" s="17">
        <f t="shared" si="269"/>
        <v>8621637.6560921781</v>
      </c>
      <c r="AI60" s="17">
        <f t="shared" si="269"/>
        <v>8881023.9591175783</v>
      </c>
      <c r="AJ60" s="17">
        <f t="shared" si="269"/>
        <v>9160349.8499225825</v>
      </c>
      <c r="AK60" s="17">
        <f t="shared" si="269"/>
        <v>10404749.434073124</v>
      </c>
      <c r="AL60" s="17">
        <f t="shared" si="269"/>
        <v>11122489.456258822</v>
      </c>
      <c r="AM60" s="17">
        <f t="shared" si="269"/>
        <v>10454405.387318356</v>
      </c>
      <c r="AN60" s="17">
        <f t="shared" si="269"/>
        <v>11942785.61356739</v>
      </c>
      <c r="AO60" s="17">
        <f t="shared" si="269"/>
        <v>14516156.931008631</v>
      </c>
      <c r="AP60" s="17">
        <f t="shared" si="269"/>
        <v>15268377.011117622</v>
      </c>
      <c r="AQ60" s="17">
        <f t="shared" si="269"/>
        <v>17218909.579018887</v>
      </c>
      <c r="AR60" s="17">
        <f t="shared" si="269"/>
        <v>8044826.1208727099</v>
      </c>
      <c r="AS60" s="17">
        <f t="shared" si="269"/>
        <v>8296047.587166464</v>
      </c>
      <c r="AT60" s="17">
        <f t="shared" si="269"/>
        <v>8475389.2918473985</v>
      </c>
      <c r="AU60" s="17">
        <f t="shared" si="269"/>
        <v>8925421.900420526</v>
      </c>
      <c r="AV60" s="17">
        <f t="shared" si="269"/>
        <v>8891223.5858451556</v>
      </c>
      <c r="AW60" s="17">
        <f t="shared" si="269"/>
        <v>9919947.4071879443</v>
      </c>
      <c r="AX60" s="17">
        <f t="shared" si="269"/>
        <v>12499399.044342099</v>
      </c>
      <c r="AY60" s="17">
        <f t="shared" si="269"/>
        <v>12574592.261257906</v>
      </c>
      <c r="AZ60" s="17">
        <f t="shared" si="269"/>
        <v>10927950.611257905</v>
      </c>
      <c r="BA60" s="17">
        <f t="shared" si="269"/>
        <v>11232170.191257905</v>
      </c>
      <c r="BB60" s="17">
        <f t="shared" si="269"/>
        <v>11065089.301257905</v>
      </c>
      <c r="BC60" s="17">
        <f t="shared" si="269"/>
        <v>11307205.361257905</v>
      </c>
      <c r="BD60" s="17">
        <f t="shared" si="269"/>
        <v>-1348957.798742095</v>
      </c>
      <c r="BE60" s="17">
        <f t="shared" si="269"/>
        <v>-1131284.2187420949</v>
      </c>
      <c r="BF60" s="17">
        <f t="shared" si="269"/>
        <v>-1050216.768742095</v>
      </c>
      <c r="BG60" s="17">
        <f t="shared" si="269"/>
        <v>-791591.64874209499</v>
      </c>
      <c r="BH60" s="17">
        <f t="shared" si="269"/>
        <v>-520854.81874209497</v>
      </c>
      <c r="BI60" s="17">
        <f t="shared" si="269"/>
        <v>-341874.97874209494</v>
      </c>
      <c r="BJ60" s="17">
        <f t="shared" si="269"/>
        <v>301967.00125790504</v>
      </c>
      <c r="BK60" s="17">
        <f t="shared" si="269"/>
        <v>639328.12125790503</v>
      </c>
      <c r="BL60" s="17">
        <f t="shared" ref="BL60:BW60" si="270">BL52+BL59</f>
        <v>0.24125790502876043</v>
      </c>
      <c r="BM60" s="17">
        <f t="shared" si="270"/>
        <v>0.24125790502876043</v>
      </c>
      <c r="BN60" s="17">
        <f t="shared" si="270"/>
        <v>0.24125790502876043</v>
      </c>
      <c r="BO60" s="17">
        <f t="shared" si="270"/>
        <v>0.24125790502876043</v>
      </c>
      <c r="BP60" s="17">
        <f t="shared" si="270"/>
        <v>0.24125790502876043</v>
      </c>
      <c r="BQ60" s="17">
        <f t="shared" si="270"/>
        <v>0.24125790502876043</v>
      </c>
      <c r="BR60" s="17">
        <f t="shared" si="270"/>
        <v>0.24125790502876043</v>
      </c>
      <c r="BS60" s="17">
        <f t="shared" si="270"/>
        <v>0.24125790502876043</v>
      </c>
      <c r="BT60" s="17">
        <f t="shared" si="270"/>
        <v>0.24125790502876043</v>
      </c>
      <c r="BU60" s="17">
        <f t="shared" si="270"/>
        <v>0.24125790502876043</v>
      </c>
      <c r="BV60" s="17">
        <f t="shared" si="270"/>
        <v>0.24125790502876043</v>
      </c>
      <c r="BW60" s="17">
        <f t="shared" si="270"/>
        <v>1.2579050287604421E-3</v>
      </c>
      <c r="BX60" s="17">
        <f t="shared" ref="BX60:CJ60" si="271">BX52+BX59</f>
        <v>1.2579050287604421E-3</v>
      </c>
      <c r="BY60" s="17">
        <f t="shared" si="271"/>
        <v>1.2579050287604421E-3</v>
      </c>
      <c r="BZ60" s="17">
        <f t="shared" si="271"/>
        <v>1.2579050287604421E-3</v>
      </c>
      <c r="CA60" s="17">
        <f t="shared" si="271"/>
        <v>1.2579050287604421E-3</v>
      </c>
      <c r="CB60" s="17">
        <f t="shared" si="271"/>
        <v>1.2579050287604421E-3</v>
      </c>
      <c r="CC60" s="17">
        <f t="shared" si="271"/>
        <v>1.2579050287604421E-3</v>
      </c>
      <c r="CD60" s="17">
        <f t="shared" si="271"/>
        <v>1.2579050287604421E-3</v>
      </c>
      <c r="CE60" s="17">
        <f t="shared" si="271"/>
        <v>1.2579050287604421E-3</v>
      </c>
      <c r="CF60" s="17">
        <f t="shared" si="271"/>
        <v>1.2579050287604421E-3</v>
      </c>
      <c r="CG60" s="17">
        <f t="shared" si="271"/>
        <v>1.2579050287604421E-3</v>
      </c>
      <c r="CH60" s="17">
        <f t="shared" si="271"/>
        <v>1.2579050287604421E-3</v>
      </c>
      <c r="CI60" s="17">
        <f t="shared" si="271"/>
        <v>1.2579050287604421E-3</v>
      </c>
      <c r="CJ60" s="17">
        <f t="shared" si="271"/>
        <v>1.2579050287604421E-3</v>
      </c>
      <c r="CK60" s="17">
        <f t="shared" si="269"/>
        <v>1.2579050287604421E-3</v>
      </c>
      <c r="CL60" s="17">
        <f t="shared" ref="CL60" si="272">CL52+CL59</f>
        <v>1.2579050287604421E-3</v>
      </c>
      <c r="CM60" s="17">
        <f t="shared" ref="CM60" si="273">CM52+CM59</f>
        <v>1.2579050287604421E-3</v>
      </c>
      <c r="CN60" s="17">
        <f t="shared" ref="CN60" si="274">CN52+CN59</f>
        <v>1.2579050287604421E-3</v>
      </c>
      <c r="CO60" s="17">
        <f t="shared" ref="CO60" si="275">CO52+CO59</f>
        <v>1.2579050287604421E-3</v>
      </c>
      <c r="CP60" s="17">
        <f t="shared" ref="CP60" si="276">CP52+CP59</f>
        <v>1.2579050287604421E-3</v>
      </c>
      <c r="CQ60" s="17">
        <f t="shared" ref="CQ60" si="277">CQ52+CQ59</f>
        <v>1.2579050287604421E-3</v>
      </c>
      <c r="CR60" s="17">
        <f t="shared" ref="CR60" si="278">CR52+CR59</f>
        <v>1.2579050287604421E-3</v>
      </c>
      <c r="CS60" s="17">
        <f t="shared" ref="CS60" si="279">CS52+CS59</f>
        <v>1.2579050287604421E-3</v>
      </c>
      <c r="CT60" s="17">
        <f t="shared" ref="CT60" si="280">CT52+CT59</f>
        <v>1.2579050287604421E-3</v>
      </c>
      <c r="CU60" s="17">
        <f t="shared" ref="CU60" si="281">CU52+CU59</f>
        <v>1.2579050287604421E-3</v>
      </c>
      <c r="CV60" s="17">
        <f t="shared" ref="CV60" si="282">CV52+CV59</f>
        <v>1.2579050287604421E-3</v>
      </c>
      <c r="CW60" s="17">
        <f t="shared" ref="CW60" si="283">CW52+CW59</f>
        <v>1.2579050287604421E-3</v>
      </c>
      <c r="CX60" s="17">
        <f t="shared" ref="CX60" si="284">CX52+CX59</f>
        <v>1.2579050287604421E-3</v>
      </c>
      <c r="CY60" s="17">
        <f t="shared" ref="CY60" si="285">CY52+CY59</f>
        <v>1.2579050287604421E-3</v>
      </c>
    </row>
    <row r="61" spans="1:104" x14ac:dyDescent="0.2">
      <c r="A61" s="8"/>
      <c r="B61" s="8"/>
      <c r="C61" s="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8"/>
      <c r="CX61" s="8"/>
      <c r="CY61" s="8"/>
    </row>
    <row r="62" spans="1:104" x14ac:dyDescent="0.2">
      <c r="A62" s="4" t="s">
        <v>200</v>
      </c>
      <c r="C62" s="15">
        <v>18237292</v>
      </c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194"/>
      <c r="AJ62" s="194"/>
      <c r="AK62" s="194"/>
      <c r="AL62" s="194"/>
      <c r="AM62" s="194"/>
      <c r="AN62" s="194"/>
      <c r="AO62" s="194"/>
      <c r="AP62" s="194"/>
      <c r="AQ62" s="194"/>
      <c r="AR62" s="194"/>
      <c r="AS62" s="194"/>
      <c r="AT62" s="194"/>
      <c r="AU62" s="194"/>
      <c r="AV62" s="194"/>
      <c r="AW62" s="194"/>
      <c r="AX62" s="194"/>
      <c r="AY62" s="194"/>
      <c r="AZ62" s="194"/>
      <c r="BA62" s="194"/>
      <c r="BB62" s="194"/>
      <c r="BC62" s="194"/>
      <c r="BD62" s="195"/>
      <c r="BE62" s="194"/>
      <c r="BF62" s="194"/>
      <c r="BG62" s="194"/>
      <c r="BH62" s="194"/>
      <c r="BI62" s="194"/>
      <c r="BJ62" s="194"/>
      <c r="BK62" s="194"/>
      <c r="BL62" s="194"/>
      <c r="BM62" s="194"/>
      <c r="BN62" s="194"/>
      <c r="BO62" s="194"/>
      <c r="BP62" s="194"/>
      <c r="BQ62" s="194"/>
      <c r="BR62" s="194"/>
      <c r="BS62" s="194"/>
      <c r="BT62" s="194"/>
      <c r="BU62" s="194"/>
      <c r="BV62" s="194"/>
      <c r="BW62" s="194"/>
      <c r="BX62" s="194"/>
      <c r="BY62" s="194"/>
      <c r="BZ62" s="194"/>
      <c r="CA62" s="194"/>
      <c r="CB62" s="194"/>
      <c r="CC62" s="194"/>
      <c r="CD62" s="194"/>
      <c r="CE62" s="194"/>
      <c r="CF62" s="194"/>
      <c r="CG62" s="194"/>
      <c r="CH62" s="194"/>
      <c r="CI62" s="194"/>
      <c r="CJ62" s="194"/>
      <c r="CK62" s="194"/>
      <c r="CL62" s="194"/>
      <c r="CM62" s="194"/>
      <c r="CN62" s="194"/>
      <c r="CO62" s="194"/>
      <c r="CP62" s="194"/>
      <c r="CQ62" s="194"/>
      <c r="CR62" s="194"/>
      <c r="CS62" s="194"/>
      <c r="CT62" s="194"/>
      <c r="CU62" s="8"/>
      <c r="CX62" s="8"/>
      <c r="CY62" s="8"/>
    </row>
    <row r="63" spans="1:104" s="25" customFormat="1" x14ac:dyDescent="0.2">
      <c r="A63" s="7"/>
      <c r="B63" s="7" t="s">
        <v>190</v>
      </c>
      <c r="C63" s="15">
        <v>25400692</v>
      </c>
      <c r="D63" s="17">
        <v>0</v>
      </c>
      <c r="E63" s="17">
        <f>D68</f>
        <v>0</v>
      </c>
      <c r="F63" s="17">
        <f t="shared" ref="F63:CM63" si="286">E68</f>
        <v>0</v>
      </c>
      <c r="G63" s="17">
        <f t="shared" si="286"/>
        <v>0</v>
      </c>
      <c r="H63" s="17">
        <f t="shared" si="286"/>
        <v>0</v>
      </c>
      <c r="I63" s="17">
        <f t="shared" si="286"/>
        <v>0</v>
      </c>
      <c r="J63" s="17">
        <f t="shared" si="286"/>
        <v>0</v>
      </c>
      <c r="K63" s="17">
        <f t="shared" si="286"/>
        <v>0</v>
      </c>
      <c r="L63" s="17">
        <f t="shared" si="286"/>
        <v>0</v>
      </c>
      <c r="M63" s="17">
        <f t="shared" si="286"/>
        <v>0</v>
      </c>
      <c r="N63" s="17">
        <f t="shared" si="286"/>
        <v>0</v>
      </c>
      <c r="O63" s="17">
        <f t="shared" si="286"/>
        <v>0</v>
      </c>
      <c r="P63" s="17">
        <f t="shared" si="286"/>
        <v>0</v>
      </c>
      <c r="Q63" s="17">
        <f t="shared" si="286"/>
        <v>0</v>
      </c>
      <c r="R63" s="17">
        <f t="shared" si="286"/>
        <v>0</v>
      </c>
      <c r="S63" s="17">
        <f t="shared" si="286"/>
        <v>0</v>
      </c>
      <c r="T63" s="17">
        <f t="shared" si="286"/>
        <v>0</v>
      </c>
      <c r="U63" s="17">
        <f t="shared" si="286"/>
        <v>0</v>
      </c>
      <c r="V63" s="17">
        <f t="shared" si="286"/>
        <v>0</v>
      </c>
      <c r="W63" s="17">
        <f t="shared" si="286"/>
        <v>0</v>
      </c>
      <c r="X63" s="17">
        <f t="shared" si="286"/>
        <v>0</v>
      </c>
      <c r="Y63" s="17">
        <f t="shared" si="286"/>
        <v>0</v>
      </c>
      <c r="Z63" s="17">
        <f t="shared" si="286"/>
        <v>0</v>
      </c>
      <c r="AA63" s="17">
        <f t="shared" si="286"/>
        <v>0</v>
      </c>
      <c r="AB63" s="17">
        <f t="shared" si="286"/>
        <v>0</v>
      </c>
      <c r="AC63" s="17">
        <f t="shared" si="286"/>
        <v>0</v>
      </c>
      <c r="AD63" s="17">
        <f t="shared" si="286"/>
        <v>0</v>
      </c>
      <c r="AE63" s="17">
        <f t="shared" si="286"/>
        <v>0</v>
      </c>
      <c r="AF63" s="17">
        <f t="shared" si="286"/>
        <v>0</v>
      </c>
      <c r="AG63" s="17">
        <f t="shared" si="286"/>
        <v>0</v>
      </c>
      <c r="AH63" s="17">
        <f t="shared" si="286"/>
        <v>0</v>
      </c>
      <c r="AI63" s="17">
        <f t="shared" si="286"/>
        <v>0</v>
      </c>
      <c r="AJ63" s="17">
        <f t="shared" si="286"/>
        <v>0</v>
      </c>
      <c r="AK63" s="17">
        <f t="shared" si="286"/>
        <v>0</v>
      </c>
      <c r="AL63" s="17">
        <f t="shared" si="286"/>
        <v>0</v>
      </c>
      <c r="AM63" s="17">
        <f t="shared" si="286"/>
        <v>0</v>
      </c>
      <c r="AN63" s="17">
        <f t="shared" si="286"/>
        <v>0</v>
      </c>
      <c r="AO63" s="17">
        <f t="shared" si="286"/>
        <v>0</v>
      </c>
      <c r="AP63" s="17">
        <f t="shared" si="286"/>
        <v>0</v>
      </c>
      <c r="AQ63" s="17">
        <f t="shared" si="286"/>
        <v>0</v>
      </c>
      <c r="AR63" s="17">
        <f t="shared" si="286"/>
        <v>0</v>
      </c>
      <c r="AS63" s="17">
        <f t="shared" si="286"/>
        <v>0</v>
      </c>
      <c r="AT63" s="17">
        <f t="shared" si="286"/>
        <v>0</v>
      </c>
      <c r="AU63" s="17">
        <f t="shared" si="286"/>
        <v>0</v>
      </c>
      <c r="AV63" s="17">
        <f t="shared" si="286"/>
        <v>0</v>
      </c>
      <c r="AW63" s="17">
        <f t="shared" si="286"/>
        <v>0</v>
      </c>
      <c r="AX63" s="17">
        <f t="shared" si="286"/>
        <v>0</v>
      </c>
      <c r="AY63" s="17">
        <f t="shared" si="286"/>
        <v>0</v>
      </c>
      <c r="AZ63" s="17">
        <f t="shared" si="286"/>
        <v>0</v>
      </c>
      <c r="BA63" s="17">
        <f t="shared" si="286"/>
        <v>0</v>
      </c>
      <c r="BB63" s="17">
        <f t="shared" si="286"/>
        <v>0</v>
      </c>
      <c r="BC63" s="17">
        <f t="shared" si="286"/>
        <v>0</v>
      </c>
      <c r="BD63" s="17">
        <f t="shared" si="286"/>
        <v>0</v>
      </c>
      <c r="BE63" s="17">
        <f t="shared" si="286"/>
        <v>0</v>
      </c>
      <c r="BF63" s="17">
        <f t="shared" si="286"/>
        <v>0</v>
      </c>
      <c r="BG63" s="17">
        <f t="shared" si="286"/>
        <v>0</v>
      </c>
      <c r="BH63" s="17">
        <f t="shared" si="286"/>
        <v>0</v>
      </c>
      <c r="BI63" s="17">
        <f t="shared" si="286"/>
        <v>0</v>
      </c>
      <c r="BJ63" s="17">
        <f t="shared" si="286"/>
        <v>0</v>
      </c>
      <c r="BK63" s="17">
        <f t="shared" si="286"/>
        <v>0</v>
      </c>
      <c r="BL63" s="17">
        <f t="shared" ref="BL63" si="287">BK68</f>
        <v>-21797.52</v>
      </c>
      <c r="BM63" s="17">
        <f t="shared" ref="BM63" si="288">BL68</f>
        <v>1128506.1096399999</v>
      </c>
      <c r="BN63" s="17">
        <f t="shared" ref="BN63" si="289">BM68</f>
        <v>57536.909639999969</v>
      </c>
      <c r="BO63" s="17">
        <f t="shared" ref="BO63" si="290">BN68</f>
        <v>-1167721.3803600001</v>
      </c>
      <c r="BP63" s="17">
        <f t="shared" ref="BP63" si="291">BO68</f>
        <v>-1631195.52036</v>
      </c>
      <c r="BQ63" s="17">
        <f t="shared" ref="BQ63" si="292">BP68</f>
        <v>-1908960.26</v>
      </c>
      <c r="BR63" s="17">
        <f t="shared" ref="BR63" si="293">BQ68</f>
        <v>-2200728.2400000002</v>
      </c>
      <c r="BS63" s="17">
        <f t="shared" ref="BS63" si="294">BR68</f>
        <v>-2017706.8300000003</v>
      </c>
      <c r="BT63" s="17">
        <f t="shared" ref="BT63" si="295">BS68</f>
        <v>-2087406.6200000003</v>
      </c>
      <c r="BU63" s="17">
        <f t="shared" ref="BU63" si="296">BT68</f>
        <v>-2050589.4300000004</v>
      </c>
      <c r="BV63" s="17">
        <f t="shared" ref="BV63" si="297">BU68</f>
        <v>-2183856.5000000005</v>
      </c>
      <c r="BW63" s="17">
        <f t="shared" ref="BW63" si="298">BV68</f>
        <v>-2302303.0500000003</v>
      </c>
      <c r="BX63" s="17">
        <f t="shared" ref="BX63" si="299">BW68</f>
        <v>-2236606.3800000004</v>
      </c>
      <c r="BY63" s="17">
        <f t="shared" ref="BY63" si="300">BX68</f>
        <v>-1146242.2800000003</v>
      </c>
      <c r="BZ63" s="17">
        <f t="shared" ref="BZ63" si="301">BY68</f>
        <v>-3648146.3600000003</v>
      </c>
      <c r="CA63" s="17">
        <f t="shared" ref="CA63" si="302">BZ68</f>
        <v>-3664790.95</v>
      </c>
      <c r="CB63" s="17">
        <f t="shared" ref="CB63" si="303">CA68</f>
        <v>-3306291.52</v>
      </c>
      <c r="CC63" s="17">
        <f t="shared" ref="CC63" si="304">CB68</f>
        <v>-1045661.9099999997</v>
      </c>
      <c r="CD63" s="17">
        <f t="shared" ref="CD63" si="305">CC68</f>
        <v>-1092831.6199999996</v>
      </c>
      <c r="CE63" s="17">
        <f t="shared" ref="CE63" si="306">CD68</f>
        <v>-1274468.8299999996</v>
      </c>
      <c r="CF63" s="17">
        <f t="shared" ref="CF63" si="307">CE68</f>
        <v>-1516494.0099999995</v>
      </c>
      <c r="CG63" s="17">
        <f t="shared" ref="CG63" si="308">CF68</f>
        <v>-2038771.5699999996</v>
      </c>
      <c r="CH63" s="17">
        <f t="shared" ref="CH63" si="309">CG68</f>
        <v>-2556481.0399999996</v>
      </c>
      <c r="CI63" s="17">
        <f t="shared" ref="CI63" si="310">CH68</f>
        <v>-1196934.3699999996</v>
      </c>
      <c r="CJ63" s="17">
        <f t="shared" ref="CJ63" si="311">CI68</f>
        <v>-1448346.7099999997</v>
      </c>
      <c r="CK63" s="17">
        <f t="shared" si="286"/>
        <v>-888719.02999999968</v>
      </c>
      <c r="CL63" s="17">
        <f t="shared" si="286"/>
        <v>-1439825.0199999996</v>
      </c>
      <c r="CM63" s="17">
        <f t="shared" si="286"/>
        <v>-1262516.3399999996</v>
      </c>
      <c r="CN63" s="17">
        <f t="shared" ref="CN63" si="312">CM68</f>
        <v>-128415.49999999953</v>
      </c>
      <c r="CO63" s="17">
        <f t="shared" ref="CO63" si="313">CN68</f>
        <v>2238409.3200000003</v>
      </c>
      <c r="CP63" s="17">
        <f t="shared" ref="CP63" si="314">CO68</f>
        <v>2367240.7900000005</v>
      </c>
      <c r="CQ63" s="17">
        <f t="shared" ref="CQ63" si="315">CP68</f>
        <v>2625448.8000000007</v>
      </c>
      <c r="CR63" s="17">
        <f t="shared" ref="CR63" si="316">CQ68</f>
        <v>3089983.8800000008</v>
      </c>
      <c r="CS63" s="17">
        <f t="shared" ref="CS63" si="317">CR68</f>
        <v>3738147.2000000007</v>
      </c>
      <c r="CT63" s="17">
        <f>CS68</f>
        <v>4711338.2700000005</v>
      </c>
      <c r="CU63" s="17">
        <f t="shared" ref="CU63:CY63" si="318">CT68</f>
        <v>4906063.5200000005</v>
      </c>
      <c r="CV63" s="17">
        <f t="shared" si="318"/>
        <v>7355292.0300000003</v>
      </c>
      <c r="CW63" s="17">
        <f t="shared" si="318"/>
        <v>9166565.8300000001</v>
      </c>
      <c r="CX63" s="17">
        <f t="shared" si="318"/>
        <v>8293706.8300000001</v>
      </c>
      <c r="CY63" s="17">
        <f t="shared" si="318"/>
        <v>8293706.8300000001</v>
      </c>
      <c r="CZ63" s="7"/>
    </row>
    <row r="64" spans="1:104" s="25" customFormat="1" x14ac:dyDescent="0.2">
      <c r="B64" s="21" t="s">
        <v>191</v>
      </c>
      <c r="C64" s="26"/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0</v>
      </c>
      <c r="W64" s="23">
        <v>0</v>
      </c>
      <c r="X64" s="23">
        <v>0</v>
      </c>
      <c r="Y64" s="23">
        <v>0</v>
      </c>
      <c r="Z64" s="23">
        <v>0</v>
      </c>
      <c r="AA64" s="23">
        <v>0</v>
      </c>
      <c r="AB64" s="23">
        <v>0</v>
      </c>
      <c r="AC64" s="23">
        <v>0</v>
      </c>
      <c r="AD64" s="23">
        <v>0</v>
      </c>
      <c r="AE64" s="23">
        <v>0</v>
      </c>
      <c r="AF64" s="23">
        <v>0</v>
      </c>
      <c r="AG64" s="23">
        <v>0</v>
      </c>
      <c r="AH64" s="23">
        <v>0</v>
      </c>
      <c r="AI64" s="23">
        <v>0</v>
      </c>
      <c r="AJ64" s="23">
        <v>0</v>
      </c>
      <c r="AK64" s="23">
        <v>0</v>
      </c>
      <c r="AL64" s="23">
        <v>0</v>
      </c>
      <c r="AM64" s="23">
        <v>0</v>
      </c>
      <c r="AN64" s="23">
        <v>0</v>
      </c>
      <c r="AO64" s="23">
        <v>0</v>
      </c>
      <c r="AP64" s="23">
        <v>0</v>
      </c>
      <c r="AQ64" s="23">
        <v>0</v>
      </c>
      <c r="AR64" s="23">
        <v>0</v>
      </c>
      <c r="AS64" s="23">
        <v>0</v>
      </c>
      <c r="AT64" s="23">
        <v>0</v>
      </c>
      <c r="AU64" s="23">
        <v>0</v>
      </c>
      <c r="AV64" s="23">
        <v>0</v>
      </c>
      <c r="AW64" s="23">
        <v>0</v>
      </c>
      <c r="AX64" s="23">
        <v>0</v>
      </c>
      <c r="AY64" s="23">
        <v>0</v>
      </c>
      <c r="AZ64" s="23">
        <v>0</v>
      </c>
      <c r="BA64" s="23">
        <v>0</v>
      </c>
      <c r="BB64" s="23">
        <v>0</v>
      </c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  <c r="BI64" s="23">
        <v>0</v>
      </c>
      <c r="BJ64" s="23">
        <v>0</v>
      </c>
      <c r="BK64" s="23">
        <v>0</v>
      </c>
      <c r="BL64" s="23">
        <v>0</v>
      </c>
      <c r="BM64" s="23">
        <v>0</v>
      </c>
      <c r="BN64" s="23">
        <v>0</v>
      </c>
      <c r="BO64" s="23">
        <v>0</v>
      </c>
      <c r="BP64" s="23">
        <v>-427649.97963999998</v>
      </c>
      <c r="BQ64" s="23">
        <v>0</v>
      </c>
      <c r="BR64" s="23">
        <v>0</v>
      </c>
      <c r="BS64" s="23">
        <v>0</v>
      </c>
      <c r="BT64" s="23">
        <v>0</v>
      </c>
      <c r="BU64" s="23">
        <v>0</v>
      </c>
      <c r="BV64" s="23">
        <v>0</v>
      </c>
      <c r="BW64" s="23">
        <v>0</v>
      </c>
      <c r="BX64" s="23">
        <v>0</v>
      </c>
      <c r="BY64" s="23">
        <v>0</v>
      </c>
      <c r="BZ64" s="23">
        <v>0</v>
      </c>
      <c r="CA64" s="23">
        <v>0</v>
      </c>
      <c r="CB64" s="23">
        <v>2236606.3800000004</v>
      </c>
      <c r="CC64" s="23">
        <v>0</v>
      </c>
      <c r="CD64" s="23">
        <v>0</v>
      </c>
      <c r="CE64" s="23">
        <v>0</v>
      </c>
      <c r="CF64" s="23">
        <v>0</v>
      </c>
      <c r="CG64" s="23">
        <v>0</v>
      </c>
      <c r="CH64" s="23">
        <v>0</v>
      </c>
      <c r="CI64" s="23">
        <v>0</v>
      </c>
      <c r="CJ64" s="23">
        <v>0</v>
      </c>
      <c r="CK64" s="23">
        <v>0</v>
      </c>
      <c r="CL64" s="23">
        <v>0</v>
      </c>
      <c r="CM64" s="23">
        <v>0</v>
      </c>
      <c r="CN64" s="23">
        <v>1448346.7099999997</v>
      </c>
      <c r="CO64" s="23">
        <v>0</v>
      </c>
      <c r="CP64" s="23">
        <v>0</v>
      </c>
      <c r="CQ64" s="23">
        <v>0</v>
      </c>
      <c r="CR64" s="23">
        <v>0</v>
      </c>
      <c r="CS64" s="23">
        <v>0</v>
      </c>
      <c r="CT64" s="23">
        <v>0</v>
      </c>
      <c r="CU64" s="23">
        <v>0</v>
      </c>
      <c r="CV64" s="23">
        <v>0</v>
      </c>
      <c r="CW64" s="23">
        <v>0</v>
      </c>
      <c r="CX64" s="23"/>
      <c r="CY64" s="23"/>
    </row>
    <row r="65" spans="1:104" s="21" customFormat="1" x14ac:dyDescent="0.2">
      <c r="A65" s="25"/>
      <c r="B65" s="21" t="s">
        <v>201</v>
      </c>
      <c r="C65" s="26"/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23">
        <v>0</v>
      </c>
      <c r="W65" s="23">
        <v>0</v>
      </c>
      <c r="X65" s="23">
        <v>0</v>
      </c>
      <c r="Y65" s="23">
        <v>0</v>
      </c>
      <c r="Z65" s="23">
        <v>0</v>
      </c>
      <c r="AA65" s="23">
        <v>0</v>
      </c>
      <c r="AB65" s="23">
        <v>0</v>
      </c>
      <c r="AC65" s="23">
        <v>0</v>
      </c>
      <c r="AD65" s="23">
        <v>0</v>
      </c>
      <c r="AE65" s="23">
        <v>0</v>
      </c>
      <c r="AF65" s="23">
        <v>0</v>
      </c>
      <c r="AG65" s="23">
        <v>0</v>
      </c>
      <c r="AH65" s="23">
        <v>0</v>
      </c>
      <c r="AI65" s="23">
        <v>0</v>
      </c>
      <c r="AJ65" s="23">
        <v>0</v>
      </c>
      <c r="AK65" s="23">
        <v>0</v>
      </c>
      <c r="AL65" s="23">
        <v>0</v>
      </c>
      <c r="AM65" s="23">
        <v>0</v>
      </c>
      <c r="AN65" s="23">
        <v>0</v>
      </c>
      <c r="AO65" s="23">
        <v>0</v>
      </c>
      <c r="AP65" s="23">
        <v>0</v>
      </c>
      <c r="AQ65" s="23">
        <v>0</v>
      </c>
      <c r="AR65" s="23">
        <v>0</v>
      </c>
      <c r="AS65" s="23">
        <v>0</v>
      </c>
      <c r="AT65" s="23">
        <v>0</v>
      </c>
      <c r="AU65" s="23">
        <v>0</v>
      </c>
      <c r="AV65" s="23">
        <v>0</v>
      </c>
      <c r="AW65" s="23">
        <v>0</v>
      </c>
      <c r="AX65" s="23">
        <v>0</v>
      </c>
      <c r="AY65" s="23">
        <v>0</v>
      </c>
      <c r="AZ65" s="23">
        <v>0</v>
      </c>
      <c r="BA65" s="23">
        <v>0</v>
      </c>
      <c r="BB65" s="23">
        <v>0</v>
      </c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  <c r="BI65" s="23">
        <v>0</v>
      </c>
      <c r="BJ65" s="23">
        <v>0</v>
      </c>
      <c r="BK65" s="23">
        <v>0</v>
      </c>
      <c r="BL65" s="23">
        <v>449447.49963999999</v>
      </c>
      <c r="BM65" s="23">
        <v>0</v>
      </c>
      <c r="BN65" s="23">
        <v>0</v>
      </c>
      <c r="BO65" s="23">
        <v>0</v>
      </c>
      <c r="BP65" s="23">
        <v>0</v>
      </c>
      <c r="BQ65" s="23">
        <v>0</v>
      </c>
      <c r="BR65" s="23">
        <v>0</v>
      </c>
      <c r="BS65" s="23">
        <v>0</v>
      </c>
      <c r="BT65" s="23">
        <v>0</v>
      </c>
      <c r="BU65" s="23">
        <v>0</v>
      </c>
      <c r="BV65" s="23">
        <v>0</v>
      </c>
      <c r="BW65" s="23">
        <v>0</v>
      </c>
      <c r="BX65" s="23">
        <v>0</v>
      </c>
      <c r="BY65" s="23">
        <v>0</v>
      </c>
      <c r="BZ65" s="23">
        <v>0</v>
      </c>
      <c r="CA65" s="23">
        <v>0</v>
      </c>
      <c r="CB65" s="23">
        <v>0</v>
      </c>
      <c r="CC65" s="23">
        <v>0</v>
      </c>
      <c r="CD65" s="23">
        <v>0</v>
      </c>
      <c r="CE65" s="23">
        <v>0</v>
      </c>
      <c r="CF65" s="23">
        <v>0</v>
      </c>
      <c r="CG65" s="23">
        <v>0</v>
      </c>
      <c r="CH65" s="23">
        <v>0</v>
      </c>
      <c r="CI65" s="23">
        <v>0</v>
      </c>
      <c r="CJ65" s="23">
        <v>0</v>
      </c>
      <c r="CK65" s="23"/>
      <c r="CL65" s="23"/>
      <c r="CM65" s="23"/>
      <c r="CN65" s="23">
        <v>0</v>
      </c>
      <c r="CO65" s="23">
        <v>0</v>
      </c>
      <c r="CP65" s="23">
        <v>0</v>
      </c>
      <c r="CQ65" s="23">
        <v>0</v>
      </c>
      <c r="CR65" s="23">
        <v>0</v>
      </c>
      <c r="CS65" s="23">
        <v>0</v>
      </c>
      <c r="CT65" s="23">
        <v>0</v>
      </c>
      <c r="CU65" s="23">
        <v>0</v>
      </c>
      <c r="CV65" s="23">
        <v>0</v>
      </c>
      <c r="CW65" s="23">
        <v>0</v>
      </c>
      <c r="CX65" s="23"/>
      <c r="CY65" s="23"/>
      <c r="CZ65" s="25"/>
    </row>
    <row r="66" spans="1:104" x14ac:dyDescent="0.2">
      <c r="A66" s="21"/>
      <c r="B66" s="21" t="s">
        <v>199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23">
        <v>0</v>
      </c>
      <c r="X66" s="23">
        <v>0</v>
      </c>
      <c r="Y66" s="23">
        <v>0</v>
      </c>
      <c r="Z66" s="23">
        <v>0</v>
      </c>
      <c r="AA66" s="23">
        <v>0</v>
      </c>
      <c r="AB66" s="23">
        <v>0</v>
      </c>
      <c r="AC66" s="23">
        <v>0</v>
      </c>
      <c r="AD66" s="23">
        <v>0</v>
      </c>
      <c r="AE66" s="23">
        <v>0</v>
      </c>
      <c r="AF66" s="23">
        <v>0</v>
      </c>
      <c r="AG66" s="23">
        <v>0</v>
      </c>
      <c r="AH66" s="23">
        <v>0</v>
      </c>
      <c r="AI66" s="23">
        <v>0</v>
      </c>
      <c r="AJ66" s="23">
        <v>0</v>
      </c>
      <c r="AK66" s="23">
        <v>0</v>
      </c>
      <c r="AL66" s="23">
        <v>0</v>
      </c>
      <c r="AM66" s="23">
        <v>0</v>
      </c>
      <c r="AN66" s="23">
        <v>0</v>
      </c>
      <c r="AO66" s="23">
        <v>0</v>
      </c>
      <c r="AP66" s="23">
        <v>0</v>
      </c>
      <c r="AQ66" s="23">
        <v>0</v>
      </c>
      <c r="AR66" s="23">
        <v>0</v>
      </c>
      <c r="AS66" s="23">
        <v>0</v>
      </c>
      <c r="AT66" s="23">
        <v>0</v>
      </c>
      <c r="AU66" s="23">
        <v>0</v>
      </c>
      <c r="AV66" s="23">
        <v>0</v>
      </c>
      <c r="AW66" s="23">
        <v>0</v>
      </c>
      <c r="AX66" s="23">
        <v>0</v>
      </c>
      <c r="AY66" s="23">
        <v>0</v>
      </c>
      <c r="AZ66" s="23">
        <v>0</v>
      </c>
      <c r="BA66" s="23">
        <v>0</v>
      </c>
      <c r="BB66" s="23">
        <v>0</v>
      </c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  <c r="BI66" s="23">
        <v>0</v>
      </c>
      <c r="BJ66" s="23">
        <v>0</v>
      </c>
      <c r="BK66" s="23">
        <v>-21797.52</v>
      </c>
      <c r="BL66" s="23">
        <v>700856.13</v>
      </c>
      <c r="BM66" s="23">
        <v>-1070969.2</v>
      </c>
      <c r="BN66" s="23">
        <v>-1225258.29</v>
      </c>
      <c r="BO66" s="23">
        <v>-463474.14</v>
      </c>
      <c r="BP66" s="23">
        <v>149885.24</v>
      </c>
      <c r="BQ66" s="23">
        <v>-291767.98</v>
      </c>
      <c r="BR66" s="23">
        <v>183021.41</v>
      </c>
      <c r="BS66" s="23">
        <v>-69699.789999999994</v>
      </c>
      <c r="BT66" s="23">
        <v>36817.19</v>
      </c>
      <c r="BU66" s="23">
        <v>-133267.07</v>
      </c>
      <c r="BV66" s="23">
        <v>-118446.55</v>
      </c>
      <c r="BW66" s="23">
        <v>65696.67</v>
      </c>
      <c r="BX66" s="23">
        <v>1090364.1000000001</v>
      </c>
      <c r="BY66" s="23">
        <v>-2501904.08</v>
      </c>
      <c r="BZ66" s="23">
        <v>-16644.59</v>
      </c>
      <c r="CA66" s="23">
        <v>358499.43</v>
      </c>
      <c r="CB66" s="23">
        <v>24023.23</v>
      </c>
      <c r="CC66" s="23">
        <v>-47169.71</v>
      </c>
      <c r="CD66" s="23">
        <v>-181637.21</v>
      </c>
      <c r="CE66" s="23">
        <v>-242025.18</v>
      </c>
      <c r="CF66" s="23">
        <v>-522277.56</v>
      </c>
      <c r="CG66" s="23">
        <v>-517709.47</v>
      </c>
      <c r="CH66" s="23">
        <v>1359546.67</v>
      </c>
      <c r="CI66" s="23">
        <v>-251412.34</v>
      </c>
      <c r="CJ66" s="22">
        <f>'Sch31&amp;31T Deferral Calc'!C28</f>
        <v>559627.68000000005</v>
      </c>
      <c r="CK66" s="22">
        <f>'Sch31&amp;31T Deferral Calc'!D28</f>
        <v>-551105.99</v>
      </c>
      <c r="CL66" s="22">
        <f>'Sch31&amp;31T Deferral Calc'!E28</f>
        <v>177308.68</v>
      </c>
      <c r="CM66" s="22">
        <f>'Sch31&amp;31T Deferral Calc'!F28</f>
        <v>1134100.8400000001</v>
      </c>
      <c r="CN66" s="22">
        <f>'Sch31&amp;31T Deferral Calc'!G28</f>
        <v>918478.11</v>
      </c>
      <c r="CO66" s="22">
        <f>'Sch31&amp;31T Deferral Calc'!H28</f>
        <v>128831.47</v>
      </c>
      <c r="CP66" s="22">
        <f>'Sch31&amp;31T Deferral Calc'!I28</f>
        <v>258208.01</v>
      </c>
      <c r="CQ66" s="22">
        <f>'Sch31&amp;31T Deferral Calc'!J28</f>
        <v>464535.08</v>
      </c>
      <c r="CR66" s="22">
        <f>'Sch31&amp;31T Deferral Calc'!K28</f>
        <v>648163.31999999995</v>
      </c>
      <c r="CS66" s="22">
        <f>'Sch31&amp;31T Deferral Calc'!L28</f>
        <v>973191.07</v>
      </c>
      <c r="CT66" s="22">
        <f>'Sch31&amp;31T Deferral Calc'!M28</f>
        <v>194725.25</v>
      </c>
      <c r="CU66" s="22">
        <f>'Sch31&amp;31T Deferral Calc'!N28</f>
        <v>2449228.5099999998</v>
      </c>
      <c r="CV66" s="22">
        <f>'Sch31&amp;31T Deferral Calc'!O28</f>
        <v>1811273.8</v>
      </c>
      <c r="CW66" s="22">
        <f>'Sch31&amp;31T Deferral Calc'!P28</f>
        <v>-872859</v>
      </c>
      <c r="CX66" s="22"/>
      <c r="CY66" s="22"/>
      <c r="CZ66" s="21"/>
    </row>
    <row r="67" spans="1:104" x14ac:dyDescent="0.2">
      <c r="B67" s="7" t="s">
        <v>193</v>
      </c>
      <c r="D67" s="24">
        <f t="shared" ref="D67:CM67" si="319">SUM(D64:D66)</f>
        <v>0</v>
      </c>
      <c r="E67" s="24">
        <f t="shared" si="319"/>
        <v>0</v>
      </c>
      <c r="F67" s="24">
        <f t="shared" si="319"/>
        <v>0</v>
      </c>
      <c r="G67" s="24">
        <f t="shared" si="319"/>
        <v>0</v>
      </c>
      <c r="H67" s="24">
        <f t="shared" si="319"/>
        <v>0</v>
      </c>
      <c r="I67" s="24">
        <f t="shared" si="319"/>
        <v>0</v>
      </c>
      <c r="J67" s="24">
        <f t="shared" si="319"/>
        <v>0</v>
      </c>
      <c r="K67" s="24">
        <f t="shared" si="319"/>
        <v>0</v>
      </c>
      <c r="L67" s="24">
        <f t="shared" si="319"/>
        <v>0</v>
      </c>
      <c r="M67" s="24">
        <f t="shared" si="319"/>
        <v>0</v>
      </c>
      <c r="N67" s="24">
        <f t="shared" si="319"/>
        <v>0</v>
      </c>
      <c r="O67" s="24">
        <f t="shared" si="319"/>
        <v>0</v>
      </c>
      <c r="P67" s="24">
        <f t="shared" si="319"/>
        <v>0</v>
      </c>
      <c r="Q67" s="24">
        <f t="shared" si="319"/>
        <v>0</v>
      </c>
      <c r="R67" s="24">
        <f t="shared" si="319"/>
        <v>0</v>
      </c>
      <c r="S67" s="24">
        <f t="shared" si="319"/>
        <v>0</v>
      </c>
      <c r="T67" s="24">
        <f t="shared" si="319"/>
        <v>0</v>
      </c>
      <c r="U67" s="24">
        <f t="shared" si="319"/>
        <v>0</v>
      </c>
      <c r="V67" s="24">
        <f t="shared" si="319"/>
        <v>0</v>
      </c>
      <c r="W67" s="24">
        <f t="shared" si="319"/>
        <v>0</v>
      </c>
      <c r="X67" s="24">
        <f t="shared" si="319"/>
        <v>0</v>
      </c>
      <c r="Y67" s="24">
        <f t="shared" si="319"/>
        <v>0</v>
      </c>
      <c r="Z67" s="24">
        <f t="shared" si="319"/>
        <v>0</v>
      </c>
      <c r="AA67" s="24">
        <f t="shared" si="319"/>
        <v>0</v>
      </c>
      <c r="AB67" s="24">
        <f t="shared" si="319"/>
        <v>0</v>
      </c>
      <c r="AC67" s="24">
        <f t="shared" si="319"/>
        <v>0</v>
      </c>
      <c r="AD67" s="24">
        <f t="shared" si="319"/>
        <v>0</v>
      </c>
      <c r="AE67" s="24">
        <f t="shared" si="319"/>
        <v>0</v>
      </c>
      <c r="AF67" s="24">
        <f t="shared" si="319"/>
        <v>0</v>
      </c>
      <c r="AG67" s="24">
        <f t="shared" si="319"/>
        <v>0</v>
      </c>
      <c r="AH67" s="24">
        <f t="shared" si="319"/>
        <v>0</v>
      </c>
      <c r="AI67" s="24">
        <f t="shared" si="319"/>
        <v>0</v>
      </c>
      <c r="AJ67" s="24">
        <f t="shared" si="319"/>
        <v>0</v>
      </c>
      <c r="AK67" s="24">
        <f t="shared" si="319"/>
        <v>0</v>
      </c>
      <c r="AL67" s="24">
        <f t="shared" si="319"/>
        <v>0</v>
      </c>
      <c r="AM67" s="24">
        <f t="shared" si="319"/>
        <v>0</v>
      </c>
      <c r="AN67" s="24">
        <f t="shared" si="319"/>
        <v>0</v>
      </c>
      <c r="AO67" s="24">
        <f t="shared" si="319"/>
        <v>0</v>
      </c>
      <c r="AP67" s="24">
        <f t="shared" si="319"/>
        <v>0</v>
      </c>
      <c r="AQ67" s="24">
        <f t="shared" si="319"/>
        <v>0</v>
      </c>
      <c r="AR67" s="24">
        <f t="shared" si="319"/>
        <v>0</v>
      </c>
      <c r="AS67" s="24">
        <f t="shared" si="319"/>
        <v>0</v>
      </c>
      <c r="AT67" s="24">
        <f t="shared" si="319"/>
        <v>0</v>
      </c>
      <c r="AU67" s="24">
        <f t="shared" si="319"/>
        <v>0</v>
      </c>
      <c r="AV67" s="24">
        <f t="shared" si="319"/>
        <v>0</v>
      </c>
      <c r="AW67" s="24">
        <f t="shared" si="319"/>
        <v>0</v>
      </c>
      <c r="AX67" s="24">
        <f t="shared" si="319"/>
        <v>0</v>
      </c>
      <c r="AY67" s="24">
        <f t="shared" si="319"/>
        <v>0</v>
      </c>
      <c r="AZ67" s="24">
        <f t="shared" si="319"/>
        <v>0</v>
      </c>
      <c r="BA67" s="24">
        <f t="shared" si="319"/>
        <v>0</v>
      </c>
      <c r="BB67" s="24">
        <f t="shared" si="319"/>
        <v>0</v>
      </c>
      <c r="BC67" s="24">
        <f t="shared" si="319"/>
        <v>0</v>
      </c>
      <c r="BD67" s="24">
        <f t="shared" si="319"/>
        <v>0</v>
      </c>
      <c r="BE67" s="24">
        <f t="shared" si="319"/>
        <v>0</v>
      </c>
      <c r="BF67" s="24">
        <f t="shared" si="319"/>
        <v>0</v>
      </c>
      <c r="BG67" s="24">
        <f t="shared" si="319"/>
        <v>0</v>
      </c>
      <c r="BH67" s="24">
        <f t="shared" si="319"/>
        <v>0</v>
      </c>
      <c r="BI67" s="24">
        <f t="shared" si="319"/>
        <v>0</v>
      </c>
      <c r="BJ67" s="24">
        <f t="shared" si="319"/>
        <v>0</v>
      </c>
      <c r="BK67" s="24">
        <f t="shared" si="319"/>
        <v>-21797.52</v>
      </c>
      <c r="BL67" s="24">
        <f t="shared" ref="BL67:BW67" si="320">SUM(BL64:BL66)</f>
        <v>1150303.6296399999</v>
      </c>
      <c r="BM67" s="24">
        <f t="shared" si="320"/>
        <v>-1070969.2</v>
      </c>
      <c r="BN67" s="24">
        <f t="shared" si="320"/>
        <v>-1225258.29</v>
      </c>
      <c r="BO67" s="24">
        <f t="shared" si="320"/>
        <v>-463474.14</v>
      </c>
      <c r="BP67" s="24">
        <f t="shared" si="320"/>
        <v>-277764.73963999999</v>
      </c>
      <c r="BQ67" s="24">
        <f t="shared" si="320"/>
        <v>-291767.98</v>
      </c>
      <c r="BR67" s="24">
        <f t="shared" si="320"/>
        <v>183021.41</v>
      </c>
      <c r="BS67" s="24">
        <f t="shared" si="320"/>
        <v>-69699.789999999994</v>
      </c>
      <c r="BT67" s="24">
        <f t="shared" si="320"/>
        <v>36817.19</v>
      </c>
      <c r="BU67" s="24">
        <f t="shared" si="320"/>
        <v>-133267.07</v>
      </c>
      <c r="BV67" s="24">
        <f t="shared" si="320"/>
        <v>-118446.55</v>
      </c>
      <c r="BW67" s="24">
        <f t="shared" si="320"/>
        <v>65696.67</v>
      </c>
      <c r="BX67" s="24">
        <f t="shared" ref="BX67:CJ67" si="321">SUM(BX64:BX66)</f>
        <v>1090364.1000000001</v>
      </c>
      <c r="BY67" s="24">
        <f t="shared" si="321"/>
        <v>-2501904.08</v>
      </c>
      <c r="BZ67" s="24">
        <f t="shared" si="321"/>
        <v>-16644.59</v>
      </c>
      <c r="CA67" s="24">
        <f t="shared" si="321"/>
        <v>358499.43</v>
      </c>
      <c r="CB67" s="24">
        <f t="shared" si="321"/>
        <v>2260629.6100000003</v>
      </c>
      <c r="CC67" s="24">
        <f t="shared" si="321"/>
        <v>-47169.71</v>
      </c>
      <c r="CD67" s="24">
        <f t="shared" si="321"/>
        <v>-181637.21</v>
      </c>
      <c r="CE67" s="24">
        <f t="shared" si="321"/>
        <v>-242025.18</v>
      </c>
      <c r="CF67" s="24">
        <f t="shared" si="321"/>
        <v>-522277.56</v>
      </c>
      <c r="CG67" s="24">
        <f t="shared" si="321"/>
        <v>-517709.47</v>
      </c>
      <c r="CH67" s="24">
        <f t="shared" si="321"/>
        <v>1359546.67</v>
      </c>
      <c r="CI67" s="24">
        <f t="shared" si="321"/>
        <v>-251412.34</v>
      </c>
      <c r="CJ67" s="24">
        <f t="shared" si="321"/>
        <v>559627.68000000005</v>
      </c>
      <c r="CK67" s="24">
        <f t="shared" si="319"/>
        <v>-551105.99</v>
      </c>
      <c r="CL67" s="24">
        <f t="shared" si="319"/>
        <v>177308.68</v>
      </c>
      <c r="CM67" s="24">
        <f t="shared" si="319"/>
        <v>1134100.8400000001</v>
      </c>
      <c r="CN67" s="24">
        <f t="shared" ref="CN67:CS67" si="322">SUM(CN64:CN66)</f>
        <v>2366824.8199999998</v>
      </c>
      <c r="CO67" s="24">
        <f t="shared" si="322"/>
        <v>128831.47</v>
      </c>
      <c r="CP67" s="24">
        <f t="shared" si="322"/>
        <v>258208.01</v>
      </c>
      <c r="CQ67" s="24">
        <f t="shared" si="322"/>
        <v>464535.08</v>
      </c>
      <c r="CR67" s="24">
        <f t="shared" si="322"/>
        <v>648163.31999999995</v>
      </c>
      <c r="CS67" s="24">
        <f t="shared" si="322"/>
        <v>973191.07</v>
      </c>
      <c r="CT67" s="24">
        <f>SUM(CT64:CT66)</f>
        <v>194725.25</v>
      </c>
      <c r="CU67" s="24">
        <f t="shared" ref="CU67:CY67" si="323">SUM(CU64:CU66)</f>
        <v>2449228.5099999998</v>
      </c>
      <c r="CV67" s="24">
        <f t="shared" si="323"/>
        <v>1811273.8</v>
      </c>
      <c r="CW67" s="24">
        <f t="shared" si="323"/>
        <v>-872859</v>
      </c>
      <c r="CX67" s="24">
        <f t="shared" si="323"/>
        <v>0</v>
      </c>
      <c r="CY67" s="24">
        <f t="shared" si="323"/>
        <v>0</v>
      </c>
    </row>
    <row r="68" spans="1:104" x14ac:dyDescent="0.2">
      <c r="B68" s="7" t="s">
        <v>194</v>
      </c>
      <c r="D68" s="17">
        <f>D63+D67</f>
        <v>0</v>
      </c>
      <c r="E68" s="17">
        <f t="shared" ref="E68:CM68" si="324">E63+E67</f>
        <v>0</v>
      </c>
      <c r="F68" s="17">
        <f t="shared" si="324"/>
        <v>0</v>
      </c>
      <c r="G68" s="17">
        <f t="shared" si="324"/>
        <v>0</v>
      </c>
      <c r="H68" s="17">
        <f t="shared" si="324"/>
        <v>0</v>
      </c>
      <c r="I68" s="17">
        <f t="shared" si="324"/>
        <v>0</v>
      </c>
      <c r="J68" s="17">
        <f t="shared" si="324"/>
        <v>0</v>
      </c>
      <c r="K68" s="17">
        <f t="shared" si="324"/>
        <v>0</v>
      </c>
      <c r="L68" s="17">
        <f t="shared" si="324"/>
        <v>0</v>
      </c>
      <c r="M68" s="17">
        <f t="shared" si="324"/>
        <v>0</v>
      </c>
      <c r="N68" s="17">
        <f t="shared" si="324"/>
        <v>0</v>
      </c>
      <c r="O68" s="17">
        <f t="shared" si="324"/>
        <v>0</v>
      </c>
      <c r="P68" s="17">
        <f t="shared" si="324"/>
        <v>0</v>
      </c>
      <c r="Q68" s="17">
        <f t="shared" si="324"/>
        <v>0</v>
      </c>
      <c r="R68" s="17">
        <f t="shared" si="324"/>
        <v>0</v>
      </c>
      <c r="S68" s="17">
        <f t="shared" si="324"/>
        <v>0</v>
      </c>
      <c r="T68" s="17">
        <f t="shared" si="324"/>
        <v>0</v>
      </c>
      <c r="U68" s="17">
        <f t="shared" si="324"/>
        <v>0</v>
      </c>
      <c r="V68" s="17">
        <f t="shared" si="324"/>
        <v>0</v>
      </c>
      <c r="W68" s="17">
        <f t="shared" si="324"/>
        <v>0</v>
      </c>
      <c r="X68" s="17">
        <f t="shared" si="324"/>
        <v>0</v>
      </c>
      <c r="Y68" s="17">
        <f t="shared" si="324"/>
        <v>0</v>
      </c>
      <c r="Z68" s="17">
        <f t="shared" si="324"/>
        <v>0</v>
      </c>
      <c r="AA68" s="17">
        <f t="shared" si="324"/>
        <v>0</v>
      </c>
      <c r="AB68" s="17">
        <f t="shared" si="324"/>
        <v>0</v>
      </c>
      <c r="AC68" s="17">
        <f t="shared" si="324"/>
        <v>0</v>
      </c>
      <c r="AD68" s="17">
        <f t="shared" si="324"/>
        <v>0</v>
      </c>
      <c r="AE68" s="17">
        <f t="shared" si="324"/>
        <v>0</v>
      </c>
      <c r="AF68" s="17">
        <f t="shared" si="324"/>
        <v>0</v>
      </c>
      <c r="AG68" s="17">
        <f t="shared" si="324"/>
        <v>0</v>
      </c>
      <c r="AH68" s="17">
        <f t="shared" si="324"/>
        <v>0</v>
      </c>
      <c r="AI68" s="17">
        <f t="shared" si="324"/>
        <v>0</v>
      </c>
      <c r="AJ68" s="17">
        <f t="shared" si="324"/>
        <v>0</v>
      </c>
      <c r="AK68" s="17">
        <f t="shared" si="324"/>
        <v>0</v>
      </c>
      <c r="AL68" s="17">
        <f t="shared" si="324"/>
        <v>0</v>
      </c>
      <c r="AM68" s="17">
        <f t="shared" si="324"/>
        <v>0</v>
      </c>
      <c r="AN68" s="17">
        <f t="shared" si="324"/>
        <v>0</v>
      </c>
      <c r="AO68" s="17">
        <f t="shared" si="324"/>
        <v>0</v>
      </c>
      <c r="AP68" s="17">
        <f t="shared" si="324"/>
        <v>0</v>
      </c>
      <c r="AQ68" s="17">
        <f t="shared" si="324"/>
        <v>0</v>
      </c>
      <c r="AR68" s="17">
        <f t="shared" si="324"/>
        <v>0</v>
      </c>
      <c r="AS68" s="17">
        <f t="shared" si="324"/>
        <v>0</v>
      </c>
      <c r="AT68" s="17">
        <f t="shared" si="324"/>
        <v>0</v>
      </c>
      <c r="AU68" s="17">
        <f t="shared" si="324"/>
        <v>0</v>
      </c>
      <c r="AV68" s="17">
        <f t="shared" si="324"/>
        <v>0</v>
      </c>
      <c r="AW68" s="17">
        <f t="shared" si="324"/>
        <v>0</v>
      </c>
      <c r="AX68" s="17">
        <f t="shared" si="324"/>
        <v>0</v>
      </c>
      <c r="AY68" s="17">
        <f t="shared" si="324"/>
        <v>0</v>
      </c>
      <c r="AZ68" s="17">
        <f t="shared" si="324"/>
        <v>0</v>
      </c>
      <c r="BA68" s="17">
        <f t="shared" si="324"/>
        <v>0</v>
      </c>
      <c r="BB68" s="17">
        <f t="shared" si="324"/>
        <v>0</v>
      </c>
      <c r="BC68" s="17">
        <f t="shared" si="324"/>
        <v>0</v>
      </c>
      <c r="BD68" s="17">
        <f t="shared" si="324"/>
        <v>0</v>
      </c>
      <c r="BE68" s="17">
        <f t="shared" si="324"/>
        <v>0</v>
      </c>
      <c r="BF68" s="17">
        <f t="shared" si="324"/>
        <v>0</v>
      </c>
      <c r="BG68" s="17">
        <f t="shared" si="324"/>
        <v>0</v>
      </c>
      <c r="BH68" s="17">
        <f t="shared" si="324"/>
        <v>0</v>
      </c>
      <c r="BI68" s="17">
        <f t="shared" si="324"/>
        <v>0</v>
      </c>
      <c r="BJ68" s="17">
        <f t="shared" si="324"/>
        <v>0</v>
      </c>
      <c r="BK68" s="17">
        <f t="shared" si="324"/>
        <v>-21797.52</v>
      </c>
      <c r="BL68" s="17">
        <f t="shared" ref="BL68:BW68" si="325">BL63+BL67</f>
        <v>1128506.1096399999</v>
      </c>
      <c r="BM68" s="17">
        <f t="shared" si="325"/>
        <v>57536.909639999969</v>
      </c>
      <c r="BN68" s="17">
        <f t="shared" si="325"/>
        <v>-1167721.3803600001</v>
      </c>
      <c r="BO68" s="17">
        <f t="shared" si="325"/>
        <v>-1631195.52036</v>
      </c>
      <c r="BP68" s="17">
        <f t="shared" si="325"/>
        <v>-1908960.26</v>
      </c>
      <c r="BQ68" s="17">
        <f t="shared" si="325"/>
        <v>-2200728.2400000002</v>
      </c>
      <c r="BR68" s="17">
        <f t="shared" si="325"/>
        <v>-2017706.8300000003</v>
      </c>
      <c r="BS68" s="17">
        <f t="shared" si="325"/>
        <v>-2087406.6200000003</v>
      </c>
      <c r="BT68" s="17">
        <f t="shared" si="325"/>
        <v>-2050589.4300000004</v>
      </c>
      <c r="BU68" s="17">
        <f t="shared" si="325"/>
        <v>-2183856.5000000005</v>
      </c>
      <c r="BV68" s="17">
        <f t="shared" si="325"/>
        <v>-2302303.0500000003</v>
      </c>
      <c r="BW68" s="17">
        <f t="shared" si="325"/>
        <v>-2236606.3800000004</v>
      </c>
      <c r="BX68" s="17">
        <f t="shared" ref="BX68:CJ68" si="326">BX63+BX67</f>
        <v>-1146242.2800000003</v>
      </c>
      <c r="BY68" s="17">
        <f t="shared" si="326"/>
        <v>-3648146.3600000003</v>
      </c>
      <c r="BZ68" s="17">
        <f t="shared" si="326"/>
        <v>-3664790.95</v>
      </c>
      <c r="CA68" s="17">
        <f t="shared" si="326"/>
        <v>-3306291.52</v>
      </c>
      <c r="CB68" s="17">
        <f t="shared" si="326"/>
        <v>-1045661.9099999997</v>
      </c>
      <c r="CC68" s="17">
        <f t="shared" si="326"/>
        <v>-1092831.6199999996</v>
      </c>
      <c r="CD68" s="17">
        <f t="shared" si="326"/>
        <v>-1274468.8299999996</v>
      </c>
      <c r="CE68" s="17">
        <f t="shared" si="326"/>
        <v>-1516494.0099999995</v>
      </c>
      <c r="CF68" s="17">
        <f t="shared" si="326"/>
        <v>-2038771.5699999996</v>
      </c>
      <c r="CG68" s="17">
        <f t="shared" si="326"/>
        <v>-2556481.0399999996</v>
      </c>
      <c r="CH68" s="17">
        <f t="shared" si="326"/>
        <v>-1196934.3699999996</v>
      </c>
      <c r="CI68" s="17">
        <f t="shared" si="326"/>
        <v>-1448346.7099999997</v>
      </c>
      <c r="CJ68" s="17">
        <f t="shared" si="326"/>
        <v>-888719.02999999968</v>
      </c>
      <c r="CK68" s="17">
        <f t="shared" si="324"/>
        <v>-1439825.0199999996</v>
      </c>
      <c r="CL68" s="17">
        <f t="shared" si="324"/>
        <v>-1262516.3399999996</v>
      </c>
      <c r="CM68" s="17">
        <f t="shared" si="324"/>
        <v>-128415.49999999953</v>
      </c>
      <c r="CN68" s="17">
        <f t="shared" ref="CN68:CS68" si="327">CN63+CN67</f>
        <v>2238409.3200000003</v>
      </c>
      <c r="CO68" s="17">
        <f t="shared" si="327"/>
        <v>2367240.7900000005</v>
      </c>
      <c r="CP68" s="17">
        <f t="shared" si="327"/>
        <v>2625448.8000000007</v>
      </c>
      <c r="CQ68" s="17">
        <f t="shared" si="327"/>
        <v>3089983.8800000008</v>
      </c>
      <c r="CR68" s="17">
        <f t="shared" si="327"/>
        <v>3738147.2000000007</v>
      </c>
      <c r="CS68" s="17">
        <f t="shared" si="327"/>
        <v>4711338.2700000005</v>
      </c>
      <c r="CT68" s="17">
        <f>CT63+CT67</f>
        <v>4906063.5200000005</v>
      </c>
      <c r="CU68" s="17">
        <f t="shared" ref="CU68:CY68" si="328">CU63+CU67</f>
        <v>7355292.0300000003</v>
      </c>
      <c r="CV68" s="17">
        <f t="shared" si="328"/>
        <v>9166565.8300000001</v>
      </c>
      <c r="CW68" s="17">
        <f t="shared" si="328"/>
        <v>8293706.8300000001</v>
      </c>
      <c r="CX68" s="17">
        <f t="shared" si="328"/>
        <v>8293706.8300000001</v>
      </c>
      <c r="CY68" s="17">
        <f t="shared" si="328"/>
        <v>8293706.8300000001</v>
      </c>
    </row>
    <row r="69" spans="1:104" x14ac:dyDescent="0.2"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</row>
    <row r="70" spans="1:104" x14ac:dyDescent="0.2">
      <c r="A70" s="4" t="s">
        <v>202</v>
      </c>
      <c r="C70" s="15">
        <v>18237302</v>
      </c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8"/>
      <c r="CX70" s="8"/>
      <c r="CY70" s="8"/>
    </row>
    <row r="71" spans="1:104" x14ac:dyDescent="0.2">
      <c r="B71" s="7" t="s">
        <v>190</v>
      </c>
      <c r="C71" s="15">
        <v>25400702</v>
      </c>
      <c r="D71" s="17">
        <v>0</v>
      </c>
      <c r="E71" s="17">
        <f>D76</f>
        <v>0</v>
      </c>
      <c r="F71" s="17">
        <f t="shared" ref="F71:CK71" si="329">E76</f>
        <v>0</v>
      </c>
      <c r="G71" s="17">
        <f t="shared" si="329"/>
        <v>0</v>
      </c>
      <c r="H71" s="17">
        <f t="shared" si="329"/>
        <v>0</v>
      </c>
      <c r="I71" s="17">
        <f t="shared" si="329"/>
        <v>0</v>
      </c>
      <c r="J71" s="17">
        <f t="shared" si="329"/>
        <v>0</v>
      </c>
      <c r="K71" s="17">
        <f t="shared" si="329"/>
        <v>0</v>
      </c>
      <c r="L71" s="17">
        <f t="shared" si="329"/>
        <v>0</v>
      </c>
      <c r="M71" s="17">
        <f t="shared" si="329"/>
        <v>0</v>
      </c>
      <c r="N71" s="17">
        <f t="shared" si="329"/>
        <v>0</v>
      </c>
      <c r="O71" s="17">
        <f t="shared" si="329"/>
        <v>0</v>
      </c>
      <c r="P71" s="17">
        <f t="shared" si="329"/>
        <v>0</v>
      </c>
      <c r="Q71" s="17">
        <f t="shared" si="329"/>
        <v>0</v>
      </c>
      <c r="R71" s="17">
        <f t="shared" si="329"/>
        <v>0</v>
      </c>
      <c r="S71" s="17">
        <f t="shared" si="329"/>
        <v>0</v>
      </c>
      <c r="T71" s="17">
        <f t="shared" si="329"/>
        <v>0</v>
      </c>
      <c r="U71" s="17">
        <f t="shared" si="329"/>
        <v>0</v>
      </c>
      <c r="V71" s="17">
        <f t="shared" si="329"/>
        <v>0</v>
      </c>
      <c r="W71" s="17">
        <f t="shared" si="329"/>
        <v>0</v>
      </c>
      <c r="X71" s="17">
        <f t="shared" si="329"/>
        <v>0</v>
      </c>
      <c r="Y71" s="17">
        <f t="shared" si="329"/>
        <v>0</v>
      </c>
      <c r="Z71" s="17">
        <f t="shared" si="329"/>
        <v>0</v>
      </c>
      <c r="AA71" s="17">
        <f t="shared" si="329"/>
        <v>0</v>
      </c>
      <c r="AB71" s="17">
        <f t="shared" si="329"/>
        <v>0</v>
      </c>
      <c r="AC71" s="17">
        <f t="shared" si="329"/>
        <v>0</v>
      </c>
      <c r="AD71" s="17">
        <f t="shared" si="329"/>
        <v>0</v>
      </c>
      <c r="AE71" s="17">
        <f t="shared" si="329"/>
        <v>0</v>
      </c>
      <c r="AF71" s="17">
        <f t="shared" si="329"/>
        <v>0</v>
      </c>
      <c r="AG71" s="17">
        <f t="shared" si="329"/>
        <v>0</v>
      </c>
      <c r="AH71" s="17">
        <f t="shared" si="329"/>
        <v>0</v>
      </c>
      <c r="AI71" s="17">
        <f t="shared" si="329"/>
        <v>0</v>
      </c>
      <c r="AJ71" s="17">
        <f t="shared" si="329"/>
        <v>0</v>
      </c>
      <c r="AK71" s="17">
        <f t="shared" si="329"/>
        <v>0</v>
      </c>
      <c r="AL71" s="17">
        <f t="shared" si="329"/>
        <v>0</v>
      </c>
      <c r="AM71" s="17">
        <f t="shared" si="329"/>
        <v>0</v>
      </c>
      <c r="AN71" s="17">
        <f t="shared" si="329"/>
        <v>0</v>
      </c>
      <c r="AO71" s="17">
        <f t="shared" si="329"/>
        <v>0</v>
      </c>
      <c r="AP71" s="17">
        <f t="shared" si="329"/>
        <v>0</v>
      </c>
      <c r="AQ71" s="17">
        <f t="shared" si="329"/>
        <v>0</v>
      </c>
      <c r="AR71" s="17">
        <f t="shared" si="329"/>
        <v>0</v>
      </c>
      <c r="AS71" s="17">
        <f t="shared" si="329"/>
        <v>0</v>
      </c>
      <c r="AT71" s="17">
        <f t="shared" si="329"/>
        <v>0</v>
      </c>
      <c r="AU71" s="17">
        <f t="shared" si="329"/>
        <v>0</v>
      </c>
      <c r="AV71" s="17">
        <f t="shared" si="329"/>
        <v>0</v>
      </c>
      <c r="AW71" s="17">
        <f t="shared" si="329"/>
        <v>0</v>
      </c>
      <c r="AX71" s="17">
        <f t="shared" si="329"/>
        <v>0</v>
      </c>
      <c r="AY71" s="17">
        <f t="shared" si="329"/>
        <v>0</v>
      </c>
      <c r="AZ71" s="17">
        <f t="shared" si="329"/>
        <v>0</v>
      </c>
      <c r="BA71" s="17">
        <f t="shared" si="329"/>
        <v>0</v>
      </c>
      <c r="BB71" s="17">
        <f t="shared" si="329"/>
        <v>0</v>
      </c>
      <c r="BC71" s="17">
        <f t="shared" si="329"/>
        <v>0</v>
      </c>
      <c r="BD71" s="17">
        <f t="shared" si="329"/>
        <v>0</v>
      </c>
      <c r="BE71" s="17">
        <f t="shared" si="329"/>
        <v>0</v>
      </c>
      <c r="BF71" s="17">
        <f t="shared" si="329"/>
        <v>0</v>
      </c>
      <c r="BG71" s="17">
        <f t="shared" si="329"/>
        <v>0</v>
      </c>
      <c r="BH71" s="17">
        <f t="shared" si="329"/>
        <v>0</v>
      </c>
      <c r="BI71" s="17">
        <f t="shared" si="329"/>
        <v>0</v>
      </c>
      <c r="BJ71" s="17">
        <f t="shared" si="329"/>
        <v>0</v>
      </c>
      <c r="BK71" s="17">
        <f t="shared" si="329"/>
        <v>0</v>
      </c>
      <c r="BL71" s="17">
        <f t="shared" ref="BL71" si="330">BK76</f>
        <v>138018.64000000001</v>
      </c>
      <c r="BM71" s="17">
        <f t="shared" ref="BM71" si="331">BL76</f>
        <v>511441.53035999998</v>
      </c>
      <c r="BN71" s="17">
        <f t="shared" ref="BN71" si="332">BM76</f>
        <v>335956.86035999993</v>
      </c>
      <c r="BO71" s="17">
        <f t="shared" ref="BO71" si="333">BN76</f>
        <v>593266.2003599999</v>
      </c>
      <c r="BP71" s="17">
        <f t="shared" ref="BP71" si="334">BO76</f>
        <v>506993.28035999992</v>
      </c>
      <c r="BQ71" s="17">
        <f t="shared" ref="BQ71" si="335">BP76</f>
        <v>164204.47999999992</v>
      </c>
      <c r="BR71" s="17">
        <f t="shared" ref="BR71" si="336">BQ76</f>
        <v>70107.519999999917</v>
      </c>
      <c r="BS71" s="17">
        <f t="shared" ref="BS71" si="337">BR76</f>
        <v>241552.40999999992</v>
      </c>
      <c r="BT71" s="17">
        <f t="shared" ref="BT71" si="338">BS76</f>
        <v>-419305.29000000004</v>
      </c>
      <c r="BU71" s="17">
        <f t="shared" ref="BU71" si="339">BT76</f>
        <v>-501776.21</v>
      </c>
      <c r="BV71" s="17">
        <f t="shared" ref="BV71" si="340">BU76</f>
        <v>-505185.45</v>
      </c>
      <c r="BW71" s="17">
        <f t="shared" ref="BW71" si="341">BV76</f>
        <v>-458950.8</v>
      </c>
      <c r="BX71" s="17">
        <f t="shared" ref="BX71" si="342">BW76</f>
        <v>-327616.18</v>
      </c>
      <c r="BY71" s="17">
        <f t="shared" ref="BY71" si="343">BX76</f>
        <v>-118946.88999999998</v>
      </c>
      <c r="BZ71" s="17">
        <f t="shared" ref="BZ71" si="344">BY76</f>
        <v>-144977.87999999998</v>
      </c>
      <c r="CA71" s="17">
        <f t="shared" ref="CA71" si="345">BZ76</f>
        <v>-29695.659999999974</v>
      </c>
      <c r="CB71" s="17">
        <f t="shared" ref="CB71" si="346">CA76</f>
        <v>-68096.959999999977</v>
      </c>
      <c r="CC71" s="17">
        <f t="shared" ref="CC71" si="347">CB76</f>
        <v>134607.38</v>
      </c>
      <c r="CD71" s="17">
        <f t="shared" ref="CD71" si="348">CC76</f>
        <v>-361166.5</v>
      </c>
      <c r="CE71" s="17">
        <f t="shared" ref="CE71" si="349">CD76</f>
        <v>-474122.18</v>
      </c>
      <c r="CF71" s="17">
        <f t="shared" ref="CF71" si="350">CE76</f>
        <v>-749814.91999999993</v>
      </c>
      <c r="CG71" s="17">
        <f t="shared" ref="CG71" si="351">CF76</f>
        <v>-973231.90999999992</v>
      </c>
      <c r="CH71" s="17">
        <f t="shared" ref="CH71" si="352">CG76</f>
        <v>-1119388.74</v>
      </c>
      <c r="CI71" s="17">
        <f t="shared" ref="CI71" si="353">CH76</f>
        <v>-1163330.3699999999</v>
      </c>
      <c r="CJ71" s="17">
        <f t="shared" ref="CJ71" si="354">CI76</f>
        <v>-1141461.0599999998</v>
      </c>
      <c r="CK71" s="17">
        <f t="shared" si="329"/>
        <v>-1117142.5099999998</v>
      </c>
      <c r="CL71" s="17">
        <f t="shared" ref="CL71" si="355">CK76</f>
        <v>-1516292.4799999997</v>
      </c>
      <c r="CM71" s="17">
        <f t="shared" ref="CM71" si="356">CL76</f>
        <v>-1278853.6599999997</v>
      </c>
      <c r="CN71" s="17">
        <f t="shared" ref="CN71" si="357">CM76</f>
        <v>-1240371.7899999996</v>
      </c>
      <c r="CO71" s="17">
        <f t="shared" ref="CO71" si="358">CN76</f>
        <v>-227050.0299999998</v>
      </c>
      <c r="CP71" s="17">
        <f t="shared" ref="CP71" si="359">CO76</f>
        <v>-952165.58999999985</v>
      </c>
      <c r="CQ71" s="17">
        <f t="shared" ref="CQ71" si="360">CP76</f>
        <v>-1251882.1299999999</v>
      </c>
      <c r="CR71" s="17">
        <f t="shared" ref="CR71" si="361">CQ76</f>
        <v>-1473643.46</v>
      </c>
      <c r="CS71" s="17">
        <f t="shared" ref="CS71" si="362">CR76</f>
        <v>-1633569.21</v>
      </c>
      <c r="CT71" s="17">
        <f t="shared" ref="CT71" si="363">CS76</f>
        <v>-1789492.95</v>
      </c>
      <c r="CU71" s="17">
        <f t="shared" ref="CU71" si="364">CT76</f>
        <v>-1821759.3399999999</v>
      </c>
      <c r="CV71" s="17">
        <f t="shared" ref="CV71" si="365">CU76</f>
        <v>-1559519.2499999998</v>
      </c>
      <c r="CW71" s="17">
        <f t="shared" ref="CW71" si="366">CV76</f>
        <v>-1280988.7999999998</v>
      </c>
      <c r="CX71" s="17">
        <f t="shared" ref="CX71" si="367">CW76</f>
        <v>-1394079.0399999998</v>
      </c>
      <c r="CY71" s="17">
        <f t="shared" ref="CY71" si="368">CX76</f>
        <v>-1394079.0399999998</v>
      </c>
    </row>
    <row r="72" spans="1:104" x14ac:dyDescent="0.2">
      <c r="A72" s="25"/>
      <c r="B72" s="21" t="s">
        <v>191</v>
      </c>
      <c r="C72" s="26"/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v>0</v>
      </c>
      <c r="V72" s="23">
        <v>0</v>
      </c>
      <c r="W72" s="23">
        <v>0</v>
      </c>
      <c r="X72" s="23">
        <v>0</v>
      </c>
      <c r="Y72" s="23">
        <v>0</v>
      </c>
      <c r="Z72" s="23">
        <v>0</v>
      </c>
      <c r="AA72" s="23">
        <v>0</v>
      </c>
      <c r="AB72" s="23">
        <v>0</v>
      </c>
      <c r="AC72" s="23">
        <v>0</v>
      </c>
      <c r="AD72" s="23">
        <v>0</v>
      </c>
      <c r="AE72" s="23">
        <v>0</v>
      </c>
      <c r="AF72" s="23">
        <v>0</v>
      </c>
      <c r="AG72" s="23">
        <v>0</v>
      </c>
      <c r="AH72" s="23">
        <v>0</v>
      </c>
      <c r="AI72" s="23">
        <v>0</v>
      </c>
      <c r="AJ72" s="23">
        <v>0</v>
      </c>
      <c r="AK72" s="23">
        <v>0</v>
      </c>
      <c r="AL72" s="23">
        <v>0</v>
      </c>
      <c r="AM72" s="23">
        <v>0</v>
      </c>
      <c r="AN72" s="23">
        <v>0</v>
      </c>
      <c r="AO72" s="23">
        <v>0</v>
      </c>
      <c r="AP72" s="23">
        <v>0</v>
      </c>
      <c r="AQ72" s="23">
        <v>0</v>
      </c>
      <c r="AR72" s="23">
        <v>0</v>
      </c>
      <c r="AS72" s="23">
        <v>0</v>
      </c>
      <c r="AT72" s="23">
        <v>0</v>
      </c>
      <c r="AU72" s="23">
        <v>0</v>
      </c>
      <c r="AV72" s="23">
        <v>0</v>
      </c>
      <c r="AW72" s="23">
        <v>0</v>
      </c>
      <c r="AX72" s="23">
        <v>0</v>
      </c>
      <c r="AY72" s="23">
        <v>0</v>
      </c>
      <c r="AZ72" s="23">
        <v>0</v>
      </c>
      <c r="BA72" s="23">
        <v>0</v>
      </c>
      <c r="BB72" s="23">
        <v>0</v>
      </c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  <c r="BI72" s="23">
        <v>0</v>
      </c>
      <c r="BJ72" s="23">
        <v>0</v>
      </c>
      <c r="BK72" s="23">
        <v>0</v>
      </c>
      <c r="BL72" s="23">
        <v>0</v>
      </c>
      <c r="BM72" s="23">
        <v>0</v>
      </c>
      <c r="BN72" s="23">
        <v>0</v>
      </c>
      <c r="BO72" s="23">
        <v>0</v>
      </c>
      <c r="BP72" s="23">
        <v>-327899.02035999997</v>
      </c>
      <c r="BQ72" s="23">
        <v>0</v>
      </c>
      <c r="BR72" s="23">
        <v>0</v>
      </c>
      <c r="BS72" s="23">
        <v>0</v>
      </c>
      <c r="BT72" s="23">
        <v>0</v>
      </c>
      <c r="BU72" s="23">
        <v>0</v>
      </c>
      <c r="BV72" s="23">
        <v>0</v>
      </c>
      <c r="BW72" s="23">
        <v>0</v>
      </c>
      <c r="BX72" s="23">
        <v>0</v>
      </c>
      <c r="BY72" s="23">
        <v>0</v>
      </c>
      <c r="BZ72" s="23">
        <v>0</v>
      </c>
      <c r="CA72" s="23">
        <v>0</v>
      </c>
      <c r="CB72" s="23">
        <v>327616.18</v>
      </c>
      <c r="CC72" s="23">
        <v>0</v>
      </c>
      <c r="CD72" s="23">
        <v>0</v>
      </c>
      <c r="CE72" s="23">
        <v>0</v>
      </c>
      <c r="CF72" s="23">
        <v>0</v>
      </c>
      <c r="CG72" s="23">
        <v>0</v>
      </c>
      <c r="CH72" s="23">
        <v>0</v>
      </c>
      <c r="CI72" s="23">
        <v>0</v>
      </c>
      <c r="CJ72" s="23">
        <v>0</v>
      </c>
      <c r="CK72" s="23">
        <v>0</v>
      </c>
      <c r="CL72" s="23">
        <v>0</v>
      </c>
      <c r="CM72" s="23">
        <v>0</v>
      </c>
      <c r="CN72" s="23">
        <v>1141461.0599999998</v>
      </c>
      <c r="CO72" s="23">
        <v>0</v>
      </c>
      <c r="CP72" s="23">
        <v>0</v>
      </c>
      <c r="CQ72" s="23">
        <v>0</v>
      </c>
      <c r="CR72" s="23">
        <v>0</v>
      </c>
      <c r="CS72" s="23">
        <v>0</v>
      </c>
      <c r="CT72" s="23">
        <v>0</v>
      </c>
      <c r="CU72" s="23">
        <v>0</v>
      </c>
      <c r="CV72" s="23">
        <v>0</v>
      </c>
      <c r="CW72" s="23">
        <v>0</v>
      </c>
      <c r="CX72" s="23"/>
      <c r="CY72" s="23"/>
    </row>
    <row r="73" spans="1:104" x14ac:dyDescent="0.2">
      <c r="A73" s="25"/>
      <c r="B73" s="21" t="s">
        <v>201</v>
      </c>
      <c r="C73" s="26"/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23">
        <v>0</v>
      </c>
      <c r="U73" s="23">
        <v>0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23">
        <v>0</v>
      </c>
      <c r="AB73" s="23">
        <v>0</v>
      </c>
      <c r="AC73" s="23">
        <v>0</v>
      </c>
      <c r="AD73" s="23">
        <v>0</v>
      </c>
      <c r="AE73" s="23">
        <v>0</v>
      </c>
      <c r="AF73" s="23">
        <v>0</v>
      </c>
      <c r="AG73" s="23">
        <v>0</v>
      </c>
      <c r="AH73" s="23">
        <v>0</v>
      </c>
      <c r="AI73" s="23">
        <v>0</v>
      </c>
      <c r="AJ73" s="23">
        <v>0</v>
      </c>
      <c r="AK73" s="23">
        <v>0</v>
      </c>
      <c r="AL73" s="23">
        <v>0</v>
      </c>
      <c r="AM73" s="23">
        <v>0</v>
      </c>
      <c r="AN73" s="23">
        <v>0</v>
      </c>
      <c r="AO73" s="23">
        <v>0</v>
      </c>
      <c r="AP73" s="23">
        <v>0</v>
      </c>
      <c r="AQ73" s="23">
        <v>0</v>
      </c>
      <c r="AR73" s="23">
        <v>0</v>
      </c>
      <c r="AS73" s="23">
        <v>0</v>
      </c>
      <c r="AT73" s="23">
        <v>0</v>
      </c>
      <c r="AU73" s="23">
        <v>0</v>
      </c>
      <c r="AV73" s="23">
        <v>0</v>
      </c>
      <c r="AW73" s="23">
        <v>0</v>
      </c>
      <c r="AX73" s="23">
        <v>0</v>
      </c>
      <c r="AY73" s="23">
        <v>0</v>
      </c>
      <c r="AZ73" s="23">
        <v>0</v>
      </c>
      <c r="BA73" s="23">
        <v>0</v>
      </c>
      <c r="BB73" s="23">
        <v>0</v>
      </c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  <c r="BI73" s="23">
        <v>0</v>
      </c>
      <c r="BJ73" s="23">
        <v>0</v>
      </c>
      <c r="BK73" s="23">
        <v>0</v>
      </c>
      <c r="BL73" s="23">
        <v>189880.38035999998</v>
      </c>
      <c r="BM73" s="23">
        <v>0</v>
      </c>
      <c r="BN73" s="23">
        <v>0</v>
      </c>
      <c r="BO73" s="23">
        <v>0</v>
      </c>
      <c r="BP73" s="23">
        <v>0</v>
      </c>
      <c r="BQ73" s="23">
        <v>0</v>
      </c>
      <c r="BR73" s="23">
        <v>0</v>
      </c>
      <c r="BS73" s="23">
        <v>0</v>
      </c>
      <c r="BT73" s="23">
        <v>0</v>
      </c>
      <c r="BU73" s="23">
        <v>0</v>
      </c>
      <c r="BV73" s="23">
        <v>0</v>
      </c>
      <c r="BW73" s="23">
        <v>0</v>
      </c>
      <c r="BX73" s="23">
        <v>0</v>
      </c>
      <c r="BY73" s="23">
        <v>0</v>
      </c>
      <c r="BZ73" s="23">
        <v>0</v>
      </c>
      <c r="CA73" s="23">
        <v>0</v>
      </c>
      <c r="CB73" s="23">
        <v>0</v>
      </c>
      <c r="CC73" s="23">
        <v>0</v>
      </c>
      <c r="CD73" s="23">
        <v>0</v>
      </c>
      <c r="CE73" s="23">
        <v>0</v>
      </c>
      <c r="CF73" s="23">
        <v>0</v>
      </c>
      <c r="CG73" s="23">
        <v>0</v>
      </c>
      <c r="CH73" s="23">
        <v>0</v>
      </c>
      <c r="CI73" s="23">
        <v>0</v>
      </c>
      <c r="CJ73" s="23">
        <v>0</v>
      </c>
      <c r="CK73" s="23">
        <v>0</v>
      </c>
      <c r="CL73" s="23">
        <v>0</v>
      </c>
      <c r="CM73" s="23">
        <v>0</v>
      </c>
      <c r="CN73" s="23">
        <v>0</v>
      </c>
      <c r="CO73" s="23">
        <v>0</v>
      </c>
      <c r="CP73" s="23">
        <v>0</v>
      </c>
      <c r="CQ73" s="23">
        <v>0</v>
      </c>
      <c r="CR73" s="23">
        <v>0</v>
      </c>
      <c r="CS73" s="23">
        <v>0</v>
      </c>
      <c r="CT73" s="23">
        <v>0</v>
      </c>
      <c r="CU73" s="23">
        <v>0</v>
      </c>
      <c r="CV73" s="23">
        <v>0</v>
      </c>
      <c r="CW73" s="23">
        <v>0</v>
      </c>
      <c r="CX73" s="23"/>
      <c r="CY73" s="23"/>
    </row>
    <row r="74" spans="1:104" x14ac:dyDescent="0.2">
      <c r="A74" s="21"/>
      <c r="B74" s="21" t="s">
        <v>199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23">
        <v>0</v>
      </c>
      <c r="X74" s="23">
        <v>0</v>
      </c>
      <c r="Y74" s="23">
        <v>0</v>
      </c>
      <c r="Z74" s="23">
        <v>0</v>
      </c>
      <c r="AA74" s="23">
        <v>0</v>
      </c>
      <c r="AB74" s="23">
        <v>0</v>
      </c>
      <c r="AC74" s="23">
        <v>0</v>
      </c>
      <c r="AD74" s="23">
        <v>0</v>
      </c>
      <c r="AE74" s="23">
        <v>0</v>
      </c>
      <c r="AF74" s="23">
        <v>0</v>
      </c>
      <c r="AG74" s="23">
        <v>0</v>
      </c>
      <c r="AH74" s="23">
        <v>0</v>
      </c>
      <c r="AI74" s="23">
        <v>0</v>
      </c>
      <c r="AJ74" s="23">
        <v>0</v>
      </c>
      <c r="AK74" s="23">
        <v>0</v>
      </c>
      <c r="AL74" s="23">
        <v>0</v>
      </c>
      <c r="AM74" s="23">
        <v>0</v>
      </c>
      <c r="AN74" s="23">
        <v>0</v>
      </c>
      <c r="AO74" s="23">
        <v>0</v>
      </c>
      <c r="AP74" s="23">
        <v>0</v>
      </c>
      <c r="AQ74" s="23">
        <v>0</v>
      </c>
      <c r="AR74" s="23">
        <v>0</v>
      </c>
      <c r="AS74" s="23">
        <v>0</v>
      </c>
      <c r="AT74" s="23">
        <v>0</v>
      </c>
      <c r="AU74" s="23">
        <v>0</v>
      </c>
      <c r="AV74" s="23">
        <v>0</v>
      </c>
      <c r="AW74" s="23">
        <v>0</v>
      </c>
      <c r="AX74" s="23">
        <v>0</v>
      </c>
      <c r="AY74" s="23">
        <v>0</v>
      </c>
      <c r="AZ74" s="23">
        <v>0</v>
      </c>
      <c r="BA74" s="23">
        <v>0</v>
      </c>
      <c r="BB74" s="23">
        <v>0</v>
      </c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  <c r="BI74" s="23">
        <v>0</v>
      </c>
      <c r="BJ74" s="23">
        <v>0</v>
      </c>
      <c r="BK74" s="23">
        <v>138018.64000000001</v>
      </c>
      <c r="BL74" s="23">
        <v>183542.51</v>
      </c>
      <c r="BM74" s="23">
        <v>-175484.67</v>
      </c>
      <c r="BN74" s="23">
        <v>257309.34</v>
      </c>
      <c r="BO74" s="23">
        <v>-86272.92</v>
      </c>
      <c r="BP74" s="23">
        <v>-14889.78</v>
      </c>
      <c r="BQ74" s="23">
        <v>-94096.960000000006</v>
      </c>
      <c r="BR74" s="23">
        <v>171444.89</v>
      </c>
      <c r="BS74" s="23">
        <v>-660857.69999999995</v>
      </c>
      <c r="BT74" s="23">
        <v>-82470.92</v>
      </c>
      <c r="BU74" s="23">
        <v>-3409.24</v>
      </c>
      <c r="BV74" s="23">
        <v>46234.65</v>
      </c>
      <c r="BW74" s="23">
        <v>131334.62</v>
      </c>
      <c r="BX74" s="23">
        <v>208669.29</v>
      </c>
      <c r="BY74" s="23">
        <v>-26030.99</v>
      </c>
      <c r="BZ74" s="23">
        <v>115282.22</v>
      </c>
      <c r="CA74" s="23">
        <v>-38401.300000000003</v>
      </c>
      <c r="CB74" s="23">
        <v>-124911.84</v>
      </c>
      <c r="CC74" s="23">
        <v>-495773.88</v>
      </c>
      <c r="CD74" s="23">
        <v>-112955.68</v>
      </c>
      <c r="CE74" s="23">
        <v>-275692.74</v>
      </c>
      <c r="CF74" s="23">
        <v>-223416.99</v>
      </c>
      <c r="CG74" s="23">
        <v>-146156.82999999999</v>
      </c>
      <c r="CH74" s="23">
        <v>-43941.63</v>
      </c>
      <c r="CI74" s="23">
        <v>21869.31</v>
      </c>
      <c r="CJ74" s="22">
        <f>'Sch 41&amp;86 Deferral Calc'!C28</f>
        <v>24318.55</v>
      </c>
      <c r="CK74" s="22">
        <f>'Sch 41&amp;86 Deferral Calc'!D28</f>
        <v>-399149.97</v>
      </c>
      <c r="CL74" s="22">
        <f>'Sch 41&amp;86 Deferral Calc'!E28</f>
        <v>237438.82</v>
      </c>
      <c r="CM74" s="22">
        <f>'Sch 41&amp;86 Deferral Calc'!F28</f>
        <v>38481.870000000003</v>
      </c>
      <c r="CN74" s="22">
        <f>'Sch 41&amp;86 Deferral Calc'!G28</f>
        <v>-128139.3</v>
      </c>
      <c r="CO74" s="22">
        <f>'Sch 41&amp;86 Deferral Calc'!H28</f>
        <v>-725115.56</v>
      </c>
      <c r="CP74" s="22">
        <f>'Sch 41&amp;86 Deferral Calc'!I28</f>
        <v>-299716.53999999998</v>
      </c>
      <c r="CQ74" s="22">
        <f>'Sch 41&amp;86 Deferral Calc'!J28</f>
        <v>-221761.33</v>
      </c>
      <c r="CR74" s="22">
        <f>'Sch 41&amp;86 Deferral Calc'!K28</f>
        <v>-159925.75</v>
      </c>
      <c r="CS74" s="22">
        <f>'Sch 41&amp;86 Deferral Calc'!L28</f>
        <v>-155923.74</v>
      </c>
      <c r="CT74" s="22">
        <f>'Sch 41&amp;86 Deferral Calc'!M28</f>
        <v>-32266.39</v>
      </c>
      <c r="CU74" s="22">
        <f>'Sch 41&amp;86 Deferral Calc'!N28</f>
        <v>262240.09000000003</v>
      </c>
      <c r="CV74" s="22">
        <f>'Sch 41&amp;86 Deferral Calc'!O28</f>
        <v>278530.45</v>
      </c>
      <c r="CW74" s="22">
        <f>'Sch 41&amp;86 Deferral Calc'!P28</f>
        <v>-113090.24000000001</v>
      </c>
      <c r="CX74" s="22"/>
      <c r="CY74" s="22"/>
    </row>
    <row r="75" spans="1:104" x14ac:dyDescent="0.2">
      <c r="B75" s="7" t="s">
        <v>193</v>
      </c>
      <c r="D75" s="24">
        <f t="shared" ref="D75:CK75" si="369">SUM(D72:D74)</f>
        <v>0</v>
      </c>
      <c r="E75" s="24">
        <f t="shared" si="369"/>
        <v>0</v>
      </c>
      <c r="F75" s="24">
        <f t="shared" si="369"/>
        <v>0</v>
      </c>
      <c r="G75" s="24">
        <f t="shared" si="369"/>
        <v>0</v>
      </c>
      <c r="H75" s="24">
        <f t="shared" si="369"/>
        <v>0</v>
      </c>
      <c r="I75" s="24">
        <f t="shared" si="369"/>
        <v>0</v>
      </c>
      <c r="J75" s="24">
        <f t="shared" si="369"/>
        <v>0</v>
      </c>
      <c r="K75" s="24">
        <f t="shared" si="369"/>
        <v>0</v>
      </c>
      <c r="L75" s="24">
        <f t="shared" si="369"/>
        <v>0</v>
      </c>
      <c r="M75" s="24">
        <f t="shared" si="369"/>
        <v>0</v>
      </c>
      <c r="N75" s="24">
        <f t="shared" si="369"/>
        <v>0</v>
      </c>
      <c r="O75" s="24">
        <f t="shared" si="369"/>
        <v>0</v>
      </c>
      <c r="P75" s="24">
        <f t="shared" si="369"/>
        <v>0</v>
      </c>
      <c r="Q75" s="24">
        <f t="shared" si="369"/>
        <v>0</v>
      </c>
      <c r="R75" s="24">
        <f t="shared" si="369"/>
        <v>0</v>
      </c>
      <c r="S75" s="24">
        <f t="shared" si="369"/>
        <v>0</v>
      </c>
      <c r="T75" s="24">
        <f t="shared" si="369"/>
        <v>0</v>
      </c>
      <c r="U75" s="24">
        <f t="shared" si="369"/>
        <v>0</v>
      </c>
      <c r="V75" s="24">
        <f t="shared" si="369"/>
        <v>0</v>
      </c>
      <c r="W75" s="24">
        <f t="shared" si="369"/>
        <v>0</v>
      </c>
      <c r="X75" s="24">
        <f t="shared" si="369"/>
        <v>0</v>
      </c>
      <c r="Y75" s="24">
        <f t="shared" si="369"/>
        <v>0</v>
      </c>
      <c r="Z75" s="24">
        <f t="shared" si="369"/>
        <v>0</v>
      </c>
      <c r="AA75" s="24">
        <f t="shared" si="369"/>
        <v>0</v>
      </c>
      <c r="AB75" s="24">
        <f t="shared" si="369"/>
        <v>0</v>
      </c>
      <c r="AC75" s="24">
        <f t="shared" si="369"/>
        <v>0</v>
      </c>
      <c r="AD75" s="24">
        <f t="shared" si="369"/>
        <v>0</v>
      </c>
      <c r="AE75" s="24">
        <f t="shared" si="369"/>
        <v>0</v>
      </c>
      <c r="AF75" s="24">
        <f t="shared" si="369"/>
        <v>0</v>
      </c>
      <c r="AG75" s="24">
        <f t="shared" si="369"/>
        <v>0</v>
      </c>
      <c r="AH75" s="24">
        <f t="shared" si="369"/>
        <v>0</v>
      </c>
      <c r="AI75" s="24">
        <f t="shared" si="369"/>
        <v>0</v>
      </c>
      <c r="AJ75" s="24">
        <f t="shared" si="369"/>
        <v>0</v>
      </c>
      <c r="AK75" s="24">
        <f t="shared" si="369"/>
        <v>0</v>
      </c>
      <c r="AL75" s="24">
        <f t="shared" si="369"/>
        <v>0</v>
      </c>
      <c r="AM75" s="24">
        <f t="shared" si="369"/>
        <v>0</v>
      </c>
      <c r="AN75" s="24">
        <f t="shared" si="369"/>
        <v>0</v>
      </c>
      <c r="AO75" s="24">
        <f t="shared" si="369"/>
        <v>0</v>
      </c>
      <c r="AP75" s="24">
        <f t="shared" si="369"/>
        <v>0</v>
      </c>
      <c r="AQ75" s="24">
        <f t="shared" si="369"/>
        <v>0</v>
      </c>
      <c r="AR75" s="24">
        <f t="shared" si="369"/>
        <v>0</v>
      </c>
      <c r="AS75" s="24">
        <f t="shared" si="369"/>
        <v>0</v>
      </c>
      <c r="AT75" s="24">
        <f t="shared" si="369"/>
        <v>0</v>
      </c>
      <c r="AU75" s="24">
        <f t="shared" si="369"/>
        <v>0</v>
      </c>
      <c r="AV75" s="24">
        <f t="shared" si="369"/>
        <v>0</v>
      </c>
      <c r="AW75" s="24">
        <f t="shared" si="369"/>
        <v>0</v>
      </c>
      <c r="AX75" s="24">
        <f t="shared" si="369"/>
        <v>0</v>
      </c>
      <c r="AY75" s="24">
        <f t="shared" si="369"/>
        <v>0</v>
      </c>
      <c r="AZ75" s="24">
        <f t="shared" si="369"/>
        <v>0</v>
      </c>
      <c r="BA75" s="24">
        <f t="shared" si="369"/>
        <v>0</v>
      </c>
      <c r="BB75" s="24">
        <f t="shared" si="369"/>
        <v>0</v>
      </c>
      <c r="BC75" s="24">
        <f t="shared" si="369"/>
        <v>0</v>
      </c>
      <c r="BD75" s="24">
        <f t="shared" si="369"/>
        <v>0</v>
      </c>
      <c r="BE75" s="24">
        <f t="shared" si="369"/>
        <v>0</v>
      </c>
      <c r="BF75" s="24">
        <f t="shared" si="369"/>
        <v>0</v>
      </c>
      <c r="BG75" s="24">
        <f t="shared" si="369"/>
        <v>0</v>
      </c>
      <c r="BH75" s="24">
        <f t="shared" si="369"/>
        <v>0</v>
      </c>
      <c r="BI75" s="24">
        <f t="shared" si="369"/>
        <v>0</v>
      </c>
      <c r="BJ75" s="24">
        <f t="shared" si="369"/>
        <v>0</v>
      </c>
      <c r="BK75" s="24">
        <f t="shared" si="369"/>
        <v>138018.64000000001</v>
      </c>
      <c r="BL75" s="24">
        <f t="shared" ref="BL75:BW75" si="370">SUM(BL72:BL74)</f>
        <v>373422.89035999996</v>
      </c>
      <c r="BM75" s="24">
        <f t="shared" si="370"/>
        <v>-175484.67</v>
      </c>
      <c r="BN75" s="24">
        <f t="shared" si="370"/>
        <v>257309.34</v>
      </c>
      <c r="BO75" s="24">
        <f t="shared" si="370"/>
        <v>-86272.92</v>
      </c>
      <c r="BP75" s="24">
        <f t="shared" si="370"/>
        <v>-342788.80035999999</v>
      </c>
      <c r="BQ75" s="24">
        <f t="shared" si="370"/>
        <v>-94096.960000000006</v>
      </c>
      <c r="BR75" s="24">
        <f t="shared" si="370"/>
        <v>171444.89</v>
      </c>
      <c r="BS75" s="24">
        <f t="shared" si="370"/>
        <v>-660857.69999999995</v>
      </c>
      <c r="BT75" s="24">
        <f t="shared" si="370"/>
        <v>-82470.92</v>
      </c>
      <c r="BU75" s="24">
        <f t="shared" si="370"/>
        <v>-3409.24</v>
      </c>
      <c r="BV75" s="24">
        <f t="shared" si="370"/>
        <v>46234.65</v>
      </c>
      <c r="BW75" s="24">
        <f t="shared" si="370"/>
        <v>131334.62</v>
      </c>
      <c r="BX75" s="24">
        <f t="shared" ref="BX75:CJ75" si="371">SUM(BX72:BX74)</f>
        <v>208669.29</v>
      </c>
      <c r="BY75" s="24">
        <f t="shared" si="371"/>
        <v>-26030.99</v>
      </c>
      <c r="BZ75" s="24">
        <f t="shared" si="371"/>
        <v>115282.22</v>
      </c>
      <c r="CA75" s="24">
        <f t="shared" si="371"/>
        <v>-38401.300000000003</v>
      </c>
      <c r="CB75" s="24">
        <f t="shared" si="371"/>
        <v>202704.34</v>
      </c>
      <c r="CC75" s="24">
        <f t="shared" si="371"/>
        <v>-495773.88</v>
      </c>
      <c r="CD75" s="24">
        <f t="shared" si="371"/>
        <v>-112955.68</v>
      </c>
      <c r="CE75" s="24">
        <f t="shared" si="371"/>
        <v>-275692.74</v>
      </c>
      <c r="CF75" s="24">
        <f t="shared" si="371"/>
        <v>-223416.99</v>
      </c>
      <c r="CG75" s="24">
        <f t="shared" si="371"/>
        <v>-146156.82999999999</v>
      </c>
      <c r="CH75" s="24">
        <f t="shared" si="371"/>
        <v>-43941.63</v>
      </c>
      <c r="CI75" s="24">
        <f t="shared" si="371"/>
        <v>21869.31</v>
      </c>
      <c r="CJ75" s="24">
        <f t="shared" si="371"/>
        <v>24318.55</v>
      </c>
      <c r="CK75" s="24">
        <f t="shared" si="369"/>
        <v>-399149.97</v>
      </c>
      <c r="CL75" s="24">
        <f t="shared" ref="CL75:CT75" si="372">SUM(CL72:CL74)</f>
        <v>237438.82</v>
      </c>
      <c r="CM75" s="24">
        <f t="shared" si="372"/>
        <v>38481.870000000003</v>
      </c>
      <c r="CN75" s="24">
        <f t="shared" si="372"/>
        <v>1013321.7599999998</v>
      </c>
      <c r="CO75" s="24">
        <f t="shared" si="372"/>
        <v>-725115.56</v>
      </c>
      <c r="CP75" s="24">
        <f t="shared" si="372"/>
        <v>-299716.53999999998</v>
      </c>
      <c r="CQ75" s="24">
        <f t="shared" si="372"/>
        <v>-221761.33</v>
      </c>
      <c r="CR75" s="24">
        <f t="shared" si="372"/>
        <v>-159925.75</v>
      </c>
      <c r="CS75" s="24">
        <f t="shared" si="372"/>
        <v>-155923.74</v>
      </c>
      <c r="CT75" s="24">
        <f t="shared" si="372"/>
        <v>-32266.39</v>
      </c>
      <c r="CU75" s="24">
        <f t="shared" ref="CU75:CY75" si="373">SUM(CU72:CU74)</f>
        <v>262240.09000000003</v>
      </c>
      <c r="CV75" s="24">
        <f t="shared" si="373"/>
        <v>278530.45</v>
      </c>
      <c r="CW75" s="24">
        <f t="shared" si="373"/>
        <v>-113090.24000000001</v>
      </c>
      <c r="CX75" s="24">
        <f t="shared" si="373"/>
        <v>0</v>
      </c>
      <c r="CY75" s="24">
        <f t="shared" si="373"/>
        <v>0</v>
      </c>
    </row>
    <row r="76" spans="1:104" x14ac:dyDescent="0.2">
      <c r="B76" s="7" t="s">
        <v>194</v>
      </c>
      <c r="D76" s="17">
        <f>D71+D75</f>
        <v>0</v>
      </c>
      <c r="E76" s="17">
        <f t="shared" ref="E76:CK76" si="374">E71+E75</f>
        <v>0</v>
      </c>
      <c r="F76" s="17">
        <f t="shared" si="374"/>
        <v>0</v>
      </c>
      <c r="G76" s="17">
        <f t="shared" si="374"/>
        <v>0</v>
      </c>
      <c r="H76" s="17">
        <f t="shared" si="374"/>
        <v>0</v>
      </c>
      <c r="I76" s="17">
        <f t="shared" si="374"/>
        <v>0</v>
      </c>
      <c r="J76" s="17">
        <f t="shared" si="374"/>
        <v>0</v>
      </c>
      <c r="K76" s="17">
        <f t="shared" si="374"/>
        <v>0</v>
      </c>
      <c r="L76" s="17">
        <f t="shared" si="374"/>
        <v>0</v>
      </c>
      <c r="M76" s="17">
        <f t="shared" si="374"/>
        <v>0</v>
      </c>
      <c r="N76" s="17">
        <f t="shared" si="374"/>
        <v>0</v>
      </c>
      <c r="O76" s="17">
        <f t="shared" si="374"/>
        <v>0</v>
      </c>
      <c r="P76" s="17">
        <f t="shared" si="374"/>
        <v>0</v>
      </c>
      <c r="Q76" s="17">
        <f t="shared" si="374"/>
        <v>0</v>
      </c>
      <c r="R76" s="17">
        <f t="shared" si="374"/>
        <v>0</v>
      </c>
      <c r="S76" s="17">
        <f t="shared" si="374"/>
        <v>0</v>
      </c>
      <c r="T76" s="17">
        <f t="shared" si="374"/>
        <v>0</v>
      </c>
      <c r="U76" s="17">
        <f t="shared" si="374"/>
        <v>0</v>
      </c>
      <c r="V76" s="17">
        <f t="shared" si="374"/>
        <v>0</v>
      </c>
      <c r="W76" s="17">
        <f t="shared" si="374"/>
        <v>0</v>
      </c>
      <c r="X76" s="17">
        <f t="shared" si="374"/>
        <v>0</v>
      </c>
      <c r="Y76" s="17">
        <f t="shared" si="374"/>
        <v>0</v>
      </c>
      <c r="Z76" s="17">
        <f t="shared" si="374"/>
        <v>0</v>
      </c>
      <c r="AA76" s="17">
        <f t="shared" si="374"/>
        <v>0</v>
      </c>
      <c r="AB76" s="17">
        <f t="shared" si="374"/>
        <v>0</v>
      </c>
      <c r="AC76" s="17">
        <f t="shared" si="374"/>
        <v>0</v>
      </c>
      <c r="AD76" s="17">
        <f t="shared" si="374"/>
        <v>0</v>
      </c>
      <c r="AE76" s="17">
        <f t="shared" si="374"/>
        <v>0</v>
      </c>
      <c r="AF76" s="17">
        <f t="shared" si="374"/>
        <v>0</v>
      </c>
      <c r="AG76" s="17">
        <f t="shared" si="374"/>
        <v>0</v>
      </c>
      <c r="AH76" s="17">
        <f t="shared" si="374"/>
        <v>0</v>
      </c>
      <c r="AI76" s="17">
        <f t="shared" si="374"/>
        <v>0</v>
      </c>
      <c r="AJ76" s="17">
        <f t="shared" si="374"/>
        <v>0</v>
      </c>
      <c r="AK76" s="17">
        <f t="shared" si="374"/>
        <v>0</v>
      </c>
      <c r="AL76" s="17">
        <f t="shared" si="374"/>
        <v>0</v>
      </c>
      <c r="AM76" s="17">
        <f t="shared" si="374"/>
        <v>0</v>
      </c>
      <c r="AN76" s="17">
        <f t="shared" si="374"/>
        <v>0</v>
      </c>
      <c r="AO76" s="17">
        <f t="shared" si="374"/>
        <v>0</v>
      </c>
      <c r="AP76" s="17">
        <f t="shared" si="374"/>
        <v>0</v>
      </c>
      <c r="AQ76" s="17">
        <f t="shared" si="374"/>
        <v>0</v>
      </c>
      <c r="AR76" s="17">
        <f t="shared" si="374"/>
        <v>0</v>
      </c>
      <c r="AS76" s="17">
        <f t="shared" si="374"/>
        <v>0</v>
      </c>
      <c r="AT76" s="17">
        <f t="shared" si="374"/>
        <v>0</v>
      </c>
      <c r="AU76" s="17">
        <f t="shared" si="374"/>
        <v>0</v>
      </c>
      <c r="AV76" s="17">
        <f t="shared" si="374"/>
        <v>0</v>
      </c>
      <c r="AW76" s="17">
        <f t="shared" si="374"/>
        <v>0</v>
      </c>
      <c r="AX76" s="17">
        <f t="shared" si="374"/>
        <v>0</v>
      </c>
      <c r="AY76" s="17">
        <f t="shared" si="374"/>
        <v>0</v>
      </c>
      <c r="AZ76" s="17">
        <f t="shared" si="374"/>
        <v>0</v>
      </c>
      <c r="BA76" s="17">
        <f t="shared" si="374"/>
        <v>0</v>
      </c>
      <c r="BB76" s="17">
        <f t="shared" si="374"/>
        <v>0</v>
      </c>
      <c r="BC76" s="17">
        <f t="shared" si="374"/>
        <v>0</v>
      </c>
      <c r="BD76" s="17">
        <f t="shared" si="374"/>
        <v>0</v>
      </c>
      <c r="BE76" s="17">
        <f t="shared" si="374"/>
        <v>0</v>
      </c>
      <c r="BF76" s="17">
        <f t="shared" si="374"/>
        <v>0</v>
      </c>
      <c r="BG76" s="17">
        <f t="shared" si="374"/>
        <v>0</v>
      </c>
      <c r="BH76" s="17">
        <f t="shared" si="374"/>
        <v>0</v>
      </c>
      <c r="BI76" s="17">
        <f t="shared" si="374"/>
        <v>0</v>
      </c>
      <c r="BJ76" s="17">
        <f t="shared" si="374"/>
        <v>0</v>
      </c>
      <c r="BK76" s="17">
        <f t="shared" si="374"/>
        <v>138018.64000000001</v>
      </c>
      <c r="BL76" s="17">
        <f t="shared" ref="BL76:BW76" si="375">BL71+BL75</f>
        <v>511441.53035999998</v>
      </c>
      <c r="BM76" s="17">
        <f t="shared" si="375"/>
        <v>335956.86035999993</v>
      </c>
      <c r="BN76" s="17">
        <f t="shared" si="375"/>
        <v>593266.2003599999</v>
      </c>
      <c r="BO76" s="17">
        <f t="shared" si="375"/>
        <v>506993.28035999992</v>
      </c>
      <c r="BP76" s="17">
        <f t="shared" si="375"/>
        <v>164204.47999999992</v>
      </c>
      <c r="BQ76" s="17">
        <f t="shared" si="375"/>
        <v>70107.519999999917</v>
      </c>
      <c r="BR76" s="17">
        <f t="shared" si="375"/>
        <v>241552.40999999992</v>
      </c>
      <c r="BS76" s="17">
        <f t="shared" si="375"/>
        <v>-419305.29000000004</v>
      </c>
      <c r="BT76" s="17">
        <f t="shared" si="375"/>
        <v>-501776.21</v>
      </c>
      <c r="BU76" s="17">
        <f t="shared" si="375"/>
        <v>-505185.45</v>
      </c>
      <c r="BV76" s="17">
        <f t="shared" si="375"/>
        <v>-458950.8</v>
      </c>
      <c r="BW76" s="17">
        <f t="shared" si="375"/>
        <v>-327616.18</v>
      </c>
      <c r="BX76" s="17">
        <f t="shared" ref="BX76:CJ76" si="376">BX71+BX75</f>
        <v>-118946.88999999998</v>
      </c>
      <c r="BY76" s="17">
        <f t="shared" si="376"/>
        <v>-144977.87999999998</v>
      </c>
      <c r="BZ76" s="17">
        <f t="shared" si="376"/>
        <v>-29695.659999999974</v>
      </c>
      <c r="CA76" s="17">
        <f t="shared" si="376"/>
        <v>-68096.959999999977</v>
      </c>
      <c r="CB76" s="17">
        <f t="shared" si="376"/>
        <v>134607.38</v>
      </c>
      <c r="CC76" s="17">
        <f t="shared" si="376"/>
        <v>-361166.5</v>
      </c>
      <c r="CD76" s="17">
        <f t="shared" si="376"/>
        <v>-474122.18</v>
      </c>
      <c r="CE76" s="17">
        <f t="shared" si="376"/>
        <v>-749814.91999999993</v>
      </c>
      <c r="CF76" s="17">
        <f t="shared" si="376"/>
        <v>-973231.90999999992</v>
      </c>
      <c r="CG76" s="17">
        <f t="shared" si="376"/>
        <v>-1119388.74</v>
      </c>
      <c r="CH76" s="17">
        <f t="shared" si="376"/>
        <v>-1163330.3699999999</v>
      </c>
      <c r="CI76" s="17">
        <f t="shared" si="376"/>
        <v>-1141461.0599999998</v>
      </c>
      <c r="CJ76" s="17">
        <f t="shared" si="376"/>
        <v>-1117142.5099999998</v>
      </c>
      <c r="CK76" s="17">
        <f t="shared" si="374"/>
        <v>-1516292.4799999997</v>
      </c>
      <c r="CL76" s="17">
        <f t="shared" ref="CL76:CT76" si="377">CL71+CL75</f>
        <v>-1278853.6599999997</v>
      </c>
      <c r="CM76" s="17">
        <f t="shared" si="377"/>
        <v>-1240371.7899999996</v>
      </c>
      <c r="CN76" s="17">
        <f t="shared" si="377"/>
        <v>-227050.0299999998</v>
      </c>
      <c r="CO76" s="17">
        <f t="shared" si="377"/>
        <v>-952165.58999999985</v>
      </c>
      <c r="CP76" s="17">
        <f t="shared" si="377"/>
        <v>-1251882.1299999999</v>
      </c>
      <c r="CQ76" s="17">
        <f t="shared" si="377"/>
        <v>-1473643.46</v>
      </c>
      <c r="CR76" s="17">
        <f t="shared" si="377"/>
        <v>-1633569.21</v>
      </c>
      <c r="CS76" s="17">
        <f t="shared" si="377"/>
        <v>-1789492.95</v>
      </c>
      <c r="CT76" s="17">
        <f t="shared" si="377"/>
        <v>-1821759.3399999999</v>
      </c>
      <c r="CU76" s="17">
        <f t="shared" ref="CU76:CY76" si="378">CU71+CU75</f>
        <v>-1559519.2499999998</v>
      </c>
      <c r="CV76" s="17">
        <f t="shared" si="378"/>
        <v>-1280988.7999999998</v>
      </c>
      <c r="CW76" s="17">
        <f t="shared" si="378"/>
        <v>-1394079.0399999998</v>
      </c>
      <c r="CX76" s="17">
        <f t="shared" si="378"/>
        <v>-1394079.0399999998</v>
      </c>
      <c r="CY76" s="17">
        <f t="shared" si="378"/>
        <v>-1394079.0399999998</v>
      </c>
    </row>
    <row r="77" spans="1:104" x14ac:dyDescent="0.2"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</row>
    <row r="78" spans="1:104" x14ac:dyDescent="0.2">
      <c r="A78" s="4" t="s">
        <v>203</v>
      </c>
      <c r="C78" s="15">
        <v>18238162</v>
      </c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8"/>
      <c r="CX78" s="8"/>
      <c r="CY78" s="8"/>
    </row>
    <row r="79" spans="1:104" s="25" customFormat="1" x14ac:dyDescent="0.2">
      <c r="A79" s="7"/>
      <c r="B79" s="7" t="s">
        <v>190</v>
      </c>
      <c r="C79" s="15">
        <v>25400362</v>
      </c>
      <c r="D79" s="17">
        <v>0</v>
      </c>
      <c r="E79" s="17">
        <f>D86</f>
        <v>0</v>
      </c>
      <c r="F79" s="17">
        <f t="shared" ref="F79:BK79" si="379">E86</f>
        <v>0</v>
      </c>
      <c r="G79" s="17">
        <f t="shared" si="379"/>
        <v>0</v>
      </c>
      <c r="H79" s="17">
        <f t="shared" si="379"/>
        <v>0</v>
      </c>
      <c r="I79" s="17">
        <f t="shared" si="379"/>
        <v>0</v>
      </c>
      <c r="J79" s="17">
        <f t="shared" si="379"/>
        <v>0</v>
      </c>
      <c r="K79" s="17">
        <f t="shared" si="379"/>
        <v>1284.0066939518738</v>
      </c>
      <c r="L79" s="17">
        <f t="shared" si="379"/>
        <v>4341.1333758918017</v>
      </c>
      <c r="M79" s="17">
        <f t="shared" si="379"/>
        <v>8261.1683375367065</v>
      </c>
      <c r="N79" s="17">
        <f t="shared" si="379"/>
        <v>8657.6045126706322</v>
      </c>
      <c r="O79" s="17">
        <f t="shared" si="379"/>
        <v>5526.3564466285134</v>
      </c>
      <c r="P79" s="17">
        <f t="shared" si="379"/>
        <v>-3236.9149669691233</v>
      </c>
      <c r="Q79" s="17">
        <f t="shared" si="379"/>
        <v>-18586.850261705717</v>
      </c>
      <c r="R79" s="17">
        <f t="shared" si="379"/>
        <v>-35885.738058808565</v>
      </c>
      <c r="S79" s="17">
        <f t="shared" si="379"/>
        <v>-52133.075360370916</v>
      </c>
      <c r="T79" s="17">
        <f t="shared" si="379"/>
        <v>-62651.997523362865</v>
      </c>
      <c r="U79" s="17">
        <f t="shared" si="379"/>
        <v>-62224.023238263217</v>
      </c>
      <c r="V79" s="17">
        <f t="shared" si="379"/>
        <v>-58914.294616057654</v>
      </c>
      <c r="W79" s="17">
        <f t="shared" si="379"/>
        <v>-52223.144096762742</v>
      </c>
      <c r="X79" s="17">
        <f t="shared" si="379"/>
        <v>-42335.152024059025</v>
      </c>
      <c r="Y79" s="17">
        <f t="shared" si="379"/>
        <v>-27903.482956902182</v>
      </c>
      <c r="Z79" s="17">
        <f t="shared" si="379"/>
        <v>-2377.6760530606007</v>
      </c>
      <c r="AA79" s="17">
        <f t="shared" si="379"/>
        <v>34198.304514755</v>
      </c>
      <c r="AB79" s="17">
        <f t="shared" si="379"/>
        <v>81585.61324446628</v>
      </c>
      <c r="AC79" s="17">
        <f t="shared" si="379"/>
        <v>146725.01336098689</v>
      </c>
      <c r="AD79" s="17">
        <f t="shared" si="379"/>
        <v>237472.40517599275</v>
      </c>
      <c r="AE79" s="17">
        <f t="shared" si="379"/>
        <v>311563.46166926884</v>
      </c>
      <c r="AF79" s="17">
        <f t="shared" si="379"/>
        <v>433699.8479631099</v>
      </c>
      <c r="AG79" s="17">
        <f t="shared" si="379"/>
        <v>498146.16867636028</v>
      </c>
      <c r="AH79" s="17">
        <f t="shared" si="379"/>
        <v>632459.38582012407</v>
      </c>
      <c r="AI79" s="17">
        <f t="shared" si="379"/>
        <v>771782.07454367937</v>
      </c>
      <c r="AJ79" s="17">
        <f t="shared" si="379"/>
        <v>914267.58261074638</v>
      </c>
      <c r="AK79" s="17">
        <f t="shared" si="379"/>
        <v>1058589.2578078804</v>
      </c>
      <c r="AL79" s="17">
        <f t="shared" si="379"/>
        <v>1210017.9538901218</v>
      </c>
      <c r="AM79" s="17">
        <f t="shared" si="379"/>
        <v>1366541.619374169</v>
      </c>
      <c r="AN79" s="17">
        <f t="shared" si="379"/>
        <v>1522589.184489547</v>
      </c>
      <c r="AO79" s="17">
        <f t="shared" si="379"/>
        <v>1680607.596171218</v>
      </c>
      <c r="AP79" s="17">
        <f t="shared" si="379"/>
        <v>1849338.5759564887</v>
      </c>
      <c r="AQ79" s="17">
        <f t="shared" si="379"/>
        <v>2032069.5614211734</v>
      </c>
      <c r="AR79" s="17">
        <f t="shared" si="379"/>
        <v>2241487.5120309228</v>
      </c>
      <c r="AS79" s="17">
        <f t="shared" si="379"/>
        <v>942032.71150066843</v>
      </c>
      <c r="AT79" s="17">
        <f t="shared" si="379"/>
        <v>1170183.3780053703</v>
      </c>
      <c r="AU79" s="17">
        <f t="shared" si="379"/>
        <v>1402861.7263960836</v>
      </c>
      <c r="AV79" s="17">
        <f t="shared" si="379"/>
        <v>1637016.7213667661</v>
      </c>
      <c r="AW79" s="17">
        <f t="shared" si="379"/>
        <v>1872990.754152409</v>
      </c>
      <c r="AX79" s="17">
        <f t="shared" si="379"/>
        <v>2112001.329746977</v>
      </c>
      <c r="AY79" s="17">
        <f t="shared" si="379"/>
        <v>2363440.9152487456</v>
      </c>
      <c r="AZ79" s="17">
        <f t="shared" si="379"/>
        <v>2615702.7740226057</v>
      </c>
      <c r="BA79" s="17">
        <f t="shared" si="379"/>
        <v>2833044.3040226055</v>
      </c>
      <c r="BB79" s="17">
        <f t="shared" si="379"/>
        <v>3033015.6640226054</v>
      </c>
      <c r="BC79" s="17">
        <f t="shared" si="379"/>
        <v>3226575.2740226053</v>
      </c>
      <c r="BD79" s="17">
        <f t="shared" si="379"/>
        <v>3427717.2540226053</v>
      </c>
      <c r="BE79" s="17">
        <f t="shared" si="379"/>
        <v>924393.34816353209</v>
      </c>
      <c r="BF79" s="17">
        <f t="shared" si="379"/>
        <v>1118804.1694429526</v>
      </c>
      <c r="BG79" s="17">
        <f t="shared" si="379"/>
        <v>1328146.1738930915</v>
      </c>
      <c r="BH79" s="17">
        <f t="shared" si="379"/>
        <v>1539583.8255726609</v>
      </c>
      <c r="BI79" s="17">
        <f t="shared" si="379"/>
        <v>1753849.6602656438</v>
      </c>
      <c r="BJ79" s="17">
        <f t="shared" si="379"/>
        <v>1980759.5848288084</v>
      </c>
      <c r="BK79" s="17">
        <f t="shared" si="379"/>
        <v>2202901.2528730333</v>
      </c>
      <c r="BL79" s="17">
        <f t="shared" ref="BL79" si="380">BK86</f>
        <v>2416073.6788976798</v>
      </c>
      <c r="BM79" s="17">
        <f t="shared" ref="BM79" si="381">BL86</f>
        <v>2626071.4988976796</v>
      </c>
      <c r="BN79" s="17">
        <f t="shared" ref="BN79" si="382">BM86</f>
        <v>2828341.8388976795</v>
      </c>
      <c r="BO79" s="17">
        <f t="shared" ref="BO79" si="383">BN86</f>
        <v>3012661.0388976797</v>
      </c>
      <c r="BP79" s="17">
        <f t="shared" ref="BP79" si="384">BO86</f>
        <v>3191205.3388976795</v>
      </c>
      <c r="BQ79" s="17">
        <f t="shared" ref="BQ79" si="385">BP86</f>
        <v>942515.85287303291</v>
      </c>
      <c r="BR79" s="17">
        <f t="shared" ref="BR79" si="386">BQ86</f>
        <v>1103480.0128730328</v>
      </c>
      <c r="BS79" s="17">
        <f t="shared" ref="BS79" si="387">BR86</f>
        <v>1269896.1328730327</v>
      </c>
      <c r="BT79" s="17">
        <f t="shared" ref="BT79" si="388">BS86</f>
        <v>1434697.9528730328</v>
      </c>
      <c r="BU79" s="17">
        <f t="shared" ref="BU79" si="389">BT86</f>
        <v>1597338.1728730327</v>
      </c>
      <c r="BV79" s="17">
        <f t="shared" ref="BV79" si="390">BU86</f>
        <v>1762916.6728730327</v>
      </c>
      <c r="BW79" s="17">
        <f t="shared" ref="BW79" si="391">BV86</f>
        <v>1915466.1828730328</v>
      </c>
      <c r="BX79" s="17">
        <f t="shared" ref="BX79" si="392">BW86</f>
        <v>2056030.6628730327</v>
      </c>
      <c r="BY79" s="17">
        <f t="shared" ref="BY79" si="393">BX86</f>
        <v>2191341.1928730328</v>
      </c>
      <c r="BZ79" s="17">
        <f t="shared" ref="BZ79" si="394">BY86</f>
        <v>2286616.5528730326</v>
      </c>
      <c r="CA79" s="17">
        <f t="shared" ref="CA79" si="395">BZ86</f>
        <v>2340043.0528730326</v>
      </c>
      <c r="CB79" s="17">
        <f t="shared" ref="CB79" si="396">CA86</f>
        <v>2383881.0328730326</v>
      </c>
      <c r="CC79" s="17">
        <f t="shared" ref="CC79" si="397">CB86</f>
        <v>373449.52999999956</v>
      </c>
      <c r="CD79" s="17">
        <f t="shared" ref="CD79" si="398">CC86</f>
        <v>424571.57999999955</v>
      </c>
      <c r="CE79" s="17">
        <f t="shared" ref="CE79" si="399">CD86</f>
        <v>476313.86999999953</v>
      </c>
      <c r="CF79" s="17">
        <f t="shared" ref="CF79" si="400">CE86</f>
        <v>526994.56999999948</v>
      </c>
      <c r="CG79" s="17">
        <f t="shared" ref="CG79" si="401">CF86</f>
        <v>579648.79999999946</v>
      </c>
      <c r="CH79" s="17">
        <f t="shared" ref="CH79" si="402">CG86</f>
        <v>627285.96999999951</v>
      </c>
      <c r="CI79" s="17">
        <f t="shared" ref="CI79" si="403">CH86</f>
        <v>671233.37999999954</v>
      </c>
      <c r="CJ79" s="17">
        <f t="shared" ref="CJ79" si="404">CI86</f>
        <v>718615.3399999995</v>
      </c>
      <c r="CK79" s="17">
        <f t="shared" ref="CK79" si="405">CJ86</f>
        <v>768415.53999999946</v>
      </c>
      <c r="CL79" s="17">
        <f t="shared" ref="CL79" si="406">CK86</f>
        <v>816838.4599999995</v>
      </c>
      <c r="CM79" s="17">
        <f t="shared" ref="CM79" si="407">CL86</f>
        <v>854037.17999999947</v>
      </c>
      <c r="CN79" s="17">
        <f t="shared" ref="CN79" si="408">CM86</f>
        <v>888001.8399999995</v>
      </c>
      <c r="CO79" s="17">
        <f t="shared" ref="CO79" si="409">CN86</f>
        <v>206446.15000000002</v>
      </c>
      <c r="CP79" s="17">
        <f t="shared" ref="CP79" si="410">CO86</f>
        <v>243449.99000000002</v>
      </c>
      <c r="CQ79" s="17">
        <f t="shared" ref="CQ79" si="411">CP86</f>
        <v>267557.66000000003</v>
      </c>
      <c r="CR79" s="17">
        <f t="shared" ref="CR79" si="412">CQ86</f>
        <v>289928.75000000006</v>
      </c>
      <c r="CS79" s="17">
        <f t="shared" ref="CS79" si="413">CR86</f>
        <v>314573.76000000007</v>
      </c>
      <c r="CT79" s="17">
        <f t="shared" ref="CT79" si="414">CS86</f>
        <v>342660.10000000009</v>
      </c>
      <c r="CU79" s="17">
        <f t="shared" ref="CU79" si="415">CT86</f>
        <v>372706.14000000007</v>
      </c>
      <c r="CV79" s="17">
        <f t="shared" ref="CV79" si="416">CU86</f>
        <v>409287.92000000004</v>
      </c>
      <c r="CW79" s="17">
        <f t="shared" ref="CW79:CY79" si="417">CV86</f>
        <v>455797.67000000004</v>
      </c>
      <c r="CX79" s="17">
        <f t="shared" si="417"/>
        <v>500716.85000000003</v>
      </c>
      <c r="CY79" s="17">
        <f t="shared" si="417"/>
        <v>500716.85000000003</v>
      </c>
      <c r="CZ79" s="7"/>
    </row>
    <row r="80" spans="1:104" s="21" customFormat="1" x14ac:dyDescent="0.2">
      <c r="A80" s="25"/>
      <c r="B80" s="21" t="s">
        <v>191</v>
      </c>
      <c r="C80" s="26"/>
      <c r="D80" s="194">
        <v>0</v>
      </c>
      <c r="E80" s="194">
        <v>0</v>
      </c>
      <c r="F80" s="194">
        <v>0</v>
      </c>
      <c r="G80" s="194">
        <v>0</v>
      </c>
      <c r="H80" s="194">
        <v>0</v>
      </c>
      <c r="I80" s="194">
        <v>0</v>
      </c>
      <c r="J80" s="194">
        <v>0</v>
      </c>
      <c r="K80" s="194">
        <v>0</v>
      </c>
      <c r="L80" s="194">
        <v>0</v>
      </c>
      <c r="M80" s="194">
        <v>0</v>
      </c>
      <c r="N80" s="194">
        <v>0</v>
      </c>
      <c r="O80" s="194">
        <v>0</v>
      </c>
      <c r="P80" s="194">
        <v>0</v>
      </c>
      <c r="Q80" s="194">
        <v>0</v>
      </c>
      <c r="R80" s="194">
        <v>0</v>
      </c>
      <c r="S80" s="194">
        <v>0</v>
      </c>
      <c r="T80" s="194">
        <v>3236.9149669691201</v>
      </c>
      <c r="U80" s="194">
        <v>0</v>
      </c>
      <c r="V80" s="194">
        <v>0</v>
      </c>
      <c r="W80" s="194">
        <v>0</v>
      </c>
      <c r="X80" s="194">
        <v>0</v>
      </c>
      <c r="Y80" s="194">
        <v>0</v>
      </c>
      <c r="Z80" s="194">
        <v>0</v>
      </c>
      <c r="AA80" s="194">
        <v>0</v>
      </c>
      <c r="AB80" s="194">
        <v>0</v>
      </c>
      <c r="AC80" s="194">
        <v>0</v>
      </c>
      <c r="AD80" s="194">
        <v>0</v>
      </c>
      <c r="AE80" s="194">
        <v>0</v>
      </c>
      <c r="AF80" s="194">
        <v>-64504.856084693231</v>
      </c>
      <c r="AG80" s="194">
        <v>0</v>
      </c>
      <c r="AH80" s="194">
        <v>0</v>
      </c>
      <c r="AI80" s="194">
        <v>0</v>
      </c>
      <c r="AJ80" s="194">
        <v>0</v>
      </c>
      <c r="AK80" s="194">
        <v>0</v>
      </c>
      <c r="AL80" s="194">
        <v>0</v>
      </c>
      <c r="AM80" s="194">
        <v>0</v>
      </c>
      <c r="AN80" s="194">
        <v>0</v>
      </c>
      <c r="AO80" s="194">
        <v>0</v>
      </c>
      <c r="AP80" s="194">
        <v>0</v>
      </c>
      <c r="AQ80" s="194">
        <v>0</v>
      </c>
      <c r="AR80" s="194">
        <v>-1522589.1844895501</v>
      </c>
      <c r="AS80" s="23">
        <v>0</v>
      </c>
      <c r="AT80" s="23">
        <v>0</v>
      </c>
      <c r="AU80" s="23">
        <v>0</v>
      </c>
      <c r="AV80" s="23">
        <v>0</v>
      </c>
      <c r="AW80" s="23">
        <v>0</v>
      </c>
      <c r="AX80" s="23">
        <v>0</v>
      </c>
      <c r="AY80" s="23">
        <v>0</v>
      </c>
      <c r="AZ80" s="23">
        <v>0</v>
      </c>
      <c r="BA80" s="23">
        <v>0</v>
      </c>
      <c r="BB80" s="23">
        <v>0</v>
      </c>
      <c r="BC80" s="23">
        <v>0</v>
      </c>
      <c r="BD80" s="23">
        <v>-2615702.77</v>
      </c>
      <c r="BE80" s="23">
        <v>0</v>
      </c>
      <c r="BF80" s="23">
        <v>0</v>
      </c>
      <c r="BG80" s="23">
        <v>0</v>
      </c>
      <c r="BH80" s="23">
        <v>0</v>
      </c>
      <c r="BI80" s="23">
        <v>0</v>
      </c>
      <c r="BJ80" s="23">
        <v>0</v>
      </c>
      <c r="BK80" s="23">
        <v>0</v>
      </c>
      <c r="BL80" s="23">
        <v>0</v>
      </c>
      <c r="BM80" s="23">
        <v>0</v>
      </c>
      <c r="BN80" s="23">
        <v>0</v>
      </c>
      <c r="BO80" s="23">
        <v>0</v>
      </c>
      <c r="BP80" s="23">
        <v>-2416073.6060246467</v>
      </c>
      <c r="BQ80" s="23">
        <v>0</v>
      </c>
      <c r="BR80" s="23">
        <v>0</v>
      </c>
      <c r="BS80" s="23">
        <v>0</v>
      </c>
      <c r="BT80" s="23">
        <v>0</v>
      </c>
      <c r="BU80" s="23">
        <v>0</v>
      </c>
      <c r="BV80" s="23">
        <v>0</v>
      </c>
      <c r="BW80" s="23">
        <v>0</v>
      </c>
      <c r="BX80" s="23">
        <v>0</v>
      </c>
      <c r="BY80" s="23">
        <v>0</v>
      </c>
      <c r="BZ80" s="23">
        <v>0</v>
      </c>
      <c r="CA80" s="23">
        <v>0</v>
      </c>
      <c r="CB80" s="23">
        <v>-2056030.662873033</v>
      </c>
      <c r="CC80" s="23">
        <v>0</v>
      </c>
      <c r="CD80" s="23">
        <v>0</v>
      </c>
      <c r="CE80" s="23">
        <v>0</v>
      </c>
      <c r="CF80" s="23">
        <v>0</v>
      </c>
      <c r="CG80" s="23">
        <v>0</v>
      </c>
      <c r="CH80" s="23">
        <v>0</v>
      </c>
      <c r="CI80" s="23">
        <v>0</v>
      </c>
      <c r="CJ80" s="23">
        <v>0</v>
      </c>
      <c r="CK80" s="23">
        <v>0</v>
      </c>
      <c r="CL80" s="23">
        <v>0</v>
      </c>
      <c r="CM80" s="23">
        <v>0</v>
      </c>
      <c r="CN80" s="23">
        <v>-718615.3399999995</v>
      </c>
      <c r="CO80" s="23">
        <v>0</v>
      </c>
      <c r="CP80" s="23">
        <v>0</v>
      </c>
      <c r="CQ80" s="23">
        <v>0</v>
      </c>
      <c r="CR80" s="23">
        <v>0</v>
      </c>
      <c r="CS80" s="23">
        <v>0</v>
      </c>
      <c r="CT80" s="23">
        <v>0</v>
      </c>
      <c r="CU80" s="23">
        <v>0</v>
      </c>
      <c r="CV80" s="23">
        <v>0</v>
      </c>
      <c r="CW80" s="23">
        <v>0</v>
      </c>
      <c r="CX80" s="23"/>
      <c r="CY80" s="23"/>
      <c r="CZ80" s="25"/>
    </row>
    <row r="81" spans="1:104" s="21" customFormat="1" x14ac:dyDescent="0.2">
      <c r="A81" s="25"/>
      <c r="B81" s="21" t="s">
        <v>377</v>
      </c>
      <c r="C81" s="26"/>
      <c r="D81" s="194">
        <v>0</v>
      </c>
      <c r="E81" s="194">
        <v>0</v>
      </c>
      <c r="F81" s="194">
        <v>0</v>
      </c>
      <c r="G81" s="194">
        <v>0</v>
      </c>
      <c r="H81" s="194">
        <v>0</v>
      </c>
      <c r="I81" s="194">
        <v>0</v>
      </c>
      <c r="J81" s="194">
        <v>0</v>
      </c>
      <c r="K81" s="194">
        <v>0</v>
      </c>
      <c r="L81" s="194">
        <v>0</v>
      </c>
      <c r="M81" s="194">
        <v>0</v>
      </c>
      <c r="N81" s="194">
        <v>0</v>
      </c>
      <c r="O81" s="194">
        <v>0</v>
      </c>
      <c r="P81" s="194">
        <v>0</v>
      </c>
      <c r="Q81" s="194">
        <v>0</v>
      </c>
      <c r="R81" s="194">
        <v>0</v>
      </c>
      <c r="S81" s="194">
        <v>0</v>
      </c>
      <c r="T81" s="194">
        <v>0</v>
      </c>
      <c r="U81" s="194">
        <v>0</v>
      </c>
      <c r="V81" s="194">
        <v>0</v>
      </c>
      <c r="W81" s="194">
        <v>0</v>
      </c>
      <c r="X81" s="194">
        <v>0</v>
      </c>
      <c r="Y81" s="194">
        <v>0</v>
      </c>
      <c r="Z81" s="194">
        <v>0</v>
      </c>
      <c r="AA81" s="194">
        <v>0</v>
      </c>
      <c r="AB81" s="194">
        <v>0</v>
      </c>
      <c r="AC81" s="194">
        <v>0</v>
      </c>
      <c r="AD81" s="194">
        <v>-43442.168179630316</v>
      </c>
      <c r="AE81" s="194">
        <v>-540.27630914234032</v>
      </c>
      <c r="AF81" s="194">
        <v>18.420486301023629</v>
      </c>
      <c r="AG81" s="194">
        <v>-3.6272497081372421</v>
      </c>
      <c r="AH81" s="194">
        <v>-0.7100047470012214</v>
      </c>
      <c r="AI81" s="194">
        <v>0</v>
      </c>
      <c r="AJ81" s="194">
        <v>0</v>
      </c>
      <c r="AK81" s="194">
        <v>0</v>
      </c>
      <c r="AL81" s="194">
        <v>0</v>
      </c>
      <c r="AM81" s="194">
        <v>0</v>
      </c>
      <c r="AN81" s="194">
        <v>0</v>
      </c>
      <c r="AO81" s="194">
        <v>0</v>
      </c>
      <c r="AP81" s="194">
        <v>0</v>
      </c>
      <c r="AQ81" s="194">
        <v>0</v>
      </c>
      <c r="AR81" s="194">
        <v>0</v>
      </c>
      <c r="AS81" s="23">
        <v>0</v>
      </c>
      <c r="AT81" s="23">
        <v>0</v>
      </c>
      <c r="AU81" s="23">
        <v>0</v>
      </c>
      <c r="AV81" s="23">
        <v>0</v>
      </c>
      <c r="AW81" s="23">
        <v>0</v>
      </c>
      <c r="AX81" s="23">
        <v>0</v>
      </c>
      <c r="AY81" s="23">
        <v>0</v>
      </c>
      <c r="AZ81" s="23">
        <v>0</v>
      </c>
      <c r="BA81" s="23">
        <v>0</v>
      </c>
      <c r="BB81" s="23">
        <v>0</v>
      </c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  <c r="BI81" s="23">
        <v>0</v>
      </c>
      <c r="BJ81" s="23">
        <v>0</v>
      </c>
      <c r="BK81" s="23">
        <v>0</v>
      </c>
      <c r="BL81" s="23">
        <v>0</v>
      </c>
      <c r="BM81" s="23">
        <v>0</v>
      </c>
      <c r="BN81" s="23">
        <v>0</v>
      </c>
      <c r="BO81" s="23">
        <v>0</v>
      </c>
      <c r="BP81" s="23">
        <v>0</v>
      </c>
      <c r="BQ81" s="23">
        <v>0</v>
      </c>
      <c r="BR81" s="23">
        <v>0</v>
      </c>
      <c r="BS81" s="23">
        <v>0</v>
      </c>
      <c r="BT81" s="23">
        <v>0</v>
      </c>
      <c r="BU81" s="23">
        <v>0</v>
      </c>
      <c r="BV81" s="23">
        <v>0</v>
      </c>
      <c r="BW81" s="23">
        <v>0</v>
      </c>
      <c r="BX81" s="23">
        <v>0</v>
      </c>
      <c r="BY81" s="23">
        <v>0</v>
      </c>
      <c r="BZ81" s="23">
        <v>0</v>
      </c>
      <c r="CA81" s="23">
        <v>0</v>
      </c>
      <c r="CB81" s="23">
        <v>0</v>
      </c>
      <c r="CC81" s="23">
        <v>0</v>
      </c>
      <c r="CD81" s="23">
        <v>0</v>
      </c>
      <c r="CE81" s="23">
        <v>0</v>
      </c>
      <c r="CF81" s="23">
        <v>0</v>
      </c>
      <c r="CG81" s="23">
        <v>0</v>
      </c>
      <c r="CH81" s="23">
        <v>0</v>
      </c>
      <c r="CI81" s="23">
        <v>0</v>
      </c>
      <c r="CJ81" s="23">
        <v>0</v>
      </c>
      <c r="CK81" s="23">
        <v>0</v>
      </c>
      <c r="CL81" s="23">
        <v>0</v>
      </c>
      <c r="CM81" s="23">
        <v>0</v>
      </c>
      <c r="CN81" s="23">
        <v>0</v>
      </c>
      <c r="CO81" s="23">
        <v>0</v>
      </c>
      <c r="CP81" s="23">
        <v>0</v>
      </c>
      <c r="CQ81" s="23">
        <v>0</v>
      </c>
      <c r="CR81" s="23">
        <v>0</v>
      </c>
      <c r="CS81" s="23">
        <v>0</v>
      </c>
      <c r="CT81" s="23">
        <v>0</v>
      </c>
      <c r="CU81" s="23">
        <v>0</v>
      </c>
      <c r="CV81" s="23">
        <v>0</v>
      </c>
      <c r="CW81" s="23">
        <v>0</v>
      </c>
      <c r="CX81" s="23"/>
      <c r="CY81" s="23"/>
      <c r="CZ81" s="25"/>
    </row>
    <row r="82" spans="1:104" s="21" customFormat="1" x14ac:dyDescent="0.2">
      <c r="A82" s="25"/>
      <c r="B82" s="21" t="s">
        <v>380</v>
      </c>
      <c r="C82" s="26"/>
      <c r="D82" s="194">
        <v>0</v>
      </c>
      <c r="E82" s="194">
        <v>0</v>
      </c>
      <c r="F82" s="194">
        <v>0</v>
      </c>
      <c r="G82" s="194">
        <v>0</v>
      </c>
      <c r="H82" s="194">
        <v>0</v>
      </c>
      <c r="I82" s="194">
        <v>0</v>
      </c>
      <c r="J82" s="194">
        <v>0</v>
      </c>
      <c r="K82" s="194">
        <v>0</v>
      </c>
      <c r="L82" s="194">
        <v>0</v>
      </c>
      <c r="M82" s="194">
        <v>0</v>
      </c>
      <c r="N82" s="194">
        <v>0</v>
      </c>
      <c r="O82" s="194">
        <v>0</v>
      </c>
      <c r="P82" s="194">
        <v>0</v>
      </c>
      <c r="Q82" s="194">
        <v>0</v>
      </c>
      <c r="R82" s="194">
        <v>0</v>
      </c>
      <c r="S82" s="194">
        <v>0</v>
      </c>
      <c r="T82" s="194">
        <v>0</v>
      </c>
      <c r="U82" s="194">
        <v>0</v>
      </c>
      <c r="V82" s="194">
        <v>0</v>
      </c>
      <c r="W82" s="194">
        <v>0</v>
      </c>
      <c r="X82" s="194">
        <v>0</v>
      </c>
      <c r="Y82" s="194">
        <v>0</v>
      </c>
      <c r="Z82" s="194">
        <v>0</v>
      </c>
      <c r="AA82" s="194">
        <v>0</v>
      </c>
      <c r="AB82" s="194">
        <v>0</v>
      </c>
      <c r="AC82" s="194">
        <v>0</v>
      </c>
      <c r="AD82" s="194">
        <v>0</v>
      </c>
      <c r="AE82" s="194">
        <v>0</v>
      </c>
      <c r="AF82" s="194">
        <v>0</v>
      </c>
      <c r="AG82" s="194">
        <v>0</v>
      </c>
      <c r="AH82" s="194">
        <v>0</v>
      </c>
      <c r="AI82" s="194">
        <v>0</v>
      </c>
      <c r="AJ82" s="194">
        <v>0</v>
      </c>
      <c r="AK82" s="194">
        <v>0</v>
      </c>
      <c r="AL82" s="194">
        <v>0</v>
      </c>
      <c r="AM82" s="194">
        <v>0</v>
      </c>
      <c r="AN82" s="194">
        <v>0</v>
      </c>
      <c r="AO82" s="194">
        <v>0</v>
      </c>
      <c r="AP82" s="194">
        <v>0</v>
      </c>
      <c r="AQ82" s="194">
        <v>0</v>
      </c>
      <c r="AR82" s="194">
        <v>0</v>
      </c>
      <c r="AS82" s="23">
        <v>0</v>
      </c>
      <c r="AT82" s="23">
        <v>0</v>
      </c>
      <c r="AU82" s="23">
        <v>0</v>
      </c>
      <c r="AV82" s="23">
        <v>0</v>
      </c>
      <c r="AW82" s="23">
        <v>0</v>
      </c>
      <c r="AX82" s="23">
        <v>0</v>
      </c>
      <c r="AY82" s="23">
        <v>0</v>
      </c>
      <c r="AZ82" s="23">
        <v>0</v>
      </c>
      <c r="BA82" s="23">
        <v>0</v>
      </c>
      <c r="BB82" s="23">
        <v>0</v>
      </c>
      <c r="BC82" s="23">
        <v>0</v>
      </c>
      <c r="BD82" s="23">
        <v>-84751.59</v>
      </c>
      <c r="BE82" s="23">
        <v>0</v>
      </c>
      <c r="BF82" s="23">
        <v>0</v>
      </c>
      <c r="BG82" s="23">
        <v>0</v>
      </c>
      <c r="BH82" s="23">
        <v>0</v>
      </c>
      <c r="BI82" s="23">
        <v>0</v>
      </c>
      <c r="BJ82" s="23">
        <v>0</v>
      </c>
      <c r="BK82" s="23">
        <v>0</v>
      </c>
      <c r="BL82" s="23">
        <v>0</v>
      </c>
      <c r="BM82" s="23">
        <v>0</v>
      </c>
      <c r="BN82" s="23">
        <v>0</v>
      </c>
      <c r="BO82" s="23">
        <v>0</v>
      </c>
      <c r="BP82" s="23">
        <v>0</v>
      </c>
      <c r="BQ82" s="23">
        <v>0</v>
      </c>
      <c r="BR82" s="23">
        <v>0</v>
      </c>
      <c r="BS82" s="23">
        <v>0</v>
      </c>
      <c r="BT82" s="23">
        <v>0</v>
      </c>
      <c r="BU82" s="23">
        <v>0</v>
      </c>
      <c r="BV82" s="23">
        <v>0</v>
      </c>
      <c r="BW82" s="23">
        <v>0</v>
      </c>
      <c r="BX82" s="23">
        <v>0</v>
      </c>
      <c r="BY82" s="23">
        <v>0</v>
      </c>
      <c r="BZ82" s="23">
        <v>0</v>
      </c>
      <c r="CA82" s="23">
        <v>0</v>
      </c>
      <c r="CB82" s="23">
        <v>0</v>
      </c>
      <c r="CC82" s="23">
        <v>0</v>
      </c>
      <c r="CD82" s="23">
        <v>0</v>
      </c>
      <c r="CE82" s="23">
        <v>0</v>
      </c>
      <c r="CF82" s="23">
        <v>0</v>
      </c>
      <c r="CG82" s="23">
        <v>0</v>
      </c>
      <c r="CH82" s="23">
        <v>0</v>
      </c>
      <c r="CI82" s="23">
        <v>0</v>
      </c>
      <c r="CJ82" s="23">
        <v>0</v>
      </c>
      <c r="CK82" s="23">
        <v>0</v>
      </c>
      <c r="CL82" s="23">
        <v>0</v>
      </c>
      <c r="CM82" s="23">
        <v>0</v>
      </c>
      <c r="CN82" s="23">
        <v>0</v>
      </c>
      <c r="CO82" s="23">
        <v>0</v>
      </c>
      <c r="CP82" s="23">
        <v>0</v>
      </c>
      <c r="CQ82" s="23">
        <v>0</v>
      </c>
      <c r="CR82" s="23">
        <v>0</v>
      </c>
      <c r="CS82" s="23">
        <v>0</v>
      </c>
      <c r="CT82" s="23">
        <v>0</v>
      </c>
      <c r="CU82" s="23">
        <v>0</v>
      </c>
      <c r="CV82" s="23">
        <v>0</v>
      </c>
      <c r="CW82" s="23">
        <v>0</v>
      </c>
      <c r="CX82" s="23"/>
      <c r="CY82" s="23"/>
      <c r="CZ82" s="25"/>
    </row>
    <row r="83" spans="1:104" s="21" customFormat="1" x14ac:dyDescent="0.2">
      <c r="A83" s="25"/>
      <c r="B83" s="21" t="s">
        <v>447</v>
      </c>
      <c r="C83" s="26"/>
      <c r="D83" s="194">
        <v>0</v>
      </c>
      <c r="E83" s="194">
        <v>0</v>
      </c>
      <c r="F83" s="194">
        <v>0</v>
      </c>
      <c r="G83" s="194">
        <v>0</v>
      </c>
      <c r="H83" s="194">
        <v>0</v>
      </c>
      <c r="I83" s="194">
        <v>0</v>
      </c>
      <c r="J83" s="194">
        <v>0</v>
      </c>
      <c r="K83" s="194">
        <v>0</v>
      </c>
      <c r="L83" s="194">
        <v>0</v>
      </c>
      <c r="M83" s="194">
        <v>0</v>
      </c>
      <c r="N83" s="194">
        <v>0</v>
      </c>
      <c r="O83" s="194">
        <v>0</v>
      </c>
      <c r="P83" s="194">
        <v>0</v>
      </c>
      <c r="Q83" s="194">
        <v>0</v>
      </c>
      <c r="R83" s="194">
        <v>0</v>
      </c>
      <c r="S83" s="194">
        <v>0</v>
      </c>
      <c r="T83" s="194">
        <v>0</v>
      </c>
      <c r="U83" s="194">
        <v>0</v>
      </c>
      <c r="V83" s="194">
        <v>0</v>
      </c>
      <c r="W83" s="194">
        <v>0</v>
      </c>
      <c r="X83" s="194">
        <v>0</v>
      </c>
      <c r="Y83" s="194">
        <v>0</v>
      </c>
      <c r="Z83" s="194">
        <v>0</v>
      </c>
      <c r="AA83" s="194">
        <v>0</v>
      </c>
      <c r="AB83" s="194">
        <v>0</v>
      </c>
      <c r="AC83" s="194">
        <v>0</v>
      </c>
      <c r="AD83" s="194">
        <v>0</v>
      </c>
      <c r="AE83" s="194">
        <v>0</v>
      </c>
      <c r="AF83" s="194">
        <v>0</v>
      </c>
      <c r="AG83" s="194">
        <v>0</v>
      </c>
      <c r="AH83" s="194">
        <v>0</v>
      </c>
      <c r="AI83" s="194">
        <v>0</v>
      </c>
      <c r="AJ83" s="194">
        <v>0</v>
      </c>
      <c r="AK83" s="194">
        <v>0</v>
      </c>
      <c r="AL83" s="194">
        <v>0</v>
      </c>
      <c r="AM83" s="194">
        <v>0</v>
      </c>
      <c r="AN83" s="194">
        <v>0</v>
      </c>
      <c r="AO83" s="194">
        <v>0</v>
      </c>
      <c r="AP83" s="194">
        <v>0</v>
      </c>
      <c r="AQ83" s="194">
        <v>0</v>
      </c>
      <c r="AR83" s="194">
        <v>0</v>
      </c>
      <c r="AS83" s="194">
        <v>0</v>
      </c>
      <c r="AT83" s="194">
        <v>0</v>
      </c>
      <c r="AU83" s="194">
        <v>0</v>
      </c>
      <c r="AV83" s="194">
        <v>0</v>
      </c>
      <c r="AW83" s="194">
        <v>0</v>
      </c>
      <c r="AX83" s="194">
        <v>0</v>
      </c>
      <c r="AY83" s="194">
        <v>0</v>
      </c>
      <c r="AZ83" s="194">
        <v>0</v>
      </c>
      <c r="BA83" s="194">
        <v>0</v>
      </c>
      <c r="BB83" s="194">
        <v>0</v>
      </c>
      <c r="BC83" s="194">
        <v>0</v>
      </c>
      <c r="BD83" s="194">
        <v>0</v>
      </c>
      <c r="BE83" s="194">
        <v>0</v>
      </c>
      <c r="BF83" s="194">
        <v>0</v>
      </c>
      <c r="BG83" s="194">
        <v>0</v>
      </c>
      <c r="BH83" s="194">
        <v>0</v>
      </c>
      <c r="BI83" s="194">
        <v>0</v>
      </c>
      <c r="BJ83" s="194">
        <v>0</v>
      </c>
      <c r="BK83" s="194">
        <v>0</v>
      </c>
      <c r="BL83" s="194">
        <v>0</v>
      </c>
      <c r="BM83" s="194">
        <v>0</v>
      </c>
      <c r="BN83" s="194">
        <v>0</v>
      </c>
      <c r="BO83" s="194">
        <v>0</v>
      </c>
      <c r="BP83" s="194">
        <v>0</v>
      </c>
      <c r="BQ83" s="194">
        <v>0</v>
      </c>
      <c r="BR83" s="194">
        <v>0</v>
      </c>
      <c r="BS83" s="194">
        <v>0</v>
      </c>
      <c r="BT83" s="194">
        <v>0</v>
      </c>
      <c r="BU83" s="194">
        <v>0</v>
      </c>
      <c r="BV83" s="194">
        <v>0</v>
      </c>
      <c r="BW83" s="194">
        <v>0</v>
      </c>
      <c r="BX83" s="194">
        <v>0</v>
      </c>
      <c r="BY83" s="194">
        <v>0</v>
      </c>
      <c r="BZ83" s="194">
        <v>0</v>
      </c>
      <c r="CA83" s="194">
        <v>0</v>
      </c>
      <c r="CB83" s="194">
        <v>0</v>
      </c>
      <c r="CC83" s="194">
        <v>0</v>
      </c>
      <c r="CD83" s="194">
        <v>0</v>
      </c>
      <c r="CE83" s="194">
        <v>0</v>
      </c>
      <c r="CF83" s="194">
        <v>0</v>
      </c>
      <c r="CG83" s="194">
        <v>0</v>
      </c>
      <c r="CH83" s="194">
        <v>0</v>
      </c>
      <c r="CI83" s="194">
        <v>0</v>
      </c>
      <c r="CJ83" s="194">
        <v>0</v>
      </c>
      <c r="CK83" s="194">
        <v>0</v>
      </c>
      <c r="CL83" s="194">
        <v>0</v>
      </c>
      <c r="CM83" s="23">
        <v>462.86</v>
      </c>
      <c r="CN83" s="23">
        <v>0</v>
      </c>
      <c r="CO83" s="23">
        <v>0</v>
      </c>
      <c r="CP83" s="23">
        <v>0</v>
      </c>
      <c r="CQ83" s="23">
        <v>0</v>
      </c>
      <c r="CR83" s="23">
        <v>0</v>
      </c>
      <c r="CS83" s="23">
        <v>0</v>
      </c>
      <c r="CT83" s="23">
        <v>0</v>
      </c>
      <c r="CU83" s="23">
        <v>0</v>
      </c>
      <c r="CV83" s="23">
        <v>0</v>
      </c>
      <c r="CW83" s="23">
        <v>0</v>
      </c>
      <c r="CX83" s="23"/>
      <c r="CY83" s="23"/>
      <c r="CZ83" s="25"/>
    </row>
    <row r="84" spans="1:104" x14ac:dyDescent="0.2">
      <c r="A84" s="21"/>
      <c r="B84" s="21" t="s">
        <v>384</v>
      </c>
      <c r="C84" s="194"/>
      <c r="D84" s="194">
        <v>0</v>
      </c>
      <c r="E84" s="194">
        <v>0</v>
      </c>
      <c r="F84" s="194">
        <v>0</v>
      </c>
      <c r="G84" s="194">
        <v>0</v>
      </c>
      <c r="H84" s="194">
        <v>0</v>
      </c>
      <c r="I84" s="194">
        <v>0</v>
      </c>
      <c r="J84" s="23">
        <v>1284.0066939518738</v>
      </c>
      <c r="K84" s="23">
        <v>3057.1266819399279</v>
      </c>
      <c r="L84" s="23">
        <v>3920.0349616449039</v>
      </c>
      <c r="M84" s="23">
        <v>396.43617513392496</v>
      </c>
      <c r="N84" s="23">
        <v>-3131.2480660421193</v>
      </c>
      <c r="O84" s="23">
        <v>-8763.2714135976366</v>
      </c>
      <c r="P84" s="23">
        <v>-15349.935294736591</v>
      </c>
      <c r="Q84" s="23">
        <v>-17298.887797102845</v>
      </c>
      <c r="R84" s="23">
        <v>-16247.337301562349</v>
      </c>
      <c r="S84" s="23">
        <v>-10518.922162991952</v>
      </c>
      <c r="T84" s="23">
        <v>-2808.9406818694733</v>
      </c>
      <c r="U84" s="23">
        <v>3309.7286222055645</v>
      </c>
      <c r="V84" s="23">
        <v>6691.1505192949126</v>
      </c>
      <c r="W84" s="23">
        <v>9887.992072703717</v>
      </c>
      <c r="X84" s="23">
        <v>14431.669067156841</v>
      </c>
      <c r="Y84" s="23">
        <v>25525.806903841582</v>
      </c>
      <c r="Z84" s="23">
        <v>36575.980567815604</v>
      </c>
      <c r="AA84" s="23">
        <v>47387.30872971128</v>
      </c>
      <c r="AB84" s="23">
        <v>65139.400116520614</v>
      </c>
      <c r="AC84" s="23">
        <v>90747.391815005874</v>
      </c>
      <c r="AD84" s="23">
        <v>117533.22467290639</v>
      </c>
      <c r="AE84" s="23">
        <v>122676.6626029834</v>
      </c>
      <c r="AF84" s="23">
        <v>128932.75631164259</v>
      </c>
      <c r="AG84" s="23">
        <v>134316.84439347195</v>
      </c>
      <c r="AH84" s="23">
        <v>139323.39872830227</v>
      </c>
      <c r="AI84" s="23">
        <v>142485.50806706704</v>
      </c>
      <c r="AJ84" s="23">
        <v>144321.67519713409</v>
      </c>
      <c r="AK84" s="23">
        <v>151428.69608224137</v>
      </c>
      <c r="AL84" s="23">
        <v>156523.66548404726</v>
      </c>
      <c r="AM84" s="23">
        <v>156047.56511537798</v>
      </c>
      <c r="AN84" s="23">
        <v>158018.41168167084</v>
      </c>
      <c r="AO84" s="23">
        <v>168730.97978527084</v>
      </c>
      <c r="AP84" s="23">
        <v>182730.98546468458</v>
      </c>
      <c r="AQ84" s="23">
        <v>209417.95060974944</v>
      </c>
      <c r="AR84" s="23">
        <v>223134.38395929572</v>
      </c>
      <c r="AS84" s="23">
        <v>228150.6665047018</v>
      </c>
      <c r="AT84" s="23">
        <v>232678.34839071342</v>
      </c>
      <c r="AU84" s="23">
        <v>234154.99497068254</v>
      </c>
      <c r="AV84" s="23">
        <v>235974.03278564289</v>
      </c>
      <c r="AW84" s="23">
        <v>239010.57559456804</v>
      </c>
      <c r="AX84" s="23">
        <v>251439.58550176866</v>
      </c>
      <c r="AY84" s="23">
        <v>252261.85877386018</v>
      </c>
      <c r="AZ84" s="23">
        <v>217341.53</v>
      </c>
      <c r="BA84" s="23">
        <v>199971.36</v>
      </c>
      <c r="BB84" s="23">
        <v>193559.61</v>
      </c>
      <c r="BC84" s="23">
        <v>201141.98</v>
      </c>
      <c r="BD84" s="23">
        <v>197130.45414092674</v>
      </c>
      <c r="BE84" s="23">
        <v>194410.8212794204</v>
      </c>
      <c r="BF84" s="23">
        <v>209342.00445013889</v>
      </c>
      <c r="BG84" s="23">
        <v>211437.65167956942</v>
      </c>
      <c r="BH84" s="23">
        <v>214265.83469298299</v>
      </c>
      <c r="BI84" s="23">
        <v>226909.92456316459</v>
      </c>
      <c r="BJ84" s="23">
        <v>222141.66804422461</v>
      </c>
      <c r="BK84" s="23">
        <v>213172.42602464635</v>
      </c>
      <c r="BL84" s="23">
        <v>209997.82</v>
      </c>
      <c r="BM84" s="23">
        <v>202270.34</v>
      </c>
      <c r="BN84" s="23">
        <v>184319.2</v>
      </c>
      <c r="BO84" s="23">
        <v>178544.3</v>
      </c>
      <c r="BP84" s="23">
        <v>167384.12</v>
      </c>
      <c r="BQ84" s="23">
        <v>160964.16</v>
      </c>
      <c r="BR84" s="23">
        <v>166416.12</v>
      </c>
      <c r="BS84" s="23">
        <v>164801.82</v>
      </c>
      <c r="BT84" s="23">
        <v>162640.22</v>
      </c>
      <c r="BU84" s="23">
        <v>165578.5</v>
      </c>
      <c r="BV84" s="23">
        <v>152549.51</v>
      </c>
      <c r="BW84" s="23">
        <v>140564.48000000001</v>
      </c>
      <c r="BX84" s="23">
        <v>135310.53</v>
      </c>
      <c r="BY84" s="23">
        <v>95275.36</v>
      </c>
      <c r="BZ84" s="23">
        <v>53426.5</v>
      </c>
      <c r="CA84" s="23">
        <v>43837.98</v>
      </c>
      <c r="CB84" s="23">
        <v>45599.16</v>
      </c>
      <c r="CC84" s="23">
        <v>51122.05</v>
      </c>
      <c r="CD84" s="23">
        <v>51742.29</v>
      </c>
      <c r="CE84" s="23">
        <v>50680.7</v>
      </c>
      <c r="CF84" s="23">
        <v>52654.23</v>
      </c>
      <c r="CG84" s="23">
        <v>47637.17</v>
      </c>
      <c r="CH84" s="23">
        <v>43947.41</v>
      </c>
      <c r="CI84" s="23">
        <v>47381.96</v>
      </c>
      <c r="CJ84" s="22">
        <f>'Sch23&amp;53 Deferral Calc'!C24</f>
        <v>49800.2</v>
      </c>
      <c r="CK84" s="22">
        <f>'Sch23&amp;53 Deferral Calc'!D24</f>
        <v>48422.92</v>
      </c>
      <c r="CL84" s="22">
        <f>'Sch23&amp;53 Deferral Calc'!E24</f>
        <v>37198.720000000001</v>
      </c>
      <c r="CM84" s="22">
        <f>'Sch23&amp;53 Deferral Calc'!F24</f>
        <v>33501.800000000003</v>
      </c>
      <c r="CN84" s="22">
        <f>'Sch23&amp;53 Deferral Calc'!G24</f>
        <v>37059.65</v>
      </c>
      <c r="CO84" s="22">
        <f>'Sch23&amp;53 Deferral Calc'!H24</f>
        <v>37003.839999999997</v>
      </c>
      <c r="CP84" s="22">
        <f>'Sch23&amp;53 Deferral Calc'!I24</f>
        <v>24107.67</v>
      </c>
      <c r="CQ84" s="22">
        <f>'Sch23&amp;53 Deferral Calc'!J24</f>
        <v>22371.09</v>
      </c>
      <c r="CR84" s="22">
        <f>'Sch23&amp;53 Deferral Calc'!K24</f>
        <v>24645.01</v>
      </c>
      <c r="CS84" s="22">
        <f>'Sch23&amp;53 Deferral Calc'!L24</f>
        <v>28086.34</v>
      </c>
      <c r="CT84" s="22">
        <f>'Sch23&amp;53 Deferral Calc'!M24</f>
        <v>30046.04</v>
      </c>
      <c r="CU84" s="22">
        <f>'Sch23&amp;53 Deferral Calc'!N24</f>
        <v>36581.78</v>
      </c>
      <c r="CV84" s="22">
        <f>'Sch23&amp;53 Deferral Calc'!O24</f>
        <v>46509.75</v>
      </c>
      <c r="CW84" s="22">
        <f>'Sch23&amp;53 Deferral Calc'!P24</f>
        <v>44919.18</v>
      </c>
      <c r="CX84" s="23"/>
      <c r="CY84" s="23"/>
      <c r="CZ84" s="21"/>
    </row>
    <row r="85" spans="1:104" x14ac:dyDescent="0.2">
      <c r="B85" s="7" t="s">
        <v>193</v>
      </c>
      <c r="D85" s="24">
        <f t="shared" ref="D85:AI85" si="418">SUM(D80:D84)</f>
        <v>0</v>
      </c>
      <c r="E85" s="24">
        <f t="shared" si="418"/>
        <v>0</v>
      </c>
      <c r="F85" s="24">
        <f t="shared" si="418"/>
        <v>0</v>
      </c>
      <c r="G85" s="24">
        <f t="shared" si="418"/>
        <v>0</v>
      </c>
      <c r="H85" s="24">
        <f t="shared" si="418"/>
        <v>0</v>
      </c>
      <c r="I85" s="24">
        <f t="shared" si="418"/>
        <v>0</v>
      </c>
      <c r="J85" s="24">
        <f t="shared" si="418"/>
        <v>1284.0066939518738</v>
      </c>
      <c r="K85" s="24">
        <f t="shared" si="418"/>
        <v>3057.1266819399279</v>
      </c>
      <c r="L85" s="24">
        <f t="shared" si="418"/>
        <v>3920.0349616449039</v>
      </c>
      <c r="M85" s="24">
        <f t="shared" si="418"/>
        <v>396.43617513392496</v>
      </c>
      <c r="N85" s="24">
        <f t="shared" si="418"/>
        <v>-3131.2480660421193</v>
      </c>
      <c r="O85" s="24">
        <f t="shared" si="418"/>
        <v>-8763.2714135976366</v>
      </c>
      <c r="P85" s="24">
        <f t="shared" si="418"/>
        <v>-15349.935294736591</v>
      </c>
      <c r="Q85" s="24">
        <f t="shared" si="418"/>
        <v>-17298.887797102845</v>
      </c>
      <c r="R85" s="24">
        <f t="shared" si="418"/>
        <v>-16247.337301562349</v>
      </c>
      <c r="S85" s="24">
        <f t="shared" si="418"/>
        <v>-10518.922162991952</v>
      </c>
      <c r="T85" s="24">
        <f t="shared" si="418"/>
        <v>427.97428509964675</v>
      </c>
      <c r="U85" s="24">
        <f t="shared" si="418"/>
        <v>3309.7286222055645</v>
      </c>
      <c r="V85" s="24">
        <f t="shared" si="418"/>
        <v>6691.1505192949126</v>
      </c>
      <c r="W85" s="24">
        <f t="shared" si="418"/>
        <v>9887.992072703717</v>
      </c>
      <c r="X85" s="24">
        <f t="shared" si="418"/>
        <v>14431.669067156841</v>
      </c>
      <c r="Y85" s="24">
        <f t="shared" si="418"/>
        <v>25525.806903841582</v>
      </c>
      <c r="Z85" s="24">
        <f t="shared" si="418"/>
        <v>36575.980567815604</v>
      </c>
      <c r="AA85" s="24">
        <f t="shared" si="418"/>
        <v>47387.30872971128</v>
      </c>
      <c r="AB85" s="24">
        <f t="shared" si="418"/>
        <v>65139.400116520614</v>
      </c>
      <c r="AC85" s="24">
        <f t="shared" si="418"/>
        <v>90747.391815005874</v>
      </c>
      <c r="AD85" s="24">
        <f t="shared" si="418"/>
        <v>74091.056493276075</v>
      </c>
      <c r="AE85" s="24">
        <f t="shared" si="418"/>
        <v>122136.38629384106</v>
      </c>
      <c r="AF85" s="24">
        <f t="shared" si="418"/>
        <v>64446.320713250381</v>
      </c>
      <c r="AG85" s="24">
        <f t="shared" si="418"/>
        <v>134313.21714376382</v>
      </c>
      <c r="AH85" s="24">
        <f t="shared" si="418"/>
        <v>139322.68872355527</v>
      </c>
      <c r="AI85" s="24">
        <f t="shared" si="418"/>
        <v>142485.50806706704</v>
      </c>
      <c r="AJ85" s="24">
        <f t="shared" ref="AJ85:CM85" si="419">SUM(AJ80:AJ84)</f>
        <v>144321.67519713409</v>
      </c>
      <c r="AK85" s="24">
        <f t="shared" si="419"/>
        <v>151428.69608224137</v>
      </c>
      <c r="AL85" s="24">
        <f t="shared" si="419"/>
        <v>156523.66548404726</v>
      </c>
      <c r="AM85" s="24">
        <f t="shared" si="419"/>
        <v>156047.56511537798</v>
      </c>
      <c r="AN85" s="24">
        <f t="shared" si="419"/>
        <v>158018.41168167084</v>
      </c>
      <c r="AO85" s="24">
        <f t="shared" si="419"/>
        <v>168730.97978527084</v>
      </c>
      <c r="AP85" s="24">
        <f t="shared" si="419"/>
        <v>182730.98546468458</v>
      </c>
      <c r="AQ85" s="24">
        <f t="shared" si="419"/>
        <v>209417.95060974944</v>
      </c>
      <c r="AR85" s="24">
        <f t="shared" si="419"/>
        <v>-1299454.8005302544</v>
      </c>
      <c r="AS85" s="24">
        <f t="shared" si="419"/>
        <v>228150.6665047018</v>
      </c>
      <c r="AT85" s="24">
        <f t="shared" si="419"/>
        <v>232678.34839071342</v>
      </c>
      <c r="AU85" s="24">
        <f t="shared" si="419"/>
        <v>234154.99497068254</v>
      </c>
      <c r="AV85" s="24">
        <f t="shared" si="419"/>
        <v>235974.03278564289</v>
      </c>
      <c r="AW85" s="24">
        <f t="shared" si="419"/>
        <v>239010.57559456804</v>
      </c>
      <c r="AX85" s="24">
        <f t="shared" si="419"/>
        <v>251439.58550176866</v>
      </c>
      <c r="AY85" s="24">
        <f t="shared" si="419"/>
        <v>252261.85877386018</v>
      </c>
      <c r="AZ85" s="24">
        <f t="shared" si="419"/>
        <v>217341.53</v>
      </c>
      <c r="BA85" s="24">
        <f t="shared" si="419"/>
        <v>199971.36</v>
      </c>
      <c r="BB85" s="24">
        <f t="shared" si="419"/>
        <v>193559.61</v>
      </c>
      <c r="BC85" s="24">
        <f t="shared" si="419"/>
        <v>201141.98</v>
      </c>
      <c r="BD85" s="24">
        <f t="shared" si="419"/>
        <v>-2503323.9058590732</v>
      </c>
      <c r="BE85" s="24">
        <f t="shared" si="419"/>
        <v>194410.8212794204</v>
      </c>
      <c r="BF85" s="24">
        <f t="shared" si="419"/>
        <v>209342.00445013889</v>
      </c>
      <c r="BG85" s="24">
        <f t="shared" si="419"/>
        <v>211437.65167956942</v>
      </c>
      <c r="BH85" s="24">
        <f t="shared" si="419"/>
        <v>214265.83469298299</v>
      </c>
      <c r="BI85" s="24">
        <f t="shared" si="419"/>
        <v>226909.92456316459</v>
      </c>
      <c r="BJ85" s="24">
        <f t="shared" si="419"/>
        <v>222141.66804422461</v>
      </c>
      <c r="BK85" s="24">
        <f t="shared" si="419"/>
        <v>213172.42602464635</v>
      </c>
      <c r="BL85" s="24">
        <f t="shared" ref="BL85:BW85" si="420">SUM(BL80:BL84)</f>
        <v>209997.82</v>
      </c>
      <c r="BM85" s="24">
        <f t="shared" si="420"/>
        <v>202270.34</v>
      </c>
      <c r="BN85" s="24">
        <f t="shared" si="420"/>
        <v>184319.2</v>
      </c>
      <c r="BO85" s="24">
        <f t="shared" si="420"/>
        <v>178544.3</v>
      </c>
      <c r="BP85" s="24">
        <f t="shared" si="420"/>
        <v>-2248689.4860246466</v>
      </c>
      <c r="BQ85" s="24">
        <f t="shared" si="420"/>
        <v>160964.16</v>
      </c>
      <c r="BR85" s="24">
        <f t="shared" si="420"/>
        <v>166416.12</v>
      </c>
      <c r="BS85" s="24">
        <f t="shared" si="420"/>
        <v>164801.82</v>
      </c>
      <c r="BT85" s="24">
        <f t="shared" si="420"/>
        <v>162640.22</v>
      </c>
      <c r="BU85" s="24">
        <f t="shared" si="420"/>
        <v>165578.5</v>
      </c>
      <c r="BV85" s="24">
        <f t="shared" si="420"/>
        <v>152549.51</v>
      </c>
      <c r="BW85" s="24">
        <f t="shared" si="420"/>
        <v>140564.48000000001</v>
      </c>
      <c r="BX85" s="24">
        <f t="shared" ref="BX85:CJ85" si="421">SUM(BX80:BX84)</f>
        <v>135310.53</v>
      </c>
      <c r="BY85" s="24">
        <f t="shared" si="421"/>
        <v>95275.36</v>
      </c>
      <c r="BZ85" s="24">
        <f t="shared" si="421"/>
        <v>53426.5</v>
      </c>
      <c r="CA85" s="24">
        <f t="shared" si="421"/>
        <v>43837.98</v>
      </c>
      <c r="CB85" s="24">
        <f t="shared" si="421"/>
        <v>-2010431.5028730331</v>
      </c>
      <c r="CC85" s="24">
        <f t="shared" si="421"/>
        <v>51122.05</v>
      </c>
      <c r="CD85" s="24">
        <f t="shared" si="421"/>
        <v>51742.29</v>
      </c>
      <c r="CE85" s="24">
        <f t="shared" si="421"/>
        <v>50680.7</v>
      </c>
      <c r="CF85" s="24">
        <f t="shared" si="421"/>
        <v>52654.23</v>
      </c>
      <c r="CG85" s="24">
        <f t="shared" si="421"/>
        <v>47637.17</v>
      </c>
      <c r="CH85" s="24">
        <f t="shared" si="421"/>
        <v>43947.41</v>
      </c>
      <c r="CI85" s="24">
        <f t="shared" si="421"/>
        <v>47381.96</v>
      </c>
      <c r="CJ85" s="24">
        <f t="shared" si="421"/>
        <v>49800.2</v>
      </c>
      <c r="CK85" s="24">
        <f t="shared" si="419"/>
        <v>48422.92</v>
      </c>
      <c r="CL85" s="24">
        <f t="shared" si="419"/>
        <v>37198.720000000001</v>
      </c>
      <c r="CM85" s="24">
        <f t="shared" si="419"/>
        <v>33964.660000000003</v>
      </c>
      <c r="CN85" s="24">
        <f t="shared" ref="CN85:CY85" si="422">SUM(CN80:CN84)</f>
        <v>-681555.68999999948</v>
      </c>
      <c r="CO85" s="24">
        <f t="shared" si="422"/>
        <v>37003.839999999997</v>
      </c>
      <c r="CP85" s="24">
        <f t="shared" si="422"/>
        <v>24107.67</v>
      </c>
      <c r="CQ85" s="24">
        <f t="shared" si="422"/>
        <v>22371.09</v>
      </c>
      <c r="CR85" s="24">
        <f t="shared" si="422"/>
        <v>24645.01</v>
      </c>
      <c r="CS85" s="24">
        <f t="shared" si="422"/>
        <v>28086.34</v>
      </c>
      <c r="CT85" s="24">
        <f t="shared" si="422"/>
        <v>30046.04</v>
      </c>
      <c r="CU85" s="24">
        <f t="shared" si="422"/>
        <v>36581.78</v>
      </c>
      <c r="CV85" s="24">
        <f t="shared" si="422"/>
        <v>46509.75</v>
      </c>
      <c r="CW85" s="24">
        <f t="shared" si="422"/>
        <v>44919.18</v>
      </c>
      <c r="CX85" s="24">
        <f t="shared" si="422"/>
        <v>0</v>
      </c>
      <c r="CY85" s="24">
        <f t="shared" si="422"/>
        <v>0</v>
      </c>
    </row>
    <row r="86" spans="1:104" x14ac:dyDescent="0.2">
      <c r="B86" s="7" t="s">
        <v>194</v>
      </c>
      <c r="D86" s="17">
        <f t="shared" ref="D86:AI86" si="423">D79+D85</f>
        <v>0</v>
      </c>
      <c r="E86" s="17">
        <f t="shared" si="423"/>
        <v>0</v>
      </c>
      <c r="F86" s="17">
        <f t="shared" si="423"/>
        <v>0</v>
      </c>
      <c r="G86" s="17">
        <f t="shared" si="423"/>
        <v>0</v>
      </c>
      <c r="H86" s="17">
        <f t="shared" si="423"/>
        <v>0</v>
      </c>
      <c r="I86" s="17">
        <f t="shared" si="423"/>
        <v>0</v>
      </c>
      <c r="J86" s="17">
        <f t="shared" si="423"/>
        <v>1284.0066939518738</v>
      </c>
      <c r="K86" s="17">
        <f t="shared" si="423"/>
        <v>4341.1333758918017</v>
      </c>
      <c r="L86" s="17">
        <f t="shared" si="423"/>
        <v>8261.1683375367065</v>
      </c>
      <c r="M86" s="17">
        <f t="shared" si="423"/>
        <v>8657.6045126706322</v>
      </c>
      <c r="N86" s="17">
        <f t="shared" si="423"/>
        <v>5526.3564466285134</v>
      </c>
      <c r="O86" s="17">
        <f t="shared" si="423"/>
        <v>-3236.9149669691233</v>
      </c>
      <c r="P86" s="17">
        <f t="shared" si="423"/>
        <v>-18586.850261705717</v>
      </c>
      <c r="Q86" s="17">
        <f t="shared" si="423"/>
        <v>-35885.738058808565</v>
      </c>
      <c r="R86" s="17">
        <f t="shared" si="423"/>
        <v>-52133.075360370916</v>
      </c>
      <c r="S86" s="17">
        <f t="shared" si="423"/>
        <v>-62651.997523362865</v>
      </c>
      <c r="T86" s="17">
        <f t="shared" si="423"/>
        <v>-62224.023238263217</v>
      </c>
      <c r="U86" s="17">
        <f t="shared" si="423"/>
        <v>-58914.294616057654</v>
      </c>
      <c r="V86" s="17">
        <f t="shared" si="423"/>
        <v>-52223.144096762742</v>
      </c>
      <c r="W86" s="17">
        <f t="shared" si="423"/>
        <v>-42335.152024059025</v>
      </c>
      <c r="X86" s="17">
        <f t="shared" si="423"/>
        <v>-27903.482956902182</v>
      </c>
      <c r="Y86" s="17">
        <f t="shared" si="423"/>
        <v>-2377.6760530606007</v>
      </c>
      <c r="Z86" s="17">
        <f t="shared" si="423"/>
        <v>34198.304514755</v>
      </c>
      <c r="AA86" s="17">
        <f t="shared" si="423"/>
        <v>81585.61324446628</v>
      </c>
      <c r="AB86" s="17">
        <f t="shared" si="423"/>
        <v>146725.01336098689</v>
      </c>
      <c r="AC86" s="17">
        <f t="shared" si="423"/>
        <v>237472.40517599275</v>
      </c>
      <c r="AD86" s="17">
        <f t="shared" si="423"/>
        <v>311563.46166926884</v>
      </c>
      <c r="AE86" s="17">
        <f t="shared" si="423"/>
        <v>433699.8479631099</v>
      </c>
      <c r="AF86" s="17">
        <f t="shared" si="423"/>
        <v>498146.16867636028</v>
      </c>
      <c r="AG86" s="17">
        <f t="shared" si="423"/>
        <v>632459.38582012407</v>
      </c>
      <c r="AH86" s="17">
        <f t="shared" si="423"/>
        <v>771782.07454367937</v>
      </c>
      <c r="AI86" s="17">
        <f t="shared" si="423"/>
        <v>914267.58261074638</v>
      </c>
      <c r="AJ86" s="17">
        <f t="shared" ref="AJ86:CM86" si="424">AJ79+AJ85</f>
        <v>1058589.2578078804</v>
      </c>
      <c r="AK86" s="17">
        <f t="shared" si="424"/>
        <v>1210017.9538901218</v>
      </c>
      <c r="AL86" s="17">
        <f t="shared" si="424"/>
        <v>1366541.619374169</v>
      </c>
      <c r="AM86" s="17">
        <f t="shared" si="424"/>
        <v>1522589.184489547</v>
      </c>
      <c r="AN86" s="17">
        <f t="shared" si="424"/>
        <v>1680607.596171218</v>
      </c>
      <c r="AO86" s="17">
        <f t="shared" si="424"/>
        <v>1849338.5759564887</v>
      </c>
      <c r="AP86" s="17">
        <f t="shared" si="424"/>
        <v>2032069.5614211734</v>
      </c>
      <c r="AQ86" s="17">
        <f t="shared" si="424"/>
        <v>2241487.5120309228</v>
      </c>
      <c r="AR86" s="17">
        <f t="shared" si="424"/>
        <v>942032.71150066843</v>
      </c>
      <c r="AS86" s="17">
        <f t="shared" si="424"/>
        <v>1170183.3780053703</v>
      </c>
      <c r="AT86" s="17">
        <f t="shared" si="424"/>
        <v>1402861.7263960836</v>
      </c>
      <c r="AU86" s="17">
        <f t="shared" si="424"/>
        <v>1637016.7213667661</v>
      </c>
      <c r="AV86" s="17">
        <f t="shared" si="424"/>
        <v>1872990.754152409</v>
      </c>
      <c r="AW86" s="17">
        <f t="shared" si="424"/>
        <v>2112001.329746977</v>
      </c>
      <c r="AX86" s="17">
        <f t="shared" si="424"/>
        <v>2363440.9152487456</v>
      </c>
      <c r="AY86" s="17">
        <f t="shared" si="424"/>
        <v>2615702.7740226057</v>
      </c>
      <c r="AZ86" s="17">
        <f t="shared" si="424"/>
        <v>2833044.3040226055</v>
      </c>
      <c r="BA86" s="17">
        <f t="shared" si="424"/>
        <v>3033015.6640226054</v>
      </c>
      <c r="BB86" s="17">
        <f t="shared" si="424"/>
        <v>3226575.2740226053</v>
      </c>
      <c r="BC86" s="17">
        <f t="shared" si="424"/>
        <v>3427717.2540226053</v>
      </c>
      <c r="BD86" s="17">
        <f t="shared" si="424"/>
        <v>924393.34816353209</v>
      </c>
      <c r="BE86" s="17">
        <f t="shared" si="424"/>
        <v>1118804.1694429526</v>
      </c>
      <c r="BF86" s="17">
        <f t="shared" si="424"/>
        <v>1328146.1738930915</v>
      </c>
      <c r="BG86" s="17">
        <f t="shared" si="424"/>
        <v>1539583.8255726609</v>
      </c>
      <c r="BH86" s="17">
        <f t="shared" si="424"/>
        <v>1753849.6602656438</v>
      </c>
      <c r="BI86" s="17">
        <f t="shared" si="424"/>
        <v>1980759.5848288084</v>
      </c>
      <c r="BJ86" s="17">
        <f t="shared" si="424"/>
        <v>2202901.2528730333</v>
      </c>
      <c r="BK86" s="17">
        <f t="shared" si="424"/>
        <v>2416073.6788976798</v>
      </c>
      <c r="BL86" s="17">
        <f t="shared" ref="BL86:BW86" si="425">BL79+BL85</f>
        <v>2626071.4988976796</v>
      </c>
      <c r="BM86" s="17">
        <f t="shared" si="425"/>
        <v>2828341.8388976795</v>
      </c>
      <c r="BN86" s="17">
        <f t="shared" si="425"/>
        <v>3012661.0388976797</v>
      </c>
      <c r="BO86" s="17">
        <f t="shared" si="425"/>
        <v>3191205.3388976795</v>
      </c>
      <c r="BP86" s="17">
        <f t="shared" si="425"/>
        <v>942515.85287303291</v>
      </c>
      <c r="BQ86" s="17">
        <f t="shared" si="425"/>
        <v>1103480.0128730328</v>
      </c>
      <c r="BR86" s="17">
        <f t="shared" si="425"/>
        <v>1269896.1328730327</v>
      </c>
      <c r="BS86" s="17">
        <f t="shared" si="425"/>
        <v>1434697.9528730328</v>
      </c>
      <c r="BT86" s="17">
        <f t="shared" si="425"/>
        <v>1597338.1728730327</v>
      </c>
      <c r="BU86" s="17">
        <f t="shared" si="425"/>
        <v>1762916.6728730327</v>
      </c>
      <c r="BV86" s="17">
        <f t="shared" si="425"/>
        <v>1915466.1828730328</v>
      </c>
      <c r="BW86" s="17">
        <f t="shared" si="425"/>
        <v>2056030.6628730327</v>
      </c>
      <c r="BX86" s="17">
        <f t="shared" ref="BX86:CJ86" si="426">BX79+BX85</f>
        <v>2191341.1928730328</v>
      </c>
      <c r="BY86" s="17">
        <f t="shared" si="426"/>
        <v>2286616.5528730326</v>
      </c>
      <c r="BZ86" s="17">
        <f t="shared" si="426"/>
        <v>2340043.0528730326</v>
      </c>
      <c r="CA86" s="17">
        <f t="shared" si="426"/>
        <v>2383881.0328730326</v>
      </c>
      <c r="CB86" s="17">
        <f t="shared" si="426"/>
        <v>373449.52999999956</v>
      </c>
      <c r="CC86" s="17">
        <f t="shared" si="426"/>
        <v>424571.57999999955</v>
      </c>
      <c r="CD86" s="17">
        <f t="shared" si="426"/>
        <v>476313.86999999953</v>
      </c>
      <c r="CE86" s="17">
        <f t="shared" si="426"/>
        <v>526994.56999999948</v>
      </c>
      <c r="CF86" s="17">
        <f t="shared" si="426"/>
        <v>579648.79999999946</v>
      </c>
      <c r="CG86" s="17">
        <f t="shared" si="426"/>
        <v>627285.96999999951</v>
      </c>
      <c r="CH86" s="17">
        <f t="shared" si="426"/>
        <v>671233.37999999954</v>
      </c>
      <c r="CI86" s="17">
        <f t="shared" si="426"/>
        <v>718615.3399999995</v>
      </c>
      <c r="CJ86" s="17">
        <f t="shared" si="426"/>
        <v>768415.53999999946</v>
      </c>
      <c r="CK86" s="17">
        <f t="shared" si="424"/>
        <v>816838.4599999995</v>
      </c>
      <c r="CL86" s="17">
        <f t="shared" si="424"/>
        <v>854037.17999999947</v>
      </c>
      <c r="CM86" s="17">
        <f t="shared" si="424"/>
        <v>888001.8399999995</v>
      </c>
      <c r="CN86" s="17">
        <f t="shared" ref="CN86:CY86" si="427">CN79+CN85</f>
        <v>206446.15000000002</v>
      </c>
      <c r="CO86" s="17">
        <f t="shared" si="427"/>
        <v>243449.99000000002</v>
      </c>
      <c r="CP86" s="17">
        <f t="shared" si="427"/>
        <v>267557.66000000003</v>
      </c>
      <c r="CQ86" s="17">
        <f t="shared" si="427"/>
        <v>289928.75000000006</v>
      </c>
      <c r="CR86" s="17">
        <f t="shared" si="427"/>
        <v>314573.76000000007</v>
      </c>
      <c r="CS86" s="17">
        <f t="shared" si="427"/>
        <v>342660.10000000009</v>
      </c>
      <c r="CT86" s="17">
        <f t="shared" si="427"/>
        <v>372706.14000000007</v>
      </c>
      <c r="CU86" s="17">
        <f t="shared" si="427"/>
        <v>409287.92000000004</v>
      </c>
      <c r="CV86" s="17">
        <f t="shared" si="427"/>
        <v>455797.67000000004</v>
      </c>
      <c r="CW86" s="17">
        <f t="shared" si="427"/>
        <v>500716.85000000003</v>
      </c>
      <c r="CX86" s="17">
        <f t="shared" si="427"/>
        <v>500716.85000000003</v>
      </c>
      <c r="CY86" s="17">
        <f t="shared" si="427"/>
        <v>500716.85000000003</v>
      </c>
    </row>
    <row r="87" spans="1:104" x14ac:dyDescent="0.2"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8"/>
      <c r="CX87" s="8"/>
      <c r="CY87" s="8"/>
    </row>
    <row r="88" spans="1:104" x14ac:dyDescent="0.2">
      <c r="A88" s="71" t="s">
        <v>379</v>
      </c>
      <c r="B88" s="8"/>
      <c r="C88" s="130">
        <v>18238172</v>
      </c>
      <c r="F88" s="8"/>
      <c r="CU88" s="8"/>
      <c r="CX88" s="8"/>
      <c r="CY88" s="8"/>
    </row>
    <row r="89" spans="1:104" x14ac:dyDescent="0.2">
      <c r="A89" s="8"/>
      <c r="B89" s="8" t="s">
        <v>190</v>
      </c>
      <c r="C89" s="130">
        <v>25400372</v>
      </c>
      <c r="D89" s="17">
        <v>0</v>
      </c>
      <c r="E89" s="17">
        <f>D98</f>
        <v>0</v>
      </c>
      <c r="F89" s="17">
        <f t="shared" ref="F89:BK89" si="428">E98</f>
        <v>0</v>
      </c>
      <c r="G89" s="17">
        <f t="shared" si="428"/>
        <v>0</v>
      </c>
      <c r="H89" s="17">
        <f t="shared" si="428"/>
        <v>0</v>
      </c>
      <c r="I89" s="17">
        <f t="shared" si="428"/>
        <v>0</v>
      </c>
      <c r="J89" s="17">
        <f t="shared" si="428"/>
        <v>0</v>
      </c>
      <c r="K89" s="17">
        <f t="shared" si="428"/>
        <v>-270.10967773232255</v>
      </c>
      <c r="L89" s="17">
        <f t="shared" si="428"/>
        <v>327.04860334476678</v>
      </c>
      <c r="M89" s="17">
        <f t="shared" si="428"/>
        <v>1882.1191714858055</v>
      </c>
      <c r="N89" s="17">
        <f t="shared" si="428"/>
        <v>3117.5893028391642</v>
      </c>
      <c r="O89" s="17">
        <f t="shared" si="428"/>
        <v>5161.8848860398157</v>
      </c>
      <c r="P89" s="17">
        <f t="shared" si="428"/>
        <v>7046.372089051054</v>
      </c>
      <c r="Q89" s="17">
        <f t="shared" si="428"/>
        <v>8229.4100220748278</v>
      </c>
      <c r="R89" s="17">
        <f t="shared" si="428"/>
        <v>10755.033226991631</v>
      </c>
      <c r="S89" s="17">
        <f t="shared" si="428"/>
        <v>13471.403944859627</v>
      </c>
      <c r="T89" s="17">
        <f t="shared" si="428"/>
        <v>18548.239692399799</v>
      </c>
      <c r="U89" s="17">
        <f t="shared" si="428"/>
        <v>18687.210372275898</v>
      </c>
      <c r="V89" s="17">
        <f t="shared" si="428"/>
        <v>25777.617903588631</v>
      </c>
      <c r="W89" s="17">
        <f t="shared" si="428"/>
        <v>34115.596299970151</v>
      </c>
      <c r="X89" s="17">
        <f t="shared" si="428"/>
        <v>42840.683435715597</v>
      </c>
      <c r="Y89" s="17">
        <f t="shared" si="428"/>
        <v>52068.589631070005</v>
      </c>
      <c r="Z89" s="17">
        <f t="shared" si="428"/>
        <v>63485.089718499439</v>
      </c>
      <c r="AA89" s="17">
        <f t="shared" si="428"/>
        <v>76025.325114054998</v>
      </c>
      <c r="AB89" s="17">
        <f t="shared" si="428"/>
        <v>89782.592969624471</v>
      </c>
      <c r="AC89" s="17">
        <f t="shared" si="428"/>
        <v>107343.63350678906</v>
      </c>
      <c r="AD89" s="17">
        <f t="shared" si="428"/>
        <v>130682.25561587827</v>
      </c>
      <c r="AE89" s="17">
        <f t="shared" si="428"/>
        <v>162427.08807870338</v>
      </c>
      <c r="AF89" s="17">
        <f t="shared" si="428"/>
        <v>195196.97953834551</v>
      </c>
      <c r="AG89" s="17">
        <f t="shared" si="428"/>
        <v>137941.38841329963</v>
      </c>
      <c r="AH89" s="17">
        <f t="shared" si="428"/>
        <v>172434.09192539824</v>
      </c>
      <c r="AI89" s="17">
        <f t="shared" si="428"/>
        <v>208300.74362740517</v>
      </c>
      <c r="AJ89" s="17">
        <f t="shared" si="428"/>
        <v>244914.02408470132</v>
      </c>
      <c r="AK89" s="17">
        <f t="shared" si="428"/>
        <v>281732.09052625787</v>
      </c>
      <c r="AL89" s="17">
        <f t="shared" si="428"/>
        <v>319966.10435787117</v>
      </c>
      <c r="AM89" s="17">
        <f t="shared" si="428"/>
        <v>359822.84293201257</v>
      </c>
      <c r="AN89" s="17">
        <f t="shared" si="428"/>
        <v>398148.00167372357</v>
      </c>
      <c r="AO89" s="17">
        <f t="shared" si="428"/>
        <v>435872.59589041525</v>
      </c>
      <c r="AP89" s="17">
        <f t="shared" si="428"/>
        <v>477679.81868736161</v>
      </c>
      <c r="AQ89" s="17">
        <f t="shared" si="428"/>
        <v>522678.10112495796</v>
      </c>
      <c r="AR89" s="17">
        <f t="shared" si="428"/>
        <v>573322.18187466625</v>
      </c>
      <c r="AS89" s="17">
        <f t="shared" si="428"/>
        <v>229487.91145484365</v>
      </c>
      <c r="AT89" s="17">
        <f t="shared" si="428"/>
        <v>284920.26712288079</v>
      </c>
      <c r="AU89" s="17">
        <f t="shared" si="428"/>
        <v>340552.94823184458</v>
      </c>
      <c r="AV89" s="17">
        <f t="shared" si="428"/>
        <v>396145.58127010381</v>
      </c>
      <c r="AW89" s="17">
        <f t="shared" si="428"/>
        <v>451352.72665602679</v>
      </c>
      <c r="AX89" s="17">
        <f t="shared" si="428"/>
        <v>506729.46228479699</v>
      </c>
      <c r="AY89" s="17">
        <f t="shared" si="428"/>
        <v>565684.96128817205</v>
      </c>
      <c r="AZ89" s="17">
        <f t="shared" si="428"/>
        <v>625875.652694811</v>
      </c>
      <c r="BA89" s="17">
        <f t="shared" si="428"/>
        <v>676129.26269481098</v>
      </c>
      <c r="BB89" s="17">
        <f t="shared" si="428"/>
        <v>720930.66269481101</v>
      </c>
      <c r="BC89" s="17">
        <f t="shared" si="428"/>
        <v>762954.12269481097</v>
      </c>
      <c r="BD89" s="17">
        <f t="shared" si="428"/>
        <v>805015.36269481096</v>
      </c>
      <c r="BE89" s="17">
        <f t="shared" si="428"/>
        <v>188394.47120506864</v>
      </c>
      <c r="BF89" s="17">
        <f t="shared" si="428"/>
        <v>225323.46047692004</v>
      </c>
      <c r="BG89" s="17">
        <f t="shared" si="428"/>
        <v>263631.42993801989</v>
      </c>
      <c r="BH89" s="17">
        <f t="shared" si="428"/>
        <v>301027.82941367652</v>
      </c>
      <c r="BI89" s="17">
        <f t="shared" si="428"/>
        <v>337822.64890651277</v>
      </c>
      <c r="BJ89" s="17">
        <f t="shared" si="428"/>
        <v>375558.09489070415</v>
      </c>
      <c r="BK89" s="17">
        <f t="shared" si="428"/>
        <v>411401.77932846494</v>
      </c>
      <c r="BL89" s="17">
        <f t="shared" ref="BL89" si="429">BK98</f>
        <v>445446.65701039624</v>
      </c>
      <c r="BM89" s="17">
        <f t="shared" ref="BM89" si="430">BL98</f>
        <v>0.80701039626728743</v>
      </c>
      <c r="BN89" s="17">
        <f t="shared" ref="BN89" si="431">BM98</f>
        <v>0.80701039626728743</v>
      </c>
      <c r="BO89" s="17">
        <f t="shared" ref="BO89" si="432">BN98</f>
        <v>0.80701039626728743</v>
      </c>
      <c r="BP89" s="17">
        <f t="shared" ref="BP89" si="433">BO98</f>
        <v>0.80701039626728743</v>
      </c>
      <c r="BQ89" s="17">
        <f t="shared" ref="BQ89" si="434">BP98</f>
        <v>0.80701039626728743</v>
      </c>
      <c r="BR89" s="17">
        <f t="shared" ref="BR89" si="435">BQ98</f>
        <v>0.80701039626728743</v>
      </c>
      <c r="BS89" s="17">
        <f t="shared" ref="BS89" si="436">BR98</f>
        <v>0.80701039626728743</v>
      </c>
      <c r="BT89" s="17">
        <f t="shared" ref="BT89" si="437">BS98</f>
        <v>0.80701039626728743</v>
      </c>
      <c r="BU89" s="17">
        <f t="shared" ref="BU89" si="438">BT98</f>
        <v>0.80701039626728743</v>
      </c>
      <c r="BV89" s="17">
        <f t="shared" ref="BV89" si="439">BU98</f>
        <v>0.80701039626728743</v>
      </c>
      <c r="BW89" s="17">
        <f t="shared" ref="BW89" si="440">BV98</f>
        <v>0.80701039626728743</v>
      </c>
      <c r="BX89" s="17">
        <f t="shared" ref="BX89" si="441">BW98</f>
        <v>-2.9896037327126201E-3</v>
      </c>
      <c r="BY89" s="17">
        <f t="shared" ref="BY89" si="442">BX98</f>
        <v>-2.9896037327126201E-3</v>
      </c>
      <c r="BZ89" s="17">
        <f t="shared" ref="BZ89" si="443">BY98</f>
        <v>-2.9896037327126201E-3</v>
      </c>
      <c r="CA89" s="17">
        <f t="shared" ref="CA89" si="444">BZ98</f>
        <v>-2.9896037327126201E-3</v>
      </c>
      <c r="CB89" s="17">
        <f t="shared" ref="CB89" si="445">CA98</f>
        <v>-2.9896037327126201E-3</v>
      </c>
      <c r="CC89" s="17">
        <f t="shared" ref="CC89" si="446">CB98</f>
        <v>-2.9896037327126201E-3</v>
      </c>
      <c r="CD89" s="17">
        <f t="shared" ref="CD89" si="447">CC98</f>
        <v>-2.9896037327126201E-3</v>
      </c>
      <c r="CE89" s="17">
        <f t="shared" ref="CE89" si="448">CD98</f>
        <v>-2.9896037327126201E-3</v>
      </c>
      <c r="CF89" s="17">
        <f t="shared" ref="CF89" si="449">CE98</f>
        <v>-2.9896037327126201E-3</v>
      </c>
      <c r="CG89" s="17">
        <f t="shared" ref="CG89" si="450">CF98</f>
        <v>-2.9896037327126201E-3</v>
      </c>
      <c r="CH89" s="17">
        <f t="shared" ref="CH89" si="451">CG98</f>
        <v>-2.9896037327126201E-3</v>
      </c>
      <c r="CI89" s="17">
        <f t="shared" ref="CI89" si="452">CH98</f>
        <v>-2.9896037327126201E-3</v>
      </c>
      <c r="CJ89" s="17">
        <f t="shared" ref="CJ89" si="453">CI98</f>
        <v>-2.9896037327126201E-3</v>
      </c>
      <c r="CK89" s="17">
        <f t="shared" ref="CK89" si="454">CJ98</f>
        <v>-2.9896037327126201E-3</v>
      </c>
      <c r="CL89" s="17">
        <f t="shared" ref="CL89" si="455">CK98</f>
        <v>-2.9896037327126201E-3</v>
      </c>
      <c r="CM89" s="17">
        <f t="shared" ref="CM89" si="456">CL98</f>
        <v>-2.9896037327126201E-3</v>
      </c>
      <c r="CN89" s="17">
        <f t="shared" ref="CN89" si="457">CM98</f>
        <v>-2.9896037327126201E-3</v>
      </c>
      <c r="CO89" s="17">
        <f t="shared" ref="CO89" si="458">CN98</f>
        <v>-2.9896037327126201E-3</v>
      </c>
      <c r="CP89" s="17">
        <f t="shared" ref="CP89" si="459">CO98</f>
        <v>-2.9896037327126201E-3</v>
      </c>
      <c r="CQ89" s="17">
        <f t="shared" ref="CQ89" si="460">CP98</f>
        <v>-2.9896037327126201E-3</v>
      </c>
      <c r="CR89" s="17">
        <f t="shared" ref="CR89" si="461">CQ98</f>
        <v>-2.9896037327126201E-3</v>
      </c>
      <c r="CS89" s="17">
        <f t="shared" ref="CS89" si="462">CR98</f>
        <v>-2.9896037327126201E-3</v>
      </c>
      <c r="CT89" s="17">
        <f t="shared" ref="CT89" si="463">CS98</f>
        <v>-2.9896037327126201E-3</v>
      </c>
      <c r="CU89" s="17">
        <f t="shared" ref="CU89" si="464">CT98</f>
        <v>-2.9896037327126201E-3</v>
      </c>
      <c r="CV89" s="17">
        <f t="shared" ref="CV89" si="465">CU98</f>
        <v>-2.9896037327126201E-3</v>
      </c>
      <c r="CW89" s="17">
        <f t="shared" ref="CW89" si="466">CV98</f>
        <v>-2.9896037327126201E-3</v>
      </c>
      <c r="CX89" s="17">
        <f t="shared" ref="CX89" si="467">CW98</f>
        <v>-2.9896037327126201E-3</v>
      </c>
      <c r="CY89" s="17">
        <f t="shared" ref="CY89" si="468">CX98</f>
        <v>-2.9896037327126201E-3</v>
      </c>
    </row>
    <row r="90" spans="1:104" x14ac:dyDescent="0.2">
      <c r="A90" s="190"/>
      <c r="B90" s="189" t="s">
        <v>191</v>
      </c>
      <c r="C90" s="189"/>
      <c r="D90" s="23">
        <v>0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-6025.3527733475603</v>
      </c>
      <c r="U90" s="23">
        <v>0</v>
      </c>
      <c r="V90" s="23">
        <v>0</v>
      </c>
      <c r="W90" s="23">
        <v>0</v>
      </c>
      <c r="X90" s="23">
        <v>0</v>
      </c>
      <c r="Y90" s="23">
        <v>0</v>
      </c>
      <c r="Z90" s="23">
        <v>0</v>
      </c>
      <c r="AA90" s="23">
        <v>0</v>
      </c>
      <c r="AB90" s="23">
        <v>0</v>
      </c>
      <c r="AC90" s="23">
        <v>0</v>
      </c>
      <c r="AD90" s="23">
        <v>0</v>
      </c>
      <c r="AE90" s="23">
        <v>0</v>
      </c>
      <c r="AF90" s="23">
        <v>-90857.603640329005</v>
      </c>
      <c r="AG90" s="23">
        <v>0</v>
      </c>
      <c r="AH90" s="23">
        <v>0</v>
      </c>
      <c r="AI90" s="23">
        <v>0</v>
      </c>
      <c r="AJ90" s="23">
        <v>0</v>
      </c>
      <c r="AK90" s="23">
        <v>0</v>
      </c>
      <c r="AL90" s="23">
        <v>0</v>
      </c>
      <c r="AM90" s="23">
        <v>0</v>
      </c>
      <c r="AN90" s="23">
        <v>0</v>
      </c>
      <c r="AO90" s="23">
        <v>0</v>
      </c>
      <c r="AP90" s="23">
        <v>0</v>
      </c>
      <c r="AQ90" s="23">
        <v>0</v>
      </c>
      <c r="AR90" s="23">
        <v>-398148.00235801999</v>
      </c>
      <c r="AS90" s="23">
        <v>0</v>
      </c>
      <c r="AT90" s="23">
        <v>0</v>
      </c>
      <c r="AU90" s="23">
        <v>0</v>
      </c>
      <c r="AV90" s="23">
        <v>0</v>
      </c>
      <c r="AW90" s="23">
        <v>0</v>
      </c>
      <c r="AX90" s="23">
        <v>0</v>
      </c>
      <c r="AY90" s="23">
        <v>0</v>
      </c>
      <c r="AZ90" s="23">
        <v>0</v>
      </c>
      <c r="BA90" s="23">
        <v>0</v>
      </c>
      <c r="BB90" s="23">
        <v>0</v>
      </c>
      <c r="BC90" s="23">
        <v>0</v>
      </c>
      <c r="BD90" s="23">
        <v>-625875.65</v>
      </c>
      <c r="BE90" s="23">
        <v>0</v>
      </c>
      <c r="BF90" s="23">
        <v>0</v>
      </c>
      <c r="BG90" s="23">
        <v>0</v>
      </c>
      <c r="BH90" s="23">
        <v>0</v>
      </c>
      <c r="BI90" s="23">
        <v>0</v>
      </c>
      <c r="BJ90" s="23">
        <v>0</v>
      </c>
      <c r="BK90" s="23">
        <v>0</v>
      </c>
      <c r="BL90" s="23">
        <v>0</v>
      </c>
      <c r="BM90" s="23">
        <v>0</v>
      </c>
      <c r="BN90" s="23">
        <v>0</v>
      </c>
      <c r="BO90" s="23">
        <v>0</v>
      </c>
      <c r="BP90" s="23">
        <v>0</v>
      </c>
      <c r="BQ90" s="23">
        <v>0</v>
      </c>
      <c r="BR90" s="23">
        <v>0</v>
      </c>
      <c r="BS90" s="23">
        <v>0</v>
      </c>
      <c r="BT90" s="23">
        <v>0</v>
      </c>
      <c r="BU90" s="23">
        <v>0</v>
      </c>
      <c r="BV90" s="23">
        <v>0</v>
      </c>
      <c r="BW90" s="23">
        <v>0</v>
      </c>
      <c r="BX90" s="23">
        <v>0</v>
      </c>
      <c r="BY90" s="23">
        <v>0</v>
      </c>
      <c r="BZ90" s="23">
        <v>0</v>
      </c>
      <c r="CA90" s="23">
        <v>0</v>
      </c>
      <c r="CB90" s="23">
        <v>0</v>
      </c>
      <c r="CC90" s="23">
        <v>0</v>
      </c>
      <c r="CD90" s="23">
        <v>0</v>
      </c>
      <c r="CE90" s="23">
        <v>0</v>
      </c>
      <c r="CF90" s="23">
        <v>0</v>
      </c>
      <c r="CG90" s="23">
        <v>0</v>
      </c>
      <c r="CH90" s="23">
        <v>0</v>
      </c>
      <c r="CI90" s="23">
        <v>0</v>
      </c>
      <c r="CJ90" s="23">
        <v>0</v>
      </c>
      <c r="CK90" s="23">
        <v>0</v>
      </c>
      <c r="CL90" s="23">
        <v>0</v>
      </c>
      <c r="CM90" s="23">
        <v>0</v>
      </c>
      <c r="CN90" s="23">
        <v>0</v>
      </c>
      <c r="CO90" s="23">
        <v>0</v>
      </c>
      <c r="CP90" s="23">
        <v>0</v>
      </c>
      <c r="CQ90" s="23">
        <v>0</v>
      </c>
      <c r="CR90" s="23">
        <v>0</v>
      </c>
      <c r="CS90" s="23">
        <v>0</v>
      </c>
      <c r="CT90" s="23">
        <v>0</v>
      </c>
      <c r="CU90" s="23">
        <v>0</v>
      </c>
      <c r="CV90" s="23">
        <v>0</v>
      </c>
      <c r="CW90" s="23">
        <v>0</v>
      </c>
      <c r="CX90" s="23"/>
      <c r="CY90" s="23"/>
    </row>
    <row r="91" spans="1:104" x14ac:dyDescent="0.2">
      <c r="A91" s="190"/>
      <c r="B91" s="191" t="s">
        <v>377</v>
      </c>
      <c r="C91" s="189"/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  <c r="V91" s="23">
        <v>0</v>
      </c>
      <c r="W91" s="23">
        <v>0</v>
      </c>
      <c r="X91" s="23">
        <v>0</v>
      </c>
      <c r="Y91" s="23">
        <v>0</v>
      </c>
      <c r="Z91" s="23">
        <v>0</v>
      </c>
      <c r="AA91" s="23">
        <v>0</v>
      </c>
      <c r="AB91" s="23">
        <v>0</v>
      </c>
      <c r="AC91" s="23">
        <v>0</v>
      </c>
      <c r="AD91" s="23">
        <v>2398.0286251418875</v>
      </c>
      <c r="AE91" s="23">
        <v>26.825181963260547</v>
      </c>
      <c r="AF91" s="23">
        <v>2.4037712059216574</v>
      </c>
      <c r="AG91" s="23">
        <v>0.52551718213362619</v>
      </c>
      <c r="AH91" s="23">
        <v>0.22795396090077702</v>
      </c>
      <c r="AI91" s="23">
        <v>0</v>
      </c>
      <c r="AJ91" s="23">
        <v>0</v>
      </c>
      <c r="AK91" s="23">
        <v>0</v>
      </c>
      <c r="AL91" s="23">
        <v>0</v>
      </c>
      <c r="AM91" s="23">
        <v>0</v>
      </c>
      <c r="AN91" s="23">
        <v>0</v>
      </c>
      <c r="AO91" s="23">
        <v>0</v>
      </c>
      <c r="AP91" s="23">
        <v>0</v>
      </c>
      <c r="AQ91" s="23">
        <v>0</v>
      </c>
      <c r="AR91" s="23">
        <v>0</v>
      </c>
      <c r="AS91" s="23">
        <v>0</v>
      </c>
      <c r="AT91" s="23">
        <v>0</v>
      </c>
      <c r="AU91" s="23">
        <v>0</v>
      </c>
      <c r="AV91" s="23">
        <v>0</v>
      </c>
      <c r="AW91" s="23">
        <v>0</v>
      </c>
      <c r="AX91" s="23">
        <v>0</v>
      </c>
      <c r="AY91" s="23">
        <v>0</v>
      </c>
      <c r="AZ91" s="23">
        <v>0</v>
      </c>
      <c r="BA91" s="23">
        <v>0</v>
      </c>
      <c r="BB91" s="23">
        <v>0</v>
      </c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  <c r="BI91" s="23">
        <v>0</v>
      </c>
      <c r="BJ91" s="23">
        <v>0</v>
      </c>
      <c r="BK91" s="23">
        <v>0</v>
      </c>
      <c r="BL91" s="23">
        <v>0</v>
      </c>
      <c r="BM91" s="23">
        <v>0</v>
      </c>
      <c r="BN91" s="23">
        <v>0</v>
      </c>
      <c r="BO91" s="23">
        <v>0</v>
      </c>
      <c r="BP91" s="23">
        <v>0</v>
      </c>
      <c r="BQ91" s="23">
        <v>0</v>
      </c>
      <c r="BR91" s="23">
        <v>0</v>
      </c>
      <c r="BS91" s="23">
        <v>0</v>
      </c>
      <c r="BT91" s="23">
        <v>0</v>
      </c>
      <c r="BU91" s="23">
        <v>0</v>
      </c>
      <c r="BV91" s="23">
        <v>0</v>
      </c>
      <c r="BW91" s="23">
        <v>0</v>
      </c>
      <c r="BX91" s="23">
        <v>0</v>
      </c>
      <c r="BY91" s="23">
        <v>0</v>
      </c>
      <c r="BZ91" s="23">
        <v>0</v>
      </c>
      <c r="CA91" s="23">
        <v>0</v>
      </c>
      <c r="CB91" s="23">
        <v>0</v>
      </c>
      <c r="CC91" s="23">
        <v>0</v>
      </c>
      <c r="CD91" s="23">
        <v>0</v>
      </c>
      <c r="CE91" s="23">
        <v>0</v>
      </c>
      <c r="CF91" s="23">
        <v>0</v>
      </c>
      <c r="CG91" s="23">
        <v>0</v>
      </c>
      <c r="CH91" s="23">
        <v>0</v>
      </c>
      <c r="CI91" s="23">
        <v>0</v>
      </c>
      <c r="CJ91" s="23">
        <v>0</v>
      </c>
      <c r="CK91" s="23">
        <v>0</v>
      </c>
      <c r="CL91" s="23">
        <v>0</v>
      </c>
      <c r="CM91" s="23">
        <v>0</v>
      </c>
      <c r="CN91" s="23">
        <v>0</v>
      </c>
      <c r="CO91" s="23">
        <v>0</v>
      </c>
      <c r="CP91" s="23">
        <v>0</v>
      </c>
      <c r="CQ91" s="23">
        <v>0</v>
      </c>
      <c r="CR91" s="23">
        <v>0</v>
      </c>
      <c r="CS91" s="23">
        <v>0</v>
      </c>
      <c r="CT91" s="23">
        <v>0</v>
      </c>
      <c r="CU91" s="23">
        <v>0</v>
      </c>
      <c r="CV91" s="23">
        <v>0</v>
      </c>
      <c r="CW91" s="23">
        <v>0</v>
      </c>
      <c r="CX91" s="23"/>
      <c r="CY91" s="23"/>
    </row>
    <row r="92" spans="1:104" x14ac:dyDescent="0.2">
      <c r="A92" s="190"/>
      <c r="B92" s="189" t="s">
        <v>206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23">
        <v>0</v>
      </c>
      <c r="W92" s="23">
        <v>0</v>
      </c>
      <c r="X92" s="23">
        <v>0</v>
      </c>
      <c r="Y92" s="23">
        <v>0</v>
      </c>
      <c r="Z92" s="23">
        <v>0</v>
      </c>
      <c r="AA92" s="23">
        <v>0</v>
      </c>
      <c r="AB92" s="23">
        <v>0</v>
      </c>
      <c r="AC92" s="23">
        <v>0</v>
      </c>
      <c r="AD92" s="23">
        <v>0</v>
      </c>
      <c r="AE92" s="23">
        <v>0</v>
      </c>
      <c r="AF92" s="23">
        <v>0</v>
      </c>
      <c r="AG92" s="23">
        <v>0</v>
      </c>
      <c r="AH92" s="23">
        <v>0</v>
      </c>
      <c r="AI92" s="23">
        <v>0</v>
      </c>
      <c r="AJ92" s="23">
        <v>0</v>
      </c>
      <c r="AK92" s="23">
        <v>0</v>
      </c>
      <c r="AL92" s="23">
        <v>0</v>
      </c>
      <c r="AM92" s="23">
        <v>0</v>
      </c>
      <c r="AN92" s="23">
        <v>0</v>
      </c>
      <c r="AO92" s="23">
        <v>0</v>
      </c>
      <c r="AP92" s="23">
        <v>0</v>
      </c>
      <c r="AQ92" s="23">
        <v>0</v>
      </c>
      <c r="AR92" s="23">
        <v>0</v>
      </c>
      <c r="AS92" s="23">
        <v>0</v>
      </c>
      <c r="AT92" s="23">
        <v>0</v>
      </c>
      <c r="AU92" s="23">
        <v>0</v>
      </c>
      <c r="AV92" s="23">
        <v>0</v>
      </c>
      <c r="AW92" s="23">
        <v>0</v>
      </c>
      <c r="AX92" s="23">
        <v>0</v>
      </c>
      <c r="AY92" s="23">
        <v>0</v>
      </c>
      <c r="AZ92" s="23">
        <v>0</v>
      </c>
      <c r="BA92" s="23">
        <v>0</v>
      </c>
      <c r="BB92" s="23">
        <v>0</v>
      </c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  <c r="BI92" s="23">
        <v>0</v>
      </c>
      <c r="BJ92" s="23">
        <v>0</v>
      </c>
      <c r="BK92" s="23">
        <v>0</v>
      </c>
      <c r="BL92" s="23">
        <v>-445445.85</v>
      </c>
      <c r="BM92" s="23">
        <v>0</v>
      </c>
      <c r="BN92" s="23">
        <v>0</v>
      </c>
      <c r="BO92" s="23">
        <v>0</v>
      </c>
      <c r="BP92" s="23">
        <v>0</v>
      </c>
      <c r="BQ92" s="23">
        <v>0</v>
      </c>
      <c r="BR92" s="23">
        <v>0</v>
      </c>
      <c r="BS92" s="23">
        <v>0</v>
      </c>
      <c r="BT92" s="23">
        <v>0</v>
      </c>
      <c r="BU92" s="23">
        <v>0</v>
      </c>
      <c r="BV92" s="23">
        <v>0</v>
      </c>
      <c r="BW92" s="23">
        <v>0</v>
      </c>
      <c r="BX92" s="23">
        <v>0</v>
      </c>
      <c r="BY92" s="23">
        <v>0</v>
      </c>
      <c r="BZ92" s="23">
        <v>0</v>
      </c>
      <c r="CA92" s="23">
        <v>0</v>
      </c>
      <c r="CB92" s="23">
        <v>0</v>
      </c>
      <c r="CC92" s="23">
        <v>0</v>
      </c>
      <c r="CD92" s="23">
        <v>0</v>
      </c>
      <c r="CE92" s="23">
        <v>0</v>
      </c>
      <c r="CF92" s="23">
        <v>0</v>
      </c>
      <c r="CG92" s="23">
        <v>0</v>
      </c>
      <c r="CH92" s="23">
        <v>0</v>
      </c>
      <c r="CI92" s="23">
        <v>0</v>
      </c>
      <c r="CJ92" s="23">
        <v>0</v>
      </c>
      <c r="CK92" s="23">
        <v>0</v>
      </c>
      <c r="CL92" s="23">
        <v>0</v>
      </c>
      <c r="CM92" s="23">
        <v>0</v>
      </c>
      <c r="CN92" s="23">
        <v>0</v>
      </c>
      <c r="CO92" s="23">
        <v>0</v>
      </c>
      <c r="CP92" s="23">
        <v>0</v>
      </c>
      <c r="CQ92" s="23">
        <v>0</v>
      </c>
      <c r="CR92" s="23">
        <v>0</v>
      </c>
      <c r="CS92" s="23">
        <v>0</v>
      </c>
      <c r="CT92" s="23">
        <v>0</v>
      </c>
      <c r="CU92" s="23">
        <v>0</v>
      </c>
      <c r="CV92" s="23">
        <v>0</v>
      </c>
      <c r="CW92" s="23">
        <v>0</v>
      </c>
      <c r="CX92" s="23"/>
      <c r="CY92" s="23"/>
    </row>
    <row r="93" spans="1:104" x14ac:dyDescent="0.2">
      <c r="A93" s="190"/>
      <c r="B93" s="191" t="s">
        <v>380</v>
      </c>
      <c r="C93" s="189"/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23">
        <v>0</v>
      </c>
      <c r="W93" s="23">
        <v>0</v>
      </c>
      <c r="X93" s="23">
        <v>0</v>
      </c>
      <c r="Y93" s="23">
        <v>0</v>
      </c>
      <c r="Z93" s="23">
        <v>0</v>
      </c>
      <c r="AA93" s="23">
        <v>0</v>
      </c>
      <c r="AB93" s="23">
        <v>0</v>
      </c>
      <c r="AC93" s="23">
        <v>0</v>
      </c>
      <c r="AD93" s="23">
        <v>0</v>
      </c>
      <c r="AE93" s="23">
        <v>0</v>
      </c>
      <c r="AF93" s="23">
        <v>0</v>
      </c>
      <c r="AG93" s="23">
        <v>0</v>
      </c>
      <c r="AH93" s="23">
        <v>0</v>
      </c>
      <c r="AI93" s="23">
        <v>0</v>
      </c>
      <c r="AJ93" s="23">
        <v>0</v>
      </c>
      <c r="AK93" s="23">
        <v>0</v>
      </c>
      <c r="AL93" s="23">
        <v>0</v>
      </c>
      <c r="AM93" s="23">
        <v>0</v>
      </c>
      <c r="AN93" s="23">
        <v>0</v>
      </c>
      <c r="AO93" s="23">
        <v>0</v>
      </c>
      <c r="AP93" s="23">
        <v>0</v>
      </c>
      <c r="AQ93" s="23">
        <v>0</v>
      </c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-30103.53</v>
      </c>
      <c r="BE93" s="23">
        <v>0</v>
      </c>
      <c r="BF93" s="23">
        <v>0</v>
      </c>
      <c r="BG93" s="23">
        <v>0</v>
      </c>
      <c r="BH93" s="23">
        <v>0</v>
      </c>
      <c r="BI93" s="23">
        <v>0</v>
      </c>
      <c r="BJ93" s="23">
        <v>0</v>
      </c>
      <c r="BK93" s="23">
        <v>0</v>
      </c>
      <c r="BL93" s="23">
        <v>0</v>
      </c>
      <c r="BM93" s="23">
        <v>0</v>
      </c>
      <c r="BN93" s="23">
        <v>0</v>
      </c>
      <c r="BO93" s="23">
        <v>0</v>
      </c>
      <c r="BP93" s="23">
        <v>0</v>
      </c>
      <c r="BQ93" s="23">
        <v>0</v>
      </c>
      <c r="BR93" s="23">
        <v>0</v>
      </c>
      <c r="BS93" s="23">
        <v>0</v>
      </c>
      <c r="BT93" s="23">
        <v>0</v>
      </c>
      <c r="BU93" s="23">
        <v>0</v>
      </c>
      <c r="BV93" s="23">
        <v>0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v>0</v>
      </c>
      <c r="CH93" s="23">
        <v>0</v>
      </c>
      <c r="CI93" s="23">
        <v>0</v>
      </c>
      <c r="CJ93" s="23">
        <v>0</v>
      </c>
      <c r="CK93" s="23">
        <v>0</v>
      </c>
      <c r="CL93" s="23">
        <v>0</v>
      </c>
      <c r="CM93" s="23">
        <v>0</v>
      </c>
      <c r="CN93" s="23">
        <v>0</v>
      </c>
      <c r="CO93" s="23">
        <v>0</v>
      </c>
      <c r="CP93" s="23">
        <v>0</v>
      </c>
      <c r="CQ93" s="23">
        <v>0</v>
      </c>
      <c r="CR93" s="23">
        <v>0</v>
      </c>
      <c r="CS93" s="23">
        <v>0</v>
      </c>
      <c r="CT93" s="23">
        <v>0</v>
      </c>
      <c r="CU93" s="23">
        <v>0</v>
      </c>
      <c r="CV93" s="23">
        <v>0</v>
      </c>
      <c r="CW93" s="23">
        <v>0</v>
      </c>
      <c r="CX93" s="23"/>
      <c r="CY93" s="23"/>
    </row>
    <row r="94" spans="1:104" x14ac:dyDescent="0.2">
      <c r="A94" s="190"/>
      <c r="B94" s="21" t="s">
        <v>447</v>
      </c>
      <c r="C94" s="189"/>
      <c r="D94" s="23">
        <v>0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  <c r="V94" s="23">
        <v>0</v>
      </c>
      <c r="W94" s="23">
        <v>0</v>
      </c>
      <c r="X94" s="23">
        <v>0</v>
      </c>
      <c r="Y94" s="23">
        <v>0</v>
      </c>
      <c r="Z94" s="23">
        <v>0</v>
      </c>
      <c r="AA94" s="23">
        <v>0</v>
      </c>
      <c r="AB94" s="23">
        <v>0</v>
      </c>
      <c r="AC94" s="23">
        <v>0</v>
      </c>
      <c r="AD94" s="23">
        <v>0</v>
      </c>
      <c r="AE94" s="23">
        <v>0</v>
      </c>
      <c r="AF94" s="23">
        <v>0</v>
      </c>
      <c r="AG94" s="23">
        <v>0</v>
      </c>
      <c r="AH94" s="23">
        <v>0</v>
      </c>
      <c r="AI94" s="23">
        <v>0</v>
      </c>
      <c r="AJ94" s="23">
        <v>0</v>
      </c>
      <c r="AK94" s="23">
        <v>0</v>
      </c>
      <c r="AL94" s="23">
        <v>0</v>
      </c>
      <c r="AM94" s="23">
        <v>0</v>
      </c>
      <c r="AN94" s="23">
        <v>0</v>
      </c>
      <c r="AO94" s="23">
        <v>0</v>
      </c>
      <c r="AP94" s="23">
        <v>0</v>
      </c>
      <c r="AQ94" s="23">
        <v>0</v>
      </c>
      <c r="AR94" s="23">
        <v>0</v>
      </c>
      <c r="AS94" s="23">
        <v>0</v>
      </c>
      <c r="AT94" s="23">
        <v>0</v>
      </c>
      <c r="AU94" s="23">
        <v>0</v>
      </c>
      <c r="AV94" s="23">
        <v>0</v>
      </c>
      <c r="AW94" s="23">
        <v>0</v>
      </c>
      <c r="AX94" s="23">
        <v>0</v>
      </c>
      <c r="AY94" s="23">
        <v>0</v>
      </c>
      <c r="AZ94" s="23">
        <v>0</v>
      </c>
      <c r="BA94" s="23">
        <v>0</v>
      </c>
      <c r="BB94" s="23">
        <v>0</v>
      </c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  <c r="BI94" s="23">
        <v>0</v>
      </c>
      <c r="BJ94" s="23">
        <v>0</v>
      </c>
      <c r="BK94" s="23">
        <v>0</v>
      </c>
      <c r="BL94" s="23">
        <v>0</v>
      </c>
      <c r="BM94" s="23">
        <v>0</v>
      </c>
      <c r="BN94" s="23">
        <v>0</v>
      </c>
      <c r="BO94" s="23">
        <v>0</v>
      </c>
      <c r="BP94" s="23">
        <v>0</v>
      </c>
      <c r="BQ94" s="23">
        <v>0</v>
      </c>
      <c r="BR94" s="23">
        <v>0</v>
      </c>
      <c r="BS94" s="23">
        <v>0</v>
      </c>
      <c r="BT94" s="23">
        <v>0</v>
      </c>
      <c r="BU94" s="23">
        <v>0</v>
      </c>
      <c r="BV94" s="23">
        <v>0</v>
      </c>
      <c r="BW94" s="23">
        <v>-0.81</v>
      </c>
      <c r="BX94" s="23">
        <v>0</v>
      </c>
      <c r="BY94" s="23">
        <v>0</v>
      </c>
      <c r="BZ94" s="23">
        <v>0</v>
      </c>
      <c r="CA94" s="23">
        <v>0</v>
      </c>
      <c r="CB94" s="23">
        <v>0</v>
      </c>
      <c r="CC94" s="23">
        <v>0</v>
      </c>
      <c r="CD94" s="23">
        <v>0</v>
      </c>
      <c r="CE94" s="23">
        <v>0</v>
      </c>
      <c r="CF94" s="23">
        <v>0</v>
      </c>
      <c r="CG94" s="23">
        <v>0</v>
      </c>
      <c r="CH94" s="23">
        <v>0</v>
      </c>
      <c r="CI94" s="23">
        <v>0</v>
      </c>
      <c r="CJ94" s="23">
        <v>0</v>
      </c>
      <c r="CK94" s="23">
        <v>0</v>
      </c>
      <c r="CL94" s="23">
        <v>0</v>
      </c>
      <c r="CM94" s="23">
        <v>0</v>
      </c>
      <c r="CN94" s="23">
        <v>0</v>
      </c>
      <c r="CO94" s="23">
        <v>0</v>
      </c>
      <c r="CP94" s="23">
        <v>0</v>
      </c>
      <c r="CQ94" s="23">
        <v>0</v>
      </c>
      <c r="CR94" s="23">
        <v>0</v>
      </c>
      <c r="CS94" s="23">
        <v>0</v>
      </c>
      <c r="CT94" s="23">
        <v>0</v>
      </c>
      <c r="CU94" s="23">
        <v>0</v>
      </c>
      <c r="CV94" s="23">
        <v>0</v>
      </c>
      <c r="CW94" s="23">
        <v>0</v>
      </c>
      <c r="CX94" s="23"/>
      <c r="CY94" s="23"/>
    </row>
    <row r="95" spans="1:104" x14ac:dyDescent="0.2">
      <c r="A95" s="190"/>
      <c r="B95" s="189" t="s">
        <v>381</v>
      </c>
      <c r="C95" s="189"/>
      <c r="D95" s="23">
        <v>0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-1021.02</v>
      </c>
      <c r="Q95" s="23">
        <v>0</v>
      </c>
      <c r="R95" s="23">
        <v>0</v>
      </c>
      <c r="S95" s="23">
        <v>0</v>
      </c>
      <c r="T95" s="23">
        <v>0</v>
      </c>
      <c r="U95" s="23">
        <v>0</v>
      </c>
      <c r="V95" s="23">
        <v>0</v>
      </c>
      <c r="W95" s="23">
        <v>0</v>
      </c>
      <c r="X95" s="23">
        <v>0</v>
      </c>
      <c r="Y95" s="23">
        <v>0</v>
      </c>
      <c r="Z95" s="23">
        <v>0</v>
      </c>
      <c r="AA95" s="23">
        <v>0</v>
      </c>
      <c r="AB95" s="23">
        <v>0</v>
      </c>
      <c r="AC95" s="23">
        <v>0</v>
      </c>
      <c r="AD95" s="23">
        <v>0</v>
      </c>
      <c r="AE95" s="23">
        <v>0</v>
      </c>
      <c r="AF95" s="23">
        <v>0</v>
      </c>
      <c r="AG95" s="23">
        <v>0</v>
      </c>
      <c r="AH95" s="23">
        <v>0</v>
      </c>
      <c r="AI95" s="23">
        <v>0</v>
      </c>
      <c r="AJ95" s="23">
        <v>0</v>
      </c>
      <c r="AK95" s="23">
        <v>0</v>
      </c>
      <c r="AL95" s="23">
        <v>0</v>
      </c>
      <c r="AM95" s="23">
        <v>0</v>
      </c>
      <c r="AN95" s="23">
        <v>0</v>
      </c>
      <c r="AO95" s="23">
        <v>0</v>
      </c>
      <c r="AP95" s="23">
        <v>0</v>
      </c>
      <c r="AQ95" s="23">
        <v>0</v>
      </c>
      <c r="AR95" s="23">
        <v>0</v>
      </c>
      <c r="AS95" s="23">
        <v>0</v>
      </c>
      <c r="AT95" s="23">
        <v>0</v>
      </c>
      <c r="AU95" s="23">
        <v>0</v>
      </c>
      <c r="AV95" s="23">
        <v>0</v>
      </c>
      <c r="AW95" s="23">
        <v>0</v>
      </c>
      <c r="AX95" s="23">
        <v>0</v>
      </c>
      <c r="AY95" s="23">
        <v>0</v>
      </c>
      <c r="AZ95" s="23">
        <v>0</v>
      </c>
      <c r="BA95" s="23">
        <v>0</v>
      </c>
      <c r="BB95" s="23">
        <v>0</v>
      </c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  <c r="BI95" s="23">
        <v>0</v>
      </c>
      <c r="BJ95" s="23">
        <v>0</v>
      </c>
      <c r="BK95" s="23">
        <v>0</v>
      </c>
      <c r="BL95" s="23">
        <v>0</v>
      </c>
      <c r="BM95" s="23">
        <v>0</v>
      </c>
      <c r="BN95" s="23">
        <v>0</v>
      </c>
      <c r="BO95" s="23">
        <v>0</v>
      </c>
      <c r="BP95" s="23">
        <v>0</v>
      </c>
      <c r="BQ95" s="23">
        <v>0</v>
      </c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>
        <v>0</v>
      </c>
      <c r="CD95" s="23">
        <v>0</v>
      </c>
      <c r="CE95" s="23">
        <v>0</v>
      </c>
      <c r="CF95" s="23">
        <v>0</v>
      </c>
      <c r="CG95" s="23">
        <v>0</v>
      </c>
      <c r="CH95" s="23">
        <v>0</v>
      </c>
      <c r="CI95" s="23">
        <v>0</v>
      </c>
      <c r="CJ95" s="23">
        <v>0</v>
      </c>
      <c r="CK95" s="23">
        <v>0</v>
      </c>
      <c r="CL95" s="23">
        <v>0</v>
      </c>
      <c r="CM95" s="23">
        <v>0</v>
      </c>
      <c r="CN95" s="23">
        <v>0</v>
      </c>
      <c r="CO95" s="23">
        <v>0</v>
      </c>
      <c r="CP95" s="23">
        <v>0</v>
      </c>
      <c r="CQ95" s="23">
        <v>0</v>
      </c>
      <c r="CR95" s="23">
        <v>0</v>
      </c>
      <c r="CS95" s="23">
        <v>0</v>
      </c>
      <c r="CT95" s="23">
        <v>0</v>
      </c>
      <c r="CU95" s="23">
        <v>0</v>
      </c>
      <c r="CV95" s="23">
        <v>0</v>
      </c>
      <c r="CW95" s="23">
        <v>0</v>
      </c>
      <c r="CX95" s="23"/>
      <c r="CY95" s="23"/>
    </row>
    <row r="96" spans="1:104" x14ac:dyDescent="0.2">
      <c r="A96" s="189"/>
      <c r="B96" s="189" t="s">
        <v>382</v>
      </c>
      <c r="C96" s="189"/>
      <c r="D96" s="23">
        <v>0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-270.10967773232255</v>
      </c>
      <c r="K96" s="23">
        <v>597.15828107708933</v>
      </c>
      <c r="L96" s="23">
        <v>1555.0705681410388</v>
      </c>
      <c r="M96" s="23">
        <v>1235.4701313533587</v>
      </c>
      <c r="N96" s="23">
        <v>2044.2955832006512</v>
      </c>
      <c r="O96" s="23">
        <v>1884.4872030112385</v>
      </c>
      <c r="P96" s="23">
        <v>2204.0579330237733</v>
      </c>
      <c r="Q96" s="23">
        <v>2525.6232049168025</v>
      </c>
      <c r="R96" s="23">
        <v>2716.3707178679965</v>
      </c>
      <c r="S96" s="23">
        <v>5076.8357475401726</v>
      </c>
      <c r="T96" s="23">
        <v>6164.3234532236611</v>
      </c>
      <c r="U96" s="23">
        <v>7090.4075313127314</v>
      </c>
      <c r="V96" s="23">
        <v>8337.9783963815207</v>
      </c>
      <c r="W96" s="23">
        <v>8725.0871357454453</v>
      </c>
      <c r="X96" s="23">
        <v>9227.9061953544078</v>
      </c>
      <c r="Y96" s="23">
        <v>11416.500087429433</v>
      </c>
      <c r="Z96" s="23">
        <v>12540.235395555559</v>
      </c>
      <c r="AA96" s="23">
        <v>13757.267855569475</v>
      </c>
      <c r="AB96" s="23">
        <v>17561.040537164594</v>
      </c>
      <c r="AC96" s="23">
        <v>23338.622109089203</v>
      </c>
      <c r="AD96" s="23">
        <v>29346.803837683223</v>
      </c>
      <c r="AE96" s="23">
        <v>32743.066277678863</v>
      </c>
      <c r="AF96" s="23">
        <v>33599.60874407721</v>
      </c>
      <c r="AG96" s="23">
        <v>34492.17799491647</v>
      </c>
      <c r="AH96" s="23">
        <v>35866.423748046029</v>
      </c>
      <c r="AI96" s="23">
        <v>36613.280457296132</v>
      </c>
      <c r="AJ96" s="23">
        <v>36818.066441556526</v>
      </c>
      <c r="AK96" s="23">
        <v>38234.013831613272</v>
      </c>
      <c r="AL96" s="23">
        <v>39856.738574141382</v>
      </c>
      <c r="AM96" s="23">
        <v>38325.15874171102</v>
      </c>
      <c r="AN96" s="23">
        <v>37724.594216691701</v>
      </c>
      <c r="AO96" s="23">
        <v>41807.222796946335</v>
      </c>
      <c r="AP96" s="23">
        <v>44998.282437596354</v>
      </c>
      <c r="AQ96" s="23">
        <v>50644.080749708293</v>
      </c>
      <c r="AR96" s="23">
        <v>54313.731938197372</v>
      </c>
      <c r="AS96" s="23">
        <v>55432.355668037118</v>
      </c>
      <c r="AT96" s="23">
        <v>55632.681108963814</v>
      </c>
      <c r="AU96" s="23">
        <v>55592.63303825922</v>
      </c>
      <c r="AV96" s="23">
        <v>55207.145385923002</v>
      </c>
      <c r="AW96" s="23">
        <v>55376.735628770228</v>
      </c>
      <c r="AX96" s="23">
        <v>58955.499003375058</v>
      </c>
      <c r="AY96" s="23">
        <v>60190.691406638973</v>
      </c>
      <c r="AZ96" s="23">
        <v>50253.61</v>
      </c>
      <c r="BA96" s="23">
        <v>44801.4</v>
      </c>
      <c r="BB96" s="23">
        <v>42023.46</v>
      </c>
      <c r="BC96" s="23">
        <v>42061.24</v>
      </c>
      <c r="BD96" s="23">
        <v>39358.288510257757</v>
      </c>
      <c r="BE96" s="23">
        <v>36928.989271851395</v>
      </c>
      <c r="BF96" s="23">
        <v>38307.969461099863</v>
      </c>
      <c r="BG96" s="23">
        <v>37396.39947565661</v>
      </c>
      <c r="BH96" s="23">
        <v>36794.819492836243</v>
      </c>
      <c r="BI96" s="23">
        <v>37735.445984191392</v>
      </c>
      <c r="BJ96" s="23">
        <v>35843.684437760792</v>
      </c>
      <c r="BK96" s="23">
        <v>34044.877681931299</v>
      </c>
      <c r="BL96" s="23">
        <v>0</v>
      </c>
      <c r="BM96" s="23">
        <v>0</v>
      </c>
      <c r="BN96" s="23">
        <v>0</v>
      </c>
      <c r="BO96" s="23">
        <v>0</v>
      </c>
      <c r="BP96" s="23">
        <v>0</v>
      </c>
      <c r="BQ96" s="23">
        <v>0</v>
      </c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>
        <v>0</v>
      </c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0</v>
      </c>
      <c r="CQ96" s="23">
        <v>0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/>
      <c r="CY96" s="23"/>
    </row>
    <row r="97" spans="1:104" x14ac:dyDescent="0.2">
      <c r="A97" s="8"/>
      <c r="B97" s="8" t="s">
        <v>193</v>
      </c>
      <c r="C97" s="8"/>
      <c r="D97" s="24">
        <f>SUM(D90:D96)</f>
        <v>0</v>
      </c>
      <c r="E97" s="24">
        <f>SUM(E90:E96)</f>
        <v>0</v>
      </c>
      <c r="F97" s="24">
        <f t="shared" ref="F97:CM97" si="469">SUM(F90:F96)</f>
        <v>0</v>
      </c>
      <c r="G97" s="24">
        <f t="shared" si="469"/>
        <v>0</v>
      </c>
      <c r="H97" s="24">
        <f t="shared" si="469"/>
        <v>0</v>
      </c>
      <c r="I97" s="24">
        <f t="shared" si="469"/>
        <v>0</v>
      </c>
      <c r="J97" s="24">
        <f t="shared" si="469"/>
        <v>-270.10967773232255</v>
      </c>
      <c r="K97" s="24">
        <f t="shared" si="469"/>
        <v>597.15828107708933</v>
      </c>
      <c r="L97" s="24">
        <f t="shared" si="469"/>
        <v>1555.0705681410388</v>
      </c>
      <c r="M97" s="24">
        <f t="shared" si="469"/>
        <v>1235.4701313533587</v>
      </c>
      <c r="N97" s="24">
        <f t="shared" si="469"/>
        <v>2044.2955832006512</v>
      </c>
      <c r="O97" s="24">
        <f t="shared" si="469"/>
        <v>1884.4872030112385</v>
      </c>
      <c r="P97" s="24">
        <f t="shared" si="469"/>
        <v>1183.0379330237733</v>
      </c>
      <c r="Q97" s="24">
        <f t="shared" si="469"/>
        <v>2525.6232049168025</v>
      </c>
      <c r="R97" s="24">
        <f t="shared" si="469"/>
        <v>2716.3707178679965</v>
      </c>
      <c r="S97" s="24">
        <f t="shared" si="469"/>
        <v>5076.8357475401726</v>
      </c>
      <c r="T97" s="24">
        <f t="shared" si="469"/>
        <v>138.9706798761008</v>
      </c>
      <c r="U97" s="24">
        <f t="shared" si="469"/>
        <v>7090.4075313127314</v>
      </c>
      <c r="V97" s="24">
        <f t="shared" si="469"/>
        <v>8337.9783963815207</v>
      </c>
      <c r="W97" s="24">
        <f t="shared" si="469"/>
        <v>8725.0871357454453</v>
      </c>
      <c r="X97" s="24">
        <f t="shared" si="469"/>
        <v>9227.9061953544078</v>
      </c>
      <c r="Y97" s="24">
        <f t="shared" si="469"/>
        <v>11416.500087429433</v>
      </c>
      <c r="Z97" s="24">
        <f t="shared" si="469"/>
        <v>12540.235395555559</v>
      </c>
      <c r="AA97" s="24">
        <f t="shared" si="469"/>
        <v>13757.267855569475</v>
      </c>
      <c r="AB97" s="24">
        <f t="shared" si="469"/>
        <v>17561.040537164594</v>
      </c>
      <c r="AC97" s="24">
        <f t="shared" si="469"/>
        <v>23338.622109089203</v>
      </c>
      <c r="AD97" s="24">
        <f t="shared" si="469"/>
        <v>31744.83246282511</v>
      </c>
      <c r="AE97" s="24">
        <f t="shared" si="469"/>
        <v>32769.891459642124</v>
      </c>
      <c r="AF97" s="24">
        <f t="shared" si="469"/>
        <v>-57255.591125045874</v>
      </c>
      <c r="AG97" s="24">
        <f t="shared" si="469"/>
        <v>34492.703512098604</v>
      </c>
      <c r="AH97" s="24">
        <f t="shared" si="469"/>
        <v>35866.65170200693</v>
      </c>
      <c r="AI97" s="24">
        <f t="shared" si="469"/>
        <v>36613.280457296132</v>
      </c>
      <c r="AJ97" s="24">
        <f t="shared" si="469"/>
        <v>36818.066441556526</v>
      </c>
      <c r="AK97" s="24">
        <f t="shared" si="469"/>
        <v>38234.013831613272</v>
      </c>
      <c r="AL97" s="24">
        <f t="shared" si="469"/>
        <v>39856.738574141382</v>
      </c>
      <c r="AM97" s="24">
        <f t="shared" si="469"/>
        <v>38325.15874171102</v>
      </c>
      <c r="AN97" s="24">
        <f t="shared" si="469"/>
        <v>37724.594216691701</v>
      </c>
      <c r="AO97" s="24">
        <f t="shared" si="469"/>
        <v>41807.222796946335</v>
      </c>
      <c r="AP97" s="24">
        <f t="shared" si="469"/>
        <v>44998.282437596354</v>
      </c>
      <c r="AQ97" s="24">
        <f t="shared" si="469"/>
        <v>50644.080749708293</v>
      </c>
      <c r="AR97" s="24">
        <f t="shared" si="469"/>
        <v>-343834.2704198226</v>
      </c>
      <c r="AS97" s="24">
        <f t="shared" si="469"/>
        <v>55432.355668037118</v>
      </c>
      <c r="AT97" s="24">
        <f t="shared" si="469"/>
        <v>55632.681108963814</v>
      </c>
      <c r="AU97" s="24">
        <f t="shared" si="469"/>
        <v>55592.63303825922</v>
      </c>
      <c r="AV97" s="24">
        <f t="shared" si="469"/>
        <v>55207.145385923002</v>
      </c>
      <c r="AW97" s="24">
        <f t="shared" si="469"/>
        <v>55376.735628770228</v>
      </c>
      <c r="AX97" s="24">
        <f t="shared" si="469"/>
        <v>58955.499003375058</v>
      </c>
      <c r="AY97" s="24">
        <f t="shared" si="469"/>
        <v>60190.691406638973</v>
      </c>
      <c r="AZ97" s="24">
        <f t="shared" si="469"/>
        <v>50253.61</v>
      </c>
      <c r="BA97" s="24">
        <f t="shared" si="469"/>
        <v>44801.4</v>
      </c>
      <c r="BB97" s="24">
        <f t="shared" si="469"/>
        <v>42023.46</v>
      </c>
      <c r="BC97" s="24">
        <f t="shared" si="469"/>
        <v>42061.24</v>
      </c>
      <c r="BD97" s="24">
        <f t="shared" si="469"/>
        <v>-616620.89148974232</v>
      </c>
      <c r="BE97" s="24">
        <f t="shared" si="469"/>
        <v>36928.989271851395</v>
      </c>
      <c r="BF97" s="24">
        <f t="shared" si="469"/>
        <v>38307.969461099863</v>
      </c>
      <c r="BG97" s="24">
        <f t="shared" si="469"/>
        <v>37396.39947565661</v>
      </c>
      <c r="BH97" s="24">
        <f t="shared" si="469"/>
        <v>36794.819492836243</v>
      </c>
      <c r="BI97" s="24">
        <f t="shared" si="469"/>
        <v>37735.445984191392</v>
      </c>
      <c r="BJ97" s="24">
        <f t="shared" si="469"/>
        <v>35843.684437760792</v>
      </c>
      <c r="BK97" s="24">
        <f t="shared" si="469"/>
        <v>34044.877681931299</v>
      </c>
      <c r="BL97" s="24">
        <f t="shared" ref="BL97:BW97" si="470">SUM(BL90:BL96)</f>
        <v>-445445.85</v>
      </c>
      <c r="BM97" s="24">
        <f t="shared" si="470"/>
        <v>0</v>
      </c>
      <c r="BN97" s="24">
        <f t="shared" si="470"/>
        <v>0</v>
      </c>
      <c r="BO97" s="24">
        <f t="shared" si="470"/>
        <v>0</v>
      </c>
      <c r="BP97" s="24">
        <f t="shared" si="470"/>
        <v>0</v>
      </c>
      <c r="BQ97" s="24">
        <f t="shared" si="470"/>
        <v>0</v>
      </c>
      <c r="BR97" s="24">
        <f t="shared" si="470"/>
        <v>0</v>
      </c>
      <c r="BS97" s="24">
        <f t="shared" si="470"/>
        <v>0</v>
      </c>
      <c r="BT97" s="24">
        <f t="shared" si="470"/>
        <v>0</v>
      </c>
      <c r="BU97" s="24">
        <f t="shared" si="470"/>
        <v>0</v>
      </c>
      <c r="BV97" s="24">
        <f t="shared" si="470"/>
        <v>0</v>
      </c>
      <c r="BW97" s="24">
        <f t="shared" si="470"/>
        <v>-0.81</v>
      </c>
      <c r="BX97" s="24">
        <f t="shared" ref="BX97:CJ97" si="471">SUM(BX90:BX96)</f>
        <v>0</v>
      </c>
      <c r="BY97" s="24">
        <f t="shared" si="471"/>
        <v>0</v>
      </c>
      <c r="BZ97" s="24">
        <f t="shared" si="471"/>
        <v>0</v>
      </c>
      <c r="CA97" s="24">
        <f t="shared" si="471"/>
        <v>0</v>
      </c>
      <c r="CB97" s="24">
        <f t="shared" si="471"/>
        <v>0</v>
      </c>
      <c r="CC97" s="24">
        <f t="shared" si="471"/>
        <v>0</v>
      </c>
      <c r="CD97" s="24">
        <f t="shared" si="471"/>
        <v>0</v>
      </c>
      <c r="CE97" s="24">
        <f t="shared" si="471"/>
        <v>0</v>
      </c>
      <c r="CF97" s="24">
        <f t="shared" si="471"/>
        <v>0</v>
      </c>
      <c r="CG97" s="24">
        <f t="shared" si="471"/>
        <v>0</v>
      </c>
      <c r="CH97" s="24">
        <f t="shared" si="471"/>
        <v>0</v>
      </c>
      <c r="CI97" s="24">
        <f t="shared" si="471"/>
        <v>0</v>
      </c>
      <c r="CJ97" s="24">
        <f t="shared" si="471"/>
        <v>0</v>
      </c>
      <c r="CK97" s="24">
        <f t="shared" si="469"/>
        <v>0</v>
      </c>
      <c r="CL97" s="24">
        <f t="shared" si="469"/>
        <v>0</v>
      </c>
      <c r="CM97" s="24">
        <f t="shared" si="469"/>
        <v>0</v>
      </c>
      <c r="CN97" s="24">
        <f t="shared" ref="CN97:CY97" si="472">SUM(CN90:CN96)</f>
        <v>0</v>
      </c>
      <c r="CO97" s="24">
        <f t="shared" si="472"/>
        <v>0</v>
      </c>
      <c r="CP97" s="24">
        <f t="shared" si="472"/>
        <v>0</v>
      </c>
      <c r="CQ97" s="24">
        <f t="shared" si="472"/>
        <v>0</v>
      </c>
      <c r="CR97" s="24">
        <f t="shared" si="472"/>
        <v>0</v>
      </c>
      <c r="CS97" s="24">
        <f t="shared" si="472"/>
        <v>0</v>
      </c>
      <c r="CT97" s="24">
        <f t="shared" si="472"/>
        <v>0</v>
      </c>
      <c r="CU97" s="24">
        <f t="shared" si="472"/>
        <v>0</v>
      </c>
      <c r="CV97" s="24">
        <f t="shared" si="472"/>
        <v>0</v>
      </c>
      <c r="CW97" s="24">
        <f t="shared" si="472"/>
        <v>0</v>
      </c>
      <c r="CX97" s="24">
        <f t="shared" si="472"/>
        <v>0</v>
      </c>
      <c r="CY97" s="24">
        <f t="shared" si="472"/>
        <v>0</v>
      </c>
    </row>
    <row r="98" spans="1:104" x14ac:dyDescent="0.2">
      <c r="A98" s="8"/>
      <c r="B98" s="8" t="s">
        <v>194</v>
      </c>
      <c r="C98" s="8"/>
      <c r="D98" s="17">
        <f>D89+D97</f>
        <v>0</v>
      </c>
      <c r="E98" s="17">
        <f>E89+E97</f>
        <v>0</v>
      </c>
      <c r="F98" s="17">
        <f t="shared" ref="F98:CM98" si="473">F89+F97</f>
        <v>0</v>
      </c>
      <c r="G98" s="17">
        <f t="shared" si="473"/>
        <v>0</v>
      </c>
      <c r="H98" s="17">
        <f t="shared" si="473"/>
        <v>0</v>
      </c>
      <c r="I98" s="17">
        <f t="shared" si="473"/>
        <v>0</v>
      </c>
      <c r="J98" s="17">
        <f t="shared" si="473"/>
        <v>-270.10967773232255</v>
      </c>
      <c r="K98" s="17">
        <f t="shared" si="473"/>
        <v>327.04860334476678</v>
      </c>
      <c r="L98" s="17">
        <f t="shared" si="473"/>
        <v>1882.1191714858055</v>
      </c>
      <c r="M98" s="17">
        <f t="shared" si="473"/>
        <v>3117.5893028391642</v>
      </c>
      <c r="N98" s="17">
        <f t="shared" si="473"/>
        <v>5161.8848860398157</v>
      </c>
      <c r="O98" s="17">
        <f t="shared" si="473"/>
        <v>7046.372089051054</v>
      </c>
      <c r="P98" s="17">
        <f t="shared" si="473"/>
        <v>8229.4100220748278</v>
      </c>
      <c r="Q98" s="17">
        <f t="shared" si="473"/>
        <v>10755.033226991631</v>
      </c>
      <c r="R98" s="17">
        <f t="shared" si="473"/>
        <v>13471.403944859627</v>
      </c>
      <c r="S98" s="17">
        <f t="shared" si="473"/>
        <v>18548.239692399799</v>
      </c>
      <c r="T98" s="17">
        <f t="shared" si="473"/>
        <v>18687.210372275898</v>
      </c>
      <c r="U98" s="17">
        <f t="shared" si="473"/>
        <v>25777.617903588631</v>
      </c>
      <c r="V98" s="17">
        <f t="shared" si="473"/>
        <v>34115.596299970151</v>
      </c>
      <c r="W98" s="17">
        <f t="shared" si="473"/>
        <v>42840.683435715597</v>
      </c>
      <c r="X98" s="17">
        <f t="shared" si="473"/>
        <v>52068.589631070005</v>
      </c>
      <c r="Y98" s="17">
        <f t="shared" si="473"/>
        <v>63485.089718499439</v>
      </c>
      <c r="Z98" s="17">
        <f t="shared" si="473"/>
        <v>76025.325114054998</v>
      </c>
      <c r="AA98" s="17">
        <f t="shared" si="473"/>
        <v>89782.592969624471</v>
      </c>
      <c r="AB98" s="17">
        <f t="shared" si="473"/>
        <v>107343.63350678906</v>
      </c>
      <c r="AC98" s="17">
        <f t="shared" si="473"/>
        <v>130682.25561587827</v>
      </c>
      <c r="AD98" s="17">
        <f t="shared" si="473"/>
        <v>162427.08807870338</v>
      </c>
      <c r="AE98" s="17">
        <f t="shared" si="473"/>
        <v>195196.97953834551</v>
      </c>
      <c r="AF98" s="17">
        <f t="shared" si="473"/>
        <v>137941.38841329963</v>
      </c>
      <c r="AG98" s="17">
        <f t="shared" si="473"/>
        <v>172434.09192539824</v>
      </c>
      <c r="AH98" s="17">
        <f t="shared" si="473"/>
        <v>208300.74362740517</v>
      </c>
      <c r="AI98" s="17">
        <f t="shared" si="473"/>
        <v>244914.02408470132</v>
      </c>
      <c r="AJ98" s="17">
        <f t="shared" si="473"/>
        <v>281732.09052625787</v>
      </c>
      <c r="AK98" s="17">
        <f t="shared" si="473"/>
        <v>319966.10435787117</v>
      </c>
      <c r="AL98" s="17">
        <f t="shared" si="473"/>
        <v>359822.84293201257</v>
      </c>
      <c r="AM98" s="17">
        <f t="shared" si="473"/>
        <v>398148.00167372357</v>
      </c>
      <c r="AN98" s="17">
        <f t="shared" si="473"/>
        <v>435872.59589041525</v>
      </c>
      <c r="AO98" s="17">
        <f t="shared" si="473"/>
        <v>477679.81868736161</v>
      </c>
      <c r="AP98" s="17">
        <f t="shared" si="473"/>
        <v>522678.10112495796</v>
      </c>
      <c r="AQ98" s="17">
        <f t="shared" si="473"/>
        <v>573322.18187466625</v>
      </c>
      <c r="AR98" s="17">
        <f t="shared" si="473"/>
        <v>229487.91145484365</v>
      </c>
      <c r="AS98" s="17">
        <f t="shared" si="473"/>
        <v>284920.26712288079</v>
      </c>
      <c r="AT98" s="17">
        <f t="shared" si="473"/>
        <v>340552.94823184458</v>
      </c>
      <c r="AU98" s="17">
        <f t="shared" si="473"/>
        <v>396145.58127010381</v>
      </c>
      <c r="AV98" s="17">
        <f t="shared" si="473"/>
        <v>451352.72665602679</v>
      </c>
      <c r="AW98" s="17">
        <f t="shared" si="473"/>
        <v>506729.46228479699</v>
      </c>
      <c r="AX98" s="17">
        <f t="shared" si="473"/>
        <v>565684.96128817205</v>
      </c>
      <c r="AY98" s="17">
        <f t="shared" si="473"/>
        <v>625875.652694811</v>
      </c>
      <c r="AZ98" s="17">
        <f t="shared" si="473"/>
        <v>676129.26269481098</v>
      </c>
      <c r="BA98" s="17">
        <f t="shared" si="473"/>
        <v>720930.66269481101</v>
      </c>
      <c r="BB98" s="17">
        <f t="shared" si="473"/>
        <v>762954.12269481097</v>
      </c>
      <c r="BC98" s="17">
        <f t="shared" si="473"/>
        <v>805015.36269481096</v>
      </c>
      <c r="BD98" s="17">
        <f t="shared" si="473"/>
        <v>188394.47120506864</v>
      </c>
      <c r="BE98" s="17">
        <f t="shared" si="473"/>
        <v>225323.46047692004</v>
      </c>
      <c r="BF98" s="17">
        <f t="shared" si="473"/>
        <v>263631.42993801989</v>
      </c>
      <c r="BG98" s="17">
        <f t="shared" si="473"/>
        <v>301027.82941367652</v>
      </c>
      <c r="BH98" s="17">
        <f t="shared" si="473"/>
        <v>337822.64890651277</v>
      </c>
      <c r="BI98" s="17">
        <f t="shared" si="473"/>
        <v>375558.09489070415</v>
      </c>
      <c r="BJ98" s="17">
        <f t="shared" si="473"/>
        <v>411401.77932846494</v>
      </c>
      <c r="BK98" s="17">
        <f t="shared" si="473"/>
        <v>445446.65701039624</v>
      </c>
      <c r="BL98" s="17">
        <f t="shared" ref="BL98:BW98" si="474">BL89+BL97</f>
        <v>0.80701039626728743</v>
      </c>
      <c r="BM98" s="17">
        <f t="shared" si="474"/>
        <v>0.80701039626728743</v>
      </c>
      <c r="BN98" s="17">
        <f t="shared" si="474"/>
        <v>0.80701039626728743</v>
      </c>
      <c r="BO98" s="17">
        <f t="shared" si="474"/>
        <v>0.80701039626728743</v>
      </c>
      <c r="BP98" s="17">
        <f t="shared" si="474"/>
        <v>0.80701039626728743</v>
      </c>
      <c r="BQ98" s="17">
        <f t="shared" si="474"/>
        <v>0.80701039626728743</v>
      </c>
      <c r="BR98" s="17">
        <f t="shared" si="474"/>
        <v>0.80701039626728743</v>
      </c>
      <c r="BS98" s="17">
        <f t="shared" si="474"/>
        <v>0.80701039626728743</v>
      </c>
      <c r="BT98" s="17">
        <f t="shared" si="474"/>
        <v>0.80701039626728743</v>
      </c>
      <c r="BU98" s="17">
        <f t="shared" si="474"/>
        <v>0.80701039626728743</v>
      </c>
      <c r="BV98" s="17">
        <f t="shared" si="474"/>
        <v>0.80701039626728743</v>
      </c>
      <c r="BW98" s="17">
        <f t="shared" si="474"/>
        <v>-2.9896037327126201E-3</v>
      </c>
      <c r="BX98" s="17">
        <f t="shared" ref="BX98:CJ98" si="475">BX89+BX97</f>
        <v>-2.9896037327126201E-3</v>
      </c>
      <c r="BY98" s="17">
        <f t="shared" si="475"/>
        <v>-2.9896037327126201E-3</v>
      </c>
      <c r="BZ98" s="17">
        <f t="shared" si="475"/>
        <v>-2.9896037327126201E-3</v>
      </c>
      <c r="CA98" s="17">
        <f t="shared" si="475"/>
        <v>-2.9896037327126201E-3</v>
      </c>
      <c r="CB98" s="17">
        <f t="shared" si="475"/>
        <v>-2.9896037327126201E-3</v>
      </c>
      <c r="CC98" s="17">
        <f t="shared" si="475"/>
        <v>-2.9896037327126201E-3</v>
      </c>
      <c r="CD98" s="17">
        <f t="shared" si="475"/>
        <v>-2.9896037327126201E-3</v>
      </c>
      <c r="CE98" s="17">
        <f t="shared" si="475"/>
        <v>-2.9896037327126201E-3</v>
      </c>
      <c r="CF98" s="17">
        <f t="shared" si="475"/>
        <v>-2.9896037327126201E-3</v>
      </c>
      <c r="CG98" s="17">
        <f t="shared" si="475"/>
        <v>-2.9896037327126201E-3</v>
      </c>
      <c r="CH98" s="17">
        <f t="shared" si="475"/>
        <v>-2.9896037327126201E-3</v>
      </c>
      <c r="CI98" s="17">
        <f t="shared" si="475"/>
        <v>-2.9896037327126201E-3</v>
      </c>
      <c r="CJ98" s="17">
        <f t="shared" si="475"/>
        <v>-2.9896037327126201E-3</v>
      </c>
      <c r="CK98" s="17">
        <f t="shared" si="473"/>
        <v>-2.9896037327126201E-3</v>
      </c>
      <c r="CL98" s="17">
        <f t="shared" si="473"/>
        <v>-2.9896037327126201E-3</v>
      </c>
      <c r="CM98" s="17">
        <f t="shared" si="473"/>
        <v>-2.9896037327126201E-3</v>
      </c>
      <c r="CN98" s="17">
        <f t="shared" ref="CN98:CY98" si="476">CN89+CN97</f>
        <v>-2.9896037327126201E-3</v>
      </c>
      <c r="CO98" s="17">
        <f t="shared" si="476"/>
        <v>-2.9896037327126201E-3</v>
      </c>
      <c r="CP98" s="17">
        <f t="shared" si="476"/>
        <v>-2.9896037327126201E-3</v>
      </c>
      <c r="CQ98" s="17">
        <f t="shared" si="476"/>
        <v>-2.9896037327126201E-3</v>
      </c>
      <c r="CR98" s="17">
        <f t="shared" si="476"/>
        <v>-2.9896037327126201E-3</v>
      </c>
      <c r="CS98" s="17">
        <f t="shared" si="476"/>
        <v>-2.9896037327126201E-3</v>
      </c>
      <c r="CT98" s="17">
        <f t="shared" si="476"/>
        <v>-2.9896037327126201E-3</v>
      </c>
      <c r="CU98" s="17">
        <f t="shared" si="476"/>
        <v>-2.9896037327126201E-3</v>
      </c>
      <c r="CV98" s="17">
        <f t="shared" si="476"/>
        <v>-2.9896037327126201E-3</v>
      </c>
      <c r="CW98" s="17">
        <f t="shared" si="476"/>
        <v>-2.9896037327126201E-3</v>
      </c>
      <c r="CX98" s="17">
        <f t="shared" si="476"/>
        <v>-2.9896037327126201E-3</v>
      </c>
      <c r="CY98" s="17">
        <f t="shared" si="476"/>
        <v>-2.9896037327126201E-3</v>
      </c>
    </row>
    <row r="99" spans="1:104" x14ac:dyDescent="0.2">
      <c r="F99" s="8"/>
      <c r="CU99" s="8"/>
      <c r="CX99" s="8"/>
      <c r="CY99" s="8"/>
    </row>
    <row r="100" spans="1:104" x14ac:dyDescent="0.2">
      <c r="A100" s="4" t="s">
        <v>205</v>
      </c>
      <c r="C100" s="15">
        <v>18237402</v>
      </c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8"/>
      <c r="CX100" s="8"/>
      <c r="CY100" s="8"/>
    </row>
    <row r="101" spans="1:104" s="25" customFormat="1" x14ac:dyDescent="0.2">
      <c r="A101" s="7"/>
      <c r="B101" s="7" t="s">
        <v>190</v>
      </c>
      <c r="C101" s="15">
        <v>25400802</v>
      </c>
      <c r="D101" s="17">
        <v>0</v>
      </c>
      <c r="E101" s="17">
        <f>D107</f>
        <v>0</v>
      </c>
      <c r="F101" s="17">
        <f t="shared" ref="F101:CM101" si="477">E107</f>
        <v>0</v>
      </c>
      <c r="G101" s="17">
        <f t="shared" si="477"/>
        <v>0</v>
      </c>
      <c r="H101" s="17">
        <f t="shared" si="477"/>
        <v>0</v>
      </c>
      <c r="I101" s="17">
        <f t="shared" si="477"/>
        <v>0</v>
      </c>
      <c r="J101" s="17">
        <f t="shared" si="477"/>
        <v>0</v>
      </c>
      <c r="K101" s="17">
        <f t="shared" si="477"/>
        <v>0</v>
      </c>
      <c r="L101" s="17">
        <f t="shared" si="477"/>
        <v>0</v>
      </c>
      <c r="M101" s="17">
        <f t="shared" si="477"/>
        <v>0</v>
      </c>
      <c r="N101" s="17">
        <f t="shared" si="477"/>
        <v>0</v>
      </c>
      <c r="O101" s="17">
        <f t="shared" si="477"/>
        <v>0</v>
      </c>
      <c r="P101" s="17">
        <f t="shared" si="477"/>
        <v>0</v>
      </c>
      <c r="Q101" s="17">
        <f t="shared" si="477"/>
        <v>0</v>
      </c>
      <c r="R101" s="17">
        <f t="shared" si="477"/>
        <v>0</v>
      </c>
      <c r="S101" s="17">
        <f t="shared" si="477"/>
        <v>0</v>
      </c>
      <c r="T101" s="17">
        <f t="shared" si="477"/>
        <v>0</v>
      </c>
      <c r="U101" s="17">
        <f t="shared" si="477"/>
        <v>0</v>
      </c>
      <c r="V101" s="17">
        <f t="shared" si="477"/>
        <v>0</v>
      </c>
      <c r="W101" s="17">
        <f t="shared" si="477"/>
        <v>0</v>
      </c>
      <c r="X101" s="17">
        <f t="shared" si="477"/>
        <v>0</v>
      </c>
      <c r="Y101" s="17">
        <f t="shared" si="477"/>
        <v>0</v>
      </c>
      <c r="Z101" s="17">
        <f t="shared" si="477"/>
        <v>0</v>
      </c>
      <c r="AA101" s="17">
        <f t="shared" si="477"/>
        <v>0</v>
      </c>
      <c r="AB101" s="17">
        <f t="shared" si="477"/>
        <v>0</v>
      </c>
      <c r="AC101" s="17">
        <f t="shared" si="477"/>
        <v>0</v>
      </c>
      <c r="AD101" s="17">
        <f t="shared" si="477"/>
        <v>0</v>
      </c>
      <c r="AE101" s="17">
        <f t="shared" si="477"/>
        <v>0</v>
      </c>
      <c r="AF101" s="17">
        <f t="shared" si="477"/>
        <v>0</v>
      </c>
      <c r="AG101" s="17">
        <f t="shared" si="477"/>
        <v>0</v>
      </c>
      <c r="AH101" s="17">
        <f t="shared" si="477"/>
        <v>0</v>
      </c>
      <c r="AI101" s="17">
        <f t="shared" si="477"/>
        <v>0</v>
      </c>
      <c r="AJ101" s="17">
        <f t="shared" si="477"/>
        <v>0</v>
      </c>
      <c r="AK101" s="17">
        <f t="shared" si="477"/>
        <v>0</v>
      </c>
      <c r="AL101" s="17">
        <f t="shared" si="477"/>
        <v>0</v>
      </c>
      <c r="AM101" s="17">
        <f t="shared" si="477"/>
        <v>0</v>
      </c>
      <c r="AN101" s="17">
        <f t="shared" si="477"/>
        <v>0</v>
      </c>
      <c r="AO101" s="17">
        <f t="shared" si="477"/>
        <v>0</v>
      </c>
      <c r="AP101" s="17">
        <f t="shared" si="477"/>
        <v>0</v>
      </c>
      <c r="AQ101" s="17">
        <f t="shared" si="477"/>
        <v>0</v>
      </c>
      <c r="AR101" s="17">
        <f t="shared" si="477"/>
        <v>0</v>
      </c>
      <c r="AS101" s="17">
        <f t="shared" si="477"/>
        <v>0</v>
      </c>
      <c r="AT101" s="17">
        <f t="shared" si="477"/>
        <v>0</v>
      </c>
      <c r="AU101" s="17">
        <f t="shared" si="477"/>
        <v>0</v>
      </c>
      <c r="AV101" s="17">
        <f t="shared" si="477"/>
        <v>0</v>
      </c>
      <c r="AW101" s="17">
        <f t="shared" si="477"/>
        <v>0</v>
      </c>
      <c r="AX101" s="17">
        <f t="shared" si="477"/>
        <v>0</v>
      </c>
      <c r="AY101" s="17">
        <f t="shared" si="477"/>
        <v>0</v>
      </c>
      <c r="AZ101" s="17">
        <f t="shared" si="477"/>
        <v>0</v>
      </c>
      <c r="BA101" s="17">
        <f t="shared" si="477"/>
        <v>0</v>
      </c>
      <c r="BB101" s="17">
        <f t="shared" si="477"/>
        <v>0</v>
      </c>
      <c r="BC101" s="17">
        <f t="shared" si="477"/>
        <v>0</v>
      </c>
      <c r="BD101" s="17">
        <f t="shared" si="477"/>
        <v>0</v>
      </c>
      <c r="BE101" s="17">
        <f t="shared" si="477"/>
        <v>0</v>
      </c>
      <c r="BF101" s="17">
        <f t="shared" si="477"/>
        <v>0</v>
      </c>
      <c r="BG101" s="17">
        <f t="shared" si="477"/>
        <v>0</v>
      </c>
      <c r="BH101" s="17">
        <f t="shared" si="477"/>
        <v>0</v>
      </c>
      <c r="BI101" s="17">
        <f t="shared" si="477"/>
        <v>0</v>
      </c>
      <c r="BJ101" s="17">
        <f t="shared" si="477"/>
        <v>0</v>
      </c>
      <c r="BK101" s="17">
        <f t="shared" si="477"/>
        <v>0</v>
      </c>
      <c r="BL101" s="17">
        <f t="shared" ref="BL101" si="478">BK107</f>
        <v>-991.62777672766117</v>
      </c>
      <c r="BM101" s="17">
        <f t="shared" ref="BM101" si="479">BL107</f>
        <v>321178.2947732723</v>
      </c>
      <c r="BN101" s="17">
        <f t="shared" ref="BN101" si="480">BM107</f>
        <v>337213.05477327231</v>
      </c>
      <c r="BO101" s="17">
        <f t="shared" ref="BO101" si="481">BN107</f>
        <v>345163.39477327233</v>
      </c>
      <c r="BP101" s="17">
        <f t="shared" ref="BP101" si="482">BO107</f>
        <v>347032.02477327234</v>
      </c>
      <c r="BQ101" s="17">
        <f t="shared" ref="BQ101" si="483">BP107</f>
        <v>33063.740000000049</v>
      </c>
      <c r="BR101" s="17">
        <f t="shared" ref="BR101" si="484">BQ107</f>
        <v>29120.230000000047</v>
      </c>
      <c r="BS101" s="17">
        <f t="shared" ref="BS101" si="485">BR107</f>
        <v>24564.450000000048</v>
      </c>
      <c r="BT101" s="17">
        <f t="shared" ref="BT101" si="486">BS107</f>
        <v>20057.290000000048</v>
      </c>
      <c r="BU101" s="17">
        <f t="shared" ref="BU101" si="487">BT107</f>
        <v>15295.870000000048</v>
      </c>
      <c r="BV101" s="17">
        <f t="shared" ref="BV101" si="488">BU107</f>
        <v>9769.7900000000482</v>
      </c>
      <c r="BW101" s="17">
        <f t="shared" ref="BW101" si="489">BV107</f>
        <v>3282.7600000000484</v>
      </c>
      <c r="BX101" s="17">
        <f t="shared" ref="BX101" si="490">BW107</f>
        <v>-3949.1799999999512</v>
      </c>
      <c r="BY101" s="17">
        <f t="shared" ref="BY101" si="491">BX107</f>
        <v>-9748.0199999999513</v>
      </c>
      <c r="BZ101" s="17">
        <f t="shared" ref="BZ101" si="492">BY107</f>
        <v>-19369.279999999952</v>
      </c>
      <c r="CA101" s="17">
        <f t="shared" ref="CA101" si="493">BZ107</f>
        <v>-35191.709999999948</v>
      </c>
      <c r="CB101" s="17">
        <f t="shared" ref="CB101" si="494">CA107</f>
        <v>-51644.699999999953</v>
      </c>
      <c r="CC101" s="17">
        <f t="shared" ref="CC101" si="495">CB107</f>
        <v>-63184.240000000005</v>
      </c>
      <c r="CD101" s="17">
        <f t="shared" ref="CD101" si="496">CC107</f>
        <v>-78214.040000000008</v>
      </c>
      <c r="CE101" s="17">
        <f t="shared" ref="CE101" si="497">CD107</f>
        <v>-93538.530000000013</v>
      </c>
      <c r="CF101" s="17">
        <f t="shared" ref="CF101" si="498">CE107</f>
        <v>-109454.51000000001</v>
      </c>
      <c r="CG101" s="17">
        <f t="shared" ref="CG101" si="499">CF107</f>
        <v>-126665.46</v>
      </c>
      <c r="CH101" s="17">
        <f t="shared" ref="CH101" si="500">CG107</f>
        <v>-145299.21000000002</v>
      </c>
      <c r="CI101" s="17">
        <f t="shared" ref="CI101" si="501">CH107</f>
        <v>-161131.14000000001</v>
      </c>
      <c r="CJ101" s="17">
        <f t="shared" ref="CJ101" si="502">CI107</f>
        <v>-173249.65000000002</v>
      </c>
      <c r="CK101" s="17">
        <f t="shared" si="477"/>
        <v>-182367.17</v>
      </c>
      <c r="CL101" s="17">
        <f t="shared" si="477"/>
        <v>-190206.75</v>
      </c>
      <c r="CM101" s="17">
        <f t="shared" si="477"/>
        <v>-197666.6</v>
      </c>
      <c r="CN101" s="17">
        <f t="shared" ref="CN101" si="503">CM107</f>
        <v>-201497.30000000002</v>
      </c>
      <c r="CO101" s="17">
        <f t="shared" ref="CO101" si="504">CN107</f>
        <v>-27456.239999999991</v>
      </c>
      <c r="CP101" s="17">
        <f t="shared" ref="CP101" si="505">CO107</f>
        <v>-24353.489999999991</v>
      </c>
      <c r="CQ101" s="17">
        <f t="shared" ref="CQ101" si="506">CP107</f>
        <v>-21411.479999999989</v>
      </c>
      <c r="CR101" s="17">
        <f t="shared" ref="CR101" si="507">CQ107</f>
        <v>-17312.749999999989</v>
      </c>
      <c r="CS101" s="17">
        <f t="shared" ref="CS101" si="508">CR107</f>
        <v>-11497.249999999989</v>
      </c>
      <c r="CT101" s="17">
        <f t="shared" ref="CT101" si="509">CS107</f>
        <v>-3606.1499999999887</v>
      </c>
      <c r="CU101" s="17">
        <f t="shared" ref="CU101" si="510">CT107</f>
        <v>6195.4400000000114</v>
      </c>
      <c r="CV101" s="17">
        <f t="shared" ref="CV101" si="511">CU107</f>
        <v>20043.220000000012</v>
      </c>
      <c r="CW101" s="17">
        <f t="shared" ref="CW101" si="512">CV107</f>
        <v>40162.720000000016</v>
      </c>
      <c r="CX101" s="17">
        <f t="shared" ref="CX101" si="513">CW107</f>
        <v>62069.510000000017</v>
      </c>
      <c r="CY101" s="17">
        <f t="shared" ref="CY101" si="514">CX107</f>
        <v>62069.510000000017</v>
      </c>
      <c r="CZ101" s="7"/>
    </row>
    <row r="102" spans="1:104" s="25" customFormat="1" x14ac:dyDescent="0.2">
      <c r="B102" s="21" t="s">
        <v>191</v>
      </c>
      <c r="C102" s="26"/>
      <c r="D102" s="23">
        <v>0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v>0</v>
      </c>
      <c r="S102" s="23">
        <v>0</v>
      </c>
      <c r="T102" s="23">
        <v>0</v>
      </c>
      <c r="U102" s="23">
        <v>0</v>
      </c>
      <c r="V102" s="23">
        <v>0</v>
      </c>
      <c r="W102" s="23">
        <v>0</v>
      </c>
      <c r="X102" s="23">
        <v>0</v>
      </c>
      <c r="Y102" s="23">
        <v>0</v>
      </c>
      <c r="Z102" s="23">
        <v>0</v>
      </c>
      <c r="AA102" s="23">
        <v>0</v>
      </c>
      <c r="AB102" s="23">
        <v>0</v>
      </c>
      <c r="AC102" s="23">
        <v>0</v>
      </c>
      <c r="AD102" s="23">
        <v>0</v>
      </c>
      <c r="AE102" s="23">
        <v>0</v>
      </c>
      <c r="AF102" s="23">
        <v>0</v>
      </c>
      <c r="AG102" s="23">
        <v>0</v>
      </c>
      <c r="AH102" s="23">
        <v>0</v>
      </c>
      <c r="AI102" s="23">
        <v>0</v>
      </c>
      <c r="AJ102" s="23">
        <v>0</v>
      </c>
      <c r="AK102" s="23">
        <v>0</v>
      </c>
      <c r="AL102" s="23">
        <v>0</v>
      </c>
      <c r="AM102" s="23">
        <v>0</v>
      </c>
      <c r="AN102" s="23">
        <v>0</v>
      </c>
      <c r="AO102" s="23">
        <v>0</v>
      </c>
      <c r="AP102" s="23">
        <v>0</v>
      </c>
      <c r="AQ102" s="23">
        <v>0</v>
      </c>
      <c r="AR102" s="23">
        <v>0</v>
      </c>
      <c r="AS102" s="23">
        <v>0</v>
      </c>
      <c r="AT102" s="23">
        <v>0</v>
      </c>
      <c r="AU102" s="23">
        <v>0</v>
      </c>
      <c r="AV102" s="23">
        <v>0</v>
      </c>
      <c r="AW102" s="23">
        <v>0</v>
      </c>
      <c r="AX102" s="23">
        <v>0</v>
      </c>
      <c r="AY102" s="23">
        <v>0</v>
      </c>
      <c r="AZ102" s="23">
        <v>0</v>
      </c>
      <c r="BA102" s="23">
        <v>0</v>
      </c>
      <c r="BB102" s="23">
        <v>0</v>
      </c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  <c r="BI102" s="23">
        <v>0</v>
      </c>
      <c r="BJ102" s="23">
        <v>0</v>
      </c>
      <c r="BK102" s="23">
        <v>0</v>
      </c>
      <c r="BL102" s="23">
        <v>0</v>
      </c>
      <c r="BM102" s="23">
        <v>0</v>
      </c>
      <c r="BN102" s="23">
        <v>0</v>
      </c>
      <c r="BO102" s="23">
        <v>0</v>
      </c>
      <c r="BP102" s="23">
        <v>-312156.80477327231</v>
      </c>
      <c r="BQ102" s="23">
        <v>0</v>
      </c>
      <c r="BR102" s="23">
        <v>0</v>
      </c>
      <c r="BS102" s="23">
        <v>0</v>
      </c>
      <c r="BT102" s="23">
        <v>0</v>
      </c>
      <c r="BU102" s="23">
        <v>0</v>
      </c>
      <c r="BV102" s="23">
        <v>0</v>
      </c>
      <c r="BW102" s="23">
        <v>0</v>
      </c>
      <c r="BX102" s="23">
        <v>0</v>
      </c>
      <c r="BY102" s="23">
        <v>0</v>
      </c>
      <c r="BZ102" s="23">
        <v>0</v>
      </c>
      <c r="CA102" s="23">
        <v>0</v>
      </c>
      <c r="CB102" s="23">
        <v>3949.1799999999512</v>
      </c>
      <c r="CC102" s="23">
        <v>0</v>
      </c>
      <c r="CD102" s="23">
        <v>0</v>
      </c>
      <c r="CE102" s="23">
        <v>0</v>
      </c>
      <c r="CF102" s="23">
        <v>0</v>
      </c>
      <c r="CG102" s="23">
        <v>0</v>
      </c>
      <c r="CH102" s="23">
        <v>0</v>
      </c>
      <c r="CI102" s="23">
        <v>0</v>
      </c>
      <c r="CJ102" s="23">
        <v>0</v>
      </c>
      <c r="CK102" s="23">
        <v>0</v>
      </c>
      <c r="CL102" s="23">
        <v>0</v>
      </c>
      <c r="CM102" s="23">
        <v>0</v>
      </c>
      <c r="CN102" s="23">
        <v>173249.65000000002</v>
      </c>
      <c r="CO102" s="23">
        <v>0</v>
      </c>
      <c r="CP102" s="23">
        <v>0</v>
      </c>
      <c r="CQ102" s="23">
        <v>0</v>
      </c>
      <c r="CR102" s="23">
        <v>0</v>
      </c>
      <c r="CS102" s="23">
        <v>0</v>
      </c>
      <c r="CT102" s="23">
        <v>0</v>
      </c>
      <c r="CU102" s="23">
        <v>0</v>
      </c>
      <c r="CV102" s="23">
        <v>0</v>
      </c>
      <c r="CW102" s="23">
        <v>0</v>
      </c>
      <c r="CX102" s="23"/>
      <c r="CY102" s="23"/>
    </row>
    <row r="103" spans="1:104" s="21" customFormat="1" x14ac:dyDescent="0.2">
      <c r="A103" s="25"/>
      <c r="B103" s="21" t="s">
        <v>206</v>
      </c>
      <c r="C103" s="26"/>
      <c r="D103" s="23">
        <v>0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  <c r="R103" s="23">
        <v>0</v>
      </c>
      <c r="S103" s="23">
        <v>0</v>
      </c>
      <c r="T103" s="23">
        <v>0</v>
      </c>
      <c r="U103" s="23">
        <v>0</v>
      </c>
      <c r="V103" s="23">
        <v>0</v>
      </c>
      <c r="W103" s="23">
        <v>0</v>
      </c>
      <c r="X103" s="23">
        <v>0</v>
      </c>
      <c r="Y103" s="23">
        <v>0</v>
      </c>
      <c r="Z103" s="23">
        <v>0</v>
      </c>
      <c r="AA103" s="23">
        <v>0</v>
      </c>
      <c r="AB103" s="23">
        <v>0</v>
      </c>
      <c r="AC103" s="23">
        <v>0</v>
      </c>
      <c r="AD103" s="23">
        <v>0</v>
      </c>
      <c r="AE103" s="23">
        <v>0</v>
      </c>
      <c r="AF103" s="23">
        <v>0</v>
      </c>
      <c r="AG103" s="23">
        <v>0</v>
      </c>
      <c r="AH103" s="23">
        <v>0</v>
      </c>
      <c r="AI103" s="23">
        <v>0</v>
      </c>
      <c r="AJ103" s="23">
        <v>0</v>
      </c>
      <c r="AK103" s="23">
        <v>0</v>
      </c>
      <c r="AL103" s="23">
        <v>0</v>
      </c>
      <c r="AM103" s="23">
        <v>0</v>
      </c>
      <c r="AN103" s="23">
        <v>0</v>
      </c>
      <c r="AO103" s="23">
        <v>0</v>
      </c>
      <c r="AP103" s="23">
        <v>0</v>
      </c>
      <c r="AQ103" s="23">
        <v>0</v>
      </c>
      <c r="AR103" s="23">
        <v>0</v>
      </c>
      <c r="AS103" s="23">
        <v>0</v>
      </c>
      <c r="AT103" s="23">
        <v>0</v>
      </c>
      <c r="AU103" s="23">
        <v>0</v>
      </c>
      <c r="AV103" s="23">
        <v>0</v>
      </c>
      <c r="AW103" s="23">
        <v>0</v>
      </c>
      <c r="AX103" s="23">
        <v>0</v>
      </c>
      <c r="AY103" s="23">
        <v>0</v>
      </c>
      <c r="AZ103" s="23">
        <v>0</v>
      </c>
      <c r="BA103" s="23">
        <v>0</v>
      </c>
      <c r="BB103" s="23">
        <v>0</v>
      </c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  <c r="BI103" s="23">
        <v>0</v>
      </c>
      <c r="BJ103" s="23">
        <v>0</v>
      </c>
      <c r="BK103" s="23">
        <v>0</v>
      </c>
      <c r="BL103" s="23">
        <v>313148.43254999997</v>
      </c>
      <c r="BM103" s="23">
        <v>0</v>
      </c>
      <c r="BN103" s="23">
        <v>0</v>
      </c>
      <c r="BO103" s="23">
        <v>0</v>
      </c>
      <c r="BP103" s="23">
        <v>0</v>
      </c>
      <c r="BQ103" s="23">
        <v>0</v>
      </c>
      <c r="BR103" s="23">
        <v>0</v>
      </c>
      <c r="BS103" s="23">
        <v>0</v>
      </c>
      <c r="BT103" s="23">
        <v>0</v>
      </c>
      <c r="BU103" s="23">
        <v>0</v>
      </c>
      <c r="BV103" s="23">
        <v>0</v>
      </c>
      <c r="BW103" s="23">
        <v>0</v>
      </c>
      <c r="BX103" s="23">
        <v>0</v>
      </c>
      <c r="BY103" s="23">
        <v>0</v>
      </c>
      <c r="BZ103" s="23">
        <v>0</v>
      </c>
      <c r="CA103" s="23">
        <v>0</v>
      </c>
      <c r="CB103" s="23">
        <v>0</v>
      </c>
      <c r="CC103" s="23">
        <v>0</v>
      </c>
      <c r="CD103" s="23">
        <v>0</v>
      </c>
      <c r="CE103" s="23">
        <v>0</v>
      </c>
      <c r="CF103" s="23">
        <v>0</v>
      </c>
      <c r="CG103" s="23">
        <v>0</v>
      </c>
      <c r="CH103" s="23">
        <v>0</v>
      </c>
      <c r="CI103" s="23">
        <v>0</v>
      </c>
      <c r="CJ103" s="23">
        <v>0</v>
      </c>
      <c r="CK103" s="23">
        <v>0</v>
      </c>
      <c r="CL103" s="23">
        <v>0</v>
      </c>
      <c r="CM103" s="23">
        <v>0</v>
      </c>
      <c r="CN103" s="23">
        <v>0</v>
      </c>
      <c r="CO103" s="23">
        <v>0</v>
      </c>
      <c r="CP103" s="23">
        <v>0</v>
      </c>
      <c r="CQ103" s="23">
        <v>0</v>
      </c>
      <c r="CR103" s="23">
        <v>0</v>
      </c>
      <c r="CS103" s="23">
        <v>0</v>
      </c>
      <c r="CT103" s="23">
        <v>0</v>
      </c>
      <c r="CU103" s="23">
        <v>0</v>
      </c>
      <c r="CV103" s="23">
        <v>0</v>
      </c>
      <c r="CW103" s="23">
        <v>0</v>
      </c>
      <c r="CX103" s="23"/>
      <c r="CY103" s="23"/>
      <c r="CZ103" s="25"/>
    </row>
    <row r="104" spans="1:104" s="21" customFormat="1" x14ac:dyDescent="0.2">
      <c r="A104" s="25"/>
      <c r="B104" s="21" t="s">
        <v>447</v>
      </c>
      <c r="C104" s="26"/>
      <c r="D104" s="194">
        <v>0</v>
      </c>
      <c r="E104" s="194">
        <v>0</v>
      </c>
      <c r="F104" s="194">
        <v>0</v>
      </c>
      <c r="G104" s="194">
        <v>0</v>
      </c>
      <c r="H104" s="194">
        <v>0</v>
      </c>
      <c r="I104" s="194">
        <v>0</v>
      </c>
      <c r="J104" s="194">
        <v>0</v>
      </c>
      <c r="K104" s="194">
        <v>0</v>
      </c>
      <c r="L104" s="194">
        <v>0</v>
      </c>
      <c r="M104" s="194">
        <v>0</v>
      </c>
      <c r="N104" s="194">
        <v>0</v>
      </c>
      <c r="O104" s="194">
        <v>0</v>
      </c>
      <c r="P104" s="194">
        <v>0</v>
      </c>
      <c r="Q104" s="194">
        <v>0</v>
      </c>
      <c r="R104" s="194">
        <v>0</v>
      </c>
      <c r="S104" s="194">
        <v>0</v>
      </c>
      <c r="T104" s="194">
        <v>0</v>
      </c>
      <c r="U104" s="194">
        <v>0</v>
      </c>
      <c r="V104" s="194">
        <v>0</v>
      </c>
      <c r="W104" s="194">
        <v>0</v>
      </c>
      <c r="X104" s="194">
        <v>0</v>
      </c>
      <c r="Y104" s="194">
        <v>0</v>
      </c>
      <c r="Z104" s="194">
        <v>0</v>
      </c>
      <c r="AA104" s="194">
        <v>0</v>
      </c>
      <c r="AB104" s="194">
        <v>0</v>
      </c>
      <c r="AC104" s="194">
        <v>0</v>
      </c>
      <c r="AD104" s="194">
        <v>0</v>
      </c>
      <c r="AE104" s="194">
        <v>0</v>
      </c>
      <c r="AF104" s="194">
        <v>0</v>
      </c>
      <c r="AG104" s="194">
        <v>0</v>
      </c>
      <c r="AH104" s="194">
        <v>0</v>
      </c>
      <c r="AI104" s="194">
        <v>0</v>
      </c>
      <c r="AJ104" s="194">
        <v>0</v>
      </c>
      <c r="AK104" s="194">
        <v>0</v>
      </c>
      <c r="AL104" s="194">
        <v>0</v>
      </c>
      <c r="AM104" s="194">
        <v>0</v>
      </c>
      <c r="AN104" s="194">
        <v>0</v>
      </c>
      <c r="AO104" s="194">
        <v>0</v>
      </c>
      <c r="AP104" s="194">
        <v>0</v>
      </c>
      <c r="AQ104" s="194">
        <v>0</v>
      </c>
      <c r="AR104" s="194">
        <v>0</v>
      </c>
      <c r="AS104" s="194">
        <v>0</v>
      </c>
      <c r="AT104" s="194">
        <v>0</v>
      </c>
      <c r="AU104" s="194">
        <v>0</v>
      </c>
      <c r="AV104" s="194">
        <v>0</v>
      </c>
      <c r="AW104" s="194">
        <v>0</v>
      </c>
      <c r="AX104" s="194">
        <v>0</v>
      </c>
      <c r="AY104" s="194">
        <v>0</v>
      </c>
      <c r="AZ104" s="194">
        <v>0</v>
      </c>
      <c r="BA104" s="194">
        <v>0</v>
      </c>
      <c r="BB104" s="194">
        <v>0</v>
      </c>
      <c r="BC104" s="194">
        <v>0</v>
      </c>
      <c r="BD104" s="194">
        <v>0</v>
      </c>
      <c r="BE104" s="194">
        <v>0</v>
      </c>
      <c r="BF104" s="194">
        <v>0</v>
      </c>
      <c r="BG104" s="194">
        <v>0</v>
      </c>
      <c r="BH104" s="194">
        <v>0</v>
      </c>
      <c r="BI104" s="194">
        <v>0</v>
      </c>
      <c r="BJ104" s="194">
        <v>0</v>
      </c>
      <c r="BK104" s="194">
        <v>0</v>
      </c>
      <c r="BL104" s="194">
        <v>0</v>
      </c>
      <c r="BM104" s="194">
        <v>0</v>
      </c>
      <c r="BN104" s="194">
        <v>0</v>
      </c>
      <c r="BO104" s="194">
        <v>0</v>
      </c>
      <c r="BP104" s="194">
        <v>0</v>
      </c>
      <c r="BQ104" s="194">
        <v>0</v>
      </c>
      <c r="BR104" s="194">
        <v>0</v>
      </c>
      <c r="BS104" s="194">
        <v>0</v>
      </c>
      <c r="BT104" s="194">
        <v>0</v>
      </c>
      <c r="BU104" s="194">
        <v>0</v>
      </c>
      <c r="BV104" s="194">
        <v>0</v>
      </c>
      <c r="BW104" s="194">
        <v>0</v>
      </c>
      <c r="BX104" s="194">
        <v>0</v>
      </c>
      <c r="BY104" s="194">
        <v>0</v>
      </c>
      <c r="BZ104" s="194">
        <v>0</v>
      </c>
      <c r="CA104" s="194">
        <v>0</v>
      </c>
      <c r="CB104" s="194">
        <v>0</v>
      </c>
      <c r="CC104" s="194">
        <v>0</v>
      </c>
      <c r="CD104" s="194">
        <v>0</v>
      </c>
      <c r="CE104" s="194">
        <v>0</v>
      </c>
      <c r="CF104" s="194">
        <v>0</v>
      </c>
      <c r="CG104" s="194">
        <v>0</v>
      </c>
      <c r="CH104" s="194">
        <v>0</v>
      </c>
      <c r="CI104" s="194">
        <v>0</v>
      </c>
      <c r="CJ104" s="194">
        <v>0</v>
      </c>
      <c r="CK104" s="194">
        <v>0</v>
      </c>
      <c r="CL104" s="194">
        <v>0</v>
      </c>
      <c r="CM104" s="23">
        <v>-126.28</v>
      </c>
      <c r="CN104" s="23">
        <v>0</v>
      </c>
      <c r="CO104" s="23">
        <v>0</v>
      </c>
      <c r="CP104" s="23">
        <v>0</v>
      </c>
      <c r="CQ104" s="23">
        <v>0</v>
      </c>
      <c r="CR104" s="23">
        <v>0</v>
      </c>
      <c r="CS104" s="23">
        <v>0</v>
      </c>
      <c r="CT104" s="23">
        <v>0</v>
      </c>
      <c r="CU104" s="23">
        <v>0</v>
      </c>
      <c r="CV104" s="23">
        <v>0</v>
      </c>
      <c r="CW104" s="23">
        <v>0</v>
      </c>
      <c r="CX104" s="23"/>
      <c r="CY104" s="23"/>
      <c r="CZ104" s="25"/>
    </row>
    <row r="105" spans="1:104" x14ac:dyDescent="0.2">
      <c r="A105" s="21"/>
      <c r="B105" s="21" t="s">
        <v>204</v>
      </c>
      <c r="D105" s="23">
        <v>0</v>
      </c>
      <c r="E105" s="23">
        <v>0</v>
      </c>
      <c r="F105" s="23">
        <v>0</v>
      </c>
      <c r="G105" s="23">
        <v>0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  <c r="S105" s="23">
        <v>0</v>
      </c>
      <c r="T105" s="23">
        <v>0</v>
      </c>
      <c r="U105" s="23">
        <v>0</v>
      </c>
      <c r="V105" s="23">
        <v>0</v>
      </c>
      <c r="W105" s="23">
        <v>0</v>
      </c>
      <c r="X105" s="23">
        <v>0</v>
      </c>
      <c r="Y105" s="23">
        <v>0</v>
      </c>
      <c r="Z105" s="23">
        <v>0</v>
      </c>
      <c r="AA105" s="23">
        <v>0</v>
      </c>
      <c r="AB105" s="23">
        <v>0</v>
      </c>
      <c r="AC105" s="23">
        <v>0</v>
      </c>
      <c r="AD105" s="23">
        <v>0</v>
      </c>
      <c r="AE105" s="23">
        <v>0</v>
      </c>
      <c r="AF105" s="23">
        <v>0</v>
      </c>
      <c r="AG105" s="23">
        <v>0</v>
      </c>
      <c r="AH105" s="23">
        <v>0</v>
      </c>
      <c r="AI105" s="23">
        <v>0</v>
      </c>
      <c r="AJ105" s="23">
        <v>0</v>
      </c>
      <c r="AK105" s="23">
        <v>0</v>
      </c>
      <c r="AL105" s="23">
        <v>0</v>
      </c>
      <c r="AM105" s="23">
        <v>0</v>
      </c>
      <c r="AN105" s="23">
        <v>0</v>
      </c>
      <c r="AO105" s="23">
        <v>0</v>
      </c>
      <c r="AP105" s="23">
        <v>0</v>
      </c>
      <c r="AQ105" s="23">
        <v>0</v>
      </c>
      <c r="AR105" s="23">
        <v>0</v>
      </c>
      <c r="AS105" s="23">
        <v>0</v>
      </c>
      <c r="AT105" s="23">
        <v>0</v>
      </c>
      <c r="AU105" s="23">
        <v>0</v>
      </c>
      <c r="AV105" s="23">
        <v>0</v>
      </c>
      <c r="AW105" s="23">
        <v>0</v>
      </c>
      <c r="AX105" s="23">
        <v>0</v>
      </c>
      <c r="AY105" s="23">
        <v>0</v>
      </c>
      <c r="AZ105" s="23">
        <v>0</v>
      </c>
      <c r="BA105" s="23">
        <v>0</v>
      </c>
      <c r="BB105" s="23">
        <v>0</v>
      </c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  <c r="BI105" s="23">
        <v>0</v>
      </c>
      <c r="BJ105" s="23">
        <v>0</v>
      </c>
      <c r="BK105" s="23">
        <v>-991.62777672766117</v>
      </c>
      <c r="BL105" s="23">
        <v>9021.49</v>
      </c>
      <c r="BM105" s="23">
        <v>16034.76</v>
      </c>
      <c r="BN105" s="23">
        <v>7950.34</v>
      </c>
      <c r="BO105" s="23">
        <v>1868.63</v>
      </c>
      <c r="BP105" s="23">
        <v>-1811.48</v>
      </c>
      <c r="BQ105" s="23">
        <v>-3943.51</v>
      </c>
      <c r="BR105" s="23">
        <v>-4555.78</v>
      </c>
      <c r="BS105" s="23">
        <v>-4507.16</v>
      </c>
      <c r="BT105" s="23">
        <v>-4761.42</v>
      </c>
      <c r="BU105" s="23">
        <v>-5526.08</v>
      </c>
      <c r="BV105" s="23">
        <v>-6487.03</v>
      </c>
      <c r="BW105" s="23">
        <v>-7231.94</v>
      </c>
      <c r="BX105" s="23">
        <v>-5798.84</v>
      </c>
      <c r="BY105" s="23">
        <v>-9621.26</v>
      </c>
      <c r="BZ105" s="23">
        <v>-15822.43</v>
      </c>
      <c r="CA105" s="23">
        <v>-16452.990000000002</v>
      </c>
      <c r="CB105" s="23">
        <v>-15488.72</v>
      </c>
      <c r="CC105" s="23">
        <v>-15029.8</v>
      </c>
      <c r="CD105" s="23">
        <v>-15324.49</v>
      </c>
      <c r="CE105" s="23">
        <v>-15915.98</v>
      </c>
      <c r="CF105" s="23">
        <v>-17210.95</v>
      </c>
      <c r="CG105" s="23">
        <v>-18633.75</v>
      </c>
      <c r="CH105" s="23">
        <v>-15831.93</v>
      </c>
      <c r="CI105" s="23">
        <v>-12118.51</v>
      </c>
      <c r="CJ105" s="22">
        <f>'Sch31&amp;31T Deferral Calc'!C16</f>
        <v>-9117.52</v>
      </c>
      <c r="CK105" s="22">
        <f>'Sch31&amp;31T Deferral Calc'!D16</f>
        <v>-7839.58</v>
      </c>
      <c r="CL105" s="22">
        <f>'Sch31&amp;31T Deferral Calc'!E16</f>
        <v>-7459.85</v>
      </c>
      <c r="CM105" s="22">
        <f>'Sch31&amp;31T Deferral Calc'!F16</f>
        <v>-3704.42</v>
      </c>
      <c r="CN105" s="22">
        <f>'Sch31&amp;31T Deferral Calc'!G16</f>
        <v>791.41</v>
      </c>
      <c r="CO105" s="22">
        <f>'Sch31&amp;31T Deferral Calc'!H16</f>
        <v>3102.75</v>
      </c>
      <c r="CP105" s="22">
        <f>'Sch31&amp;31T Deferral Calc'!I16</f>
        <v>2942.01</v>
      </c>
      <c r="CQ105" s="22">
        <f>'Sch31&amp;31T Deferral Calc'!J16</f>
        <v>4098.7299999999996</v>
      </c>
      <c r="CR105" s="22">
        <f>'Sch31&amp;31T Deferral Calc'!K16</f>
        <v>5815.5</v>
      </c>
      <c r="CS105" s="22">
        <f>'Sch31&amp;31T Deferral Calc'!L16</f>
        <v>7891.1</v>
      </c>
      <c r="CT105" s="22">
        <f>'Sch31&amp;31T Deferral Calc'!M16</f>
        <v>9801.59</v>
      </c>
      <c r="CU105" s="22">
        <f>'Sch31&amp;31T Deferral Calc'!N16</f>
        <v>13847.78</v>
      </c>
      <c r="CV105" s="22">
        <f>'Sch31&amp;31T Deferral Calc'!O16</f>
        <v>20119.5</v>
      </c>
      <c r="CW105" s="22">
        <f>'Sch31&amp;31T Deferral Calc'!P16</f>
        <v>21906.79</v>
      </c>
      <c r="CX105" s="22"/>
      <c r="CY105" s="22"/>
      <c r="CZ105" s="21"/>
    </row>
    <row r="106" spans="1:104" x14ac:dyDescent="0.2">
      <c r="B106" s="7" t="s">
        <v>193</v>
      </c>
      <c r="D106" s="24">
        <f t="shared" ref="D106:CM106" si="515">SUM(D102:D105)</f>
        <v>0</v>
      </c>
      <c r="E106" s="24">
        <f t="shared" si="515"/>
        <v>0</v>
      </c>
      <c r="F106" s="24">
        <f t="shared" si="515"/>
        <v>0</v>
      </c>
      <c r="G106" s="24">
        <f t="shared" si="515"/>
        <v>0</v>
      </c>
      <c r="H106" s="24">
        <f t="shared" si="515"/>
        <v>0</v>
      </c>
      <c r="I106" s="24">
        <f t="shared" si="515"/>
        <v>0</v>
      </c>
      <c r="J106" s="24">
        <f t="shared" si="515"/>
        <v>0</v>
      </c>
      <c r="K106" s="24">
        <f t="shared" si="515"/>
        <v>0</v>
      </c>
      <c r="L106" s="24">
        <f t="shared" si="515"/>
        <v>0</v>
      </c>
      <c r="M106" s="24">
        <f t="shared" si="515"/>
        <v>0</v>
      </c>
      <c r="N106" s="24">
        <f t="shared" si="515"/>
        <v>0</v>
      </c>
      <c r="O106" s="24">
        <f t="shared" si="515"/>
        <v>0</v>
      </c>
      <c r="P106" s="24">
        <f t="shared" si="515"/>
        <v>0</v>
      </c>
      <c r="Q106" s="24">
        <f t="shared" si="515"/>
        <v>0</v>
      </c>
      <c r="R106" s="24">
        <f t="shared" si="515"/>
        <v>0</v>
      </c>
      <c r="S106" s="24">
        <f t="shared" si="515"/>
        <v>0</v>
      </c>
      <c r="T106" s="24">
        <f t="shared" si="515"/>
        <v>0</v>
      </c>
      <c r="U106" s="24">
        <f t="shared" si="515"/>
        <v>0</v>
      </c>
      <c r="V106" s="24">
        <f t="shared" si="515"/>
        <v>0</v>
      </c>
      <c r="W106" s="24">
        <f t="shared" si="515"/>
        <v>0</v>
      </c>
      <c r="X106" s="24">
        <f t="shared" si="515"/>
        <v>0</v>
      </c>
      <c r="Y106" s="24">
        <f t="shared" si="515"/>
        <v>0</v>
      </c>
      <c r="Z106" s="24">
        <f t="shared" si="515"/>
        <v>0</v>
      </c>
      <c r="AA106" s="24">
        <f t="shared" si="515"/>
        <v>0</v>
      </c>
      <c r="AB106" s="24">
        <f t="shared" si="515"/>
        <v>0</v>
      </c>
      <c r="AC106" s="24">
        <f t="shared" si="515"/>
        <v>0</v>
      </c>
      <c r="AD106" s="24">
        <f t="shared" si="515"/>
        <v>0</v>
      </c>
      <c r="AE106" s="24">
        <f t="shared" si="515"/>
        <v>0</v>
      </c>
      <c r="AF106" s="24">
        <f t="shared" si="515"/>
        <v>0</v>
      </c>
      <c r="AG106" s="24">
        <f t="shared" si="515"/>
        <v>0</v>
      </c>
      <c r="AH106" s="24">
        <f t="shared" si="515"/>
        <v>0</v>
      </c>
      <c r="AI106" s="24">
        <f t="shared" si="515"/>
        <v>0</v>
      </c>
      <c r="AJ106" s="24">
        <f t="shared" si="515"/>
        <v>0</v>
      </c>
      <c r="AK106" s="24">
        <f t="shared" si="515"/>
        <v>0</v>
      </c>
      <c r="AL106" s="24">
        <f t="shared" si="515"/>
        <v>0</v>
      </c>
      <c r="AM106" s="24">
        <f t="shared" si="515"/>
        <v>0</v>
      </c>
      <c r="AN106" s="24">
        <f t="shared" si="515"/>
        <v>0</v>
      </c>
      <c r="AO106" s="24">
        <f t="shared" si="515"/>
        <v>0</v>
      </c>
      <c r="AP106" s="24">
        <f t="shared" si="515"/>
        <v>0</v>
      </c>
      <c r="AQ106" s="24">
        <f t="shared" si="515"/>
        <v>0</v>
      </c>
      <c r="AR106" s="24">
        <f t="shared" si="515"/>
        <v>0</v>
      </c>
      <c r="AS106" s="24">
        <f t="shared" si="515"/>
        <v>0</v>
      </c>
      <c r="AT106" s="24">
        <f t="shared" si="515"/>
        <v>0</v>
      </c>
      <c r="AU106" s="24">
        <f t="shared" si="515"/>
        <v>0</v>
      </c>
      <c r="AV106" s="24">
        <f t="shared" si="515"/>
        <v>0</v>
      </c>
      <c r="AW106" s="24">
        <f t="shared" si="515"/>
        <v>0</v>
      </c>
      <c r="AX106" s="24">
        <f t="shared" si="515"/>
        <v>0</v>
      </c>
      <c r="AY106" s="24">
        <f t="shared" si="515"/>
        <v>0</v>
      </c>
      <c r="AZ106" s="24">
        <f t="shared" si="515"/>
        <v>0</v>
      </c>
      <c r="BA106" s="24">
        <f t="shared" si="515"/>
        <v>0</v>
      </c>
      <c r="BB106" s="24">
        <f t="shared" si="515"/>
        <v>0</v>
      </c>
      <c r="BC106" s="24">
        <f t="shared" si="515"/>
        <v>0</v>
      </c>
      <c r="BD106" s="24">
        <f t="shared" si="515"/>
        <v>0</v>
      </c>
      <c r="BE106" s="24">
        <f t="shared" si="515"/>
        <v>0</v>
      </c>
      <c r="BF106" s="24">
        <f t="shared" si="515"/>
        <v>0</v>
      </c>
      <c r="BG106" s="24">
        <f t="shared" si="515"/>
        <v>0</v>
      </c>
      <c r="BH106" s="24">
        <f t="shared" si="515"/>
        <v>0</v>
      </c>
      <c r="BI106" s="24">
        <f t="shared" si="515"/>
        <v>0</v>
      </c>
      <c r="BJ106" s="24">
        <f t="shared" si="515"/>
        <v>0</v>
      </c>
      <c r="BK106" s="24">
        <f t="shared" si="515"/>
        <v>-991.62777672766117</v>
      </c>
      <c r="BL106" s="24">
        <f t="shared" ref="BL106:BW106" si="516">SUM(BL102:BL105)</f>
        <v>322169.92254999996</v>
      </c>
      <c r="BM106" s="24">
        <f t="shared" si="516"/>
        <v>16034.76</v>
      </c>
      <c r="BN106" s="24">
        <f t="shared" si="516"/>
        <v>7950.34</v>
      </c>
      <c r="BO106" s="24">
        <f t="shared" si="516"/>
        <v>1868.63</v>
      </c>
      <c r="BP106" s="24">
        <f t="shared" si="516"/>
        <v>-313968.28477327229</v>
      </c>
      <c r="BQ106" s="24">
        <f t="shared" si="516"/>
        <v>-3943.51</v>
      </c>
      <c r="BR106" s="24">
        <f t="shared" si="516"/>
        <v>-4555.78</v>
      </c>
      <c r="BS106" s="24">
        <f t="shared" si="516"/>
        <v>-4507.16</v>
      </c>
      <c r="BT106" s="24">
        <f t="shared" si="516"/>
        <v>-4761.42</v>
      </c>
      <c r="BU106" s="24">
        <f t="shared" si="516"/>
        <v>-5526.08</v>
      </c>
      <c r="BV106" s="24">
        <f t="shared" si="516"/>
        <v>-6487.03</v>
      </c>
      <c r="BW106" s="24">
        <f t="shared" si="516"/>
        <v>-7231.94</v>
      </c>
      <c r="BX106" s="24">
        <f t="shared" ref="BX106:CJ106" si="517">SUM(BX102:BX105)</f>
        <v>-5798.84</v>
      </c>
      <c r="BY106" s="24">
        <f t="shared" si="517"/>
        <v>-9621.26</v>
      </c>
      <c r="BZ106" s="24">
        <f t="shared" si="517"/>
        <v>-15822.43</v>
      </c>
      <c r="CA106" s="24">
        <f t="shared" si="517"/>
        <v>-16452.990000000002</v>
      </c>
      <c r="CB106" s="24">
        <f t="shared" si="517"/>
        <v>-11539.540000000048</v>
      </c>
      <c r="CC106" s="24">
        <f t="shared" si="517"/>
        <v>-15029.8</v>
      </c>
      <c r="CD106" s="24">
        <f t="shared" si="517"/>
        <v>-15324.49</v>
      </c>
      <c r="CE106" s="24">
        <f t="shared" si="517"/>
        <v>-15915.98</v>
      </c>
      <c r="CF106" s="24">
        <f t="shared" si="517"/>
        <v>-17210.95</v>
      </c>
      <c r="CG106" s="24">
        <f t="shared" si="517"/>
        <v>-18633.75</v>
      </c>
      <c r="CH106" s="24">
        <f t="shared" si="517"/>
        <v>-15831.93</v>
      </c>
      <c r="CI106" s="24">
        <f t="shared" si="517"/>
        <v>-12118.51</v>
      </c>
      <c r="CJ106" s="24">
        <f t="shared" si="517"/>
        <v>-9117.52</v>
      </c>
      <c r="CK106" s="24">
        <f t="shared" si="515"/>
        <v>-7839.58</v>
      </c>
      <c r="CL106" s="24">
        <f t="shared" si="515"/>
        <v>-7459.85</v>
      </c>
      <c r="CM106" s="24">
        <f t="shared" si="515"/>
        <v>-3830.7000000000003</v>
      </c>
      <c r="CN106" s="24">
        <f t="shared" ref="CN106:CT106" si="518">SUM(CN102:CN105)</f>
        <v>174041.06000000003</v>
      </c>
      <c r="CO106" s="24">
        <f t="shared" si="518"/>
        <v>3102.75</v>
      </c>
      <c r="CP106" s="24">
        <f t="shared" si="518"/>
        <v>2942.01</v>
      </c>
      <c r="CQ106" s="24">
        <f t="shared" si="518"/>
        <v>4098.7299999999996</v>
      </c>
      <c r="CR106" s="24">
        <f t="shared" si="518"/>
        <v>5815.5</v>
      </c>
      <c r="CS106" s="24">
        <f t="shared" si="518"/>
        <v>7891.1</v>
      </c>
      <c r="CT106" s="24">
        <f t="shared" si="518"/>
        <v>9801.59</v>
      </c>
      <c r="CU106" s="24">
        <f t="shared" ref="CU106:CY106" si="519">SUM(CU102:CU105)</f>
        <v>13847.78</v>
      </c>
      <c r="CV106" s="24">
        <f t="shared" si="519"/>
        <v>20119.5</v>
      </c>
      <c r="CW106" s="24">
        <f t="shared" si="519"/>
        <v>21906.79</v>
      </c>
      <c r="CX106" s="24">
        <f t="shared" si="519"/>
        <v>0</v>
      </c>
      <c r="CY106" s="24">
        <f t="shared" si="519"/>
        <v>0</v>
      </c>
    </row>
    <row r="107" spans="1:104" x14ac:dyDescent="0.2">
      <c r="B107" s="7" t="s">
        <v>194</v>
      </c>
      <c r="D107" s="17">
        <f>D101+D106</f>
        <v>0</v>
      </c>
      <c r="E107" s="17">
        <f t="shared" ref="E107:CM107" si="520">E101+E106</f>
        <v>0</v>
      </c>
      <c r="F107" s="17">
        <f t="shared" si="520"/>
        <v>0</v>
      </c>
      <c r="G107" s="17">
        <f t="shared" si="520"/>
        <v>0</v>
      </c>
      <c r="H107" s="17">
        <f t="shared" si="520"/>
        <v>0</v>
      </c>
      <c r="I107" s="17">
        <f t="shared" si="520"/>
        <v>0</v>
      </c>
      <c r="J107" s="17">
        <f t="shared" si="520"/>
        <v>0</v>
      </c>
      <c r="K107" s="17">
        <f t="shared" si="520"/>
        <v>0</v>
      </c>
      <c r="L107" s="17">
        <f t="shared" si="520"/>
        <v>0</v>
      </c>
      <c r="M107" s="17">
        <f t="shared" si="520"/>
        <v>0</v>
      </c>
      <c r="N107" s="17">
        <f t="shared" si="520"/>
        <v>0</v>
      </c>
      <c r="O107" s="17">
        <f t="shared" si="520"/>
        <v>0</v>
      </c>
      <c r="P107" s="17">
        <f t="shared" si="520"/>
        <v>0</v>
      </c>
      <c r="Q107" s="17">
        <f t="shared" si="520"/>
        <v>0</v>
      </c>
      <c r="R107" s="17">
        <f t="shared" si="520"/>
        <v>0</v>
      </c>
      <c r="S107" s="17">
        <f t="shared" si="520"/>
        <v>0</v>
      </c>
      <c r="T107" s="17">
        <f t="shared" si="520"/>
        <v>0</v>
      </c>
      <c r="U107" s="17">
        <f t="shared" si="520"/>
        <v>0</v>
      </c>
      <c r="V107" s="17">
        <f t="shared" si="520"/>
        <v>0</v>
      </c>
      <c r="W107" s="17">
        <f t="shared" si="520"/>
        <v>0</v>
      </c>
      <c r="X107" s="17">
        <f t="shared" si="520"/>
        <v>0</v>
      </c>
      <c r="Y107" s="17">
        <f t="shared" si="520"/>
        <v>0</v>
      </c>
      <c r="Z107" s="17">
        <f t="shared" si="520"/>
        <v>0</v>
      </c>
      <c r="AA107" s="17">
        <f t="shared" si="520"/>
        <v>0</v>
      </c>
      <c r="AB107" s="17">
        <f t="shared" si="520"/>
        <v>0</v>
      </c>
      <c r="AC107" s="17">
        <f t="shared" si="520"/>
        <v>0</v>
      </c>
      <c r="AD107" s="17">
        <f t="shared" si="520"/>
        <v>0</v>
      </c>
      <c r="AE107" s="17">
        <f t="shared" si="520"/>
        <v>0</v>
      </c>
      <c r="AF107" s="17">
        <f t="shared" si="520"/>
        <v>0</v>
      </c>
      <c r="AG107" s="17">
        <f t="shared" si="520"/>
        <v>0</v>
      </c>
      <c r="AH107" s="17">
        <f t="shared" si="520"/>
        <v>0</v>
      </c>
      <c r="AI107" s="17">
        <f t="shared" si="520"/>
        <v>0</v>
      </c>
      <c r="AJ107" s="17">
        <f t="shared" si="520"/>
        <v>0</v>
      </c>
      <c r="AK107" s="17">
        <f t="shared" si="520"/>
        <v>0</v>
      </c>
      <c r="AL107" s="17">
        <f t="shared" si="520"/>
        <v>0</v>
      </c>
      <c r="AM107" s="17">
        <f t="shared" si="520"/>
        <v>0</v>
      </c>
      <c r="AN107" s="17">
        <f t="shared" si="520"/>
        <v>0</v>
      </c>
      <c r="AO107" s="17">
        <f t="shared" si="520"/>
        <v>0</v>
      </c>
      <c r="AP107" s="17">
        <f t="shared" si="520"/>
        <v>0</v>
      </c>
      <c r="AQ107" s="17">
        <f t="shared" si="520"/>
        <v>0</v>
      </c>
      <c r="AR107" s="17">
        <f t="shared" si="520"/>
        <v>0</v>
      </c>
      <c r="AS107" s="17">
        <f t="shared" si="520"/>
        <v>0</v>
      </c>
      <c r="AT107" s="17">
        <f t="shared" si="520"/>
        <v>0</v>
      </c>
      <c r="AU107" s="17">
        <f t="shared" si="520"/>
        <v>0</v>
      </c>
      <c r="AV107" s="17">
        <f t="shared" si="520"/>
        <v>0</v>
      </c>
      <c r="AW107" s="17">
        <f t="shared" si="520"/>
        <v>0</v>
      </c>
      <c r="AX107" s="17">
        <f t="shared" si="520"/>
        <v>0</v>
      </c>
      <c r="AY107" s="17">
        <f t="shared" si="520"/>
        <v>0</v>
      </c>
      <c r="AZ107" s="17">
        <f t="shared" si="520"/>
        <v>0</v>
      </c>
      <c r="BA107" s="17">
        <f t="shared" si="520"/>
        <v>0</v>
      </c>
      <c r="BB107" s="17">
        <f t="shared" si="520"/>
        <v>0</v>
      </c>
      <c r="BC107" s="17">
        <f t="shared" si="520"/>
        <v>0</v>
      </c>
      <c r="BD107" s="17">
        <f t="shared" si="520"/>
        <v>0</v>
      </c>
      <c r="BE107" s="17">
        <f t="shared" si="520"/>
        <v>0</v>
      </c>
      <c r="BF107" s="17">
        <f t="shared" si="520"/>
        <v>0</v>
      </c>
      <c r="BG107" s="17">
        <f t="shared" si="520"/>
        <v>0</v>
      </c>
      <c r="BH107" s="17">
        <f t="shared" si="520"/>
        <v>0</v>
      </c>
      <c r="BI107" s="17">
        <f t="shared" si="520"/>
        <v>0</v>
      </c>
      <c r="BJ107" s="17">
        <f t="shared" si="520"/>
        <v>0</v>
      </c>
      <c r="BK107" s="17">
        <f t="shared" si="520"/>
        <v>-991.62777672766117</v>
      </c>
      <c r="BL107" s="17">
        <f t="shared" ref="BL107:BW107" si="521">BL101+BL106</f>
        <v>321178.2947732723</v>
      </c>
      <c r="BM107" s="17">
        <f t="shared" si="521"/>
        <v>337213.05477327231</v>
      </c>
      <c r="BN107" s="17">
        <f t="shared" si="521"/>
        <v>345163.39477327233</v>
      </c>
      <c r="BO107" s="17">
        <f t="shared" si="521"/>
        <v>347032.02477327234</v>
      </c>
      <c r="BP107" s="17">
        <f t="shared" si="521"/>
        <v>33063.740000000049</v>
      </c>
      <c r="BQ107" s="17">
        <f t="shared" si="521"/>
        <v>29120.230000000047</v>
      </c>
      <c r="BR107" s="17">
        <f t="shared" si="521"/>
        <v>24564.450000000048</v>
      </c>
      <c r="BS107" s="17">
        <f t="shared" si="521"/>
        <v>20057.290000000048</v>
      </c>
      <c r="BT107" s="17">
        <f t="shared" si="521"/>
        <v>15295.870000000048</v>
      </c>
      <c r="BU107" s="17">
        <f t="shared" si="521"/>
        <v>9769.7900000000482</v>
      </c>
      <c r="BV107" s="17">
        <f t="shared" si="521"/>
        <v>3282.7600000000484</v>
      </c>
      <c r="BW107" s="17">
        <f t="shared" si="521"/>
        <v>-3949.1799999999512</v>
      </c>
      <c r="BX107" s="17">
        <f t="shared" ref="BX107:CJ107" si="522">BX101+BX106</f>
        <v>-9748.0199999999513</v>
      </c>
      <c r="BY107" s="17">
        <f t="shared" si="522"/>
        <v>-19369.279999999952</v>
      </c>
      <c r="BZ107" s="17">
        <f t="shared" si="522"/>
        <v>-35191.709999999948</v>
      </c>
      <c r="CA107" s="17">
        <f t="shared" si="522"/>
        <v>-51644.699999999953</v>
      </c>
      <c r="CB107" s="17">
        <f t="shared" si="522"/>
        <v>-63184.240000000005</v>
      </c>
      <c r="CC107" s="17">
        <f t="shared" si="522"/>
        <v>-78214.040000000008</v>
      </c>
      <c r="CD107" s="17">
        <f t="shared" si="522"/>
        <v>-93538.530000000013</v>
      </c>
      <c r="CE107" s="17">
        <f t="shared" si="522"/>
        <v>-109454.51000000001</v>
      </c>
      <c r="CF107" s="17">
        <f t="shared" si="522"/>
        <v>-126665.46</v>
      </c>
      <c r="CG107" s="17">
        <f t="shared" si="522"/>
        <v>-145299.21000000002</v>
      </c>
      <c r="CH107" s="17">
        <f t="shared" si="522"/>
        <v>-161131.14000000001</v>
      </c>
      <c r="CI107" s="17">
        <f t="shared" si="522"/>
        <v>-173249.65000000002</v>
      </c>
      <c r="CJ107" s="17">
        <f t="shared" si="522"/>
        <v>-182367.17</v>
      </c>
      <c r="CK107" s="17">
        <f t="shared" si="520"/>
        <v>-190206.75</v>
      </c>
      <c r="CL107" s="17">
        <f t="shared" si="520"/>
        <v>-197666.6</v>
      </c>
      <c r="CM107" s="17">
        <f t="shared" si="520"/>
        <v>-201497.30000000002</v>
      </c>
      <c r="CN107" s="17">
        <f t="shared" ref="CN107:CT107" si="523">CN101+CN106</f>
        <v>-27456.239999999991</v>
      </c>
      <c r="CO107" s="17">
        <f t="shared" si="523"/>
        <v>-24353.489999999991</v>
      </c>
      <c r="CP107" s="17">
        <f t="shared" si="523"/>
        <v>-21411.479999999989</v>
      </c>
      <c r="CQ107" s="17">
        <f t="shared" si="523"/>
        <v>-17312.749999999989</v>
      </c>
      <c r="CR107" s="17">
        <f t="shared" si="523"/>
        <v>-11497.249999999989</v>
      </c>
      <c r="CS107" s="17">
        <f t="shared" si="523"/>
        <v>-3606.1499999999887</v>
      </c>
      <c r="CT107" s="17">
        <f t="shared" si="523"/>
        <v>6195.4400000000114</v>
      </c>
      <c r="CU107" s="17">
        <f t="shared" ref="CU107:CY107" si="524">CU101+CU106</f>
        <v>20043.220000000012</v>
      </c>
      <c r="CV107" s="17">
        <f t="shared" si="524"/>
        <v>40162.720000000016</v>
      </c>
      <c r="CW107" s="17">
        <f t="shared" si="524"/>
        <v>62069.510000000017</v>
      </c>
      <c r="CX107" s="17">
        <f t="shared" si="524"/>
        <v>62069.510000000017</v>
      </c>
      <c r="CY107" s="17">
        <f t="shared" si="524"/>
        <v>62069.510000000017</v>
      </c>
    </row>
    <row r="108" spans="1:104" x14ac:dyDescent="0.2"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  <c r="AC108" s="129"/>
      <c r="AD108" s="129"/>
      <c r="AE108" s="129"/>
      <c r="AF108" s="129"/>
      <c r="AG108" s="129"/>
      <c r="AH108" s="129"/>
      <c r="AI108" s="129"/>
      <c r="AJ108" s="129"/>
      <c r="AK108" s="129"/>
      <c r="AL108" s="129"/>
      <c r="AM108" s="129"/>
      <c r="AN108" s="129"/>
      <c r="AO108" s="129"/>
      <c r="AP108" s="129"/>
      <c r="AQ108" s="129"/>
      <c r="AR108" s="129"/>
      <c r="AS108" s="129"/>
      <c r="AT108" s="129"/>
      <c r="AU108" s="129"/>
      <c r="AV108" s="129"/>
      <c r="AW108" s="129"/>
      <c r="AX108" s="129"/>
      <c r="AY108" s="129"/>
      <c r="AZ108" s="129"/>
      <c r="BA108" s="129"/>
      <c r="BB108" s="129"/>
      <c r="BC108" s="129"/>
      <c r="BD108" s="129"/>
      <c r="BE108" s="129"/>
      <c r="BF108" s="129"/>
      <c r="BG108" s="129"/>
      <c r="BH108" s="129"/>
      <c r="BI108" s="129"/>
      <c r="BJ108" s="129"/>
      <c r="BK108" s="129"/>
      <c r="BL108" s="129"/>
      <c r="BM108" s="129"/>
      <c r="BN108" s="129"/>
      <c r="BO108" s="129"/>
      <c r="BP108" s="129"/>
      <c r="BQ108" s="129"/>
      <c r="BR108" s="129"/>
      <c r="BS108" s="129"/>
      <c r="BT108" s="129"/>
      <c r="BU108" s="129"/>
      <c r="BV108" s="129"/>
      <c r="BW108" s="129"/>
      <c r="BX108" s="129"/>
      <c r="BY108" s="129"/>
      <c r="BZ108" s="129"/>
      <c r="CA108" s="129"/>
      <c r="CB108" s="129"/>
      <c r="CC108" s="129"/>
      <c r="CD108" s="129"/>
      <c r="CE108" s="129"/>
      <c r="CF108" s="129"/>
      <c r="CG108" s="129"/>
      <c r="CH108" s="129"/>
      <c r="CI108" s="129"/>
      <c r="CJ108" s="129"/>
      <c r="CK108" s="129"/>
      <c r="CL108" s="129"/>
      <c r="CM108" s="129"/>
      <c r="CN108" s="129"/>
      <c r="CO108" s="129"/>
      <c r="CP108" s="129"/>
      <c r="CQ108" s="129"/>
      <c r="CR108" s="129"/>
      <c r="CS108" s="129"/>
      <c r="CT108" s="129"/>
      <c r="CU108" s="17"/>
      <c r="CV108" s="17"/>
      <c r="CW108" s="17"/>
      <c r="CX108" s="17"/>
      <c r="CY108" s="17"/>
    </row>
    <row r="109" spans="1:104" x14ac:dyDescent="0.2">
      <c r="A109" s="4" t="s">
        <v>207</v>
      </c>
      <c r="C109" s="15">
        <v>18237412</v>
      </c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8"/>
      <c r="CX109" s="8"/>
      <c r="CY109" s="8"/>
    </row>
    <row r="110" spans="1:104" x14ac:dyDescent="0.2">
      <c r="B110" s="7" t="s">
        <v>190</v>
      </c>
      <c r="C110" s="15">
        <v>25400812</v>
      </c>
      <c r="D110" s="17">
        <v>0</v>
      </c>
      <c r="E110" s="17">
        <f>D116</f>
        <v>0</v>
      </c>
      <c r="F110" s="17">
        <f t="shared" ref="F110:CM110" si="525">E116</f>
        <v>0</v>
      </c>
      <c r="G110" s="17">
        <f t="shared" si="525"/>
        <v>0</v>
      </c>
      <c r="H110" s="17">
        <f t="shared" si="525"/>
        <v>0</v>
      </c>
      <c r="I110" s="17">
        <f t="shared" si="525"/>
        <v>0</v>
      </c>
      <c r="J110" s="17">
        <f t="shared" si="525"/>
        <v>0</v>
      </c>
      <c r="K110" s="17">
        <f t="shared" si="525"/>
        <v>0</v>
      </c>
      <c r="L110" s="17">
        <f t="shared" si="525"/>
        <v>0</v>
      </c>
      <c r="M110" s="17">
        <f t="shared" si="525"/>
        <v>0</v>
      </c>
      <c r="N110" s="17">
        <f t="shared" si="525"/>
        <v>0</v>
      </c>
      <c r="O110" s="17">
        <f t="shared" si="525"/>
        <v>0</v>
      </c>
      <c r="P110" s="17">
        <f t="shared" si="525"/>
        <v>0</v>
      </c>
      <c r="Q110" s="17">
        <f t="shared" si="525"/>
        <v>0</v>
      </c>
      <c r="R110" s="17">
        <f t="shared" si="525"/>
        <v>0</v>
      </c>
      <c r="S110" s="17">
        <f t="shared" si="525"/>
        <v>0</v>
      </c>
      <c r="T110" s="17">
        <f t="shared" si="525"/>
        <v>0</v>
      </c>
      <c r="U110" s="17">
        <f t="shared" si="525"/>
        <v>0</v>
      </c>
      <c r="V110" s="17">
        <f t="shared" si="525"/>
        <v>0</v>
      </c>
      <c r="W110" s="17">
        <f t="shared" si="525"/>
        <v>0</v>
      </c>
      <c r="X110" s="17">
        <f t="shared" si="525"/>
        <v>0</v>
      </c>
      <c r="Y110" s="17">
        <f t="shared" si="525"/>
        <v>0</v>
      </c>
      <c r="Z110" s="17">
        <f t="shared" si="525"/>
        <v>0</v>
      </c>
      <c r="AA110" s="17">
        <f t="shared" si="525"/>
        <v>0</v>
      </c>
      <c r="AB110" s="17">
        <f t="shared" si="525"/>
        <v>0</v>
      </c>
      <c r="AC110" s="17">
        <f t="shared" si="525"/>
        <v>0</v>
      </c>
      <c r="AD110" s="17">
        <f t="shared" si="525"/>
        <v>0</v>
      </c>
      <c r="AE110" s="17">
        <f t="shared" si="525"/>
        <v>0</v>
      </c>
      <c r="AF110" s="17">
        <f t="shared" si="525"/>
        <v>0</v>
      </c>
      <c r="AG110" s="17">
        <f t="shared" si="525"/>
        <v>0</v>
      </c>
      <c r="AH110" s="17">
        <f t="shared" si="525"/>
        <v>0</v>
      </c>
      <c r="AI110" s="17">
        <f t="shared" si="525"/>
        <v>0</v>
      </c>
      <c r="AJ110" s="17">
        <f t="shared" si="525"/>
        <v>0</v>
      </c>
      <c r="AK110" s="17">
        <f t="shared" si="525"/>
        <v>0</v>
      </c>
      <c r="AL110" s="17">
        <f t="shared" si="525"/>
        <v>0</v>
      </c>
      <c r="AM110" s="17">
        <f t="shared" si="525"/>
        <v>0</v>
      </c>
      <c r="AN110" s="17">
        <f t="shared" si="525"/>
        <v>0</v>
      </c>
      <c r="AO110" s="17">
        <f t="shared" si="525"/>
        <v>0</v>
      </c>
      <c r="AP110" s="17">
        <f t="shared" si="525"/>
        <v>0</v>
      </c>
      <c r="AQ110" s="17">
        <f t="shared" si="525"/>
        <v>0</v>
      </c>
      <c r="AR110" s="17">
        <f t="shared" si="525"/>
        <v>0</v>
      </c>
      <c r="AS110" s="17">
        <f t="shared" si="525"/>
        <v>0</v>
      </c>
      <c r="AT110" s="17">
        <f t="shared" si="525"/>
        <v>0</v>
      </c>
      <c r="AU110" s="17">
        <f t="shared" si="525"/>
        <v>0</v>
      </c>
      <c r="AV110" s="17">
        <f t="shared" si="525"/>
        <v>0</v>
      </c>
      <c r="AW110" s="17">
        <f t="shared" si="525"/>
        <v>0</v>
      </c>
      <c r="AX110" s="17">
        <f t="shared" si="525"/>
        <v>0</v>
      </c>
      <c r="AY110" s="17">
        <f t="shared" si="525"/>
        <v>0</v>
      </c>
      <c r="AZ110" s="17">
        <f t="shared" si="525"/>
        <v>0</v>
      </c>
      <c r="BA110" s="17">
        <f t="shared" si="525"/>
        <v>0</v>
      </c>
      <c r="BB110" s="17">
        <f t="shared" si="525"/>
        <v>0</v>
      </c>
      <c r="BC110" s="17">
        <f t="shared" si="525"/>
        <v>0</v>
      </c>
      <c r="BD110" s="17">
        <f t="shared" si="525"/>
        <v>0</v>
      </c>
      <c r="BE110" s="17">
        <f t="shared" si="525"/>
        <v>0</v>
      </c>
      <c r="BF110" s="17">
        <f t="shared" si="525"/>
        <v>0</v>
      </c>
      <c r="BG110" s="17">
        <f t="shared" si="525"/>
        <v>0</v>
      </c>
      <c r="BH110" s="17">
        <f t="shared" si="525"/>
        <v>0</v>
      </c>
      <c r="BI110" s="17">
        <f t="shared" si="525"/>
        <v>0</v>
      </c>
      <c r="BJ110" s="17">
        <f t="shared" si="525"/>
        <v>0</v>
      </c>
      <c r="BK110" s="17">
        <f t="shared" si="525"/>
        <v>0</v>
      </c>
      <c r="BL110" s="17">
        <f t="shared" ref="BL110" si="526">BK116</f>
        <v>98.070075554343177</v>
      </c>
      <c r="BM110" s="17">
        <f t="shared" ref="BM110" si="527">BL116</f>
        <v>137536.97752555431</v>
      </c>
      <c r="BN110" s="17">
        <f t="shared" ref="BN110" si="528">BM116</f>
        <v>146888.17752555432</v>
      </c>
      <c r="BO110" s="17">
        <f t="shared" ref="BO110" si="529">BN116</f>
        <v>155654.83752555432</v>
      </c>
      <c r="BP110" s="17">
        <f t="shared" ref="BP110" si="530">BO116</f>
        <v>164542.10752555431</v>
      </c>
      <c r="BQ110" s="17">
        <f t="shared" ref="BQ110" si="531">BP116</f>
        <v>39624.929999999993</v>
      </c>
      <c r="BR110" s="17">
        <f t="shared" ref="BR110" si="532">BQ116</f>
        <v>45815.789999999994</v>
      </c>
      <c r="BS110" s="17">
        <f t="shared" ref="BS110" si="533">BR116</f>
        <v>52144.289999999994</v>
      </c>
      <c r="BT110" s="17">
        <f t="shared" ref="BT110" si="534">BS116</f>
        <v>57107.34</v>
      </c>
      <c r="BU110" s="17">
        <f t="shared" ref="BU110" si="535">BT116</f>
        <v>60134.53</v>
      </c>
      <c r="BV110" s="17">
        <f t="shared" ref="BV110" si="536">BU116</f>
        <v>62701.85</v>
      </c>
      <c r="BW110" s="17">
        <f t="shared" ref="BW110" si="537">BV116</f>
        <v>64801.32</v>
      </c>
      <c r="BX110" s="17">
        <f t="shared" ref="BX110" si="538">BW116</f>
        <v>66607.31</v>
      </c>
      <c r="BY110" s="17">
        <f t="shared" ref="BY110" si="539">BX116</f>
        <v>68490.02</v>
      </c>
      <c r="BZ110" s="17">
        <f t="shared" ref="BZ110" si="540">BY116</f>
        <v>70035.360000000001</v>
      </c>
      <c r="CA110" s="17">
        <f t="shared" ref="CA110" si="541">BZ116</f>
        <v>71039.28</v>
      </c>
      <c r="CB110" s="17">
        <f t="shared" ref="CB110" si="542">CA116</f>
        <v>71551.539999999994</v>
      </c>
      <c r="CC110" s="17">
        <f t="shared" ref="CC110" si="543">CB116</f>
        <v>4597.179999999993</v>
      </c>
      <c r="CD110" s="17">
        <f t="shared" ref="CD110" si="544">CC116</f>
        <v>2654.1499999999933</v>
      </c>
      <c r="CE110" s="17">
        <f t="shared" ref="CE110" si="545">CD116</f>
        <v>-693.25000000000682</v>
      </c>
      <c r="CF110" s="17">
        <f t="shared" ref="CF110" si="546">CE116</f>
        <v>-4859.4200000000073</v>
      </c>
      <c r="CG110" s="17">
        <f t="shared" ref="CG110" si="547">CF116</f>
        <v>-10110.790000000008</v>
      </c>
      <c r="CH110" s="17">
        <f t="shared" ref="CH110" si="548">CG116</f>
        <v>-16054.950000000008</v>
      </c>
      <c r="CI110" s="17">
        <f t="shared" ref="CI110" si="549">CH116</f>
        <v>-22352.960000000006</v>
      </c>
      <c r="CJ110" s="17">
        <f t="shared" ref="CJ110" si="550">CI116</f>
        <v>-28618.620000000006</v>
      </c>
      <c r="CK110" s="17">
        <f t="shared" si="525"/>
        <v>-34177.590000000004</v>
      </c>
      <c r="CL110" s="17">
        <f t="shared" si="525"/>
        <v>-40426.850000000006</v>
      </c>
      <c r="CM110" s="17">
        <f t="shared" si="525"/>
        <v>-46935.16</v>
      </c>
      <c r="CN110" s="17">
        <f t="shared" ref="CN110" si="551">CM116</f>
        <v>-52925.090000000004</v>
      </c>
      <c r="CO110" s="17">
        <f t="shared" ref="CO110" si="552">CN116</f>
        <v>-29979.219999999998</v>
      </c>
      <c r="CP110" s="17">
        <f t="shared" ref="CP110" si="553">CO116</f>
        <v>-37063.43</v>
      </c>
      <c r="CQ110" s="17">
        <f t="shared" ref="CQ110" si="554">CP116</f>
        <v>-43415.82</v>
      </c>
      <c r="CR110" s="17">
        <f t="shared" ref="CR110" si="555">CQ116</f>
        <v>-50315.68</v>
      </c>
      <c r="CS110" s="17">
        <f t="shared" ref="CS110" si="556">CR116</f>
        <v>-57567.08</v>
      </c>
      <c r="CT110" s="17">
        <f t="shared" ref="CT110" si="557">CS116</f>
        <v>-64646.340000000004</v>
      </c>
      <c r="CU110" s="17">
        <f t="shared" ref="CU110" si="558">CT116</f>
        <v>-71710.37000000001</v>
      </c>
      <c r="CV110" s="17">
        <f t="shared" ref="CV110" si="559">CU116</f>
        <v>-78166.700000000012</v>
      </c>
      <c r="CW110" s="17">
        <f t="shared" ref="CW110" si="560">CV116</f>
        <v>-83593.63</v>
      </c>
      <c r="CX110" s="17">
        <f t="shared" ref="CX110" si="561">CW116</f>
        <v>-88478.36</v>
      </c>
      <c r="CY110" s="17">
        <f t="shared" ref="CY110" si="562">CX116</f>
        <v>-88478.36</v>
      </c>
    </row>
    <row r="111" spans="1:104" x14ac:dyDescent="0.2">
      <c r="A111" s="25"/>
      <c r="B111" s="21" t="s">
        <v>191</v>
      </c>
      <c r="C111" s="26"/>
      <c r="D111" s="23">
        <v>0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  <c r="R111" s="23">
        <v>0</v>
      </c>
      <c r="S111" s="23">
        <v>0</v>
      </c>
      <c r="T111" s="23">
        <v>0</v>
      </c>
      <c r="U111" s="23">
        <v>0</v>
      </c>
      <c r="V111" s="23">
        <v>0</v>
      </c>
      <c r="W111" s="23">
        <v>0</v>
      </c>
      <c r="X111" s="23">
        <v>0</v>
      </c>
      <c r="Y111" s="23">
        <v>0</v>
      </c>
      <c r="Z111" s="23">
        <v>0</v>
      </c>
      <c r="AA111" s="23">
        <v>0</v>
      </c>
      <c r="AB111" s="23">
        <v>0</v>
      </c>
      <c r="AC111" s="23">
        <v>0</v>
      </c>
      <c r="AD111" s="23">
        <v>0</v>
      </c>
      <c r="AE111" s="23">
        <v>0</v>
      </c>
      <c r="AF111" s="23">
        <v>0</v>
      </c>
      <c r="AG111" s="23">
        <v>0</v>
      </c>
      <c r="AH111" s="23">
        <v>0</v>
      </c>
      <c r="AI111" s="23">
        <v>0</v>
      </c>
      <c r="AJ111" s="23">
        <v>0</v>
      </c>
      <c r="AK111" s="23">
        <v>0</v>
      </c>
      <c r="AL111" s="23">
        <v>0</v>
      </c>
      <c r="AM111" s="23">
        <v>0</v>
      </c>
      <c r="AN111" s="23">
        <v>0</v>
      </c>
      <c r="AO111" s="23">
        <v>0</v>
      </c>
      <c r="AP111" s="23">
        <v>0</v>
      </c>
      <c r="AQ111" s="23">
        <v>0</v>
      </c>
      <c r="AR111" s="23">
        <v>0</v>
      </c>
      <c r="AS111" s="23">
        <v>0</v>
      </c>
      <c r="AT111" s="23">
        <v>0</v>
      </c>
      <c r="AU111" s="23">
        <v>0</v>
      </c>
      <c r="AV111" s="23">
        <v>0</v>
      </c>
      <c r="AW111" s="23">
        <v>0</v>
      </c>
      <c r="AX111" s="23">
        <v>0</v>
      </c>
      <c r="AY111" s="23">
        <v>0</v>
      </c>
      <c r="AZ111" s="23">
        <v>0</v>
      </c>
      <c r="BA111" s="23">
        <v>0</v>
      </c>
      <c r="BB111" s="23">
        <v>0</v>
      </c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  <c r="BI111" s="23">
        <v>0</v>
      </c>
      <c r="BJ111" s="23">
        <v>0</v>
      </c>
      <c r="BK111" s="23">
        <v>0</v>
      </c>
      <c r="BL111" s="23">
        <v>0</v>
      </c>
      <c r="BM111" s="23">
        <v>0</v>
      </c>
      <c r="BN111" s="23">
        <v>0</v>
      </c>
      <c r="BO111" s="23">
        <v>0</v>
      </c>
      <c r="BP111" s="23">
        <v>-132395.48752555432</v>
      </c>
      <c r="BQ111" s="23">
        <v>0</v>
      </c>
      <c r="BR111" s="23">
        <v>0</v>
      </c>
      <c r="BS111" s="23">
        <v>0</v>
      </c>
      <c r="BT111" s="23">
        <v>0</v>
      </c>
      <c r="BU111" s="23">
        <v>0</v>
      </c>
      <c r="BV111" s="23">
        <v>0</v>
      </c>
      <c r="BW111" s="23">
        <v>0</v>
      </c>
      <c r="BX111" s="23">
        <v>0</v>
      </c>
      <c r="BY111" s="23">
        <v>0</v>
      </c>
      <c r="BZ111" s="23">
        <v>0</v>
      </c>
      <c r="CA111" s="23">
        <v>0</v>
      </c>
      <c r="CB111" s="23">
        <v>-66607.31</v>
      </c>
      <c r="CC111" s="23">
        <v>0</v>
      </c>
      <c r="CD111" s="23">
        <v>0</v>
      </c>
      <c r="CE111" s="23">
        <v>0</v>
      </c>
      <c r="CF111" s="23">
        <v>0</v>
      </c>
      <c r="CG111" s="23">
        <v>0</v>
      </c>
      <c r="CH111" s="23">
        <v>0</v>
      </c>
      <c r="CI111" s="23">
        <v>0</v>
      </c>
      <c r="CJ111" s="23">
        <v>0</v>
      </c>
      <c r="CK111" s="23">
        <v>0</v>
      </c>
      <c r="CL111" s="23">
        <v>0</v>
      </c>
      <c r="CM111" s="23">
        <v>0</v>
      </c>
      <c r="CN111" s="23">
        <v>28618.620000000006</v>
      </c>
      <c r="CO111" s="20">
        <v>0</v>
      </c>
      <c r="CP111" s="20">
        <v>0</v>
      </c>
      <c r="CQ111" s="20">
        <v>0</v>
      </c>
      <c r="CR111" s="20">
        <v>0</v>
      </c>
      <c r="CS111" s="20">
        <v>0</v>
      </c>
      <c r="CT111" s="20">
        <v>0</v>
      </c>
      <c r="CU111" s="20">
        <v>0</v>
      </c>
      <c r="CV111" s="20">
        <v>0</v>
      </c>
      <c r="CW111" s="20">
        <v>0</v>
      </c>
      <c r="CX111" s="20"/>
      <c r="CY111" s="20"/>
    </row>
    <row r="112" spans="1:104" x14ac:dyDescent="0.2">
      <c r="A112" s="25"/>
      <c r="B112" s="21" t="s">
        <v>206</v>
      </c>
      <c r="C112" s="26"/>
      <c r="D112" s="23">
        <v>0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0</v>
      </c>
      <c r="T112" s="23">
        <v>0</v>
      </c>
      <c r="U112" s="23">
        <v>0</v>
      </c>
      <c r="V112" s="23">
        <v>0</v>
      </c>
      <c r="W112" s="23">
        <v>0</v>
      </c>
      <c r="X112" s="23">
        <v>0</v>
      </c>
      <c r="Y112" s="23">
        <v>0</v>
      </c>
      <c r="Z112" s="23">
        <v>0</v>
      </c>
      <c r="AA112" s="23">
        <v>0</v>
      </c>
      <c r="AB112" s="23">
        <v>0</v>
      </c>
      <c r="AC112" s="23">
        <v>0</v>
      </c>
      <c r="AD112" s="23">
        <v>0</v>
      </c>
      <c r="AE112" s="23">
        <v>0</v>
      </c>
      <c r="AF112" s="23">
        <v>0</v>
      </c>
      <c r="AG112" s="23">
        <v>0</v>
      </c>
      <c r="AH112" s="23">
        <v>0</v>
      </c>
      <c r="AI112" s="23">
        <v>0</v>
      </c>
      <c r="AJ112" s="23">
        <v>0</v>
      </c>
      <c r="AK112" s="23">
        <v>0</v>
      </c>
      <c r="AL112" s="23">
        <v>0</v>
      </c>
      <c r="AM112" s="23">
        <v>0</v>
      </c>
      <c r="AN112" s="23">
        <v>0</v>
      </c>
      <c r="AO112" s="23">
        <v>0</v>
      </c>
      <c r="AP112" s="23">
        <v>0</v>
      </c>
      <c r="AQ112" s="23">
        <v>0</v>
      </c>
      <c r="AR112" s="23">
        <v>0</v>
      </c>
      <c r="AS112" s="23">
        <v>0</v>
      </c>
      <c r="AT112" s="23">
        <v>0</v>
      </c>
      <c r="AU112" s="23">
        <v>0</v>
      </c>
      <c r="AV112" s="23">
        <v>0</v>
      </c>
      <c r="AW112" s="23">
        <v>0</v>
      </c>
      <c r="AX112" s="23">
        <v>0</v>
      </c>
      <c r="AY112" s="23">
        <v>0</v>
      </c>
      <c r="AZ112" s="23">
        <v>0</v>
      </c>
      <c r="BA112" s="23">
        <v>0</v>
      </c>
      <c r="BB112" s="23">
        <v>0</v>
      </c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  <c r="BI112" s="23">
        <v>0</v>
      </c>
      <c r="BJ112" s="23">
        <v>0</v>
      </c>
      <c r="BK112" s="23">
        <v>0</v>
      </c>
      <c r="BL112" s="23">
        <v>132297.41744999998</v>
      </c>
      <c r="BM112" s="23">
        <v>0</v>
      </c>
      <c r="BN112" s="23">
        <v>0</v>
      </c>
      <c r="BO112" s="23">
        <v>0</v>
      </c>
      <c r="BP112" s="23">
        <v>0</v>
      </c>
      <c r="BQ112" s="23">
        <v>0</v>
      </c>
      <c r="BR112" s="23">
        <v>0</v>
      </c>
      <c r="BS112" s="23">
        <v>0</v>
      </c>
      <c r="BT112" s="23">
        <v>0</v>
      </c>
      <c r="BU112" s="23">
        <v>0</v>
      </c>
      <c r="BV112" s="23">
        <v>0</v>
      </c>
      <c r="BW112" s="23">
        <v>0</v>
      </c>
      <c r="BX112" s="23">
        <v>0</v>
      </c>
      <c r="BY112" s="23">
        <v>0</v>
      </c>
      <c r="BZ112" s="23">
        <v>0</v>
      </c>
      <c r="CA112" s="23">
        <v>0</v>
      </c>
      <c r="CB112" s="23">
        <v>0</v>
      </c>
      <c r="CC112" s="23">
        <v>0</v>
      </c>
      <c r="CD112" s="23">
        <v>0</v>
      </c>
      <c r="CE112" s="23">
        <v>0</v>
      </c>
      <c r="CF112" s="23">
        <v>0</v>
      </c>
      <c r="CG112" s="23">
        <v>0</v>
      </c>
      <c r="CH112" s="23">
        <v>0</v>
      </c>
      <c r="CI112" s="23">
        <v>0</v>
      </c>
      <c r="CJ112" s="23">
        <v>0</v>
      </c>
      <c r="CK112" s="23">
        <v>0</v>
      </c>
      <c r="CL112" s="23">
        <v>0</v>
      </c>
      <c r="CM112" s="23">
        <v>0</v>
      </c>
      <c r="CN112" s="23">
        <v>0</v>
      </c>
      <c r="CO112" s="20">
        <v>0</v>
      </c>
      <c r="CP112" s="20">
        <v>0</v>
      </c>
      <c r="CQ112" s="20">
        <v>0</v>
      </c>
      <c r="CR112" s="20">
        <v>0</v>
      </c>
      <c r="CS112" s="20">
        <v>0</v>
      </c>
      <c r="CT112" s="20">
        <v>0</v>
      </c>
      <c r="CU112" s="20">
        <v>0</v>
      </c>
      <c r="CV112" s="20">
        <v>0</v>
      </c>
      <c r="CW112" s="20">
        <v>0</v>
      </c>
      <c r="CX112" s="20"/>
      <c r="CY112" s="20"/>
    </row>
    <row r="113" spans="1:104" s="21" customFormat="1" x14ac:dyDescent="0.2">
      <c r="A113" s="25"/>
      <c r="B113" s="21" t="s">
        <v>447</v>
      </c>
      <c r="C113" s="26"/>
      <c r="D113" s="194">
        <v>0</v>
      </c>
      <c r="E113" s="194">
        <v>0</v>
      </c>
      <c r="F113" s="194">
        <v>0</v>
      </c>
      <c r="G113" s="194">
        <v>0</v>
      </c>
      <c r="H113" s="194">
        <v>0</v>
      </c>
      <c r="I113" s="194">
        <v>0</v>
      </c>
      <c r="J113" s="194">
        <v>0</v>
      </c>
      <c r="K113" s="194">
        <v>0</v>
      </c>
      <c r="L113" s="194">
        <v>0</v>
      </c>
      <c r="M113" s="194">
        <v>0</v>
      </c>
      <c r="N113" s="194">
        <v>0</v>
      </c>
      <c r="O113" s="194">
        <v>0</v>
      </c>
      <c r="P113" s="194">
        <v>0</v>
      </c>
      <c r="Q113" s="194">
        <v>0</v>
      </c>
      <c r="R113" s="194">
        <v>0</v>
      </c>
      <c r="S113" s="194">
        <v>0</v>
      </c>
      <c r="T113" s="194">
        <v>0</v>
      </c>
      <c r="U113" s="194">
        <v>0</v>
      </c>
      <c r="V113" s="194">
        <v>0</v>
      </c>
      <c r="W113" s="194">
        <v>0</v>
      </c>
      <c r="X113" s="194">
        <v>0</v>
      </c>
      <c r="Y113" s="194">
        <v>0</v>
      </c>
      <c r="Z113" s="194">
        <v>0</v>
      </c>
      <c r="AA113" s="194">
        <v>0</v>
      </c>
      <c r="AB113" s="194">
        <v>0</v>
      </c>
      <c r="AC113" s="194">
        <v>0</v>
      </c>
      <c r="AD113" s="194">
        <v>0</v>
      </c>
      <c r="AE113" s="194">
        <v>0</v>
      </c>
      <c r="AF113" s="194">
        <v>0</v>
      </c>
      <c r="AG113" s="194">
        <v>0</v>
      </c>
      <c r="AH113" s="194">
        <v>0</v>
      </c>
      <c r="AI113" s="194">
        <v>0</v>
      </c>
      <c r="AJ113" s="194">
        <v>0</v>
      </c>
      <c r="AK113" s="194">
        <v>0</v>
      </c>
      <c r="AL113" s="194">
        <v>0</v>
      </c>
      <c r="AM113" s="194">
        <v>0</v>
      </c>
      <c r="AN113" s="194">
        <v>0</v>
      </c>
      <c r="AO113" s="194">
        <v>0</v>
      </c>
      <c r="AP113" s="194">
        <v>0</v>
      </c>
      <c r="AQ113" s="194">
        <v>0</v>
      </c>
      <c r="AR113" s="194">
        <v>0</v>
      </c>
      <c r="AS113" s="194">
        <v>0</v>
      </c>
      <c r="AT113" s="194">
        <v>0</v>
      </c>
      <c r="AU113" s="194">
        <v>0</v>
      </c>
      <c r="AV113" s="194">
        <v>0</v>
      </c>
      <c r="AW113" s="194">
        <v>0</v>
      </c>
      <c r="AX113" s="194">
        <v>0</v>
      </c>
      <c r="AY113" s="194">
        <v>0</v>
      </c>
      <c r="AZ113" s="194">
        <v>0</v>
      </c>
      <c r="BA113" s="194">
        <v>0</v>
      </c>
      <c r="BB113" s="194">
        <v>0</v>
      </c>
      <c r="BC113" s="194">
        <v>0</v>
      </c>
      <c r="BD113" s="194">
        <v>0</v>
      </c>
      <c r="BE113" s="194">
        <v>0</v>
      </c>
      <c r="BF113" s="194">
        <v>0</v>
      </c>
      <c r="BG113" s="194">
        <v>0</v>
      </c>
      <c r="BH113" s="194">
        <v>0</v>
      </c>
      <c r="BI113" s="194">
        <v>0</v>
      </c>
      <c r="BJ113" s="194">
        <v>0</v>
      </c>
      <c r="BK113" s="194">
        <v>0</v>
      </c>
      <c r="BL113" s="194">
        <v>0</v>
      </c>
      <c r="BM113" s="194">
        <v>0</v>
      </c>
      <c r="BN113" s="194">
        <v>0</v>
      </c>
      <c r="BO113" s="194">
        <v>0</v>
      </c>
      <c r="BP113" s="194">
        <v>0</v>
      </c>
      <c r="BQ113" s="194">
        <v>0</v>
      </c>
      <c r="BR113" s="194">
        <v>0</v>
      </c>
      <c r="BS113" s="194">
        <v>0</v>
      </c>
      <c r="BT113" s="194">
        <v>0</v>
      </c>
      <c r="BU113" s="194">
        <v>0</v>
      </c>
      <c r="BV113" s="194">
        <v>0</v>
      </c>
      <c r="BW113" s="194">
        <v>0</v>
      </c>
      <c r="BX113" s="194">
        <v>0</v>
      </c>
      <c r="BY113" s="194">
        <v>0</v>
      </c>
      <c r="BZ113" s="194">
        <v>0</v>
      </c>
      <c r="CA113" s="194">
        <v>0</v>
      </c>
      <c r="CB113" s="194">
        <v>0</v>
      </c>
      <c r="CC113" s="194">
        <v>0</v>
      </c>
      <c r="CD113" s="194">
        <v>0</v>
      </c>
      <c r="CE113" s="194">
        <v>0</v>
      </c>
      <c r="CF113" s="194">
        <v>0</v>
      </c>
      <c r="CG113" s="194">
        <v>0</v>
      </c>
      <c r="CH113" s="194">
        <v>0</v>
      </c>
      <c r="CI113" s="194">
        <v>0</v>
      </c>
      <c r="CJ113" s="194">
        <v>0</v>
      </c>
      <c r="CK113" s="194">
        <v>0</v>
      </c>
      <c r="CL113" s="194">
        <v>0</v>
      </c>
      <c r="CM113" s="23">
        <v>-361.81</v>
      </c>
      <c r="CN113" s="23">
        <v>0</v>
      </c>
      <c r="CO113" s="23">
        <v>0</v>
      </c>
      <c r="CP113" s="23">
        <v>0</v>
      </c>
      <c r="CQ113" s="23">
        <v>0</v>
      </c>
      <c r="CR113" s="23">
        <v>0</v>
      </c>
      <c r="CS113" s="23">
        <v>0</v>
      </c>
      <c r="CT113" s="23">
        <v>0</v>
      </c>
      <c r="CU113" s="23">
        <v>0</v>
      </c>
      <c r="CV113" s="23">
        <v>0</v>
      </c>
      <c r="CW113" s="23">
        <v>0</v>
      </c>
      <c r="CX113" s="23"/>
      <c r="CY113" s="23"/>
      <c r="CZ113" s="25"/>
    </row>
    <row r="114" spans="1:104" x14ac:dyDescent="0.2">
      <c r="A114" s="21"/>
      <c r="B114" s="21" t="s">
        <v>204</v>
      </c>
      <c r="D114" s="23">
        <v>0</v>
      </c>
      <c r="E114" s="23">
        <v>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  <c r="R114" s="23">
        <v>0</v>
      </c>
      <c r="S114" s="23">
        <v>0</v>
      </c>
      <c r="T114" s="23">
        <v>0</v>
      </c>
      <c r="U114" s="23">
        <v>0</v>
      </c>
      <c r="V114" s="23">
        <v>0</v>
      </c>
      <c r="W114" s="23">
        <v>0</v>
      </c>
      <c r="X114" s="23">
        <v>0</v>
      </c>
      <c r="Y114" s="23">
        <v>0</v>
      </c>
      <c r="Z114" s="23">
        <v>0</v>
      </c>
      <c r="AA114" s="23">
        <v>0</v>
      </c>
      <c r="AB114" s="23">
        <v>0</v>
      </c>
      <c r="AC114" s="23">
        <v>0</v>
      </c>
      <c r="AD114" s="23">
        <v>0</v>
      </c>
      <c r="AE114" s="23">
        <v>0</v>
      </c>
      <c r="AF114" s="23">
        <v>0</v>
      </c>
      <c r="AG114" s="23">
        <v>0</v>
      </c>
      <c r="AH114" s="23">
        <v>0</v>
      </c>
      <c r="AI114" s="23">
        <v>0</v>
      </c>
      <c r="AJ114" s="23">
        <v>0</v>
      </c>
      <c r="AK114" s="23">
        <v>0</v>
      </c>
      <c r="AL114" s="23">
        <v>0</v>
      </c>
      <c r="AM114" s="23">
        <v>0</v>
      </c>
      <c r="AN114" s="23">
        <v>0</v>
      </c>
      <c r="AO114" s="23">
        <v>0</v>
      </c>
      <c r="AP114" s="23">
        <v>0</v>
      </c>
      <c r="AQ114" s="23">
        <v>0</v>
      </c>
      <c r="AR114" s="23">
        <v>0</v>
      </c>
      <c r="AS114" s="23">
        <v>0</v>
      </c>
      <c r="AT114" s="23">
        <v>0</v>
      </c>
      <c r="AU114" s="23">
        <v>0</v>
      </c>
      <c r="AV114" s="23">
        <v>0</v>
      </c>
      <c r="AW114" s="23">
        <v>0</v>
      </c>
      <c r="AX114" s="23">
        <v>0</v>
      </c>
      <c r="AY114" s="23">
        <v>0</v>
      </c>
      <c r="AZ114" s="23">
        <v>0</v>
      </c>
      <c r="BA114" s="23">
        <v>0</v>
      </c>
      <c r="BB114" s="23">
        <v>0</v>
      </c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  <c r="BI114" s="23">
        <v>0</v>
      </c>
      <c r="BJ114" s="23">
        <v>0</v>
      </c>
      <c r="BK114" s="23">
        <v>98.070075554343177</v>
      </c>
      <c r="BL114" s="23">
        <v>5141.49</v>
      </c>
      <c r="BM114" s="23">
        <v>9351.2000000000007</v>
      </c>
      <c r="BN114" s="23">
        <v>8766.66</v>
      </c>
      <c r="BO114" s="23">
        <v>8887.27</v>
      </c>
      <c r="BP114" s="23">
        <v>7478.31</v>
      </c>
      <c r="BQ114" s="23">
        <v>6190.86</v>
      </c>
      <c r="BR114" s="23">
        <v>6328.5</v>
      </c>
      <c r="BS114" s="23">
        <v>4963.05</v>
      </c>
      <c r="BT114" s="23">
        <v>3027.19</v>
      </c>
      <c r="BU114" s="23">
        <v>2567.3200000000002</v>
      </c>
      <c r="BV114" s="23">
        <v>2099.4699999999998</v>
      </c>
      <c r="BW114" s="23">
        <v>1805.99</v>
      </c>
      <c r="BX114" s="23">
        <v>1882.71</v>
      </c>
      <c r="BY114" s="23">
        <v>1545.34</v>
      </c>
      <c r="BZ114" s="23">
        <v>1003.92</v>
      </c>
      <c r="CA114" s="23">
        <v>512.26</v>
      </c>
      <c r="CB114" s="23">
        <v>-347.05</v>
      </c>
      <c r="CC114" s="23">
        <v>-1943.03</v>
      </c>
      <c r="CD114" s="23">
        <v>-3347.4</v>
      </c>
      <c r="CE114" s="23">
        <v>-4166.17</v>
      </c>
      <c r="CF114" s="23">
        <v>-5251.37</v>
      </c>
      <c r="CG114" s="23">
        <v>-5944.16</v>
      </c>
      <c r="CH114" s="23">
        <v>-6298.01</v>
      </c>
      <c r="CI114" s="23">
        <v>-6265.66</v>
      </c>
      <c r="CJ114" s="22">
        <f>'Sch 41&amp;86 Deferral Calc'!C16</f>
        <v>-5558.97</v>
      </c>
      <c r="CK114" s="22">
        <f>'Sch 41&amp;86 Deferral Calc'!D16</f>
        <v>-6249.26</v>
      </c>
      <c r="CL114" s="22">
        <f>'Sch 41&amp;86 Deferral Calc'!E16</f>
        <v>-6508.31</v>
      </c>
      <c r="CM114" s="22">
        <f>'Sch 41&amp;86 Deferral Calc'!F16</f>
        <v>-5628.12</v>
      </c>
      <c r="CN114" s="22">
        <f>'Sch 41&amp;86 Deferral Calc'!G16</f>
        <v>-5672.75</v>
      </c>
      <c r="CO114" s="22">
        <f>'Sch 41&amp;86 Deferral Calc'!H16</f>
        <v>-7084.21</v>
      </c>
      <c r="CP114" s="22">
        <f>'Sch 41&amp;86 Deferral Calc'!I16</f>
        <v>-6352.39</v>
      </c>
      <c r="CQ114" s="22">
        <f>'Sch 41&amp;86 Deferral Calc'!J16</f>
        <v>-6899.86</v>
      </c>
      <c r="CR114" s="22">
        <f>'Sch 41&amp;86 Deferral Calc'!K16</f>
        <v>-7251.4</v>
      </c>
      <c r="CS114" s="22">
        <f>'Sch 41&amp;86 Deferral Calc'!L16</f>
        <v>-7079.26</v>
      </c>
      <c r="CT114" s="22">
        <f>'Sch 41&amp;86 Deferral Calc'!M16</f>
        <v>-7064.03</v>
      </c>
      <c r="CU114" s="22">
        <f>'Sch 41&amp;86 Deferral Calc'!N16</f>
        <v>-6456.33</v>
      </c>
      <c r="CV114" s="22">
        <f>'Sch 41&amp;86 Deferral Calc'!O16</f>
        <v>-5426.93</v>
      </c>
      <c r="CW114" s="22">
        <f>'Sch 41&amp;86 Deferral Calc'!P16</f>
        <v>-4884.7299999999996</v>
      </c>
      <c r="CX114" s="22"/>
      <c r="CY114" s="22"/>
    </row>
    <row r="115" spans="1:104" x14ac:dyDescent="0.2">
      <c r="B115" s="7" t="s">
        <v>193</v>
      </c>
      <c r="D115" s="24">
        <f t="shared" ref="D115:CM115" si="563">SUM(D111:D114)</f>
        <v>0</v>
      </c>
      <c r="E115" s="24">
        <f t="shared" si="563"/>
        <v>0</v>
      </c>
      <c r="F115" s="24">
        <f t="shared" si="563"/>
        <v>0</v>
      </c>
      <c r="G115" s="24">
        <f t="shared" si="563"/>
        <v>0</v>
      </c>
      <c r="H115" s="24">
        <f t="shared" si="563"/>
        <v>0</v>
      </c>
      <c r="I115" s="24">
        <f t="shared" si="563"/>
        <v>0</v>
      </c>
      <c r="J115" s="24">
        <f t="shared" si="563"/>
        <v>0</v>
      </c>
      <c r="K115" s="24">
        <f t="shared" si="563"/>
        <v>0</v>
      </c>
      <c r="L115" s="24">
        <f t="shared" si="563"/>
        <v>0</v>
      </c>
      <c r="M115" s="24">
        <f t="shared" si="563"/>
        <v>0</v>
      </c>
      <c r="N115" s="24">
        <f t="shared" si="563"/>
        <v>0</v>
      </c>
      <c r="O115" s="24">
        <f t="shared" si="563"/>
        <v>0</v>
      </c>
      <c r="P115" s="24">
        <f t="shared" si="563"/>
        <v>0</v>
      </c>
      <c r="Q115" s="24">
        <f t="shared" si="563"/>
        <v>0</v>
      </c>
      <c r="R115" s="24">
        <f t="shared" si="563"/>
        <v>0</v>
      </c>
      <c r="S115" s="24">
        <f t="shared" si="563"/>
        <v>0</v>
      </c>
      <c r="T115" s="24">
        <f t="shared" si="563"/>
        <v>0</v>
      </c>
      <c r="U115" s="24">
        <f t="shared" si="563"/>
        <v>0</v>
      </c>
      <c r="V115" s="24">
        <f t="shared" si="563"/>
        <v>0</v>
      </c>
      <c r="W115" s="24">
        <f t="shared" si="563"/>
        <v>0</v>
      </c>
      <c r="X115" s="24">
        <f t="shared" si="563"/>
        <v>0</v>
      </c>
      <c r="Y115" s="24">
        <f t="shared" si="563"/>
        <v>0</v>
      </c>
      <c r="Z115" s="24">
        <f t="shared" si="563"/>
        <v>0</v>
      </c>
      <c r="AA115" s="24">
        <f t="shared" si="563"/>
        <v>0</v>
      </c>
      <c r="AB115" s="24">
        <f t="shared" si="563"/>
        <v>0</v>
      </c>
      <c r="AC115" s="24">
        <f t="shared" si="563"/>
        <v>0</v>
      </c>
      <c r="AD115" s="24">
        <f t="shared" si="563"/>
        <v>0</v>
      </c>
      <c r="AE115" s="24">
        <f t="shared" si="563"/>
        <v>0</v>
      </c>
      <c r="AF115" s="24">
        <f t="shared" si="563"/>
        <v>0</v>
      </c>
      <c r="AG115" s="24">
        <f t="shared" si="563"/>
        <v>0</v>
      </c>
      <c r="AH115" s="24">
        <f t="shared" si="563"/>
        <v>0</v>
      </c>
      <c r="AI115" s="24">
        <f t="shared" si="563"/>
        <v>0</v>
      </c>
      <c r="AJ115" s="24">
        <f t="shared" si="563"/>
        <v>0</v>
      </c>
      <c r="AK115" s="24">
        <f t="shared" si="563"/>
        <v>0</v>
      </c>
      <c r="AL115" s="24">
        <f t="shared" si="563"/>
        <v>0</v>
      </c>
      <c r="AM115" s="24">
        <f t="shared" si="563"/>
        <v>0</v>
      </c>
      <c r="AN115" s="24">
        <f t="shared" si="563"/>
        <v>0</v>
      </c>
      <c r="AO115" s="24">
        <f t="shared" si="563"/>
        <v>0</v>
      </c>
      <c r="AP115" s="24">
        <f t="shared" si="563"/>
        <v>0</v>
      </c>
      <c r="AQ115" s="24">
        <f t="shared" si="563"/>
        <v>0</v>
      </c>
      <c r="AR115" s="24">
        <f t="shared" si="563"/>
        <v>0</v>
      </c>
      <c r="AS115" s="24">
        <f t="shared" si="563"/>
        <v>0</v>
      </c>
      <c r="AT115" s="24">
        <f t="shared" si="563"/>
        <v>0</v>
      </c>
      <c r="AU115" s="24">
        <f t="shared" si="563"/>
        <v>0</v>
      </c>
      <c r="AV115" s="24">
        <f t="shared" si="563"/>
        <v>0</v>
      </c>
      <c r="AW115" s="24">
        <f t="shared" si="563"/>
        <v>0</v>
      </c>
      <c r="AX115" s="24">
        <f t="shared" si="563"/>
        <v>0</v>
      </c>
      <c r="AY115" s="24">
        <f t="shared" si="563"/>
        <v>0</v>
      </c>
      <c r="AZ115" s="24">
        <f t="shared" si="563"/>
        <v>0</v>
      </c>
      <c r="BA115" s="24">
        <f t="shared" si="563"/>
        <v>0</v>
      </c>
      <c r="BB115" s="24">
        <f t="shared" si="563"/>
        <v>0</v>
      </c>
      <c r="BC115" s="24">
        <f t="shared" si="563"/>
        <v>0</v>
      </c>
      <c r="BD115" s="24">
        <f t="shared" si="563"/>
        <v>0</v>
      </c>
      <c r="BE115" s="24">
        <f t="shared" si="563"/>
        <v>0</v>
      </c>
      <c r="BF115" s="24">
        <f t="shared" si="563"/>
        <v>0</v>
      </c>
      <c r="BG115" s="24">
        <f t="shared" si="563"/>
        <v>0</v>
      </c>
      <c r="BH115" s="24">
        <f t="shared" si="563"/>
        <v>0</v>
      </c>
      <c r="BI115" s="24">
        <f t="shared" si="563"/>
        <v>0</v>
      </c>
      <c r="BJ115" s="24">
        <f t="shared" si="563"/>
        <v>0</v>
      </c>
      <c r="BK115" s="24">
        <f t="shared" si="563"/>
        <v>98.070075554343177</v>
      </c>
      <c r="BL115" s="24">
        <f t="shared" ref="BL115:BW115" si="564">SUM(BL111:BL114)</f>
        <v>137438.90744999997</v>
      </c>
      <c r="BM115" s="24">
        <f t="shared" si="564"/>
        <v>9351.2000000000007</v>
      </c>
      <c r="BN115" s="24">
        <f t="shared" si="564"/>
        <v>8766.66</v>
      </c>
      <c r="BO115" s="24">
        <f t="shared" si="564"/>
        <v>8887.27</v>
      </c>
      <c r="BP115" s="24">
        <f t="shared" si="564"/>
        <v>-124917.17752555432</v>
      </c>
      <c r="BQ115" s="24">
        <f t="shared" si="564"/>
        <v>6190.86</v>
      </c>
      <c r="BR115" s="24">
        <f t="shared" si="564"/>
        <v>6328.5</v>
      </c>
      <c r="BS115" s="24">
        <f t="shared" si="564"/>
        <v>4963.05</v>
      </c>
      <c r="BT115" s="24">
        <f t="shared" si="564"/>
        <v>3027.19</v>
      </c>
      <c r="BU115" s="24">
        <f t="shared" si="564"/>
        <v>2567.3200000000002</v>
      </c>
      <c r="BV115" s="24">
        <f t="shared" si="564"/>
        <v>2099.4699999999998</v>
      </c>
      <c r="BW115" s="24">
        <f t="shared" si="564"/>
        <v>1805.99</v>
      </c>
      <c r="BX115" s="24">
        <f t="shared" ref="BX115:CJ115" si="565">SUM(BX111:BX114)</f>
        <v>1882.71</v>
      </c>
      <c r="BY115" s="24">
        <f t="shared" si="565"/>
        <v>1545.34</v>
      </c>
      <c r="BZ115" s="24">
        <f t="shared" si="565"/>
        <v>1003.92</v>
      </c>
      <c r="CA115" s="24">
        <f t="shared" si="565"/>
        <v>512.26</v>
      </c>
      <c r="CB115" s="24">
        <f t="shared" si="565"/>
        <v>-66954.36</v>
      </c>
      <c r="CC115" s="24">
        <f t="shared" si="565"/>
        <v>-1943.03</v>
      </c>
      <c r="CD115" s="24">
        <f t="shared" si="565"/>
        <v>-3347.4</v>
      </c>
      <c r="CE115" s="24">
        <f t="shared" si="565"/>
        <v>-4166.17</v>
      </c>
      <c r="CF115" s="24">
        <f t="shared" si="565"/>
        <v>-5251.37</v>
      </c>
      <c r="CG115" s="24">
        <f t="shared" si="565"/>
        <v>-5944.16</v>
      </c>
      <c r="CH115" s="24">
        <f t="shared" si="565"/>
        <v>-6298.01</v>
      </c>
      <c r="CI115" s="24">
        <f t="shared" si="565"/>
        <v>-6265.66</v>
      </c>
      <c r="CJ115" s="24">
        <f t="shared" si="565"/>
        <v>-5558.97</v>
      </c>
      <c r="CK115" s="24">
        <f t="shared" si="563"/>
        <v>-6249.26</v>
      </c>
      <c r="CL115" s="24">
        <f t="shared" si="563"/>
        <v>-6508.31</v>
      </c>
      <c r="CM115" s="24">
        <f t="shared" si="563"/>
        <v>-5989.93</v>
      </c>
      <c r="CN115" s="24">
        <f t="shared" ref="CN115:CT115" si="566">SUM(CN111:CN114)</f>
        <v>22945.870000000006</v>
      </c>
      <c r="CO115" s="24">
        <f t="shared" si="566"/>
        <v>-7084.21</v>
      </c>
      <c r="CP115" s="24">
        <f t="shared" si="566"/>
        <v>-6352.39</v>
      </c>
      <c r="CQ115" s="24">
        <f t="shared" si="566"/>
        <v>-6899.86</v>
      </c>
      <c r="CR115" s="24">
        <f t="shared" si="566"/>
        <v>-7251.4</v>
      </c>
      <c r="CS115" s="24">
        <f t="shared" si="566"/>
        <v>-7079.26</v>
      </c>
      <c r="CT115" s="24">
        <f t="shared" si="566"/>
        <v>-7064.03</v>
      </c>
      <c r="CU115" s="24">
        <f t="shared" ref="CU115:CY115" si="567">SUM(CU111:CU114)</f>
        <v>-6456.33</v>
      </c>
      <c r="CV115" s="24">
        <f t="shared" si="567"/>
        <v>-5426.93</v>
      </c>
      <c r="CW115" s="24">
        <f t="shared" si="567"/>
        <v>-4884.7299999999996</v>
      </c>
      <c r="CX115" s="24">
        <f t="shared" si="567"/>
        <v>0</v>
      </c>
      <c r="CY115" s="24">
        <f t="shared" si="567"/>
        <v>0</v>
      </c>
    </row>
    <row r="116" spans="1:104" x14ac:dyDescent="0.2">
      <c r="B116" s="7" t="s">
        <v>194</v>
      </c>
      <c r="D116" s="17">
        <f>D110+D115</f>
        <v>0</v>
      </c>
      <c r="E116" s="17">
        <f t="shared" ref="E116:CM116" si="568">E110+E115</f>
        <v>0</v>
      </c>
      <c r="F116" s="17">
        <f t="shared" si="568"/>
        <v>0</v>
      </c>
      <c r="G116" s="17">
        <f t="shared" si="568"/>
        <v>0</v>
      </c>
      <c r="H116" s="17">
        <f t="shared" si="568"/>
        <v>0</v>
      </c>
      <c r="I116" s="17">
        <f t="shared" si="568"/>
        <v>0</v>
      </c>
      <c r="J116" s="17">
        <f t="shared" si="568"/>
        <v>0</v>
      </c>
      <c r="K116" s="17">
        <f t="shared" si="568"/>
        <v>0</v>
      </c>
      <c r="L116" s="17">
        <f t="shared" si="568"/>
        <v>0</v>
      </c>
      <c r="M116" s="17">
        <f t="shared" si="568"/>
        <v>0</v>
      </c>
      <c r="N116" s="17">
        <f t="shared" si="568"/>
        <v>0</v>
      </c>
      <c r="O116" s="17">
        <f t="shared" si="568"/>
        <v>0</v>
      </c>
      <c r="P116" s="17">
        <f t="shared" si="568"/>
        <v>0</v>
      </c>
      <c r="Q116" s="17">
        <f t="shared" si="568"/>
        <v>0</v>
      </c>
      <c r="R116" s="17">
        <f t="shared" si="568"/>
        <v>0</v>
      </c>
      <c r="S116" s="17">
        <f t="shared" si="568"/>
        <v>0</v>
      </c>
      <c r="T116" s="17">
        <f t="shared" si="568"/>
        <v>0</v>
      </c>
      <c r="U116" s="17">
        <f t="shared" si="568"/>
        <v>0</v>
      </c>
      <c r="V116" s="17">
        <f t="shared" si="568"/>
        <v>0</v>
      </c>
      <c r="W116" s="17">
        <f t="shared" si="568"/>
        <v>0</v>
      </c>
      <c r="X116" s="17">
        <f t="shared" si="568"/>
        <v>0</v>
      </c>
      <c r="Y116" s="17">
        <f t="shared" si="568"/>
        <v>0</v>
      </c>
      <c r="Z116" s="17">
        <f t="shared" si="568"/>
        <v>0</v>
      </c>
      <c r="AA116" s="17">
        <f t="shared" si="568"/>
        <v>0</v>
      </c>
      <c r="AB116" s="17">
        <f t="shared" si="568"/>
        <v>0</v>
      </c>
      <c r="AC116" s="17">
        <f t="shared" si="568"/>
        <v>0</v>
      </c>
      <c r="AD116" s="17">
        <f t="shared" si="568"/>
        <v>0</v>
      </c>
      <c r="AE116" s="17">
        <f t="shared" si="568"/>
        <v>0</v>
      </c>
      <c r="AF116" s="17">
        <f t="shared" si="568"/>
        <v>0</v>
      </c>
      <c r="AG116" s="17">
        <f t="shared" si="568"/>
        <v>0</v>
      </c>
      <c r="AH116" s="17">
        <f t="shared" si="568"/>
        <v>0</v>
      </c>
      <c r="AI116" s="17">
        <f t="shared" si="568"/>
        <v>0</v>
      </c>
      <c r="AJ116" s="17">
        <f t="shared" si="568"/>
        <v>0</v>
      </c>
      <c r="AK116" s="17">
        <f t="shared" si="568"/>
        <v>0</v>
      </c>
      <c r="AL116" s="17">
        <f t="shared" si="568"/>
        <v>0</v>
      </c>
      <c r="AM116" s="17">
        <f t="shared" si="568"/>
        <v>0</v>
      </c>
      <c r="AN116" s="17">
        <f t="shared" si="568"/>
        <v>0</v>
      </c>
      <c r="AO116" s="17">
        <f t="shared" si="568"/>
        <v>0</v>
      </c>
      <c r="AP116" s="17">
        <f t="shared" si="568"/>
        <v>0</v>
      </c>
      <c r="AQ116" s="17">
        <f t="shared" si="568"/>
        <v>0</v>
      </c>
      <c r="AR116" s="17">
        <f t="shared" si="568"/>
        <v>0</v>
      </c>
      <c r="AS116" s="17">
        <f t="shared" si="568"/>
        <v>0</v>
      </c>
      <c r="AT116" s="17">
        <f t="shared" si="568"/>
        <v>0</v>
      </c>
      <c r="AU116" s="17">
        <f t="shared" si="568"/>
        <v>0</v>
      </c>
      <c r="AV116" s="17">
        <f t="shared" si="568"/>
        <v>0</v>
      </c>
      <c r="AW116" s="17">
        <f t="shared" si="568"/>
        <v>0</v>
      </c>
      <c r="AX116" s="17">
        <f t="shared" si="568"/>
        <v>0</v>
      </c>
      <c r="AY116" s="17">
        <f t="shared" si="568"/>
        <v>0</v>
      </c>
      <c r="AZ116" s="17">
        <f t="shared" si="568"/>
        <v>0</v>
      </c>
      <c r="BA116" s="17">
        <f t="shared" si="568"/>
        <v>0</v>
      </c>
      <c r="BB116" s="17">
        <f t="shared" si="568"/>
        <v>0</v>
      </c>
      <c r="BC116" s="17">
        <f t="shared" si="568"/>
        <v>0</v>
      </c>
      <c r="BD116" s="17">
        <f t="shared" si="568"/>
        <v>0</v>
      </c>
      <c r="BE116" s="17">
        <f t="shared" si="568"/>
        <v>0</v>
      </c>
      <c r="BF116" s="17">
        <f t="shared" si="568"/>
        <v>0</v>
      </c>
      <c r="BG116" s="17">
        <f t="shared" si="568"/>
        <v>0</v>
      </c>
      <c r="BH116" s="17">
        <f t="shared" si="568"/>
        <v>0</v>
      </c>
      <c r="BI116" s="17">
        <f t="shared" si="568"/>
        <v>0</v>
      </c>
      <c r="BJ116" s="17">
        <f t="shared" si="568"/>
        <v>0</v>
      </c>
      <c r="BK116" s="17">
        <f t="shared" si="568"/>
        <v>98.070075554343177</v>
      </c>
      <c r="BL116" s="17">
        <f t="shared" ref="BL116:BW116" si="569">BL110+BL115</f>
        <v>137536.97752555431</v>
      </c>
      <c r="BM116" s="17">
        <f t="shared" si="569"/>
        <v>146888.17752555432</v>
      </c>
      <c r="BN116" s="17">
        <f t="shared" si="569"/>
        <v>155654.83752555432</v>
      </c>
      <c r="BO116" s="17">
        <f t="shared" si="569"/>
        <v>164542.10752555431</v>
      </c>
      <c r="BP116" s="17">
        <f t="shared" si="569"/>
        <v>39624.929999999993</v>
      </c>
      <c r="BQ116" s="17">
        <f t="shared" si="569"/>
        <v>45815.789999999994</v>
      </c>
      <c r="BR116" s="17">
        <f t="shared" si="569"/>
        <v>52144.289999999994</v>
      </c>
      <c r="BS116" s="17">
        <f t="shared" si="569"/>
        <v>57107.34</v>
      </c>
      <c r="BT116" s="17">
        <f t="shared" si="569"/>
        <v>60134.53</v>
      </c>
      <c r="BU116" s="17">
        <f t="shared" si="569"/>
        <v>62701.85</v>
      </c>
      <c r="BV116" s="17">
        <f t="shared" si="569"/>
        <v>64801.32</v>
      </c>
      <c r="BW116" s="17">
        <f t="shared" si="569"/>
        <v>66607.31</v>
      </c>
      <c r="BX116" s="17">
        <f t="shared" ref="BX116:CJ116" si="570">BX110+BX115</f>
        <v>68490.02</v>
      </c>
      <c r="BY116" s="17">
        <f t="shared" si="570"/>
        <v>70035.360000000001</v>
      </c>
      <c r="BZ116" s="17">
        <f t="shared" si="570"/>
        <v>71039.28</v>
      </c>
      <c r="CA116" s="17">
        <f t="shared" si="570"/>
        <v>71551.539999999994</v>
      </c>
      <c r="CB116" s="17">
        <f t="shared" si="570"/>
        <v>4597.179999999993</v>
      </c>
      <c r="CC116" s="17">
        <f t="shared" si="570"/>
        <v>2654.1499999999933</v>
      </c>
      <c r="CD116" s="17">
        <f t="shared" si="570"/>
        <v>-693.25000000000682</v>
      </c>
      <c r="CE116" s="17">
        <f t="shared" si="570"/>
        <v>-4859.4200000000073</v>
      </c>
      <c r="CF116" s="17">
        <f t="shared" si="570"/>
        <v>-10110.790000000008</v>
      </c>
      <c r="CG116" s="17">
        <f t="shared" si="570"/>
        <v>-16054.950000000008</v>
      </c>
      <c r="CH116" s="17">
        <f t="shared" si="570"/>
        <v>-22352.960000000006</v>
      </c>
      <c r="CI116" s="17">
        <f t="shared" si="570"/>
        <v>-28618.620000000006</v>
      </c>
      <c r="CJ116" s="17">
        <f t="shared" si="570"/>
        <v>-34177.590000000004</v>
      </c>
      <c r="CK116" s="17">
        <f t="shared" si="568"/>
        <v>-40426.850000000006</v>
      </c>
      <c r="CL116" s="17">
        <f t="shared" si="568"/>
        <v>-46935.16</v>
      </c>
      <c r="CM116" s="17">
        <f t="shared" si="568"/>
        <v>-52925.090000000004</v>
      </c>
      <c r="CN116" s="17">
        <f t="shared" ref="CN116:CT116" si="571">CN110+CN115</f>
        <v>-29979.219999999998</v>
      </c>
      <c r="CO116" s="17">
        <f t="shared" si="571"/>
        <v>-37063.43</v>
      </c>
      <c r="CP116" s="17">
        <f t="shared" si="571"/>
        <v>-43415.82</v>
      </c>
      <c r="CQ116" s="17">
        <f t="shared" si="571"/>
        <v>-50315.68</v>
      </c>
      <c r="CR116" s="17">
        <f t="shared" si="571"/>
        <v>-57567.08</v>
      </c>
      <c r="CS116" s="17">
        <f t="shared" si="571"/>
        <v>-64646.340000000004</v>
      </c>
      <c r="CT116" s="17">
        <f t="shared" si="571"/>
        <v>-71710.37000000001</v>
      </c>
      <c r="CU116" s="17">
        <f t="shared" ref="CU116:CY116" si="572">CU110+CU115</f>
        <v>-78166.700000000012</v>
      </c>
      <c r="CV116" s="17">
        <f t="shared" si="572"/>
        <v>-83593.63</v>
      </c>
      <c r="CW116" s="17">
        <f t="shared" si="572"/>
        <v>-88478.36</v>
      </c>
      <c r="CX116" s="17">
        <f t="shared" si="572"/>
        <v>-88478.36</v>
      </c>
      <c r="CY116" s="17">
        <f t="shared" si="572"/>
        <v>-88478.36</v>
      </c>
    </row>
    <row r="117" spans="1:104" x14ac:dyDescent="0.2"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  <c r="AA117" s="129"/>
      <c r="AB117" s="129"/>
      <c r="AC117" s="129"/>
      <c r="AD117" s="129"/>
      <c r="AE117" s="129"/>
      <c r="AF117" s="129"/>
      <c r="AG117" s="129"/>
      <c r="AH117" s="129"/>
      <c r="AI117" s="129"/>
      <c r="AJ117" s="129"/>
      <c r="AK117" s="129"/>
      <c r="AL117" s="129"/>
      <c r="AM117" s="129"/>
      <c r="AN117" s="129"/>
      <c r="AO117" s="129"/>
      <c r="AP117" s="129"/>
      <c r="AQ117" s="129"/>
      <c r="AR117" s="129"/>
      <c r="AS117" s="129"/>
      <c r="AT117" s="129"/>
      <c r="AU117" s="129"/>
      <c r="AV117" s="129"/>
      <c r="AW117" s="129"/>
      <c r="AX117" s="129"/>
      <c r="AY117" s="129"/>
      <c r="AZ117" s="129"/>
      <c r="BA117" s="129"/>
      <c r="BB117" s="129"/>
      <c r="BC117" s="129"/>
      <c r="BD117" s="129"/>
      <c r="BE117" s="129"/>
      <c r="BF117" s="129"/>
      <c r="BG117" s="129"/>
      <c r="BH117" s="129"/>
      <c r="BI117" s="129"/>
      <c r="BJ117" s="129"/>
      <c r="BK117" s="129"/>
      <c r="BL117" s="129"/>
      <c r="BM117" s="129"/>
      <c r="BN117" s="129"/>
      <c r="BO117" s="129"/>
      <c r="BP117" s="129"/>
      <c r="BQ117" s="129"/>
      <c r="BR117" s="129"/>
      <c r="BS117" s="129"/>
      <c r="BT117" s="129"/>
      <c r="BU117" s="129"/>
      <c r="BV117" s="129"/>
      <c r="BW117" s="129"/>
      <c r="BX117" s="129"/>
      <c r="BY117" s="129"/>
      <c r="BZ117" s="129"/>
      <c r="CA117" s="129"/>
      <c r="CB117" s="129"/>
      <c r="CC117" s="129"/>
      <c r="CD117" s="129"/>
      <c r="CE117" s="129"/>
      <c r="CF117" s="129"/>
      <c r="CG117" s="129"/>
      <c r="CH117" s="129"/>
      <c r="CI117" s="129"/>
      <c r="CJ117" s="129"/>
      <c r="CK117" s="129"/>
      <c r="CL117" s="129"/>
      <c r="CM117" s="129"/>
      <c r="CN117" s="129"/>
      <c r="CO117" s="129"/>
      <c r="CP117" s="129"/>
      <c r="CQ117" s="129"/>
      <c r="CR117" s="129"/>
      <c r="CS117" s="129"/>
      <c r="CT117" s="129"/>
      <c r="CU117" s="17"/>
      <c r="CV117" s="17"/>
      <c r="CW117" s="17"/>
      <c r="CX117" s="17"/>
      <c r="CY117" s="17"/>
    </row>
    <row r="118" spans="1:104" x14ac:dyDescent="0.2">
      <c r="A118" s="4" t="s">
        <v>208</v>
      </c>
      <c r="CU118" s="8"/>
      <c r="CX118" s="8"/>
      <c r="CY118" s="8"/>
    </row>
    <row r="119" spans="1:104" x14ac:dyDescent="0.2">
      <c r="B119" s="7" t="s">
        <v>190</v>
      </c>
      <c r="D119" s="27">
        <f>SUM(D9,D18,D52,D89,D27,D35,D43,D63,D71,D79,D101,D110,)</f>
        <v>0</v>
      </c>
      <c r="E119" s="27">
        <f t="shared" ref="E119:CN119" si="573">SUM(E9,E18,E52,E89,E27,E35,E43,E63,E71,E79,E101,E110,)</f>
        <v>0</v>
      </c>
      <c r="F119" s="27">
        <f t="shared" si="573"/>
        <v>0</v>
      </c>
      <c r="G119" s="27">
        <f t="shared" si="573"/>
        <v>0</v>
      </c>
      <c r="H119" s="27">
        <f t="shared" si="573"/>
        <v>0</v>
      </c>
      <c r="I119" s="27">
        <f t="shared" si="573"/>
        <v>0</v>
      </c>
      <c r="J119" s="27">
        <f t="shared" si="573"/>
        <v>0</v>
      </c>
      <c r="K119" s="27">
        <f t="shared" si="573"/>
        <v>749737.8474552728</v>
      </c>
      <c r="L119" s="27">
        <f t="shared" si="573"/>
        <v>1954493.1273065959</v>
      </c>
      <c r="M119" s="27">
        <f t="shared" si="573"/>
        <v>2103473.1949466667</v>
      </c>
      <c r="N119" s="27">
        <f t="shared" si="573"/>
        <v>-876454.6719084481</v>
      </c>
      <c r="O119" s="27">
        <f t="shared" si="573"/>
        <v>96245.504342926608</v>
      </c>
      <c r="P119" s="27">
        <f t="shared" si="573"/>
        <v>-5161465.3767827461</v>
      </c>
      <c r="Q119" s="27">
        <f t="shared" si="573"/>
        <v>-4552807.4272919605</v>
      </c>
      <c r="R119" s="27">
        <f t="shared" si="573"/>
        <v>-6392168.4166245656</v>
      </c>
      <c r="S119" s="27">
        <f t="shared" si="573"/>
        <v>-3663722.3598893592</v>
      </c>
      <c r="T119" s="27">
        <f t="shared" si="573"/>
        <v>-437814.5761522745</v>
      </c>
      <c r="U119" s="27">
        <f t="shared" si="573"/>
        <v>2830612.0059704985</v>
      </c>
      <c r="V119" s="27">
        <f t="shared" si="573"/>
        <v>4777963.0222681044</v>
      </c>
      <c r="W119" s="27">
        <f t="shared" si="573"/>
        <v>6274167.2180051664</v>
      </c>
      <c r="X119" s="27">
        <f t="shared" si="573"/>
        <v>7457966.9598181881</v>
      </c>
      <c r="Y119" s="27">
        <f t="shared" si="573"/>
        <v>10042840.033093061</v>
      </c>
      <c r="Z119" s="27">
        <f t="shared" si="573"/>
        <v>17327113.428218469</v>
      </c>
      <c r="AA119" s="27">
        <f t="shared" si="573"/>
        <v>19118518.687288646</v>
      </c>
      <c r="AB119" s="27">
        <f t="shared" si="573"/>
        <v>26319422.3293055</v>
      </c>
      <c r="AC119" s="27">
        <f t="shared" si="573"/>
        <v>35180099.584160008</v>
      </c>
      <c r="AD119" s="27">
        <f t="shared" si="573"/>
        <v>49692834.335509449</v>
      </c>
      <c r="AE119" s="27">
        <f t="shared" si="573"/>
        <v>55807163.216545254</v>
      </c>
      <c r="AF119" s="27">
        <f t="shared" si="573"/>
        <v>59689876.398589939</v>
      </c>
      <c r="AG119" s="27">
        <f t="shared" si="573"/>
        <v>61765156.453626439</v>
      </c>
      <c r="AH119" s="27">
        <f t="shared" si="573"/>
        <v>64627907.526004195</v>
      </c>
      <c r="AI119" s="27">
        <f t="shared" si="573"/>
        <v>66814543.588727534</v>
      </c>
      <c r="AJ119" s="27">
        <f t="shared" si="573"/>
        <v>67860877.208664984</v>
      </c>
      <c r="AK119" s="27">
        <f t="shared" si="573"/>
        <v>68672431.802373528</v>
      </c>
      <c r="AL119" s="27">
        <f t="shared" si="573"/>
        <v>74512850.991922587</v>
      </c>
      <c r="AM119" s="27">
        <f t="shared" si="573"/>
        <v>73996421.910966754</v>
      </c>
      <c r="AN119" s="27">
        <f t="shared" si="573"/>
        <v>73385548.416961655</v>
      </c>
      <c r="AO119" s="27">
        <f t="shared" si="573"/>
        <v>75360144.510893464</v>
      </c>
      <c r="AP119" s="27">
        <f t="shared" si="573"/>
        <v>84685036.206491947</v>
      </c>
      <c r="AQ119" s="27">
        <f t="shared" si="573"/>
        <v>88464636.47706531</v>
      </c>
      <c r="AR119" s="27">
        <f t="shared" si="573"/>
        <v>97370618.988878861</v>
      </c>
      <c r="AS119" s="27">
        <f t="shared" si="573"/>
        <v>95717498.209962398</v>
      </c>
      <c r="AT119" s="27">
        <f t="shared" si="573"/>
        <v>96795116.74735482</v>
      </c>
      <c r="AU119" s="27">
        <f t="shared" si="573"/>
        <v>97178139.705055684</v>
      </c>
      <c r="AV119" s="27">
        <f t="shared" si="573"/>
        <v>98266771.151236266</v>
      </c>
      <c r="AW119" s="27">
        <f t="shared" si="573"/>
        <v>98640549.910022587</v>
      </c>
      <c r="AX119" s="27">
        <f t="shared" si="573"/>
        <v>100880862.99189651</v>
      </c>
      <c r="AY119" s="27">
        <f t="shared" si="573"/>
        <v>109958592.7477484</v>
      </c>
      <c r="AZ119" s="27">
        <f t="shared" si="573"/>
        <v>102465155.83046538</v>
      </c>
      <c r="BA119" s="27">
        <f t="shared" si="573"/>
        <v>89682390.370465383</v>
      </c>
      <c r="BB119" s="27">
        <f t="shared" si="573"/>
        <v>86747838.280465379</v>
      </c>
      <c r="BC119" s="27">
        <f t="shared" si="573"/>
        <v>83385185.570465386</v>
      </c>
      <c r="BD119" s="27">
        <f t="shared" si="573"/>
        <v>82639222.980465367</v>
      </c>
      <c r="BE119" s="27">
        <f t="shared" si="573"/>
        <v>79093437.883116558</v>
      </c>
      <c r="BF119" s="27">
        <f t="shared" si="573"/>
        <v>79400844.293667853</v>
      </c>
      <c r="BG119" s="27">
        <f t="shared" si="573"/>
        <v>79831967.347579092</v>
      </c>
      <c r="BH119" s="27">
        <f t="shared" si="573"/>
        <v>80464302.718734309</v>
      </c>
      <c r="BI119" s="27">
        <f t="shared" si="573"/>
        <v>81516866.762920126</v>
      </c>
      <c r="BJ119" s="27">
        <f t="shared" si="573"/>
        <v>79374175.263467476</v>
      </c>
      <c r="BK119" s="27">
        <f t="shared" si="573"/>
        <v>77668275.005949467</v>
      </c>
      <c r="BL119" s="27">
        <f t="shared" ref="BL119:BW119" si="574">SUM(BL9,BL18,BL52,BL89,BL27,BL35,BL43,BL63,BL71,BL79,BL101,BL110,)</f>
        <v>72395629.751954883</v>
      </c>
      <c r="BM119" s="27">
        <f t="shared" si="574"/>
        <v>72751643.391954869</v>
      </c>
      <c r="BN119" s="27">
        <f t="shared" si="574"/>
        <v>64444345.201954879</v>
      </c>
      <c r="BO119" s="27">
        <f t="shared" si="574"/>
        <v>57337622.641954876</v>
      </c>
      <c r="BP119" s="27">
        <f t="shared" si="574"/>
        <v>52309454.101954877</v>
      </c>
      <c r="BQ119" s="27">
        <f t="shared" si="574"/>
        <v>48589326.822562881</v>
      </c>
      <c r="BR119" s="27">
        <f t="shared" si="574"/>
        <v>47143971.37256287</v>
      </c>
      <c r="BS119" s="27">
        <f t="shared" si="574"/>
        <v>47193788.212562874</v>
      </c>
      <c r="BT119" s="27">
        <f t="shared" si="574"/>
        <v>45838205.102562889</v>
      </c>
      <c r="BU119" s="27">
        <f t="shared" si="574"/>
        <v>45129752.412562869</v>
      </c>
      <c r="BV119" s="27">
        <f t="shared" si="574"/>
        <v>42218063.922562882</v>
      </c>
      <c r="BW119" s="27">
        <f t="shared" si="574"/>
        <v>37956667.602562882</v>
      </c>
      <c r="BX119" s="27">
        <f t="shared" ref="BX119:CJ119" si="575">SUM(BX9,BX18,BX52,BX89,BX27,BX35,BX43,BX63,BX71,BX79,BX101,BX110,)</f>
        <v>35507541.852562867</v>
      </c>
      <c r="BY119" s="27">
        <f t="shared" si="575"/>
        <v>32913540.612562865</v>
      </c>
      <c r="BZ119" s="27">
        <f t="shared" si="575"/>
        <v>14382259.692562869</v>
      </c>
      <c r="CA119" s="27">
        <f t="shared" si="575"/>
        <v>9710210.0925628655</v>
      </c>
      <c r="CB119" s="27">
        <f t="shared" si="575"/>
        <v>8288455.6325628674</v>
      </c>
      <c r="CC119" s="27">
        <f t="shared" si="575"/>
        <v>10347167.082562866</v>
      </c>
      <c r="CD119" s="27">
        <f t="shared" si="575"/>
        <v>10204169.70256287</v>
      </c>
      <c r="CE119" s="27">
        <f t="shared" si="575"/>
        <v>9701592.7625628673</v>
      </c>
      <c r="CF119" s="27">
        <f t="shared" si="575"/>
        <v>9089997.1625628676</v>
      </c>
      <c r="CG119" s="27">
        <f t="shared" si="575"/>
        <v>9474458.5925628655</v>
      </c>
      <c r="CH119" s="27">
        <f t="shared" si="575"/>
        <v>5937812.4925628686</v>
      </c>
      <c r="CI119" s="27">
        <f t="shared" si="575"/>
        <v>8563723.9925628658</v>
      </c>
      <c r="CJ119" s="27">
        <f t="shared" si="575"/>
        <v>8654989.8825628646</v>
      </c>
      <c r="CK119" s="27">
        <f t="shared" si="573"/>
        <v>12208274.062562866</v>
      </c>
      <c r="CL119" s="27">
        <f t="shared" si="573"/>
        <v>7780524.6525628679</v>
      </c>
      <c r="CM119" s="27">
        <f t="shared" si="573"/>
        <v>6358015.6325628664</v>
      </c>
      <c r="CN119" s="27">
        <f t="shared" si="573"/>
        <v>8377631.442562867</v>
      </c>
      <c r="CO119" s="27">
        <f t="shared" ref="CO119:CY119" si="576">SUM(CO9,CO18,CO52,CO89,CO27,CO35,CO43,CO63,CO71,CO79,CO101,CO110,)</f>
        <v>10277811.182562865</v>
      </c>
      <c r="CP119" s="27">
        <f t="shared" si="576"/>
        <v>8827372.7525628675</v>
      </c>
      <c r="CQ119" s="27">
        <f t="shared" si="576"/>
        <v>8099810.7825628659</v>
      </c>
      <c r="CR119" s="27">
        <f t="shared" si="576"/>
        <v>8057376.4925628668</v>
      </c>
      <c r="CS119" s="27">
        <f t="shared" si="576"/>
        <v>10667175.022562865</v>
      </c>
      <c r="CT119" s="27">
        <f t="shared" si="576"/>
        <v>13162687.542562868</v>
      </c>
      <c r="CU119" s="27">
        <f t="shared" si="576"/>
        <v>13498439.472562868</v>
      </c>
      <c r="CV119" s="27">
        <f t="shared" si="576"/>
        <v>21361554.702562869</v>
      </c>
      <c r="CW119" s="27">
        <f t="shared" si="576"/>
        <v>26169667.492562868</v>
      </c>
      <c r="CX119" s="27">
        <f t="shared" si="576"/>
        <v>21870977.622562874</v>
      </c>
      <c r="CY119" s="27">
        <f t="shared" si="576"/>
        <v>21265064.970636394</v>
      </c>
    </row>
    <row r="120" spans="1:104" x14ac:dyDescent="0.2">
      <c r="B120" s="7" t="s">
        <v>193</v>
      </c>
      <c r="D120" s="28">
        <f>SUM(D14,D31,D39,D48,D67,D75,D85,D106,D115,D23,D59,D97)</f>
        <v>0</v>
      </c>
      <c r="E120" s="28">
        <f t="shared" ref="E120:CN120" si="577">SUM(E14,E31,E39,E48,E67,E75,E85,E106,E115,E23,E59,E97)</f>
        <v>0</v>
      </c>
      <c r="F120" s="28">
        <f t="shared" si="577"/>
        <v>0</v>
      </c>
      <c r="G120" s="28">
        <f t="shared" si="577"/>
        <v>0</v>
      </c>
      <c r="H120" s="28">
        <f t="shared" si="577"/>
        <v>0</v>
      </c>
      <c r="I120" s="28">
        <f t="shared" si="577"/>
        <v>0</v>
      </c>
      <c r="J120" s="28">
        <f t="shared" si="577"/>
        <v>749737.8474552728</v>
      </c>
      <c r="K120" s="28">
        <f t="shared" si="577"/>
        <v>1204755.2798513235</v>
      </c>
      <c r="L120" s="28">
        <f t="shared" si="577"/>
        <v>148980.06764007069</v>
      </c>
      <c r="M120" s="28">
        <f t="shared" si="577"/>
        <v>-2979927.8668551147</v>
      </c>
      <c r="N120" s="28">
        <f t="shared" si="577"/>
        <v>972700.17625137442</v>
      </c>
      <c r="O120" s="28">
        <f t="shared" si="577"/>
        <v>-5257710.8811256727</v>
      </c>
      <c r="P120" s="28">
        <f t="shared" si="577"/>
        <v>608657.9494907863</v>
      </c>
      <c r="Q120" s="28">
        <f t="shared" si="577"/>
        <v>-1839360.9893326061</v>
      </c>
      <c r="R120" s="28">
        <f t="shared" si="577"/>
        <v>2728446.0567352073</v>
      </c>
      <c r="S120" s="28">
        <f t="shared" si="577"/>
        <v>3225907.7837370848</v>
      </c>
      <c r="T120" s="28">
        <f t="shared" si="577"/>
        <v>3268426.582122772</v>
      </c>
      <c r="U120" s="28">
        <f t="shared" si="577"/>
        <v>1947351.0162976058</v>
      </c>
      <c r="V120" s="28">
        <f t="shared" si="577"/>
        <v>1496204.1957370627</v>
      </c>
      <c r="W120" s="28">
        <f t="shared" si="577"/>
        <v>1183799.7418130208</v>
      </c>
      <c r="X120" s="28">
        <f t="shared" si="577"/>
        <v>2584873.0732748746</v>
      </c>
      <c r="Y120" s="28">
        <f t="shared" si="577"/>
        <v>7284273.3951254096</v>
      </c>
      <c r="Z120" s="28">
        <f t="shared" si="577"/>
        <v>1791405.2590701759</v>
      </c>
      <c r="AA120" s="28">
        <f t="shared" si="577"/>
        <v>7200903.6420168523</v>
      </c>
      <c r="AB120" s="28">
        <f t="shared" si="577"/>
        <v>8860677.2548545133</v>
      </c>
      <c r="AC120" s="28">
        <f t="shared" si="577"/>
        <v>14512734.751349444</v>
      </c>
      <c r="AD120" s="28">
        <f t="shared" si="577"/>
        <v>6114328.8810358094</v>
      </c>
      <c r="AE120" s="28">
        <f t="shared" si="577"/>
        <v>3882713.1820446844</v>
      </c>
      <c r="AF120" s="28">
        <f t="shared" si="577"/>
        <v>2075280.0550364964</v>
      </c>
      <c r="AG120" s="28">
        <f t="shared" si="577"/>
        <v>2862751.0723777693</v>
      </c>
      <c r="AH120" s="28">
        <f t="shared" si="577"/>
        <v>2186636.062723333</v>
      </c>
      <c r="AI120" s="28">
        <f t="shared" si="577"/>
        <v>1046333.6199374467</v>
      </c>
      <c r="AJ120" s="28">
        <f t="shared" si="577"/>
        <v>811554.59370854252</v>
      </c>
      <c r="AK120" s="28">
        <f t="shared" si="577"/>
        <v>5840419.1895490801</v>
      </c>
      <c r="AL120" s="28">
        <f t="shared" si="577"/>
        <v>-516429.08095584821</v>
      </c>
      <c r="AM120" s="28">
        <f t="shared" si="577"/>
        <v>-610873.49400509021</v>
      </c>
      <c r="AN120" s="28">
        <f t="shared" si="577"/>
        <v>1974596.0939318137</v>
      </c>
      <c r="AO120" s="28">
        <f t="shared" si="577"/>
        <v>9324891.6955984682</v>
      </c>
      <c r="AP120" s="28">
        <f t="shared" si="577"/>
        <v>3779600.2705733785</v>
      </c>
      <c r="AQ120" s="28">
        <f t="shared" si="577"/>
        <v>8905982.5118135381</v>
      </c>
      <c r="AR120" s="28">
        <f t="shared" si="577"/>
        <v>-1653120.7789164553</v>
      </c>
      <c r="AS120" s="28">
        <f t="shared" si="577"/>
        <v>1077618.5373924146</v>
      </c>
      <c r="AT120" s="28">
        <f t="shared" si="577"/>
        <v>383022.9577008785</v>
      </c>
      <c r="AU120" s="28">
        <f t="shared" si="577"/>
        <v>1088631.4461805879</v>
      </c>
      <c r="AV120" s="28">
        <f t="shared" si="577"/>
        <v>373778.75878632272</v>
      </c>
      <c r="AW120" s="28">
        <f t="shared" si="577"/>
        <v>2240313.0818739147</v>
      </c>
      <c r="AX120" s="28">
        <f t="shared" si="577"/>
        <v>9077729.7558518965</v>
      </c>
      <c r="AY120" s="28">
        <f t="shared" si="577"/>
        <v>-7493436.9172830265</v>
      </c>
      <c r="AZ120" s="28">
        <f t="shared" si="577"/>
        <v>-12782765.460000001</v>
      </c>
      <c r="BA120" s="28">
        <f t="shared" si="577"/>
        <v>-2934552.0900000003</v>
      </c>
      <c r="BB120" s="28">
        <f t="shared" si="577"/>
        <v>-3362652.71</v>
      </c>
      <c r="BC120" s="28">
        <f t="shared" si="577"/>
        <v>-745962.59000000008</v>
      </c>
      <c r="BD120" s="28">
        <f t="shared" si="577"/>
        <v>-3545785.097348813</v>
      </c>
      <c r="BE120" s="28">
        <f t="shared" si="577"/>
        <v>307406.41055127187</v>
      </c>
      <c r="BF120" s="28">
        <f t="shared" si="577"/>
        <v>431123.05391123879</v>
      </c>
      <c r="BG120" s="28">
        <f t="shared" si="577"/>
        <v>632335.37115522579</v>
      </c>
      <c r="BH120" s="28">
        <f t="shared" si="577"/>
        <v>1052564.0441858193</v>
      </c>
      <c r="BI120" s="28">
        <f t="shared" si="577"/>
        <v>-2142691.4994526445</v>
      </c>
      <c r="BJ120" s="28">
        <f t="shared" si="577"/>
        <v>-1705900.2575180146</v>
      </c>
      <c r="BK120" s="28">
        <f t="shared" si="577"/>
        <v>-5272645.2539945943</v>
      </c>
      <c r="BL120" s="28">
        <f t="shared" ref="BL120:BW120" si="578">SUM(BL14,BL31,BL39,BL48,BL67,BL75,BL85,BL106,BL115,BL23,BL59,BL97)</f>
        <v>356013.6399999992</v>
      </c>
      <c r="BM120" s="28">
        <f t="shared" si="578"/>
        <v>-8307298.1900000023</v>
      </c>
      <c r="BN120" s="28">
        <f t="shared" si="578"/>
        <v>-7106722.5599999996</v>
      </c>
      <c r="BO120" s="28">
        <f t="shared" si="578"/>
        <v>-5028168.54</v>
      </c>
      <c r="BP120" s="28">
        <f t="shared" si="578"/>
        <v>-3720127.2793920049</v>
      </c>
      <c r="BQ120" s="28">
        <f t="shared" si="578"/>
        <v>-1445355.45</v>
      </c>
      <c r="BR120" s="28">
        <f t="shared" si="578"/>
        <v>49816.83999999988</v>
      </c>
      <c r="BS120" s="28">
        <f t="shared" si="578"/>
        <v>-1355583.1099999999</v>
      </c>
      <c r="BT120" s="28">
        <f t="shared" si="578"/>
        <v>-708452.69000000018</v>
      </c>
      <c r="BU120" s="28">
        <f t="shared" si="578"/>
        <v>-2911688.49</v>
      </c>
      <c r="BV120" s="28">
        <f t="shared" si="578"/>
        <v>-4261396.3199999994</v>
      </c>
      <c r="BW120" s="28">
        <f t="shared" si="578"/>
        <v>-2449125.75</v>
      </c>
      <c r="BX120" s="28">
        <f t="shared" ref="BX120:CJ120" si="579">SUM(BX14,BX31,BX39,BX48,BX67,BX75,BX85,BX106,BX115,BX23,BX59,BX97)</f>
        <v>-2594001.2400000002</v>
      </c>
      <c r="BY120" s="28">
        <f t="shared" si="579"/>
        <v>-18531280.919999998</v>
      </c>
      <c r="BZ120" s="28">
        <f t="shared" si="579"/>
        <v>-4672049.5999999996</v>
      </c>
      <c r="CA120" s="28">
        <f t="shared" si="579"/>
        <v>-1421754.4600000004</v>
      </c>
      <c r="CB120" s="28">
        <f t="shared" si="579"/>
        <v>2058711.4499999995</v>
      </c>
      <c r="CC120" s="28">
        <f t="shared" si="579"/>
        <v>-142997.37999999998</v>
      </c>
      <c r="CD120" s="28">
        <f t="shared" si="579"/>
        <v>-502576.93999999989</v>
      </c>
      <c r="CE120" s="28">
        <f t="shared" si="579"/>
        <v>-611595.60000000009</v>
      </c>
      <c r="CF120" s="28">
        <f t="shared" si="579"/>
        <v>384461.43</v>
      </c>
      <c r="CG120" s="28">
        <f t="shared" si="579"/>
        <v>-3536646.1000000006</v>
      </c>
      <c r="CH120" s="28">
        <f t="shared" si="579"/>
        <v>2625911.5</v>
      </c>
      <c r="CI120" s="28">
        <f t="shared" si="579"/>
        <v>91265.890000000116</v>
      </c>
      <c r="CJ120" s="28">
        <f t="shared" si="579"/>
        <v>3553284.18</v>
      </c>
      <c r="CK120" s="28">
        <f t="shared" si="577"/>
        <v>-4427749.41</v>
      </c>
      <c r="CL120" s="28">
        <f t="shared" si="577"/>
        <v>-1422509.0200000003</v>
      </c>
      <c r="CM120" s="28">
        <f t="shared" si="577"/>
        <v>2019615.8100000003</v>
      </c>
      <c r="CN120" s="28">
        <f t="shared" si="577"/>
        <v>1900179.7400000002</v>
      </c>
      <c r="CO120" s="28">
        <f t="shared" ref="CO120:CY120" si="580">SUM(CO14,CO31,CO39,CO48,CO67,CO75,CO85,CO106,CO115,CO23,CO59,CO97)</f>
        <v>-1450438.43</v>
      </c>
      <c r="CP120" s="28">
        <f t="shared" si="580"/>
        <v>-727561.97</v>
      </c>
      <c r="CQ120" s="28">
        <f t="shared" si="580"/>
        <v>-42434.289999999979</v>
      </c>
      <c r="CR120" s="28">
        <f t="shared" si="580"/>
        <v>2609798.5299999993</v>
      </c>
      <c r="CS120" s="28">
        <f t="shared" si="580"/>
        <v>2495512.52</v>
      </c>
      <c r="CT120" s="28">
        <f t="shared" si="580"/>
        <v>335751.92999999993</v>
      </c>
      <c r="CU120" s="28">
        <f t="shared" si="580"/>
        <v>7863115.2300000004</v>
      </c>
      <c r="CV120" s="28">
        <f t="shared" si="580"/>
        <v>4808112.79</v>
      </c>
      <c r="CW120" s="28">
        <f t="shared" si="580"/>
        <v>-4298689.87</v>
      </c>
      <c r="CX120" s="28">
        <f t="shared" si="580"/>
        <v>-605912.65192647919</v>
      </c>
      <c r="CY120" s="28">
        <f t="shared" si="580"/>
        <v>-399321.93350349256</v>
      </c>
    </row>
    <row r="121" spans="1:104" ht="18" customHeight="1" thickBot="1" x14ac:dyDescent="0.25">
      <c r="B121" s="7" t="s">
        <v>194</v>
      </c>
      <c r="D121" s="29">
        <f>SUM(D15,D32,D40,D49,D68,D76,D86,D107,D116,D24,D60,D98)</f>
        <v>0</v>
      </c>
      <c r="E121" s="29">
        <f t="shared" ref="E121:CN121" si="581">SUM(E15,E32,E40,E49,E68,E76,E86,E107,E116,E24,E60,E98)</f>
        <v>0</v>
      </c>
      <c r="F121" s="29">
        <f t="shared" si="581"/>
        <v>0</v>
      </c>
      <c r="G121" s="29">
        <f t="shared" si="581"/>
        <v>0</v>
      </c>
      <c r="H121" s="29">
        <f t="shared" si="581"/>
        <v>0</v>
      </c>
      <c r="I121" s="29">
        <f t="shared" si="581"/>
        <v>0</v>
      </c>
      <c r="J121" s="29">
        <f t="shared" si="581"/>
        <v>749737.8474552728</v>
      </c>
      <c r="K121" s="29">
        <f t="shared" si="581"/>
        <v>1954493.1273065959</v>
      </c>
      <c r="L121" s="29">
        <f t="shared" si="581"/>
        <v>2103473.1949466667</v>
      </c>
      <c r="M121" s="29">
        <f t="shared" si="581"/>
        <v>-876454.67190844822</v>
      </c>
      <c r="N121" s="29">
        <f t="shared" si="581"/>
        <v>96245.504342926477</v>
      </c>
      <c r="O121" s="29">
        <f t="shared" si="581"/>
        <v>-5161465.3767827461</v>
      </c>
      <c r="P121" s="29">
        <f t="shared" si="581"/>
        <v>-4552807.4272919605</v>
      </c>
      <c r="Q121" s="29">
        <f t="shared" si="581"/>
        <v>-6392168.4166245656</v>
      </c>
      <c r="R121" s="29">
        <f t="shared" si="581"/>
        <v>-3663722.3598893592</v>
      </c>
      <c r="S121" s="29">
        <f t="shared" si="581"/>
        <v>-437814.57615227433</v>
      </c>
      <c r="T121" s="29">
        <f t="shared" si="581"/>
        <v>2830612.0059704981</v>
      </c>
      <c r="U121" s="29">
        <f t="shared" si="581"/>
        <v>4777963.0222681034</v>
      </c>
      <c r="V121" s="29">
        <f t="shared" si="581"/>
        <v>6274167.2180051673</v>
      </c>
      <c r="W121" s="29">
        <f t="shared" si="581"/>
        <v>7457966.9598181872</v>
      </c>
      <c r="X121" s="29">
        <f t="shared" si="581"/>
        <v>10042840.033093061</v>
      </c>
      <c r="Y121" s="29">
        <f t="shared" si="581"/>
        <v>17327113.428218469</v>
      </c>
      <c r="Z121" s="29">
        <f t="shared" si="581"/>
        <v>19118518.687288649</v>
      </c>
      <c r="AA121" s="29">
        <f t="shared" si="581"/>
        <v>26319422.329305504</v>
      </c>
      <c r="AB121" s="29">
        <f t="shared" si="581"/>
        <v>35180099.584160015</v>
      </c>
      <c r="AC121" s="29">
        <f t="shared" si="581"/>
        <v>49692834.335509449</v>
      </c>
      <c r="AD121" s="29">
        <f t="shared" si="581"/>
        <v>55807163.216545254</v>
      </c>
      <c r="AE121" s="29">
        <f t="shared" si="581"/>
        <v>59689876.398589939</v>
      </c>
      <c r="AF121" s="29">
        <f t="shared" si="581"/>
        <v>61765156.453626432</v>
      </c>
      <c r="AG121" s="29">
        <f t="shared" si="581"/>
        <v>64627907.526004195</v>
      </c>
      <c r="AH121" s="29">
        <f t="shared" si="581"/>
        <v>66814543.588727541</v>
      </c>
      <c r="AI121" s="29">
        <f t="shared" si="581"/>
        <v>67860877.208664984</v>
      </c>
      <c r="AJ121" s="29">
        <f t="shared" si="581"/>
        <v>68672431.802373528</v>
      </c>
      <c r="AK121" s="29">
        <f t="shared" si="581"/>
        <v>74512850.991922602</v>
      </c>
      <c r="AL121" s="29">
        <f t="shared" si="581"/>
        <v>73996421.910966754</v>
      </c>
      <c r="AM121" s="29">
        <f t="shared" si="581"/>
        <v>73385548.416961655</v>
      </c>
      <c r="AN121" s="29">
        <f t="shared" si="581"/>
        <v>75360144.510893479</v>
      </c>
      <c r="AO121" s="29">
        <f t="shared" si="581"/>
        <v>84685036.206491947</v>
      </c>
      <c r="AP121" s="29">
        <f t="shared" si="581"/>
        <v>88464636.47706531</v>
      </c>
      <c r="AQ121" s="29">
        <f t="shared" si="581"/>
        <v>97370618.988878861</v>
      </c>
      <c r="AR121" s="29">
        <f t="shared" si="581"/>
        <v>95717498.209962398</v>
      </c>
      <c r="AS121" s="29">
        <f t="shared" si="581"/>
        <v>96795116.747354805</v>
      </c>
      <c r="AT121" s="29">
        <f t="shared" si="581"/>
        <v>97178139.705055684</v>
      </c>
      <c r="AU121" s="29">
        <f t="shared" si="581"/>
        <v>98266771.151236281</v>
      </c>
      <c r="AV121" s="29">
        <f t="shared" si="581"/>
        <v>98640549.910022587</v>
      </c>
      <c r="AW121" s="29">
        <f t="shared" si="581"/>
        <v>100880862.99189651</v>
      </c>
      <c r="AX121" s="29">
        <f t="shared" si="581"/>
        <v>109958592.7477484</v>
      </c>
      <c r="AY121" s="29">
        <f t="shared" si="581"/>
        <v>102465155.83046538</v>
      </c>
      <c r="AZ121" s="29">
        <f t="shared" si="581"/>
        <v>89682390.370465383</v>
      </c>
      <c r="BA121" s="29">
        <f t="shared" si="581"/>
        <v>86747838.280465379</v>
      </c>
      <c r="BB121" s="29">
        <f t="shared" si="581"/>
        <v>83385185.570465371</v>
      </c>
      <c r="BC121" s="29">
        <f t="shared" si="581"/>
        <v>82639222.980465367</v>
      </c>
      <c r="BD121" s="29">
        <f t="shared" si="581"/>
        <v>79093437.883116573</v>
      </c>
      <c r="BE121" s="29">
        <f t="shared" si="581"/>
        <v>79400844.293667838</v>
      </c>
      <c r="BF121" s="29">
        <f t="shared" si="581"/>
        <v>79831967.347579077</v>
      </c>
      <c r="BG121" s="29">
        <f t="shared" si="581"/>
        <v>80464302.718734309</v>
      </c>
      <c r="BH121" s="29">
        <f t="shared" si="581"/>
        <v>81516866.762920126</v>
      </c>
      <c r="BI121" s="29">
        <f t="shared" si="581"/>
        <v>79374175.263467476</v>
      </c>
      <c r="BJ121" s="29">
        <f t="shared" si="581"/>
        <v>77668275.005949482</v>
      </c>
      <c r="BK121" s="29">
        <f t="shared" si="581"/>
        <v>72395629.751954868</v>
      </c>
      <c r="BL121" s="29">
        <f t="shared" ref="BL121:BW121" si="582">SUM(BL15,BL32,BL40,BL49,BL68,BL76,BL86,BL107,BL116,BL24,BL60,BL98)</f>
        <v>72751643.391954884</v>
      </c>
      <c r="BM121" s="29">
        <f t="shared" si="582"/>
        <v>64444345.201954879</v>
      </c>
      <c r="BN121" s="29">
        <f t="shared" si="582"/>
        <v>57337622.641954876</v>
      </c>
      <c r="BO121" s="29">
        <f t="shared" si="582"/>
        <v>52309454.101954877</v>
      </c>
      <c r="BP121" s="29">
        <f t="shared" si="582"/>
        <v>48589326.822562881</v>
      </c>
      <c r="BQ121" s="29">
        <f t="shared" si="582"/>
        <v>47143971.37256287</v>
      </c>
      <c r="BR121" s="29">
        <f t="shared" si="582"/>
        <v>47193788.212562874</v>
      </c>
      <c r="BS121" s="29">
        <f t="shared" si="582"/>
        <v>45838205.102562889</v>
      </c>
      <c r="BT121" s="29">
        <f t="shared" si="582"/>
        <v>45129752.412562869</v>
      </c>
      <c r="BU121" s="29">
        <f t="shared" si="582"/>
        <v>42218063.922562882</v>
      </c>
      <c r="BV121" s="29">
        <f t="shared" si="582"/>
        <v>37956667.602562882</v>
      </c>
      <c r="BW121" s="29">
        <f t="shared" si="582"/>
        <v>35507541.85256286</v>
      </c>
      <c r="BX121" s="29">
        <f t="shared" ref="BX121:CJ121" si="583">SUM(BX15,BX32,BX40,BX49,BX68,BX76,BX86,BX107,BX116,BX24,BX60,BX98)</f>
        <v>32913540.612562865</v>
      </c>
      <c r="BY121" s="29">
        <f t="shared" si="583"/>
        <v>14382259.692562869</v>
      </c>
      <c r="BZ121" s="29">
        <f t="shared" si="583"/>
        <v>9710210.0925628692</v>
      </c>
      <c r="CA121" s="29">
        <f t="shared" si="583"/>
        <v>8288455.6325628646</v>
      </c>
      <c r="CB121" s="29">
        <f t="shared" si="583"/>
        <v>10347167.082562866</v>
      </c>
      <c r="CC121" s="29">
        <f t="shared" si="583"/>
        <v>10204169.70256287</v>
      </c>
      <c r="CD121" s="29">
        <f t="shared" si="583"/>
        <v>9701592.7625628673</v>
      </c>
      <c r="CE121" s="29">
        <f t="shared" si="583"/>
        <v>9089997.1625628676</v>
      </c>
      <c r="CF121" s="29">
        <f t="shared" si="583"/>
        <v>9474458.5925628655</v>
      </c>
      <c r="CG121" s="29">
        <f t="shared" si="583"/>
        <v>5937812.4925628658</v>
      </c>
      <c r="CH121" s="29">
        <f t="shared" si="583"/>
        <v>8563723.9925628658</v>
      </c>
      <c r="CI121" s="29">
        <f t="shared" si="583"/>
        <v>8654989.8825628683</v>
      </c>
      <c r="CJ121" s="29">
        <f t="shared" si="583"/>
        <v>12208274.062562868</v>
      </c>
      <c r="CK121" s="29">
        <f t="shared" si="581"/>
        <v>7780524.6525628669</v>
      </c>
      <c r="CL121" s="29">
        <f t="shared" si="581"/>
        <v>6358015.6325628655</v>
      </c>
      <c r="CM121" s="29">
        <f t="shared" si="581"/>
        <v>8377631.442562866</v>
      </c>
      <c r="CN121" s="29">
        <f t="shared" si="581"/>
        <v>10277811.182562869</v>
      </c>
      <c r="CO121" s="29">
        <f t="shared" ref="CO121:CY121" si="584">SUM(CO15,CO32,CO40,CO49,CO68,CO76,CO86,CO107,CO116,CO24,CO60,CO98)</f>
        <v>8827372.7525628693</v>
      </c>
      <c r="CP121" s="29">
        <f t="shared" si="584"/>
        <v>8099810.7825628668</v>
      </c>
      <c r="CQ121" s="29">
        <f t="shared" si="584"/>
        <v>8057376.4925628677</v>
      </c>
      <c r="CR121" s="29">
        <f t="shared" si="584"/>
        <v>10667175.022562869</v>
      </c>
      <c r="CS121" s="29">
        <f t="shared" si="584"/>
        <v>13162687.542562868</v>
      </c>
      <c r="CT121" s="29">
        <f t="shared" si="584"/>
        <v>13498439.472562872</v>
      </c>
      <c r="CU121" s="29">
        <f t="shared" si="584"/>
        <v>21361554.702562869</v>
      </c>
      <c r="CV121" s="29">
        <f t="shared" si="584"/>
        <v>26169667.492562868</v>
      </c>
      <c r="CW121" s="29">
        <f t="shared" si="584"/>
        <v>21870977.62256287</v>
      </c>
      <c r="CX121" s="29">
        <f t="shared" si="584"/>
        <v>21265064.970636394</v>
      </c>
      <c r="CY121" s="29">
        <f t="shared" si="584"/>
        <v>20865743.0371329</v>
      </c>
    </row>
    <row r="122" spans="1:104" ht="12" thickTop="1" x14ac:dyDescent="0.2">
      <c r="A122" s="7" t="s">
        <v>209</v>
      </c>
      <c r="D122" s="30">
        <f>SUM(D15,D32,D40,D24)</f>
        <v>0</v>
      </c>
      <c r="E122" s="30">
        <f t="shared" ref="E122:CN122" si="585">SUM(E15,E32,E40,E24)</f>
        <v>0</v>
      </c>
      <c r="F122" s="30">
        <f t="shared" si="585"/>
        <v>0</v>
      </c>
      <c r="G122" s="30">
        <f t="shared" si="585"/>
        <v>0</v>
      </c>
      <c r="H122" s="30">
        <f t="shared" si="585"/>
        <v>0</v>
      </c>
      <c r="I122" s="30">
        <f t="shared" si="585"/>
        <v>0</v>
      </c>
      <c r="J122" s="30">
        <f t="shared" si="585"/>
        <v>0</v>
      </c>
      <c r="K122" s="30">
        <f t="shared" si="585"/>
        <v>0</v>
      </c>
      <c r="L122" s="30">
        <f t="shared" si="585"/>
        <v>0</v>
      </c>
      <c r="M122" s="30">
        <f t="shared" si="585"/>
        <v>0</v>
      </c>
      <c r="N122" s="30">
        <f t="shared" si="585"/>
        <v>0</v>
      </c>
      <c r="O122" s="30">
        <f t="shared" si="585"/>
        <v>0</v>
      </c>
      <c r="P122" s="30">
        <f t="shared" si="585"/>
        <v>0</v>
      </c>
      <c r="Q122" s="30">
        <f t="shared" si="585"/>
        <v>0</v>
      </c>
      <c r="R122" s="30">
        <f t="shared" si="585"/>
        <v>0</v>
      </c>
      <c r="S122" s="30">
        <f t="shared" si="585"/>
        <v>0</v>
      </c>
      <c r="T122" s="30">
        <f t="shared" si="585"/>
        <v>-4984473.0387106789</v>
      </c>
      <c r="U122" s="30">
        <f t="shared" si="585"/>
        <v>-4834353.2706501456</v>
      </c>
      <c r="V122" s="30">
        <f t="shared" si="585"/>
        <v>-4723512.543973201</v>
      </c>
      <c r="W122" s="30">
        <f t="shared" si="585"/>
        <v>-4621731.5997377206</v>
      </c>
      <c r="X122" s="30">
        <f t="shared" si="585"/>
        <v>-4494975.5093329586</v>
      </c>
      <c r="Y122" s="30">
        <f t="shared" si="585"/>
        <v>-4258326.0628518583</v>
      </c>
      <c r="Z122" s="30">
        <f t="shared" si="585"/>
        <v>-3654139.7205273085</v>
      </c>
      <c r="AA122" s="30">
        <f t="shared" si="585"/>
        <v>-2967966.716642112</v>
      </c>
      <c r="AB122" s="30">
        <f t="shared" si="585"/>
        <v>-2311474.0738325845</v>
      </c>
      <c r="AC122" s="30">
        <f t="shared" si="585"/>
        <v>-1825267.4989476348</v>
      </c>
      <c r="AD122" s="30">
        <f t="shared" si="585"/>
        <v>-1370256.0650724955</v>
      </c>
      <c r="AE122" s="30">
        <f t="shared" si="585"/>
        <v>-988346.97802894819</v>
      </c>
      <c r="AF122" s="30">
        <f t="shared" si="585"/>
        <v>16265343.047508944</v>
      </c>
      <c r="AG122" s="30">
        <f t="shared" si="585"/>
        <v>15819082.27101879</v>
      </c>
      <c r="AH122" s="30">
        <f t="shared" si="585"/>
        <v>15428452.1600498</v>
      </c>
      <c r="AI122" s="30">
        <f t="shared" si="585"/>
        <v>15012901.877903635</v>
      </c>
      <c r="AJ122" s="30">
        <f t="shared" si="585"/>
        <v>14458309.516399225</v>
      </c>
      <c r="AK122" s="30">
        <f t="shared" si="585"/>
        <v>13627774.907090738</v>
      </c>
      <c r="AL122" s="30">
        <f t="shared" si="585"/>
        <v>11761269.51739054</v>
      </c>
      <c r="AM122" s="30">
        <f t="shared" si="585"/>
        <v>9420138.8052283637</v>
      </c>
      <c r="AN122" s="30">
        <f t="shared" si="585"/>
        <v>7192358.4812908377</v>
      </c>
      <c r="AO122" s="30">
        <f t="shared" si="585"/>
        <v>5489120.2222982738</v>
      </c>
      <c r="AP122" s="30">
        <f t="shared" si="585"/>
        <v>3814347.1796343783</v>
      </c>
      <c r="AQ122" s="30">
        <f t="shared" si="585"/>
        <v>2892828.9909327431</v>
      </c>
      <c r="AR122" s="30">
        <f t="shared" si="585"/>
        <v>32850386.310156126</v>
      </c>
      <c r="AS122" s="30">
        <f t="shared" si="585"/>
        <v>31840241.255354583</v>
      </c>
      <c r="AT122" s="30">
        <f t="shared" si="585"/>
        <v>30939252.694776982</v>
      </c>
      <c r="AU122" s="30">
        <f t="shared" si="585"/>
        <v>30170106.355587818</v>
      </c>
      <c r="AV122" s="30">
        <f t="shared" si="585"/>
        <v>29107559.74426119</v>
      </c>
      <c r="AW122" s="30">
        <f t="shared" si="585"/>
        <v>27218245.923017941</v>
      </c>
      <c r="AX122" s="30">
        <f t="shared" si="585"/>
        <v>24622630.705050059</v>
      </c>
      <c r="AY122" s="30">
        <f t="shared" si="585"/>
        <v>19640107.660528962</v>
      </c>
      <c r="AZ122" s="30">
        <f t="shared" si="585"/>
        <v>14141837.840528961</v>
      </c>
      <c r="BA122" s="30">
        <f t="shared" si="585"/>
        <v>9830823.3305289615</v>
      </c>
      <c r="BB122" s="30">
        <f t="shared" si="585"/>
        <v>6058050.4005289618</v>
      </c>
      <c r="BC122" s="30">
        <f t="shared" si="585"/>
        <v>3461647.2605289621</v>
      </c>
      <c r="BD122" s="30">
        <f t="shared" si="585"/>
        <v>36943648.47052896</v>
      </c>
      <c r="BE122" s="30">
        <f t="shared" si="585"/>
        <v>35710145.150528967</v>
      </c>
      <c r="BF122" s="30">
        <f t="shared" si="585"/>
        <v>34688233.820528969</v>
      </c>
      <c r="BG122" s="30">
        <f t="shared" si="585"/>
        <v>33753748.380528964</v>
      </c>
      <c r="BH122" s="30">
        <f t="shared" si="585"/>
        <v>32602857.520528965</v>
      </c>
      <c r="BI122" s="30">
        <f t="shared" si="585"/>
        <v>30061670.310528964</v>
      </c>
      <c r="BJ122" s="30">
        <f t="shared" si="585"/>
        <v>26085727.150528964</v>
      </c>
      <c r="BK122" s="30">
        <f t="shared" si="585"/>
        <v>20673234.340528965</v>
      </c>
      <c r="BL122" s="30">
        <f t="shared" ref="BL122:BW122" si="586">SUM(BL15,BL32,BL40,BL24)</f>
        <v>15904793.690528965</v>
      </c>
      <c r="BM122" s="30">
        <f t="shared" si="586"/>
        <v>10948096.340528965</v>
      </c>
      <c r="BN122" s="30">
        <f t="shared" si="586"/>
        <v>6714608.5205289647</v>
      </c>
      <c r="BO122" s="30">
        <f t="shared" si="586"/>
        <v>3701336.9605289642</v>
      </c>
      <c r="BP122" s="30">
        <f t="shared" si="586"/>
        <v>48749581.969460443</v>
      </c>
      <c r="BQ122" s="30">
        <f t="shared" si="586"/>
        <v>47111311.009460442</v>
      </c>
      <c r="BR122" s="30">
        <f t="shared" si="586"/>
        <v>45980255.789460436</v>
      </c>
      <c r="BS122" s="30">
        <f t="shared" si="586"/>
        <v>44775358.789460443</v>
      </c>
      <c r="BT122" s="30">
        <f t="shared" si="586"/>
        <v>43218987.369460434</v>
      </c>
      <c r="BU122" s="30">
        <f t="shared" si="586"/>
        <v>39653832.279460445</v>
      </c>
      <c r="BV122" s="30">
        <f t="shared" si="586"/>
        <v>34492393.599460438</v>
      </c>
      <c r="BW122" s="30">
        <f t="shared" si="586"/>
        <v>27273493.519460436</v>
      </c>
      <c r="BX122" s="30">
        <f t="shared" ref="BX122:CJ122" si="587">SUM(BX15,BX32,BX40,BX24)</f>
        <v>20172166.149460435</v>
      </c>
      <c r="BY122" s="30">
        <f t="shared" si="587"/>
        <v>11638898.719460435</v>
      </c>
      <c r="BZ122" s="30">
        <f t="shared" si="587"/>
        <v>5537684.9494604347</v>
      </c>
      <c r="CA122" s="30">
        <f t="shared" si="587"/>
        <v>1723096.8594604342</v>
      </c>
      <c r="CB122" s="30">
        <f t="shared" si="587"/>
        <v>9745093.1142945644</v>
      </c>
      <c r="CC122" s="30">
        <f t="shared" si="587"/>
        <v>9475282.8442945667</v>
      </c>
      <c r="CD122" s="30">
        <f t="shared" si="587"/>
        <v>9303712.4042945653</v>
      </c>
      <c r="CE122" s="30">
        <f t="shared" si="587"/>
        <v>9156508.8642945644</v>
      </c>
      <c r="CF122" s="30">
        <f t="shared" si="587"/>
        <v>8935741.1642945651</v>
      </c>
      <c r="CG122" s="30">
        <f t="shared" si="587"/>
        <v>8137022.5542945648</v>
      </c>
      <c r="CH122" s="30">
        <f t="shared" si="587"/>
        <v>7075016.9942945642</v>
      </c>
      <c r="CI122" s="30">
        <f t="shared" si="587"/>
        <v>5798079.5142945647</v>
      </c>
      <c r="CJ122" s="30">
        <f t="shared" si="587"/>
        <v>4494590.1342945648</v>
      </c>
      <c r="CK122" s="30">
        <f t="shared" si="585"/>
        <v>3262461.3742945655</v>
      </c>
      <c r="CL122" s="30">
        <f t="shared" si="585"/>
        <v>2048809.4242945656</v>
      </c>
      <c r="CM122" s="30">
        <f t="shared" si="585"/>
        <v>1329612.0942945657</v>
      </c>
      <c r="CN122" s="30">
        <f t="shared" si="585"/>
        <v>3978306.4942945647</v>
      </c>
      <c r="CO122" s="30">
        <f t="shared" ref="CO122:CY122" si="588">SUM(CO15,CO32,CO40,CO24)</f>
        <v>3870640.5042945654</v>
      </c>
      <c r="CP122" s="30">
        <f t="shared" si="588"/>
        <v>3810092.3042945657</v>
      </c>
      <c r="CQ122" s="30">
        <f t="shared" si="588"/>
        <v>3760177.6042945655</v>
      </c>
      <c r="CR122" s="30">
        <f t="shared" si="588"/>
        <v>3694576.3642945657</v>
      </c>
      <c r="CS122" s="30">
        <f t="shared" si="588"/>
        <v>3406231.0342945661</v>
      </c>
      <c r="CT122" s="30">
        <f t="shared" si="588"/>
        <v>2841247.5542945662</v>
      </c>
      <c r="CU122" s="30">
        <f t="shared" si="588"/>
        <v>2149411.5942945657</v>
      </c>
      <c r="CV122" s="30">
        <f t="shared" si="588"/>
        <v>1423563.0142945657</v>
      </c>
      <c r="CW122" s="30">
        <f t="shared" si="588"/>
        <v>719251.69429456559</v>
      </c>
      <c r="CX122" s="30">
        <f t="shared" si="588"/>
        <v>113339.04236808655</v>
      </c>
      <c r="CY122" s="30">
        <f t="shared" si="588"/>
        <v>-285982.89113540604</v>
      </c>
    </row>
    <row r="123" spans="1:104" ht="12" thickBot="1" x14ac:dyDescent="0.25">
      <c r="A123" s="7" t="s">
        <v>210</v>
      </c>
      <c r="D123" s="31">
        <f t="shared" ref="D123" si="589">D121-D122</f>
        <v>0</v>
      </c>
      <c r="E123" s="31">
        <f t="shared" ref="E123:CN123" si="590">E121-E122</f>
        <v>0</v>
      </c>
      <c r="F123" s="31">
        <f t="shared" si="590"/>
        <v>0</v>
      </c>
      <c r="G123" s="31">
        <f t="shared" si="590"/>
        <v>0</v>
      </c>
      <c r="H123" s="31">
        <f t="shared" si="590"/>
        <v>0</v>
      </c>
      <c r="I123" s="31">
        <f t="shared" si="590"/>
        <v>0</v>
      </c>
      <c r="J123" s="31">
        <f t="shared" si="590"/>
        <v>749737.8474552728</v>
      </c>
      <c r="K123" s="31">
        <f t="shared" si="590"/>
        <v>1954493.1273065959</v>
      </c>
      <c r="L123" s="31">
        <f t="shared" si="590"/>
        <v>2103473.1949466667</v>
      </c>
      <c r="M123" s="31">
        <f t="shared" si="590"/>
        <v>-876454.67190844822</v>
      </c>
      <c r="N123" s="31">
        <f t="shared" si="590"/>
        <v>96245.504342926477</v>
      </c>
      <c r="O123" s="31">
        <f t="shared" si="590"/>
        <v>-5161465.3767827461</v>
      </c>
      <c r="P123" s="31">
        <f t="shared" si="590"/>
        <v>-4552807.4272919605</v>
      </c>
      <c r="Q123" s="31">
        <f t="shared" si="590"/>
        <v>-6392168.4166245656</v>
      </c>
      <c r="R123" s="31">
        <f t="shared" si="590"/>
        <v>-3663722.3598893592</v>
      </c>
      <c r="S123" s="31">
        <f t="shared" si="590"/>
        <v>-437814.57615227433</v>
      </c>
      <c r="T123" s="31">
        <f t="shared" si="590"/>
        <v>7815085.0446811765</v>
      </c>
      <c r="U123" s="31">
        <f t="shared" si="590"/>
        <v>9612316.29291825</v>
      </c>
      <c r="V123" s="31">
        <f t="shared" si="590"/>
        <v>10997679.761978369</v>
      </c>
      <c r="W123" s="31">
        <f t="shared" si="590"/>
        <v>12079698.559555907</v>
      </c>
      <c r="X123" s="31">
        <f t="shared" si="590"/>
        <v>14537815.54242602</v>
      </c>
      <c r="Y123" s="31">
        <f t="shared" si="590"/>
        <v>21585439.491070326</v>
      </c>
      <c r="Z123" s="31">
        <f t="shared" si="590"/>
        <v>22772658.407815959</v>
      </c>
      <c r="AA123" s="31">
        <f t="shared" si="590"/>
        <v>29287389.045947615</v>
      </c>
      <c r="AB123" s="31">
        <f t="shared" si="590"/>
        <v>37491573.657992601</v>
      </c>
      <c r="AC123" s="31">
        <f t="shared" si="590"/>
        <v>51518101.834457085</v>
      </c>
      <c r="AD123" s="31">
        <f t="shared" si="590"/>
        <v>57177419.281617746</v>
      </c>
      <c r="AE123" s="31">
        <f t="shared" si="590"/>
        <v>60678223.376618885</v>
      </c>
      <c r="AF123" s="31">
        <f t="shared" si="590"/>
        <v>45499813.406117484</v>
      </c>
      <c r="AG123" s="31">
        <f t="shared" si="590"/>
        <v>48808825.254985407</v>
      </c>
      <c r="AH123" s="31">
        <f t="shared" si="590"/>
        <v>51386091.428677738</v>
      </c>
      <c r="AI123" s="31">
        <f t="shared" si="590"/>
        <v>52847975.330761351</v>
      </c>
      <c r="AJ123" s="31">
        <f t="shared" si="590"/>
        <v>54214122.285974301</v>
      </c>
      <c r="AK123" s="31">
        <f t="shared" si="590"/>
        <v>60885076.084831864</v>
      </c>
      <c r="AL123" s="31">
        <f t="shared" si="590"/>
        <v>62235152.393576212</v>
      </c>
      <c r="AM123" s="31">
        <f t="shared" si="590"/>
        <v>63965409.611733288</v>
      </c>
      <c r="AN123" s="31">
        <f t="shared" si="590"/>
        <v>68167786.029602647</v>
      </c>
      <c r="AO123" s="31">
        <f t="shared" si="590"/>
        <v>79195915.984193668</v>
      </c>
      <c r="AP123" s="31">
        <f t="shared" si="590"/>
        <v>84650289.297430933</v>
      </c>
      <c r="AQ123" s="31">
        <f t="shared" si="590"/>
        <v>94477789.997946113</v>
      </c>
      <c r="AR123" s="31">
        <f t="shared" si="590"/>
        <v>62867111.899806276</v>
      </c>
      <c r="AS123" s="31">
        <f t="shared" si="590"/>
        <v>64954875.492000222</v>
      </c>
      <c r="AT123" s="31">
        <f t="shared" si="590"/>
        <v>66238887.010278702</v>
      </c>
      <c r="AU123" s="31">
        <f t="shared" si="590"/>
        <v>68096664.795648456</v>
      </c>
      <c r="AV123" s="31">
        <f t="shared" si="590"/>
        <v>69532990.165761396</v>
      </c>
      <c r="AW123" s="31">
        <f t="shared" si="590"/>
        <v>73662617.068878561</v>
      </c>
      <c r="AX123" s="31">
        <f t="shared" si="590"/>
        <v>85335962.042698354</v>
      </c>
      <c r="AY123" s="31">
        <f t="shared" si="590"/>
        <v>82825048.169936419</v>
      </c>
      <c r="AZ123" s="31">
        <f t="shared" si="590"/>
        <v>75540552.529936418</v>
      </c>
      <c r="BA123" s="31">
        <f t="shared" si="590"/>
        <v>76917014.94993642</v>
      </c>
      <c r="BB123" s="31">
        <f t="shared" si="590"/>
        <v>77327135.169936404</v>
      </c>
      <c r="BC123" s="31">
        <f t="shared" si="590"/>
        <v>79177575.719936401</v>
      </c>
      <c r="BD123" s="31">
        <f t="shared" si="590"/>
        <v>42149789.412587613</v>
      </c>
      <c r="BE123" s="31">
        <f t="shared" si="590"/>
        <v>43690699.143138871</v>
      </c>
      <c r="BF123" s="31">
        <f t="shared" si="590"/>
        <v>45143733.527050108</v>
      </c>
      <c r="BG123" s="31">
        <f t="shared" si="590"/>
        <v>46710554.338205345</v>
      </c>
      <c r="BH123" s="31">
        <f t="shared" si="590"/>
        <v>48914009.242391162</v>
      </c>
      <c r="BI123" s="31">
        <f t="shared" si="590"/>
        <v>49312504.952938512</v>
      </c>
      <c r="BJ123" s="31">
        <f t="shared" si="590"/>
        <v>51582547.855420515</v>
      </c>
      <c r="BK123" s="31">
        <f t="shared" si="590"/>
        <v>51722395.411425903</v>
      </c>
      <c r="BL123" s="31">
        <f t="shared" ref="BL123:BW123" si="591">BL121-BL122</f>
        <v>56846849.701425917</v>
      </c>
      <c r="BM123" s="31">
        <f t="shared" si="591"/>
        <v>53496248.861425914</v>
      </c>
      <c r="BN123" s="31">
        <f t="shared" si="591"/>
        <v>50623014.121425912</v>
      </c>
      <c r="BO123" s="31">
        <f t="shared" si="591"/>
        <v>48608117.141425915</v>
      </c>
      <c r="BP123" s="31">
        <f t="shared" si="591"/>
        <v>-160255.14689756185</v>
      </c>
      <c r="BQ123" s="31">
        <f t="shared" si="591"/>
        <v>32660.363102428615</v>
      </c>
      <c r="BR123" s="31">
        <f t="shared" si="591"/>
        <v>1213532.4231024384</v>
      </c>
      <c r="BS123" s="31">
        <f t="shared" si="591"/>
        <v>1062846.3131024465</v>
      </c>
      <c r="BT123" s="31">
        <f t="shared" si="591"/>
        <v>1910765.0431024358</v>
      </c>
      <c r="BU123" s="31">
        <f t="shared" si="591"/>
        <v>2564231.6431024373</v>
      </c>
      <c r="BV123" s="31">
        <f t="shared" si="591"/>
        <v>3464274.0031024441</v>
      </c>
      <c r="BW123" s="31">
        <f t="shared" si="591"/>
        <v>8234048.3331024237</v>
      </c>
      <c r="BX123" s="31">
        <f t="shared" ref="BX123:CJ123" si="592">BX121-BX122</f>
        <v>12741374.46310243</v>
      </c>
      <c r="BY123" s="31">
        <f t="shared" si="592"/>
        <v>2743360.9731024336</v>
      </c>
      <c r="BZ123" s="31">
        <f t="shared" si="592"/>
        <v>4172525.1431024345</v>
      </c>
      <c r="CA123" s="31">
        <f t="shared" si="592"/>
        <v>6565358.7731024306</v>
      </c>
      <c r="CB123" s="31">
        <f t="shared" si="592"/>
        <v>602073.96826830134</v>
      </c>
      <c r="CC123" s="31">
        <f t="shared" si="592"/>
        <v>728886.8582683038</v>
      </c>
      <c r="CD123" s="31">
        <f t="shared" si="592"/>
        <v>397880.35826830193</v>
      </c>
      <c r="CE123" s="31">
        <f t="shared" si="592"/>
        <v>-66511.701731696725</v>
      </c>
      <c r="CF123" s="31">
        <f t="shared" si="592"/>
        <v>538717.42826830037</v>
      </c>
      <c r="CG123" s="31">
        <f t="shared" si="592"/>
        <v>-2199210.0617316989</v>
      </c>
      <c r="CH123" s="31">
        <f t="shared" si="592"/>
        <v>1488706.9982683016</v>
      </c>
      <c r="CI123" s="31">
        <f t="shared" si="592"/>
        <v>2856910.3682683036</v>
      </c>
      <c r="CJ123" s="31">
        <f t="shared" si="592"/>
        <v>7713683.9282683032</v>
      </c>
      <c r="CK123" s="31">
        <f t="shared" si="590"/>
        <v>4518063.2782683019</v>
      </c>
      <c r="CL123" s="31">
        <f t="shared" si="590"/>
        <v>4309206.2082682997</v>
      </c>
      <c r="CM123" s="31">
        <f t="shared" si="590"/>
        <v>7048019.3482683003</v>
      </c>
      <c r="CN123" s="31">
        <f t="shared" si="590"/>
        <v>6299504.6882683039</v>
      </c>
      <c r="CO123" s="31">
        <f t="shared" ref="CO123:CY123" si="593">CO121-CO122</f>
        <v>4956732.2482683044</v>
      </c>
      <c r="CP123" s="31">
        <f t="shared" si="593"/>
        <v>4289718.4782683011</v>
      </c>
      <c r="CQ123" s="31">
        <f t="shared" si="593"/>
        <v>4297198.8882683022</v>
      </c>
      <c r="CR123" s="31">
        <f t="shared" si="593"/>
        <v>6972598.6582683027</v>
      </c>
      <c r="CS123" s="31">
        <f t="shared" si="593"/>
        <v>9756456.5082683023</v>
      </c>
      <c r="CT123" s="31">
        <f t="shared" si="593"/>
        <v>10657191.918268306</v>
      </c>
      <c r="CU123" s="31">
        <f t="shared" si="593"/>
        <v>19212143.108268302</v>
      </c>
      <c r="CV123" s="31">
        <f t="shared" si="593"/>
        <v>24746104.478268303</v>
      </c>
      <c r="CW123" s="31">
        <f t="shared" si="593"/>
        <v>21151725.928268306</v>
      </c>
      <c r="CX123" s="31">
        <f t="shared" si="593"/>
        <v>21151725.928268306</v>
      </c>
      <c r="CY123" s="31">
        <f t="shared" si="593"/>
        <v>21151725.928268306</v>
      </c>
    </row>
    <row r="124" spans="1:104" ht="12" thickTop="1" x14ac:dyDescent="0.2"/>
    <row r="125" spans="1:104" x14ac:dyDescent="0.2"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292"/>
      <c r="CJ125" s="292"/>
      <c r="CK125" s="292"/>
      <c r="CL125" s="292"/>
      <c r="CM125" s="292"/>
      <c r="CN125" s="292"/>
      <c r="CO125" s="292"/>
      <c r="CP125" s="292"/>
      <c r="CQ125" s="292"/>
      <c r="CR125" s="292"/>
      <c r="CS125" s="292"/>
      <c r="CT125" s="292"/>
      <c r="CU125" s="292"/>
      <c r="CV125" s="292"/>
      <c r="CW125" s="292"/>
    </row>
    <row r="136" spans="1:104" s="8" customFormat="1" x14ac:dyDescent="0.2">
      <c r="A136" s="7"/>
      <c r="B136" s="7"/>
      <c r="C136" s="11"/>
      <c r="F136" s="196"/>
      <c r="CU136" s="7"/>
      <c r="CX136" s="7"/>
      <c r="CY136" s="7"/>
      <c r="CZ136" s="7"/>
    </row>
    <row r="137" spans="1:104" s="8" customFormat="1" x14ac:dyDescent="0.2">
      <c r="A137" s="7"/>
      <c r="B137" s="33"/>
      <c r="C137" s="11"/>
      <c r="F137" s="196"/>
    </row>
    <row r="138" spans="1:104" s="8" customFormat="1" x14ac:dyDescent="0.2">
      <c r="A138" s="7"/>
      <c r="B138" s="34"/>
      <c r="C138" s="11"/>
      <c r="F138" s="196"/>
    </row>
    <row r="139" spans="1:104" x14ac:dyDescent="0.2">
      <c r="B139" s="34"/>
      <c r="CU139" s="8"/>
      <c r="CX139" s="8"/>
      <c r="CY139" s="8"/>
      <c r="CZ139" s="8"/>
    </row>
  </sheetData>
  <printOptions horizontalCentered="1"/>
  <pageMargins left="0.7" right="0.7" top="0.75" bottom="0.75" header="0.3" footer="0.3"/>
  <pageSetup scale="10" fitToHeight="2" orientation="portrait" blackAndWhite="1" r:id="rId1"/>
  <headerFooter>
    <oddFooter>&amp;R&amp;F
&amp;A</oddFooter>
  </headerFooter>
  <customProperties>
    <customPr name="_pios_id" r:id="rId2"/>
  </customProperties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E36"/>
  <sheetViews>
    <sheetView workbookViewId="0">
      <selection activeCell="C31" sqref="C31:C32"/>
    </sheetView>
  </sheetViews>
  <sheetFormatPr defaultColWidth="9.140625" defaultRowHeight="11.25" x14ac:dyDescent="0.2"/>
  <cols>
    <col min="1" max="1" width="5.28515625" style="41" customWidth="1"/>
    <col min="2" max="2" width="3.5703125" style="41" customWidth="1"/>
    <col min="3" max="3" width="44.85546875" style="41" customWidth="1"/>
    <col min="4" max="5" width="9.85546875" style="41" bestFit="1" customWidth="1"/>
    <col min="6" max="16384" width="9.140625" style="41"/>
  </cols>
  <sheetData>
    <row r="1" spans="1:5" x14ac:dyDescent="0.2">
      <c r="A1" s="395" t="s">
        <v>0</v>
      </c>
      <c r="B1" s="395"/>
      <c r="C1" s="395"/>
      <c r="D1" s="395"/>
      <c r="E1" s="395"/>
    </row>
    <row r="2" spans="1:5" x14ac:dyDescent="0.2">
      <c r="A2" s="394" t="str">
        <f>'Delivery Rate Change Calc'!A2:F2</f>
        <v>2021 Gas Decoupling Filing</v>
      </c>
      <c r="B2" s="394"/>
      <c r="C2" s="394"/>
      <c r="D2" s="394"/>
      <c r="E2" s="394"/>
    </row>
    <row r="3" spans="1:5" x14ac:dyDescent="0.2">
      <c r="A3" s="393" t="s">
        <v>433</v>
      </c>
      <c r="B3" s="393"/>
      <c r="C3" s="393"/>
      <c r="D3" s="393"/>
      <c r="E3" s="393"/>
    </row>
    <row r="4" spans="1:5" x14ac:dyDescent="0.2">
      <c r="A4" s="394" t="str">
        <f>'Delivery Rate Change Calc'!A4:F4</f>
        <v>Proposed Effective May 1, 2021</v>
      </c>
      <c r="B4" s="394"/>
      <c r="C4" s="394"/>
      <c r="D4" s="394"/>
      <c r="E4" s="394"/>
    </row>
    <row r="5" spans="1:5" x14ac:dyDescent="0.2">
      <c r="A5" s="42"/>
      <c r="B5" s="42"/>
      <c r="C5" s="42"/>
      <c r="D5" s="42"/>
      <c r="E5" s="42"/>
    </row>
    <row r="6" spans="1:5" x14ac:dyDescent="0.2">
      <c r="D6" s="197" t="s">
        <v>236</v>
      </c>
      <c r="E6" s="197" t="s">
        <v>236</v>
      </c>
    </row>
    <row r="7" spans="1:5" ht="25.5" customHeight="1" x14ac:dyDescent="0.2">
      <c r="A7" s="112" t="s">
        <v>79</v>
      </c>
      <c r="B7" s="112"/>
      <c r="C7" s="113"/>
      <c r="D7" s="387">
        <v>44286</v>
      </c>
      <c r="E7" s="226">
        <f>EDATE(D7,1)</f>
        <v>44316</v>
      </c>
    </row>
    <row r="8" spans="1:5" x14ac:dyDescent="0.2">
      <c r="A8" s="42">
        <v>1</v>
      </c>
      <c r="B8" s="386" t="s">
        <v>244</v>
      </c>
    </row>
    <row r="9" spans="1:5" x14ac:dyDescent="0.2">
      <c r="A9" s="42">
        <f t="shared" ref="A9:A33" si="0">A8+1</f>
        <v>2</v>
      </c>
      <c r="B9" s="42"/>
      <c r="C9" s="41" t="s">
        <v>237</v>
      </c>
      <c r="D9" s="296">
        <f>'F2020 Forecast'!B24</f>
        <v>77400416</v>
      </c>
      <c r="E9" s="296">
        <f>'F2020 Forecast'!C24</f>
        <v>54433083</v>
      </c>
    </row>
    <row r="10" spans="1:5" x14ac:dyDescent="0.2">
      <c r="A10" s="42">
        <f t="shared" si="0"/>
        <v>3</v>
      </c>
      <c r="B10" s="42"/>
      <c r="C10" s="41" t="s">
        <v>238</v>
      </c>
      <c r="D10" s="79">
        <f>'Rate Test'!D17</f>
        <v>1.2319999999999999E-2</v>
      </c>
      <c r="E10" s="172">
        <f>D10</f>
        <v>1.2319999999999999E-2</v>
      </c>
    </row>
    <row r="11" spans="1:5" x14ac:dyDescent="0.2">
      <c r="A11" s="42">
        <f t="shared" si="0"/>
        <v>4</v>
      </c>
      <c r="B11" s="42"/>
      <c r="C11" s="41" t="s">
        <v>239</v>
      </c>
      <c r="D11" s="385">
        <f>D9*D10</f>
        <v>953573.12511999998</v>
      </c>
      <c r="E11" s="385">
        <f>E9*E10</f>
        <v>670615.58256000001</v>
      </c>
    </row>
    <row r="12" spans="1:5" x14ac:dyDescent="0.2">
      <c r="A12" s="42">
        <f t="shared" si="0"/>
        <v>5</v>
      </c>
      <c r="B12" s="42"/>
    </row>
    <row r="13" spans="1:5" x14ac:dyDescent="0.2">
      <c r="A13" s="42">
        <f t="shared" si="0"/>
        <v>6</v>
      </c>
      <c r="B13" s="42"/>
      <c r="C13" s="41" t="s">
        <v>449</v>
      </c>
      <c r="D13" s="78">
        <f>'2019 GRC Conversion Factor'!$D$18</f>
        <v>0.95455299999999998</v>
      </c>
      <c r="E13" s="8">
        <f>$D$13</f>
        <v>0.95455299999999998</v>
      </c>
    </row>
    <row r="14" spans="1:5" x14ac:dyDescent="0.2">
      <c r="A14" s="42">
        <f t="shared" si="0"/>
        <v>7</v>
      </c>
      <c r="B14" s="42"/>
    </row>
    <row r="15" spans="1:5" x14ac:dyDescent="0.2">
      <c r="A15" s="42">
        <f t="shared" si="0"/>
        <v>8</v>
      </c>
      <c r="B15" s="42"/>
      <c r="C15" s="41" t="s">
        <v>241</v>
      </c>
      <c r="D15" s="385">
        <f>D11*D13</f>
        <v>910236.08730267128</v>
      </c>
      <c r="E15" s="385">
        <f>E11*E13</f>
        <v>640138.1161793957</v>
      </c>
    </row>
    <row r="16" spans="1:5" x14ac:dyDescent="0.2">
      <c r="A16" s="42">
        <f t="shared" si="0"/>
        <v>9</v>
      </c>
      <c r="B16" s="42"/>
    </row>
    <row r="17" spans="1:5" x14ac:dyDescent="0.2">
      <c r="A17" s="42">
        <f t="shared" si="0"/>
        <v>10</v>
      </c>
      <c r="B17" s="386" t="s">
        <v>245</v>
      </c>
    </row>
    <row r="18" spans="1:5" x14ac:dyDescent="0.2">
      <c r="A18" s="42">
        <f t="shared" si="0"/>
        <v>11</v>
      </c>
      <c r="B18" s="42"/>
      <c r="C18" s="41" t="s">
        <v>237</v>
      </c>
      <c r="D18" s="296">
        <f>'F2020 Forecast'!B25</f>
        <v>26525212</v>
      </c>
      <c r="E18" s="296">
        <f>'F2020 Forecast'!C25</f>
        <v>19797376</v>
      </c>
    </row>
    <row r="19" spans="1:5" x14ac:dyDescent="0.2">
      <c r="A19" s="42">
        <f t="shared" si="0"/>
        <v>12</v>
      </c>
      <c r="B19" s="42"/>
      <c r="C19" s="41" t="s">
        <v>242</v>
      </c>
      <c r="D19" s="79">
        <f>'Rate Test'!E17</f>
        <v>-7.3899999999999999E-3</v>
      </c>
      <c r="E19" s="172">
        <f>D19</f>
        <v>-7.3899999999999999E-3</v>
      </c>
    </row>
    <row r="20" spans="1:5" x14ac:dyDescent="0.2">
      <c r="A20" s="42">
        <f t="shared" si="0"/>
        <v>13</v>
      </c>
      <c r="B20" s="42"/>
      <c r="C20" s="41" t="s">
        <v>239</v>
      </c>
      <c r="D20" s="385">
        <f>D18*D19</f>
        <v>-196021.31667999999</v>
      </c>
      <c r="E20" s="385">
        <f>E18*E19</f>
        <v>-146302.60863999999</v>
      </c>
    </row>
    <row r="21" spans="1:5" x14ac:dyDescent="0.2">
      <c r="A21" s="42">
        <f t="shared" si="0"/>
        <v>14</v>
      </c>
      <c r="B21" s="42"/>
    </row>
    <row r="22" spans="1:5" x14ac:dyDescent="0.2">
      <c r="A22" s="42">
        <f t="shared" si="0"/>
        <v>15</v>
      </c>
      <c r="B22" s="42"/>
      <c r="C22" s="41" t="s">
        <v>449</v>
      </c>
      <c r="D22" s="8">
        <f>$D$13</f>
        <v>0.95455299999999998</v>
      </c>
      <c r="E22" s="8">
        <f>$D$13</f>
        <v>0.95455299999999998</v>
      </c>
    </row>
    <row r="23" spans="1:5" x14ac:dyDescent="0.2">
      <c r="A23" s="42">
        <f t="shared" si="0"/>
        <v>16</v>
      </c>
      <c r="B23" s="42"/>
    </row>
    <row r="24" spans="1:5" x14ac:dyDescent="0.2">
      <c r="A24" s="42">
        <f t="shared" si="0"/>
        <v>17</v>
      </c>
      <c r="B24" s="42"/>
      <c r="C24" s="41" t="s">
        <v>241</v>
      </c>
      <c r="D24" s="385">
        <f>D20*D22</f>
        <v>-187112.73590084404</v>
      </c>
      <c r="E24" s="385">
        <f>E20*E22</f>
        <v>-139653.59398513791</v>
      </c>
    </row>
    <row r="25" spans="1:5" x14ac:dyDescent="0.2">
      <c r="A25" s="42">
        <f t="shared" si="0"/>
        <v>18</v>
      </c>
    </row>
    <row r="26" spans="1:5" x14ac:dyDescent="0.2">
      <c r="A26" s="42">
        <f t="shared" si="0"/>
        <v>19</v>
      </c>
      <c r="B26" s="386" t="s">
        <v>246</v>
      </c>
    </row>
    <row r="27" spans="1:5" x14ac:dyDescent="0.2">
      <c r="A27" s="42">
        <f t="shared" si="0"/>
        <v>20</v>
      </c>
      <c r="B27" s="42"/>
      <c r="C27" s="41" t="s">
        <v>237</v>
      </c>
      <c r="D27" s="296">
        <f>'F2020 Forecast'!B26</f>
        <v>9578096</v>
      </c>
      <c r="E27" s="296">
        <f>'F2020 Forecast'!C26</f>
        <v>8266694</v>
      </c>
    </row>
    <row r="28" spans="1:5" x14ac:dyDescent="0.2">
      <c r="A28" s="42">
        <f t="shared" si="0"/>
        <v>21</v>
      </c>
      <c r="B28" s="42"/>
      <c r="C28" s="41" t="s">
        <v>242</v>
      </c>
      <c r="D28" s="79">
        <f>'Rate Test'!F17</f>
        <v>-1.282E-2</v>
      </c>
      <c r="E28" s="172">
        <f>D28</f>
        <v>-1.282E-2</v>
      </c>
    </row>
    <row r="29" spans="1:5" x14ac:dyDescent="0.2">
      <c r="A29" s="42">
        <f t="shared" si="0"/>
        <v>22</v>
      </c>
      <c r="B29" s="42"/>
      <c r="C29" s="41" t="s">
        <v>239</v>
      </c>
      <c r="D29" s="385">
        <f>D27*D28</f>
        <v>-122791.19072</v>
      </c>
      <c r="E29" s="385">
        <f>E27*E28</f>
        <v>-105979.01708000001</v>
      </c>
    </row>
    <row r="30" spans="1:5" x14ac:dyDescent="0.2">
      <c r="A30" s="42">
        <f t="shared" si="0"/>
        <v>23</v>
      </c>
      <c r="B30" s="42"/>
    </row>
    <row r="31" spans="1:5" x14ac:dyDescent="0.2">
      <c r="A31" s="42">
        <f t="shared" si="0"/>
        <v>24</v>
      </c>
      <c r="B31" s="42"/>
      <c r="C31" s="41" t="s">
        <v>240</v>
      </c>
      <c r="D31" s="8">
        <f>$D$13</f>
        <v>0.95455299999999998</v>
      </c>
      <c r="E31" s="8">
        <f>$D$13</f>
        <v>0.95455299999999998</v>
      </c>
    </row>
    <row r="32" spans="1:5" x14ac:dyDescent="0.2">
      <c r="A32" s="42">
        <f t="shared" si="0"/>
        <v>25</v>
      </c>
      <c r="B32" s="42"/>
    </row>
    <row r="33" spans="1:5" x14ac:dyDescent="0.2">
      <c r="A33" s="42">
        <f t="shared" si="0"/>
        <v>26</v>
      </c>
      <c r="B33" s="42"/>
      <c r="C33" s="41" t="s">
        <v>241</v>
      </c>
      <c r="D33" s="385">
        <f>D29*D31</f>
        <v>-117210.69947534816</v>
      </c>
      <c r="E33" s="385">
        <f>E29*E31</f>
        <v>-101162.58869076525</v>
      </c>
    </row>
    <row r="35" spans="1:5" x14ac:dyDescent="0.2">
      <c r="B35" s="41" t="s">
        <v>368</v>
      </c>
    </row>
    <row r="36" spans="1:5" x14ac:dyDescent="0.2">
      <c r="B36" s="41" t="s">
        <v>243</v>
      </c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59999389629810485"/>
  </sheetPr>
  <dimension ref="A1"/>
  <sheetViews>
    <sheetView workbookViewId="0">
      <selection activeCell="O34" sqref="O34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79998168889431442"/>
    <pageSetUpPr fitToPage="1"/>
  </sheetPr>
  <dimension ref="A1:Q91"/>
  <sheetViews>
    <sheetView zoomScaleNormal="100" workbookViewId="0">
      <pane xSplit="2" ySplit="6" topLeftCell="C7" activePane="bottomRight" state="frozen"/>
      <selection activeCell="O46" sqref="O46"/>
      <selection pane="topRight" activeCell="O46" sqref="O46"/>
      <selection pane="bottomLeft" activeCell="O46" sqref="O46"/>
      <selection pane="bottomRight" activeCell="O17" sqref="O17:P17"/>
    </sheetView>
  </sheetViews>
  <sheetFormatPr defaultColWidth="9.140625" defaultRowHeight="11.25" x14ac:dyDescent="0.2"/>
  <cols>
    <col min="1" max="1" width="5.5703125" style="41" bestFit="1" customWidth="1"/>
    <col min="2" max="2" width="36.7109375" style="41" customWidth="1"/>
    <col min="3" max="3" width="10.7109375" style="41" bestFit="1" customWidth="1"/>
    <col min="4" max="15" width="11.28515625" style="41" bestFit="1" customWidth="1"/>
    <col min="16" max="16" width="11.28515625" style="41" customWidth="1"/>
    <col min="17" max="16384" width="9.140625" style="41"/>
  </cols>
  <sheetData>
    <row r="1" spans="1:17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7" x14ac:dyDescent="0.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7" x14ac:dyDescent="0.2">
      <c r="A3" s="10" t="s">
        <v>339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7" x14ac:dyDescent="0.2">
      <c r="A4" s="10" t="s">
        <v>178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2" thickBot="1" x14ac:dyDescent="0.25">
      <c r="L5" s="42" t="s">
        <v>434</v>
      </c>
    </row>
    <row r="6" spans="1:17" ht="33.75" x14ac:dyDescent="0.2">
      <c r="A6" s="166" t="s">
        <v>79</v>
      </c>
      <c r="B6" s="167"/>
      <c r="C6" s="220">
        <v>43861</v>
      </c>
      <c r="D6" s="168">
        <f t="shared" ref="D6:O6" si="0">EDATE(C6,1)</f>
        <v>43890</v>
      </c>
      <c r="E6" s="168">
        <f t="shared" si="0"/>
        <v>43919</v>
      </c>
      <c r="F6" s="168">
        <f t="shared" si="0"/>
        <v>43950</v>
      </c>
      <c r="G6" s="168">
        <f t="shared" si="0"/>
        <v>43980</v>
      </c>
      <c r="H6" s="168">
        <f t="shared" si="0"/>
        <v>44011</v>
      </c>
      <c r="I6" s="168">
        <f t="shared" si="0"/>
        <v>44041</v>
      </c>
      <c r="J6" s="168">
        <f t="shared" si="0"/>
        <v>44072</v>
      </c>
      <c r="K6" s="168">
        <f t="shared" si="0"/>
        <v>44103</v>
      </c>
      <c r="L6" s="168">
        <f t="shared" si="0"/>
        <v>44133</v>
      </c>
      <c r="M6" s="168">
        <f t="shared" si="0"/>
        <v>44164</v>
      </c>
      <c r="N6" s="168">
        <f t="shared" si="0"/>
        <v>44194</v>
      </c>
      <c r="O6" s="168">
        <f t="shared" si="0"/>
        <v>44225</v>
      </c>
      <c r="P6" s="168">
        <f t="shared" ref="P6" si="1">EDATE(O6,1)</f>
        <v>44255</v>
      </c>
      <c r="Q6" s="263" t="s">
        <v>401</v>
      </c>
    </row>
    <row r="7" spans="1:17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264"/>
    </row>
    <row r="8" spans="1:17" ht="12" thickBot="1" x14ac:dyDescent="0.25">
      <c r="A8" s="42">
        <v>1</v>
      </c>
      <c r="B8" s="169" t="s">
        <v>80</v>
      </c>
      <c r="C8" s="170">
        <v>788588</v>
      </c>
      <c r="D8" s="170">
        <v>789215</v>
      </c>
      <c r="E8" s="170">
        <v>789787</v>
      </c>
      <c r="F8" s="170">
        <v>789767</v>
      </c>
      <c r="G8" s="170">
        <v>789950</v>
      </c>
      <c r="H8" s="170">
        <v>790441</v>
      </c>
      <c r="I8" s="170">
        <v>790941</v>
      </c>
      <c r="J8" s="170">
        <v>791864</v>
      </c>
      <c r="K8" s="170">
        <v>792852</v>
      </c>
      <c r="L8" s="170">
        <v>794196</v>
      </c>
      <c r="M8" s="170">
        <v>795331</v>
      </c>
      <c r="N8" s="170">
        <v>796408</v>
      </c>
      <c r="O8" s="170">
        <v>797327</v>
      </c>
      <c r="P8" s="170">
        <v>798015</v>
      </c>
      <c r="Q8" s="265">
        <f>AVERAGE(C8:N8)</f>
        <v>791611.66666666663</v>
      </c>
    </row>
    <row r="9" spans="1:17" x14ac:dyDescent="0.2">
      <c r="A9" s="42">
        <f>A8+1</f>
        <v>2</v>
      </c>
      <c r="B9" s="41" t="s">
        <v>340</v>
      </c>
      <c r="C9" s="16">
        <v>45.975506129596262</v>
      </c>
      <c r="D9" s="16">
        <v>34.693414229968496</v>
      </c>
      <c r="E9" s="16">
        <v>35.864061093744688</v>
      </c>
      <c r="F9" s="16">
        <v>23.770988252585376</v>
      </c>
      <c r="G9" s="16">
        <v>14.605611727921035</v>
      </c>
      <c r="H9" s="16">
        <v>9.1147130469635904</v>
      </c>
      <c r="I9" s="16">
        <v>6.3571812504158993</v>
      </c>
      <c r="J9" s="16">
        <v>6.0224674426658709</v>
      </c>
      <c r="K9" s="16">
        <v>10.236544715381395</v>
      </c>
      <c r="L9" s="16">
        <v>24.548573656277188</v>
      </c>
      <c r="M9" s="16">
        <v>39.678564361719886</v>
      </c>
      <c r="N9" s="16">
        <v>54.226192332438941</v>
      </c>
      <c r="O9" s="16">
        <v>51.854586813911169</v>
      </c>
      <c r="P9" s="16">
        <v>44.829935554111486</v>
      </c>
    </row>
    <row r="10" spans="1:17" x14ac:dyDescent="0.2">
      <c r="A10" s="42">
        <f t="shared" ref="A10:A46" si="2">A9+1</f>
        <v>3</v>
      </c>
      <c r="B10" s="41" t="s">
        <v>341</v>
      </c>
      <c r="C10" s="50">
        <f t="shared" ref="C10:P10" si="3">C8*C9</f>
        <v>36255732.42772606</v>
      </c>
      <c r="D10" s="50">
        <f t="shared" si="3"/>
        <v>27380562.911504585</v>
      </c>
      <c r="E10" s="50">
        <f t="shared" si="3"/>
        <v>28324969.219045337</v>
      </c>
      <c r="F10" s="50">
        <f t="shared" si="3"/>
        <v>18773542.079279594</v>
      </c>
      <c r="G10" s="50">
        <f t="shared" si="3"/>
        <v>11537702.984471222</v>
      </c>
      <c r="H10" s="50">
        <f t="shared" si="3"/>
        <v>7204642.8955549477</v>
      </c>
      <c r="I10" s="50">
        <f t="shared" si="3"/>
        <v>5028155.2953852015</v>
      </c>
      <c r="J10" s="50">
        <f t="shared" si="3"/>
        <v>4768975.1590191675</v>
      </c>
      <c r="K10" s="50">
        <f t="shared" si="3"/>
        <v>8116064.9506795704</v>
      </c>
      <c r="L10" s="50">
        <f t="shared" si="3"/>
        <v>19496379.00352072</v>
      </c>
      <c r="M10" s="50">
        <f t="shared" si="3"/>
        <v>31557592.272371039</v>
      </c>
      <c r="N10" s="50">
        <f t="shared" si="3"/>
        <v>43186173.383093029</v>
      </c>
      <c r="O10" s="50">
        <f t="shared" si="3"/>
        <v>41345062.140575349</v>
      </c>
      <c r="P10" s="50">
        <f t="shared" si="3"/>
        <v>35774961.021214277</v>
      </c>
    </row>
    <row r="11" spans="1:17" x14ac:dyDescent="0.2">
      <c r="A11" s="42">
        <f t="shared" si="2"/>
        <v>4</v>
      </c>
    </row>
    <row r="12" spans="1:17" x14ac:dyDescent="0.2">
      <c r="A12" s="42">
        <f t="shared" si="2"/>
        <v>5</v>
      </c>
      <c r="B12" s="169" t="s">
        <v>333</v>
      </c>
      <c r="C12" s="170">
        <v>87776088.288198069</v>
      </c>
      <c r="D12" s="170">
        <v>82127727.592746943</v>
      </c>
      <c r="E12" s="170">
        <v>80013825.466278553</v>
      </c>
      <c r="F12" s="170">
        <v>47337140.088200465</v>
      </c>
      <c r="G12" s="170">
        <v>27932240.609646529</v>
      </c>
      <c r="H12" s="170">
        <v>21909037.150005497</v>
      </c>
      <c r="I12" s="170">
        <v>15702453.309357552</v>
      </c>
      <c r="J12" s="170">
        <v>13893499.841616524</v>
      </c>
      <c r="K12" s="170">
        <v>16136642.397344153</v>
      </c>
      <c r="L12" s="170">
        <v>39295686.805772491</v>
      </c>
      <c r="M12" s="170">
        <v>71857923.016754806</v>
      </c>
      <c r="N12" s="170">
        <v>86587610.753450096</v>
      </c>
      <c r="O12" s="170">
        <v>88202725.969082952</v>
      </c>
      <c r="P12" s="170">
        <v>90002729.924393132</v>
      </c>
    </row>
    <row r="13" spans="1:17" x14ac:dyDescent="0.2">
      <c r="A13" s="42">
        <f t="shared" si="2"/>
        <v>6</v>
      </c>
      <c r="B13" s="41" t="s">
        <v>334</v>
      </c>
      <c r="C13" s="171">
        <v>0.36247000000000001</v>
      </c>
      <c r="D13" s="171">
        <v>0.36247000000000001</v>
      </c>
      <c r="E13" s="171">
        <v>0.36247000000000001</v>
      </c>
      <c r="F13" s="171">
        <v>0.36247000000000001</v>
      </c>
      <c r="G13" s="171">
        <v>0.36247000000000001</v>
      </c>
      <c r="H13" s="171">
        <v>0.36247000000000001</v>
      </c>
      <c r="I13" s="171">
        <v>0.36247000000000001</v>
      </c>
      <c r="J13" s="171">
        <v>0.36247000000000001</v>
      </c>
      <c r="K13" s="171">
        <v>0.36247000000000001</v>
      </c>
      <c r="L13" s="171">
        <v>0.42857000000000001</v>
      </c>
      <c r="M13" s="171">
        <v>0.42857000000000001</v>
      </c>
      <c r="N13" s="171">
        <v>0.42857000000000001</v>
      </c>
      <c r="O13" s="171">
        <v>0.42857000000000001</v>
      </c>
      <c r="P13" s="171">
        <v>0.42857000000000001</v>
      </c>
    </row>
    <row r="14" spans="1:17" x14ac:dyDescent="0.2">
      <c r="A14" s="42">
        <f t="shared" si="2"/>
        <v>7</v>
      </c>
      <c r="B14" s="41" t="s">
        <v>342</v>
      </c>
      <c r="C14" s="50">
        <f t="shared" ref="C14:O14" si="4">C12*C13</f>
        <v>31816198.721823156</v>
      </c>
      <c r="D14" s="50">
        <f t="shared" si="4"/>
        <v>29768837.420542985</v>
      </c>
      <c r="E14" s="50">
        <f t="shared" si="4"/>
        <v>29002611.316761989</v>
      </c>
      <c r="F14" s="50">
        <f t="shared" si="4"/>
        <v>17158293.167770024</v>
      </c>
      <c r="G14" s="50">
        <f t="shared" si="4"/>
        <v>10124599.253778577</v>
      </c>
      <c r="H14" s="50">
        <f t="shared" si="4"/>
        <v>7941368.6957624927</v>
      </c>
      <c r="I14" s="50">
        <f t="shared" si="4"/>
        <v>5691668.2510428317</v>
      </c>
      <c r="J14" s="50">
        <f t="shared" si="4"/>
        <v>5035976.8875907417</v>
      </c>
      <c r="K14" s="50">
        <f t="shared" si="4"/>
        <v>5849048.7697653351</v>
      </c>
      <c r="L14" s="50">
        <f t="shared" si="4"/>
        <v>16840952.494349916</v>
      </c>
      <c r="M14" s="50">
        <f t="shared" si="4"/>
        <v>30796150.067290608</v>
      </c>
      <c r="N14" s="50">
        <f t="shared" si="4"/>
        <v>37108852.340606108</v>
      </c>
      <c r="O14" s="50">
        <f t="shared" si="4"/>
        <v>37801042.268569879</v>
      </c>
      <c r="P14" s="50">
        <f t="shared" ref="P14" si="5">P12*P13</f>
        <v>38572469.963697165</v>
      </c>
    </row>
    <row r="15" spans="1:17" x14ac:dyDescent="0.2">
      <c r="A15" s="42">
        <f t="shared" si="2"/>
        <v>8</v>
      </c>
    </row>
    <row r="16" spans="1:17" x14ac:dyDescent="0.2">
      <c r="A16" s="42">
        <f t="shared" si="2"/>
        <v>9</v>
      </c>
      <c r="B16" s="169" t="s">
        <v>335</v>
      </c>
      <c r="C16" s="294"/>
      <c r="D16" s="294"/>
      <c r="E16" s="294"/>
      <c r="F16" s="294"/>
      <c r="G16" s="170">
        <v>182035.22711911052</v>
      </c>
      <c r="H16" s="170">
        <v>220462.003</v>
      </c>
      <c r="I16" s="170">
        <v>37151.791999999434</v>
      </c>
      <c r="J16" s="295"/>
      <c r="K16" s="295"/>
      <c r="L16" s="170">
        <v>1725602.5380297489</v>
      </c>
      <c r="M16" s="170">
        <v>61688.392999999225</v>
      </c>
      <c r="N16" s="170">
        <v>4669.6040000021458</v>
      </c>
      <c r="O16" s="310"/>
      <c r="P16" s="310"/>
    </row>
    <row r="17" spans="1:16" x14ac:dyDescent="0.2">
      <c r="A17" s="42">
        <f t="shared" si="2"/>
        <v>10</v>
      </c>
      <c r="B17" s="41" t="s">
        <v>334</v>
      </c>
      <c r="C17" s="171">
        <v>0.36247000000000001</v>
      </c>
      <c r="D17" s="171">
        <v>0.36247000000000001</v>
      </c>
      <c r="E17" s="171">
        <v>0.36247000000000001</v>
      </c>
      <c r="F17" s="171">
        <v>0.36247000000000001</v>
      </c>
      <c r="G17" s="171">
        <v>0.36247000000000001</v>
      </c>
      <c r="H17" s="171">
        <v>0.36247000000000001</v>
      </c>
      <c r="I17" s="171">
        <v>0.36247000000000001</v>
      </c>
      <c r="J17" s="171">
        <v>0.36247000000000001</v>
      </c>
      <c r="K17" s="171">
        <v>0.36247000000000001</v>
      </c>
      <c r="L17" s="171">
        <v>0.36247000000000001</v>
      </c>
      <c r="M17" s="171">
        <v>0.36247000000000001</v>
      </c>
      <c r="N17" s="171">
        <v>0.36247000000000001</v>
      </c>
      <c r="O17" s="171">
        <v>0.36247000000000001</v>
      </c>
      <c r="P17" s="171">
        <v>0.36247000000000001</v>
      </c>
    </row>
    <row r="18" spans="1:16" x14ac:dyDescent="0.2">
      <c r="A18" s="42">
        <f t="shared" si="2"/>
        <v>11</v>
      </c>
      <c r="B18" s="41" t="s">
        <v>342</v>
      </c>
      <c r="C18" s="50">
        <f t="shared" ref="C18:O18" si="6">C16*C17</f>
        <v>0</v>
      </c>
      <c r="D18" s="50">
        <f t="shared" si="6"/>
        <v>0</v>
      </c>
      <c r="E18" s="50">
        <f t="shared" si="6"/>
        <v>0</v>
      </c>
      <c r="F18" s="50">
        <f t="shared" si="6"/>
        <v>0</v>
      </c>
      <c r="G18" s="50">
        <f t="shared" si="6"/>
        <v>65982.308773863988</v>
      </c>
      <c r="H18" s="50">
        <f t="shared" si="6"/>
        <v>79910.862227410005</v>
      </c>
      <c r="I18" s="50">
        <f t="shared" si="6"/>
        <v>13466.410046239795</v>
      </c>
      <c r="J18" s="50">
        <f t="shared" si="6"/>
        <v>0</v>
      </c>
      <c r="K18" s="50">
        <f t="shared" si="6"/>
        <v>0</v>
      </c>
      <c r="L18" s="50">
        <f t="shared" si="6"/>
        <v>625479.15195964312</v>
      </c>
      <c r="M18" s="50">
        <f t="shared" si="6"/>
        <v>22360.191810709719</v>
      </c>
      <c r="N18" s="50">
        <f t="shared" si="6"/>
        <v>1692.5913618807779</v>
      </c>
      <c r="O18" s="50">
        <f t="shared" si="6"/>
        <v>0</v>
      </c>
      <c r="P18" s="50">
        <f t="shared" ref="P18" si="7">P16*P17</f>
        <v>0</v>
      </c>
    </row>
    <row r="19" spans="1:16" x14ac:dyDescent="0.2">
      <c r="A19" s="42">
        <f t="shared" si="2"/>
        <v>12</v>
      </c>
    </row>
    <row r="20" spans="1:16" x14ac:dyDescent="0.2">
      <c r="A20" s="42">
        <f t="shared" si="2"/>
        <v>13</v>
      </c>
      <c r="B20" s="41" t="s">
        <v>336</v>
      </c>
      <c r="C20" s="50">
        <f t="shared" ref="C20:L20" si="8">C14+C18</f>
        <v>31816198.721823156</v>
      </c>
      <c r="D20" s="50">
        <f t="shared" si="8"/>
        <v>29768837.420542985</v>
      </c>
      <c r="E20" s="50">
        <f t="shared" si="8"/>
        <v>29002611.316761989</v>
      </c>
      <c r="F20" s="50">
        <f t="shared" si="8"/>
        <v>17158293.167770024</v>
      </c>
      <c r="G20" s="50">
        <f t="shared" si="8"/>
        <v>10190581.562552441</v>
      </c>
      <c r="H20" s="50">
        <f t="shared" si="8"/>
        <v>8021279.5579899028</v>
      </c>
      <c r="I20" s="50">
        <f t="shared" si="8"/>
        <v>5705134.6610890711</v>
      </c>
      <c r="J20" s="50">
        <f t="shared" si="8"/>
        <v>5035976.8875907417</v>
      </c>
      <c r="K20" s="50">
        <f t="shared" si="8"/>
        <v>5849048.7697653351</v>
      </c>
      <c r="L20" s="50">
        <f t="shared" si="8"/>
        <v>17466431.646309558</v>
      </c>
      <c r="M20" s="50">
        <f>M14+M18</f>
        <v>30818510.259101316</v>
      </c>
      <c r="N20" s="50">
        <f>N14+N18</f>
        <v>37110544.931967989</v>
      </c>
      <c r="O20" s="50">
        <f t="shared" ref="O20:P20" si="9">O14+O18</f>
        <v>37801042.268569879</v>
      </c>
      <c r="P20" s="50">
        <f t="shared" si="9"/>
        <v>38572469.963697165</v>
      </c>
    </row>
    <row r="21" spans="1:16" x14ac:dyDescent="0.2">
      <c r="A21" s="42">
        <f t="shared" si="2"/>
        <v>14</v>
      </c>
    </row>
    <row r="22" spans="1:16" x14ac:dyDescent="0.2">
      <c r="A22" s="42">
        <f t="shared" si="2"/>
        <v>15</v>
      </c>
      <c r="B22" s="41" t="s">
        <v>337</v>
      </c>
      <c r="C22" s="50">
        <f t="shared" ref="C22:O22" si="10">C10-C20</f>
        <v>4439533.7059029043</v>
      </c>
      <c r="D22" s="50">
        <f t="shared" si="10"/>
        <v>-2388274.5090383999</v>
      </c>
      <c r="E22" s="50">
        <f t="shared" si="10"/>
        <v>-677642.09771665186</v>
      </c>
      <c r="F22" s="50">
        <f t="shared" si="10"/>
        <v>1615248.9115095697</v>
      </c>
      <c r="G22" s="50">
        <f t="shared" si="10"/>
        <v>1347121.4219187815</v>
      </c>
      <c r="H22" s="50">
        <f t="shared" si="10"/>
        <v>-816636.66243495513</v>
      </c>
      <c r="I22" s="50">
        <f t="shared" si="10"/>
        <v>-676979.36570386961</v>
      </c>
      <c r="J22" s="50">
        <f t="shared" si="10"/>
        <v>-267001.7285715742</v>
      </c>
      <c r="K22" s="50">
        <f t="shared" si="10"/>
        <v>2267016.1809142353</v>
      </c>
      <c r="L22" s="50">
        <f t="shared" si="10"/>
        <v>2029947.3572111614</v>
      </c>
      <c r="M22" s="50">
        <f t="shared" si="10"/>
        <v>739082.01326972246</v>
      </c>
      <c r="N22" s="50">
        <f t="shared" si="10"/>
        <v>6075628.4511250407</v>
      </c>
      <c r="O22" s="50">
        <f t="shared" si="10"/>
        <v>3544019.8720054701</v>
      </c>
      <c r="P22" s="50">
        <f t="shared" ref="P22" si="11">P10-P20</f>
        <v>-2797508.9424828887</v>
      </c>
    </row>
    <row r="23" spans="1:16" x14ac:dyDescent="0.2">
      <c r="A23" s="42">
        <f t="shared" si="2"/>
        <v>16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16" x14ac:dyDescent="0.2">
      <c r="A24" s="42">
        <f t="shared" si="2"/>
        <v>17</v>
      </c>
      <c r="B24" s="41" t="s">
        <v>343</v>
      </c>
      <c r="C24" s="141">
        <v>49800.2</v>
      </c>
      <c r="D24" s="141">
        <v>48422.92</v>
      </c>
      <c r="E24" s="141">
        <v>37198.720000000001</v>
      </c>
      <c r="F24" s="141">
        <v>33501.800000000003</v>
      </c>
      <c r="G24" s="141">
        <v>37059.65</v>
      </c>
      <c r="H24" s="224">
        <v>37003.839999999997</v>
      </c>
      <c r="I24" s="16">
        <v>24107.67</v>
      </c>
      <c r="J24" s="224">
        <v>22371.09</v>
      </c>
      <c r="K24" s="224">
        <v>24645.01</v>
      </c>
      <c r="L24" s="141">
        <v>28086.34</v>
      </c>
      <c r="M24" s="141">
        <v>30046.04</v>
      </c>
      <c r="N24" s="141">
        <v>36581.78</v>
      </c>
      <c r="O24" s="141">
        <v>46509.75</v>
      </c>
      <c r="P24" s="141">
        <v>44919.18</v>
      </c>
    </row>
    <row r="25" spans="1:16" x14ac:dyDescent="0.2">
      <c r="A25" s="42">
        <f t="shared" si="2"/>
        <v>18</v>
      </c>
    </row>
    <row r="26" spans="1:16" x14ac:dyDescent="0.2">
      <c r="A26" s="42">
        <f t="shared" si="2"/>
        <v>19</v>
      </c>
      <c r="B26" s="41" t="s">
        <v>344</v>
      </c>
      <c r="C26" s="224">
        <v>6180179.6246762872</v>
      </c>
      <c r="D26" s="50">
        <f t="shared" ref="D26:N26" si="12">C26+D22+D24</f>
        <v>3840328.0356378872</v>
      </c>
      <c r="E26" s="50">
        <f t="shared" si="12"/>
        <v>3199884.6579212355</v>
      </c>
      <c r="F26" s="50">
        <f t="shared" si="12"/>
        <v>4848635.3694308056</v>
      </c>
      <c r="G26" s="50">
        <f t="shared" si="12"/>
        <v>6232816.4413495874</v>
      </c>
      <c r="H26" s="50">
        <f t="shared" si="12"/>
        <v>5453183.6189146321</v>
      </c>
      <c r="I26" s="50">
        <f t="shared" si="12"/>
        <v>4800311.9232107624</v>
      </c>
      <c r="J26" s="50">
        <f t="shared" si="12"/>
        <v>4555681.2846391881</v>
      </c>
      <c r="K26" s="50">
        <f t="shared" si="12"/>
        <v>6847342.4755534232</v>
      </c>
      <c r="L26" s="50">
        <f t="shared" si="12"/>
        <v>8905376.1727645844</v>
      </c>
      <c r="M26" s="50">
        <f t="shared" si="12"/>
        <v>9674504.226034306</v>
      </c>
      <c r="N26" s="50">
        <f t="shared" si="12"/>
        <v>15786714.457159346</v>
      </c>
      <c r="O26" s="50">
        <f t="shared" ref="O26" si="13">N26+O22+O24</f>
        <v>19377244.079164818</v>
      </c>
      <c r="P26" s="50">
        <f t="shared" ref="P26" si="14">O26+P22+P24</f>
        <v>16624654.316681929</v>
      </c>
    </row>
    <row r="27" spans="1:16" x14ac:dyDescent="0.2">
      <c r="A27" s="42">
        <f t="shared" si="2"/>
        <v>20</v>
      </c>
    </row>
    <row r="28" spans="1:16" x14ac:dyDescent="0.2">
      <c r="A28" s="42">
        <f t="shared" si="2"/>
        <v>21</v>
      </c>
      <c r="B28" s="173" t="s">
        <v>338</v>
      </c>
      <c r="C28" s="174">
        <v>1.9550000000000001E-2</v>
      </c>
      <c r="D28" s="174">
        <v>1.9550000000000001E-2</v>
      </c>
      <c r="E28" s="174">
        <v>1.9550000000000001E-2</v>
      </c>
      <c r="F28" s="174">
        <v>1.9550000000000001E-2</v>
      </c>
      <c r="G28" s="174">
        <v>1.2319999999999999E-2</v>
      </c>
      <c r="H28" s="174">
        <v>1.2319999999999999E-2</v>
      </c>
      <c r="I28" s="174">
        <v>1.2319999999999999E-2</v>
      </c>
      <c r="J28" s="174">
        <v>1.2319999999999999E-2</v>
      </c>
      <c r="K28" s="174">
        <v>1.2319999999999999E-2</v>
      </c>
      <c r="L28" s="174">
        <v>1.2319999999999999E-2</v>
      </c>
      <c r="M28" s="174">
        <v>1.2319999999999999E-2</v>
      </c>
      <c r="N28" s="174">
        <v>1.2319999999999999E-2</v>
      </c>
      <c r="O28" s="174">
        <v>1.2319999999999999E-2</v>
      </c>
      <c r="P28" s="174">
        <v>1.2319999999999999E-2</v>
      </c>
    </row>
    <row r="29" spans="1:16" x14ac:dyDescent="0.2">
      <c r="A29" s="42">
        <f t="shared" si="2"/>
        <v>22</v>
      </c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</row>
    <row r="30" spans="1:16" x14ac:dyDescent="0.2">
      <c r="A30" s="42">
        <f t="shared" si="2"/>
        <v>23</v>
      </c>
      <c r="B30" s="173" t="s">
        <v>345</v>
      </c>
      <c r="C30" s="174">
        <v>1.9550000000000001E-2</v>
      </c>
      <c r="D30" s="174">
        <v>1.9550000000000001E-2</v>
      </c>
      <c r="E30" s="174">
        <v>1.9550000000000001E-2</v>
      </c>
      <c r="F30" s="174">
        <v>1.9550000000000001E-2</v>
      </c>
      <c r="G30" s="174">
        <v>1.9550000000000001E-2</v>
      </c>
      <c r="H30" s="174">
        <v>1.9550000000000001E-2</v>
      </c>
      <c r="I30" s="174">
        <v>1.9550000000000001E-2</v>
      </c>
      <c r="J30" s="174">
        <v>1.9550000000000001E-2</v>
      </c>
      <c r="K30" s="174">
        <v>1.2319999999999999E-2</v>
      </c>
      <c r="L30" s="174">
        <v>1.2319999999999999E-2</v>
      </c>
      <c r="M30" s="174">
        <v>1.2319999999999999E-2</v>
      </c>
      <c r="N30" s="174">
        <v>1.2319999999999999E-2</v>
      </c>
      <c r="O30" s="174">
        <v>1.2319999999999999E-2</v>
      </c>
      <c r="P30" s="174">
        <v>1.2319999999999999E-2</v>
      </c>
    </row>
    <row r="31" spans="1:16" x14ac:dyDescent="0.2">
      <c r="A31" s="42">
        <f t="shared" si="2"/>
        <v>24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x14ac:dyDescent="0.2">
      <c r="A32" s="42">
        <f t="shared" si="2"/>
        <v>25</v>
      </c>
      <c r="B32" s="41" t="s">
        <v>239</v>
      </c>
      <c r="C32" s="50">
        <f t="shared" ref="C32:N32" si="15">(C12*C28)+(C16*C30)</f>
        <v>1716022.5260342723</v>
      </c>
      <c r="D32" s="50">
        <f t="shared" si="15"/>
        <v>1605597.0744382029</v>
      </c>
      <c r="E32" s="50">
        <f t="shared" si="15"/>
        <v>1564270.2878657458</v>
      </c>
      <c r="F32" s="50">
        <f t="shared" si="15"/>
        <v>925441.08872431912</v>
      </c>
      <c r="G32" s="50">
        <f t="shared" si="15"/>
        <v>347683.99300102383</v>
      </c>
      <c r="H32" s="50">
        <f t="shared" si="15"/>
        <v>274229.36984671769</v>
      </c>
      <c r="I32" s="50">
        <f t="shared" si="15"/>
        <v>194180.54230488502</v>
      </c>
      <c r="J32" s="50">
        <f t="shared" si="15"/>
        <v>171167.91804871557</v>
      </c>
      <c r="K32" s="50">
        <f t="shared" si="15"/>
        <v>198803.43433527995</v>
      </c>
      <c r="L32" s="50">
        <f t="shared" si="15"/>
        <v>505382.28471564356</v>
      </c>
      <c r="M32" s="50">
        <f t="shared" si="15"/>
        <v>886049.61256817915</v>
      </c>
      <c r="N32" s="50">
        <f t="shared" si="15"/>
        <v>1066816.894003785</v>
      </c>
      <c r="O32" s="50">
        <f t="shared" ref="O32:P32" si="16">(O12*O28)+(O16*O30)</f>
        <v>1086657.583939102</v>
      </c>
      <c r="P32" s="50">
        <f t="shared" si="16"/>
        <v>1108833.6326685234</v>
      </c>
    </row>
    <row r="33" spans="1:16" x14ac:dyDescent="0.2">
      <c r="A33" s="42">
        <f t="shared" si="2"/>
        <v>26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1:16" x14ac:dyDescent="0.2">
      <c r="A34" s="42">
        <f t="shared" si="2"/>
        <v>27</v>
      </c>
      <c r="B34" s="41" t="s">
        <v>346</v>
      </c>
      <c r="C34" s="224">
        <v>2774908.4522247287</v>
      </c>
      <c r="D34" s="50">
        <f t="shared" ref="D34:N34" si="17">C34+D22+D24-D32</f>
        <v>-1170540.2112518742</v>
      </c>
      <c r="E34" s="50">
        <f t="shared" si="17"/>
        <v>-3375253.8768342719</v>
      </c>
      <c r="F34" s="50">
        <f t="shared" si="17"/>
        <v>-2651944.2540490213</v>
      </c>
      <c r="G34" s="50">
        <f t="shared" si="17"/>
        <v>-1615447.1751312637</v>
      </c>
      <c r="H34" s="50">
        <f t="shared" si="17"/>
        <v>-2669309.3674129369</v>
      </c>
      <c r="I34" s="50">
        <f t="shared" si="17"/>
        <v>-3516361.6054216917</v>
      </c>
      <c r="J34" s="50">
        <f t="shared" si="17"/>
        <v>-3932160.1620419817</v>
      </c>
      <c r="K34" s="50">
        <f t="shared" si="17"/>
        <v>-1839302.4054630264</v>
      </c>
      <c r="L34" s="50">
        <f t="shared" si="17"/>
        <v>-286650.9929675085</v>
      </c>
      <c r="M34" s="50">
        <f t="shared" si="17"/>
        <v>-403572.55226596521</v>
      </c>
      <c r="N34" s="50">
        <f t="shared" si="17"/>
        <v>4641820.7848552903</v>
      </c>
      <c r="O34" s="50">
        <f t="shared" ref="O34" si="18">N34+O22+O24-O32</f>
        <v>7145692.8229216579</v>
      </c>
      <c r="P34" s="50">
        <f t="shared" ref="P34" si="19">O34+P22+P24-P32</f>
        <v>3284269.4277702458</v>
      </c>
    </row>
    <row r="35" spans="1:16" x14ac:dyDescent="0.2">
      <c r="A35" s="42">
        <f t="shared" si="2"/>
        <v>28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16" x14ac:dyDescent="0.2">
      <c r="A36" s="42">
        <f t="shared" si="2"/>
        <v>29</v>
      </c>
      <c r="B36" s="175" t="s">
        <v>347</v>
      </c>
      <c r="C36" s="222">
        <v>0.954538</v>
      </c>
      <c r="D36" s="222">
        <v>0.954538</v>
      </c>
      <c r="E36" s="222">
        <v>0.954538</v>
      </c>
      <c r="F36" s="222">
        <v>0.954538</v>
      </c>
      <c r="G36" s="222">
        <v>0.954538</v>
      </c>
      <c r="H36" s="222">
        <v>0.954538</v>
      </c>
      <c r="I36" s="222">
        <v>0.954538</v>
      </c>
      <c r="J36" s="222">
        <v>0.954538</v>
      </c>
      <c r="K36" s="222">
        <v>0.954538</v>
      </c>
      <c r="L36" s="221"/>
      <c r="M36" s="221"/>
      <c r="N36" s="221"/>
      <c r="O36" s="221"/>
      <c r="P36" s="221"/>
    </row>
    <row r="37" spans="1:16" x14ac:dyDescent="0.2">
      <c r="A37" s="42">
        <f t="shared" si="2"/>
        <v>30</v>
      </c>
      <c r="C37" s="49"/>
      <c r="D37" s="49"/>
      <c r="E37" s="49"/>
      <c r="F37" s="49"/>
      <c r="G37" s="172"/>
      <c r="H37" s="172"/>
      <c r="I37" s="172"/>
      <c r="J37" s="172"/>
      <c r="K37" s="172"/>
      <c r="L37" s="172"/>
      <c r="M37" s="172"/>
      <c r="N37" s="172"/>
      <c r="O37" s="172"/>
      <c r="P37" s="172"/>
    </row>
    <row r="38" spans="1:16" x14ac:dyDescent="0.2">
      <c r="A38" s="42">
        <f t="shared" si="2"/>
        <v>31</v>
      </c>
      <c r="B38" s="175" t="s">
        <v>348</v>
      </c>
      <c r="C38" s="221"/>
      <c r="D38" s="221"/>
      <c r="E38" s="221"/>
      <c r="F38" s="221"/>
      <c r="G38" s="221"/>
      <c r="H38" s="221"/>
      <c r="I38" s="221"/>
      <c r="J38" s="221"/>
      <c r="K38" s="297"/>
      <c r="L38" s="222">
        <v>0.95455299999999998</v>
      </c>
      <c r="M38" s="222">
        <v>0.95455299999999998</v>
      </c>
      <c r="N38" s="222">
        <v>0.95455299999999998</v>
      </c>
      <c r="O38" s="222">
        <v>0.95455299999999998</v>
      </c>
      <c r="P38" s="222">
        <v>0.95455299999999998</v>
      </c>
    </row>
    <row r="39" spans="1:16" x14ac:dyDescent="0.2">
      <c r="A39" s="42">
        <f t="shared" si="2"/>
        <v>32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</row>
    <row r="40" spans="1:16" ht="12" thickBot="1" x14ac:dyDescent="0.25">
      <c r="A40" s="42">
        <f t="shared" si="2"/>
        <v>33</v>
      </c>
      <c r="B40" s="41" t="s">
        <v>349</v>
      </c>
      <c r="C40" s="176">
        <f t="shared" ref="C40:K40" si="20">ROUND((C22*C36),2)</f>
        <v>4237703.62</v>
      </c>
      <c r="D40" s="176">
        <f t="shared" si="20"/>
        <v>-2279698.77</v>
      </c>
      <c r="E40" s="176">
        <f t="shared" si="20"/>
        <v>-646835.13</v>
      </c>
      <c r="F40" s="176">
        <f t="shared" si="20"/>
        <v>1541816.47</v>
      </c>
      <c r="G40" s="176">
        <f t="shared" si="20"/>
        <v>1285878.5900000001</v>
      </c>
      <c r="H40" s="176">
        <f t="shared" si="20"/>
        <v>-779510.73</v>
      </c>
      <c r="I40" s="223">
        <f t="shared" si="20"/>
        <v>-646202.53</v>
      </c>
      <c r="J40" s="176">
        <f t="shared" si="20"/>
        <v>-254863.3</v>
      </c>
      <c r="K40" s="176">
        <f t="shared" si="20"/>
        <v>2163953.09</v>
      </c>
      <c r="L40" s="176">
        <f t="shared" ref="L40:O40" si="21">ROUND((L22*L38),2)</f>
        <v>1937692.34</v>
      </c>
      <c r="M40" s="176">
        <f t="shared" si="21"/>
        <v>705492.95</v>
      </c>
      <c r="N40" s="176">
        <f t="shared" si="21"/>
        <v>5799509.3600000003</v>
      </c>
      <c r="O40" s="176">
        <f t="shared" si="21"/>
        <v>3382954.8</v>
      </c>
      <c r="P40" s="176">
        <f t="shared" ref="P40" si="22">ROUND((P22*P38),2)</f>
        <v>-2670370.5499999998</v>
      </c>
    </row>
    <row r="41" spans="1:16" x14ac:dyDescent="0.2">
      <c r="A41" s="42">
        <f t="shared" si="2"/>
        <v>34</v>
      </c>
    </row>
    <row r="42" spans="1:16" ht="12" thickBot="1" x14ac:dyDescent="0.25">
      <c r="A42" s="42">
        <f t="shared" si="2"/>
        <v>35</v>
      </c>
      <c r="B42" s="41" t="s">
        <v>350</v>
      </c>
      <c r="C42" s="176">
        <f t="shared" ref="C42:K42" si="23">ROUND((C32*C36),2)</f>
        <v>1638008.71</v>
      </c>
      <c r="D42" s="176">
        <f t="shared" si="23"/>
        <v>1532603.42</v>
      </c>
      <c r="E42" s="176">
        <f t="shared" si="23"/>
        <v>1493155.43</v>
      </c>
      <c r="F42" s="176">
        <f t="shared" si="23"/>
        <v>883368.69</v>
      </c>
      <c r="G42" s="176">
        <f t="shared" si="23"/>
        <v>331877.58</v>
      </c>
      <c r="H42" s="176">
        <f t="shared" si="23"/>
        <v>261762.35</v>
      </c>
      <c r="I42" s="223">
        <f t="shared" si="23"/>
        <v>185352.71</v>
      </c>
      <c r="J42" s="176">
        <f t="shared" si="23"/>
        <v>163386.28</v>
      </c>
      <c r="K42" s="176">
        <f t="shared" si="23"/>
        <v>189765.43</v>
      </c>
      <c r="L42" s="176">
        <f t="shared" ref="L42:O42" si="24">ROUND((L32*L38),2)</f>
        <v>482414.18</v>
      </c>
      <c r="M42" s="176">
        <f t="shared" si="24"/>
        <v>845781.32</v>
      </c>
      <c r="N42" s="176">
        <f t="shared" si="24"/>
        <v>1018333.27</v>
      </c>
      <c r="O42" s="176">
        <f t="shared" si="24"/>
        <v>1037272.26</v>
      </c>
      <c r="P42" s="176">
        <f t="shared" ref="P42" si="25">ROUND((P32*P38),2)</f>
        <v>1058440.47</v>
      </c>
    </row>
    <row r="43" spans="1:16" x14ac:dyDescent="0.2">
      <c r="A43" s="42">
        <f t="shared" si="2"/>
        <v>36</v>
      </c>
    </row>
    <row r="44" spans="1:16" s="169" customFormat="1" x14ac:dyDescent="0.2">
      <c r="A44" s="42">
        <f t="shared" si="2"/>
        <v>37</v>
      </c>
      <c r="B44" s="169" t="s">
        <v>351</v>
      </c>
    </row>
    <row r="45" spans="1:16" s="173" customFormat="1" x14ac:dyDescent="0.2">
      <c r="A45" s="42">
        <f t="shared" si="2"/>
        <v>38</v>
      </c>
      <c r="B45" s="173" t="s">
        <v>352</v>
      </c>
    </row>
    <row r="46" spans="1:16" s="175" customFormat="1" x14ac:dyDescent="0.2">
      <c r="A46" s="42">
        <f t="shared" si="2"/>
        <v>39</v>
      </c>
      <c r="B46" s="175" t="s">
        <v>353</v>
      </c>
    </row>
    <row r="47" spans="1:16" x14ac:dyDescent="0.2">
      <c r="A47" s="123"/>
    </row>
    <row r="48" spans="1:16" x14ac:dyDescent="0.2">
      <c r="A48" s="42"/>
      <c r="B48" s="41" t="s">
        <v>435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1:16" x14ac:dyDescent="0.2">
      <c r="A49" s="42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x14ac:dyDescent="0.2">
      <c r="A50" s="42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1:16" x14ac:dyDescent="0.2">
      <c r="A51" s="42"/>
    </row>
    <row r="52" spans="1:16" x14ac:dyDescent="0.2">
      <c r="A52" s="42"/>
    </row>
    <row r="53" spans="1:16" x14ac:dyDescent="0.2">
      <c r="A53" s="42"/>
    </row>
    <row r="54" spans="1:16" x14ac:dyDescent="0.2">
      <c r="A54" s="42"/>
    </row>
    <row r="55" spans="1:16" x14ac:dyDescent="0.2">
      <c r="A55" s="42"/>
    </row>
    <row r="56" spans="1:16" x14ac:dyDescent="0.2">
      <c r="A56" s="42"/>
    </row>
    <row r="57" spans="1:16" x14ac:dyDescent="0.2">
      <c r="A57" s="42"/>
    </row>
    <row r="58" spans="1:16" x14ac:dyDescent="0.2">
      <c r="A58" s="42"/>
    </row>
    <row r="59" spans="1:16" x14ac:dyDescent="0.2">
      <c r="A59" s="42"/>
    </row>
    <row r="60" spans="1:16" x14ac:dyDescent="0.2">
      <c r="A60" s="42"/>
    </row>
    <row r="61" spans="1:16" x14ac:dyDescent="0.2">
      <c r="A61" s="42"/>
    </row>
    <row r="62" spans="1:16" x14ac:dyDescent="0.2">
      <c r="A62" s="42"/>
    </row>
    <row r="63" spans="1:16" x14ac:dyDescent="0.2">
      <c r="A63" s="42"/>
    </row>
    <row r="64" spans="1:16" x14ac:dyDescent="0.2">
      <c r="A64" s="42"/>
    </row>
    <row r="65" spans="1:1" x14ac:dyDescent="0.2">
      <c r="A65" s="42"/>
    </row>
    <row r="66" spans="1:1" x14ac:dyDescent="0.2">
      <c r="A66" s="42"/>
    </row>
    <row r="67" spans="1:1" x14ac:dyDescent="0.2">
      <c r="A67" s="42"/>
    </row>
    <row r="68" spans="1:1" x14ac:dyDescent="0.2">
      <c r="A68" s="42"/>
    </row>
    <row r="69" spans="1:1" x14ac:dyDescent="0.2">
      <c r="A69" s="42"/>
    </row>
    <row r="70" spans="1:1" x14ac:dyDescent="0.2">
      <c r="A70" s="42"/>
    </row>
    <row r="71" spans="1:1" x14ac:dyDescent="0.2">
      <c r="A71" s="42"/>
    </row>
    <row r="72" spans="1:1" x14ac:dyDescent="0.2">
      <c r="A72" s="42"/>
    </row>
    <row r="73" spans="1:1" x14ac:dyDescent="0.2">
      <c r="A73" s="42"/>
    </row>
    <row r="74" spans="1:1" x14ac:dyDescent="0.2">
      <c r="A74" s="42"/>
    </row>
    <row r="75" spans="1:1" x14ac:dyDescent="0.2">
      <c r="A75" s="42"/>
    </row>
    <row r="76" spans="1:1" x14ac:dyDescent="0.2">
      <c r="A76" s="42"/>
    </row>
    <row r="77" spans="1:1" x14ac:dyDescent="0.2">
      <c r="A77" s="42"/>
    </row>
    <row r="78" spans="1:1" x14ac:dyDescent="0.2">
      <c r="A78" s="42"/>
    </row>
    <row r="79" spans="1:1" x14ac:dyDescent="0.2">
      <c r="A79" s="42"/>
    </row>
    <row r="80" spans="1:1" x14ac:dyDescent="0.2">
      <c r="A80" s="42"/>
    </row>
    <row r="81" spans="1:1" x14ac:dyDescent="0.2">
      <c r="A81" s="42"/>
    </row>
    <row r="82" spans="1:1" x14ac:dyDescent="0.2">
      <c r="A82" s="42"/>
    </row>
    <row r="83" spans="1:1" x14ac:dyDescent="0.2">
      <c r="A83" s="42"/>
    </row>
    <row r="84" spans="1:1" x14ac:dyDescent="0.2">
      <c r="A84" s="42"/>
    </row>
    <row r="85" spans="1:1" x14ac:dyDescent="0.2">
      <c r="A85" s="42"/>
    </row>
    <row r="86" spans="1:1" x14ac:dyDescent="0.2">
      <c r="A86" s="42"/>
    </row>
    <row r="87" spans="1:1" x14ac:dyDescent="0.2">
      <c r="A87" s="42"/>
    </row>
    <row r="88" spans="1:1" x14ac:dyDescent="0.2">
      <c r="A88" s="42"/>
    </row>
    <row r="89" spans="1:1" x14ac:dyDescent="0.2">
      <c r="A89" s="42"/>
    </row>
    <row r="90" spans="1:1" x14ac:dyDescent="0.2">
      <c r="A90" s="42"/>
    </row>
    <row r="91" spans="1:1" x14ac:dyDescent="0.2">
      <c r="A91" s="42"/>
    </row>
  </sheetData>
  <printOptions horizontalCentered="1"/>
  <pageMargins left="0.45" right="0.45" top="0.75" bottom="0.75" header="0.3" footer="0.3"/>
  <pageSetup scale="73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 tint="0.79998168889431442"/>
    <pageSetUpPr fitToPage="1"/>
  </sheetPr>
  <dimension ref="A1:Q78"/>
  <sheetViews>
    <sheetView zoomScaleNormal="100" workbookViewId="0">
      <pane xSplit="2" ySplit="6" topLeftCell="C7" activePane="bottomRight" state="frozen"/>
      <selection activeCell="O46" sqref="O46"/>
      <selection pane="topRight" activeCell="O46" sqref="O46"/>
      <selection pane="bottomLeft" activeCell="O46" sqref="O46"/>
      <selection pane="bottomRight" activeCell="P20" sqref="P20"/>
    </sheetView>
  </sheetViews>
  <sheetFormatPr defaultColWidth="9.140625" defaultRowHeight="11.25" x14ac:dyDescent="0.2"/>
  <cols>
    <col min="1" max="1" width="5.5703125" style="41" bestFit="1" customWidth="1"/>
    <col min="2" max="2" width="41" style="41" customWidth="1"/>
    <col min="3" max="3" width="10.7109375" style="41" bestFit="1" customWidth="1"/>
    <col min="4" max="4" width="10.42578125" style="41" bestFit="1" customWidth="1"/>
    <col min="5" max="5" width="10.5703125" style="41" bestFit="1" customWidth="1"/>
    <col min="6" max="6" width="10.7109375" style="41" bestFit="1" customWidth="1"/>
    <col min="7" max="7" width="11.42578125" style="41" bestFit="1" customWidth="1"/>
    <col min="8" max="9" width="10.5703125" style="41" bestFit="1" customWidth="1"/>
    <col min="10" max="10" width="11.28515625" style="41" bestFit="1" customWidth="1"/>
    <col min="11" max="14" width="10.42578125" style="41" bestFit="1" customWidth="1"/>
    <col min="15" max="16" width="10.42578125" style="41" customWidth="1"/>
    <col min="17" max="16384" width="9.140625" style="41"/>
  </cols>
  <sheetData>
    <row r="1" spans="1:17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7" x14ac:dyDescent="0.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7" x14ac:dyDescent="0.2">
      <c r="A3" s="10" t="s">
        <v>339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7" x14ac:dyDescent="0.2">
      <c r="A4" s="10" t="s">
        <v>179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2" thickBot="1" x14ac:dyDescent="0.25">
      <c r="L5" s="42" t="s">
        <v>434</v>
      </c>
    </row>
    <row r="6" spans="1:17" ht="33.75" x14ac:dyDescent="0.2">
      <c r="A6" s="166" t="s">
        <v>79</v>
      </c>
      <c r="B6" s="167"/>
      <c r="C6" s="219">
        <f>'Sch23&amp;53 Deferral Calc'!C6</f>
        <v>43861</v>
      </c>
      <c r="D6" s="168">
        <f t="shared" ref="D6:P6" si="0">EDATE(C6,1)</f>
        <v>43890</v>
      </c>
      <c r="E6" s="168">
        <f t="shared" si="0"/>
        <v>43919</v>
      </c>
      <c r="F6" s="168">
        <f t="shared" si="0"/>
        <v>43950</v>
      </c>
      <c r="G6" s="168">
        <f t="shared" si="0"/>
        <v>43980</v>
      </c>
      <c r="H6" s="168">
        <f t="shared" si="0"/>
        <v>44011</v>
      </c>
      <c r="I6" s="168">
        <f t="shared" si="0"/>
        <v>44041</v>
      </c>
      <c r="J6" s="168">
        <f t="shared" si="0"/>
        <v>44072</v>
      </c>
      <c r="K6" s="168">
        <f t="shared" si="0"/>
        <v>44103</v>
      </c>
      <c r="L6" s="168">
        <f t="shared" si="0"/>
        <v>44133</v>
      </c>
      <c r="M6" s="168">
        <f t="shared" si="0"/>
        <v>44164</v>
      </c>
      <c r="N6" s="168">
        <f t="shared" si="0"/>
        <v>44194</v>
      </c>
      <c r="O6" s="168">
        <f t="shared" si="0"/>
        <v>44225</v>
      </c>
      <c r="P6" s="168">
        <f t="shared" si="0"/>
        <v>44255</v>
      </c>
      <c r="Q6" s="263" t="s">
        <v>401</v>
      </c>
    </row>
    <row r="7" spans="1:17" x14ac:dyDescent="0.2">
      <c r="A7" s="42"/>
      <c r="B7" s="42"/>
      <c r="C7" s="177"/>
      <c r="D7" s="177"/>
      <c r="E7" s="177"/>
      <c r="F7" s="177"/>
      <c r="G7" s="177"/>
      <c r="H7" s="177"/>
      <c r="I7" s="177"/>
      <c r="J7" s="177"/>
      <c r="K7" s="177"/>
      <c r="L7" s="42"/>
      <c r="M7" s="42"/>
      <c r="N7" s="42"/>
      <c r="O7" s="42"/>
      <c r="P7" s="42"/>
      <c r="Q7" s="264"/>
    </row>
    <row r="8" spans="1:17" ht="12" thickBot="1" x14ac:dyDescent="0.25">
      <c r="A8" s="42">
        <v>1</v>
      </c>
      <c r="B8" s="169" t="s">
        <v>80</v>
      </c>
      <c r="C8" s="170">
        <v>57401</v>
      </c>
      <c r="D8" s="170">
        <v>57434</v>
      </c>
      <c r="E8" s="170">
        <v>57471</v>
      </c>
      <c r="F8" s="170">
        <v>57339</v>
      </c>
      <c r="G8" s="170">
        <v>57263</v>
      </c>
      <c r="H8" s="170">
        <v>57179</v>
      </c>
      <c r="I8" s="170">
        <v>57161</v>
      </c>
      <c r="J8" s="170">
        <v>57128</v>
      </c>
      <c r="K8" s="170">
        <v>57153</v>
      </c>
      <c r="L8" s="170">
        <v>57214</v>
      </c>
      <c r="M8" s="170">
        <v>57359</v>
      </c>
      <c r="N8" s="170">
        <v>57454</v>
      </c>
      <c r="O8" s="170">
        <v>57467</v>
      </c>
      <c r="P8" s="170">
        <v>57529</v>
      </c>
      <c r="Q8" s="265">
        <f t="shared" ref="Q8" si="1">AVERAGE(C8:N8)</f>
        <v>57296.333333333336</v>
      </c>
    </row>
    <row r="9" spans="1:17" x14ac:dyDescent="0.2">
      <c r="A9" s="42">
        <f>A8+1</f>
        <v>2</v>
      </c>
      <c r="B9" s="41" t="s">
        <v>340</v>
      </c>
      <c r="C9" s="16">
        <v>191.24225905606627</v>
      </c>
      <c r="D9" s="16">
        <v>151.19878959121644</v>
      </c>
      <c r="E9" s="16">
        <v>154.71503924527812</v>
      </c>
      <c r="F9" s="16">
        <v>108.58564737045211</v>
      </c>
      <c r="G9" s="16">
        <v>72.388236524211251</v>
      </c>
      <c r="H9" s="16">
        <v>52.858234576473087</v>
      </c>
      <c r="I9" s="16">
        <v>45.365001334241484</v>
      </c>
      <c r="J9" s="16">
        <v>44.491299201870326</v>
      </c>
      <c r="K9" s="16">
        <v>54.158781019294224</v>
      </c>
      <c r="L9" s="16">
        <v>116.93823955080327</v>
      </c>
      <c r="M9" s="16">
        <v>174.8128083908714</v>
      </c>
      <c r="N9" s="16">
        <v>255.83836185537152</v>
      </c>
      <c r="O9" s="16">
        <v>233.94184933829325</v>
      </c>
      <c r="P9" s="16">
        <v>206.55443776443502</v>
      </c>
    </row>
    <row r="10" spans="1:17" x14ac:dyDescent="0.2">
      <c r="A10" s="42">
        <f t="shared" ref="A10:A33" si="2">A9+1</f>
        <v>3</v>
      </c>
      <c r="B10" s="41" t="s">
        <v>341</v>
      </c>
      <c r="C10" s="50">
        <f t="shared" ref="C10:P10" si="3">C8*C9</f>
        <v>10977496.912077259</v>
      </c>
      <c r="D10" s="50">
        <f t="shared" si="3"/>
        <v>8683951.2813819256</v>
      </c>
      <c r="E10" s="50">
        <f t="shared" si="3"/>
        <v>8891628.0204653796</v>
      </c>
      <c r="F10" s="50">
        <f t="shared" si="3"/>
        <v>6226192.4345743535</v>
      </c>
      <c r="G10" s="50">
        <f t="shared" si="3"/>
        <v>4145167.5880859089</v>
      </c>
      <c r="H10" s="50">
        <f t="shared" si="3"/>
        <v>3022380.9948481545</v>
      </c>
      <c r="I10" s="50">
        <f t="shared" si="3"/>
        <v>2593108.8412665776</v>
      </c>
      <c r="J10" s="50">
        <f t="shared" si="3"/>
        <v>2541698.940804448</v>
      </c>
      <c r="K10" s="50">
        <f t="shared" si="3"/>
        <v>3095336.811595723</v>
      </c>
      <c r="L10" s="50">
        <f t="shared" si="3"/>
        <v>6690504.4376596585</v>
      </c>
      <c r="M10" s="50">
        <f t="shared" si="3"/>
        <v>10027087.876491992</v>
      </c>
      <c r="N10" s="50">
        <f t="shared" si="3"/>
        <v>14698937.242038514</v>
      </c>
      <c r="O10" s="50">
        <f t="shared" si="3"/>
        <v>13443936.255923698</v>
      </c>
      <c r="P10" s="50">
        <f t="shared" si="3"/>
        <v>11882870.250150183</v>
      </c>
    </row>
    <row r="11" spans="1:17" x14ac:dyDescent="0.2">
      <c r="A11" s="42">
        <f t="shared" si="2"/>
        <v>4</v>
      </c>
    </row>
    <row r="12" spans="1:17" x14ac:dyDescent="0.2">
      <c r="A12" s="42">
        <f t="shared" si="2"/>
        <v>5</v>
      </c>
      <c r="B12" s="41" t="s">
        <v>336</v>
      </c>
      <c r="C12" s="141">
        <v>10391215.715843104</v>
      </c>
      <c r="D12" s="141">
        <v>9261304.9247250035</v>
      </c>
      <c r="E12" s="141">
        <v>8705874.622284485</v>
      </c>
      <c r="F12" s="141">
        <v>5038077.51192284</v>
      </c>
      <c r="G12" s="141">
        <v>3182944.9099345598</v>
      </c>
      <c r="H12" s="141">
        <v>2887413.634319576</v>
      </c>
      <c r="I12" s="141">
        <v>2322603.1024033409</v>
      </c>
      <c r="J12" s="141">
        <v>2055039.3376951264</v>
      </c>
      <c r="K12" s="141">
        <v>2416303.2726945616</v>
      </c>
      <c r="L12" s="141">
        <v>5670978.9985047095</v>
      </c>
      <c r="M12" s="141">
        <v>9823091.6128959302</v>
      </c>
      <c r="N12" s="141">
        <v>12133099.085438441</v>
      </c>
      <c r="O12" s="141">
        <v>11546426.320473388</v>
      </c>
      <c r="P12" s="141">
        <v>12797286.733328328</v>
      </c>
    </row>
    <row r="13" spans="1:17" x14ac:dyDescent="0.2">
      <c r="A13" s="42">
        <f t="shared" si="2"/>
        <v>6</v>
      </c>
    </row>
    <row r="14" spans="1:17" x14ac:dyDescent="0.2">
      <c r="A14" s="42">
        <f t="shared" si="2"/>
        <v>7</v>
      </c>
      <c r="B14" s="41" t="s">
        <v>337</v>
      </c>
      <c r="C14" s="50">
        <f t="shared" ref="C14:P14" si="4">C10-C12</f>
        <v>586281.19623415545</v>
      </c>
      <c r="D14" s="50">
        <f>D10-D12</f>
        <v>-577353.64334307797</v>
      </c>
      <c r="E14" s="50">
        <f>E10-E12</f>
        <v>185753.39818089455</v>
      </c>
      <c r="F14" s="50">
        <f t="shared" si="4"/>
        <v>1188114.9226515135</v>
      </c>
      <c r="G14" s="50">
        <f t="shared" si="4"/>
        <v>962222.67815134907</v>
      </c>
      <c r="H14" s="50">
        <f t="shared" si="4"/>
        <v>134967.36052857852</v>
      </c>
      <c r="I14" s="50">
        <f t="shared" si="4"/>
        <v>270505.73886323674</v>
      </c>
      <c r="J14" s="50">
        <f t="shared" si="4"/>
        <v>486659.60310932156</v>
      </c>
      <c r="K14" s="50">
        <f t="shared" si="4"/>
        <v>679033.5389011614</v>
      </c>
      <c r="L14" s="50">
        <f t="shared" si="4"/>
        <v>1019525.439154949</v>
      </c>
      <c r="M14" s="50">
        <f t="shared" si="4"/>
        <v>203996.26359606162</v>
      </c>
      <c r="N14" s="50">
        <f t="shared" si="4"/>
        <v>2565838.156600073</v>
      </c>
      <c r="O14" s="50">
        <f t="shared" si="4"/>
        <v>1897509.9354503099</v>
      </c>
      <c r="P14" s="50">
        <f t="shared" si="4"/>
        <v>-914416.48317814432</v>
      </c>
    </row>
    <row r="15" spans="1:17" x14ac:dyDescent="0.2">
      <c r="A15" s="42">
        <f t="shared" si="2"/>
        <v>8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7" x14ac:dyDescent="0.2">
      <c r="A16" s="42">
        <f t="shared" si="2"/>
        <v>9</v>
      </c>
      <c r="B16" s="41" t="s">
        <v>343</v>
      </c>
      <c r="C16" s="141">
        <v>-9117.52</v>
      </c>
      <c r="D16" s="141">
        <v>-7839.58</v>
      </c>
      <c r="E16" s="141">
        <v>-7459.85</v>
      </c>
      <c r="F16" s="141">
        <v>-3704.42</v>
      </c>
      <c r="G16" s="141">
        <v>791.41</v>
      </c>
      <c r="H16" s="224">
        <v>3102.75</v>
      </c>
      <c r="I16" s="224">
        <v>2942.01</v>
      </c>
      <c r="J16" s="16">
        <v>4098.7299999999996</v>
      </c>
      <c r="K16" s="141">
        <v>5815.5</v>
      </c>
      <c r="L16" s="141">
        <v>7891.1</v>
      </c>
      <c r="M16" s="141">
        <v>9801.59</v>
      </c>
      <c r="N16" s="141">
        <v>13847.78</v>
      </c>
      <c r="O16" s="141">
        <v>20119.5</v>
      </c>
      <c r="P16" s="141">
        <v>21906.79</v>
      </c>
    </row>
    <row r="17" spans="1:16" x14ac:dyDescent="0.2">
      <c r="A17" s="42">
        <f t="shared" si="2"/>
        <v>10</v>
      </c>
    </row>
    <row r="18" spans="1:16" x14ac:dyDescent="0.2">
      <c r="A18" s="42">
        <f t="shared" si="2"/>
        <v>11</v>
      </c>
      <c r="B18" s="41" t="s">
        <v>344</v>
      </c>
      <c r="C18" s="224">
        <v>301658.75620635343</v>
      </c>
      <c r="D18" s="50">
        <f t="shared" ref="D18:N18" si="5">C18+D14+D16</f>
        <v>-283534.46713672456</v>
      </c>
      <c r="E18" s="50">
        <f>D18+E14+E16</f>
        <v>-105240.91895583001</v>
      </c>
      <c r="F18" s="50">
        <f t="shared" si="5"/>
        <v>1079169.5836956836</v>
      </c>
      <c r="G18" s="50">
        <f t="shared" si="5"/>
        <v>2042183.6718470326</v>
      </c>
      <c r="H18" s="50">
        <f t="shared" si="5"/>
        <v>2180253.7823756114</v>
      </c>
      <c r="I18" s="50">
        <f t="shared" si="5"/>
        <v>2453701.5312388479</v>
      </c>
      <c r="J18" s="50">
        <f t="shared" si="5"/>
        <v>2944459.8643481694</v>
      </c>
      <c r="K18" s="50">
        <f t="shared" si="5"/>
        <v>3629308.9032493308</v>
      </c>
      <c r="L18" s="50">
        <f t="shared" si="5"/>
        <v>4656725.4424042795</v>
      </c>
      <c r="M18" s="50">
        <f t="shared" si="5"/>
        <v>4870523.296000341</v>
      </c>
      <c r="N18" s="50">
        <f t="shared" si="5"/>
        <v>7450209.2326004142</v>
      </c>
      <c r="O18" s="50">
        <f t="shared" ref="O18" si="6">N18+O14+O16</f>
        <v>9367838.668050725</v>
      </c>
      <c r="P18" s="50">
        <f t="shared" ref="P18" si="7">O18+P14+P16</f>
        <v>8475328.9748725798</v>
      </c>
    </row>
    <row r="19" spans="1:16" x14ac:dyDescent="0.2">
      <c r="A19" s="42">
        <f t="shared" si="2"/>
        <v>12</v>
      </c>
    </row>
    <row r="20" spans="1:16" x14ac:dyDescent="0.2">
      <c r="A20" s="42">
        <f t="shared" si="2"/>
        <v>13</v>
      </c>
      <c r="B20" s="41" t="s">
        <v>239</v>
      </c>
      <c r="C20" s="141">
        <v>-338370.11619792564</v>
      </c>
      <c r="D20" s="141">
        <v>-301576.73953767854</v>
      </c>
      <c r="E20" s="141">
        <v>-283490.18889643543</v>
      </c>
      <c r="F20" s="141">
        <v>-164055.40339034717</v>
      </c>
      <c r="G20" s="141">
        <v>-73124.216901973414</v>
      </c>
      <c r="H20" s="141">
        <v>-67526.823785181667</v>
      </c>
      <c r="I20" s="141">
        <v>-53608.805314741432</v>
      </c>
      <c r="J20" s="141">
        <v>-47486.365594420866</v>
      </c>
      <c r="K20" s="141">
        <v>-55834.179983167836</v>
      </c>
      <c r="L20" s="141">
        <v>-103765.4584263131</v>
      </c>
      <c r="M20" s="141">
        <v>-179697.5241909911</v>
      </c>
      <c r="N20" s="141">
        <v>-221735.22598906356</v>
      </c>
      <c r="O20" s="141">
        <v>-211120.43580226225</v>
      </c>
      <c r="P20" s="141">
        <v>-233992.51424607146</v>
      </c>
    </row>
    <row r="21" spans="1:16" x14ac:dyDescent="0.2">
      <c r="A21" s="42">
        <f t="shared" si="2"/>
        <v>14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 x14ac:dyDescent="0.2">
      <c r="A22" s="42">
        <f t="shared" si="2"/>
        <v>15</v>
      </c>
      <c r="B22" s="41" t="s">
        <v>346</v>
      </c>
      <c r="C22" s="224">
        <v>979778.78866618813</v>
      </c>
      <c r="D22" s="50">
        <f t="shared" ref="D22:N22" si="8">C22+D14+D16-D20</f>
        <v>696162.30486078863</v>
      </c>
      <c r="E22" s="50">
        <f t="shared" si="8"/>
        <v>1157946.0419381186</v>
      </c>
      <c r="F22" s="50">
        <f t="shared" si="8"/>
        <v>2506411.9479799792</v>
      </c>
      <c r="G22" s="50">
        <f t="shared" si="8"/>
        <v>3542550.2530333018</v>
      </c>
      <c r="H22" s="50">
        <f t="shared" si="8"/>
        <v>3748147.1873470619</v>
      </c>
      <c r="I22" s="50">
        <f t="shared" si="8"/>
        <v>4075203.74152504</v>
      </c>
      <c r="J22" s="50">
        <f t="shared" si="8"/>
        <v>4613448.4402287826</v>
      </c>
      <c r="K22" s="50">
        <f t="shared" si="8"/>
        <v>5354131.6591131119</v>
      </c>
      <c r="L22" s="50">
        <f t="shared" si="8"/>
        <v>6485313.656694374</v>
      </c>
      <c r="M22" s="50">
        <f t="shared" si="8"/>
        <v>6878809.0344814267</v>
      </c>
      <c r="N22" s="50">
        <f t="shared" si="8"/>
        <v>9680230.1970705632</v>
      </c>
      <c r="O22" s="50">
        <f t="shared" ref="O22" si="9">N22+O14+O16-O20</f>
        <v>11808980.068323135</v>
      </c>
      <c r="P22" s="50">
        <f t="shared" ref="P22" si="10">O22+P14+P16-P20</f>
        <v>11150462.889391061</v>
      </c>
    </row>
    <row r="23" spans="1:16" x14ac:dyDescent="0.2">
      <c r="A23" s="42">
        <f t="shared" si="2"/>
        <v>16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16" x14ac:dyDescent="0.2">
      <c r="A24" s="42">
        <f t="shared" si="2"/>
        <v>17</v>
      </c>
      <c r="B24" s="175" t="s">
        <v>347</v>
      </c>
      <c r="C24" s="222">
        <v>0.954538</v>
      </c>
      <c r="D24" s="222">
        <v>0.954538</v>
      </c>
      <c r="E24" s="222">
        <v>0.954538</v>
      </c>
      <c r="F24" s="222">
        <v>0.954538</v>
      </c>
      <c r="G24" s="222">
        <v>0.954538</v>
      </c>
      <c r="H24" s="222">
        <v>0.954538</v>
      </c>
      <c r="I24" s="222">
        <v>0.954538</v>
      </c>
      <c r="J24" s="222">
        <v>0.954538</v>
      </c>
      <c r="K24" s="222">
        <v>0.954538</v>
      </c>
      <c r="L24" s="222"/>
      <c r="M24" s="222"/>
      <c r="N24" s="222"/>
      <c r="O24" s="222"/>
      <c r="P24" s="222"/>
    </row>
    <row r="25" spans="1:16" x14ac:dyDescent="0.2">
      <c r="A25" s="42">
        <f t="shared" si="2"/>
        <v>18</v>
      </c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</row>
    <row r="26" spans="1:16" x14ac:dyDescent="0.2">
      <c r="A26" s="42">
        <f t="shared" si="2"/>
        <v>19</v>
      </c>
      <c r="B26" s="175" t="s">
        <v>348</v>
      </c>
      <c r="C26" s="222"/>
      <c r="D26" s="222"/>
      <c r="E26" s="222"/>
      <c r="F26" s="222"/>
      <c r="G26" s="222"/>
      <c r="H26" s="222"/>
      <c r="I26" s="222"/>
      <c r="J26" s="222"/>
      <c r="K26" s="222"/>
      <c r="L26" s="222">
        <v>0.95455299999999998</v>
      </c>
      <c r="M26" s="222">
        <v>0.95455299999999998</v>
      </c>
      <c r="N26" s="222">
        <v>0.95455299999999998</v>
      </c>
      <c r="O26" s="222">
        <v>0.95455299999999998</v>
      </c>
      <c r="P26" s="222">
        <v>0.95455299999999998</v>
      </c>
    </row>
    <row r="27" spans="1:16" x14ac:dyDescent="0.2">
      <c r="A27" s="42">
        <f t="shared" si="2"/>
        <v>20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</row>
    <row r="28" spans="1:16" ht="12" thickBot="1" x14ac:dyDescent="0.25">
      <c r="A28" s="42">
        <f t="shared" si="2"/>
        <v>21</v>
      </c>
      <c r="B28" s="41" t="s">
        <v>349</v>
      </c>
      <c r="C28" s="176">
        <f t="shared" ref="C28:K28" si="11">ROUND((C14*C24),2)</f>
        <v>559627.68000000005</v>
      </c>
      <c r="D28" s="176">
        <f t="shared" si="11"/>
        <v>-551105.99</v>
      </c>
      <c r="E28" s="176">
        <f t="shared" si="11"/>
        <v>177308.68</v>
      </c>
      <c r="F28" s="176">
        <f t="shared" si="11"/>
        <v>1134100.8400000001</v>
      </c>
      <c r="G28" s="176">
        <f t="shared" si="11"/>
        <v>918478.11</v>
      </c>
      <c r="H28" s="176">
        <f t="shared" si="11"/>
        <v>128831.47</v>
      </c>
      <c r="I28" s="176">
        <f t="shared" si="11"/>
        <v>258208.01</v>
      </c>
      <c r="J28" s="176">
        <f t="shared" si="11"/>
        <v>464535.08</v>
      </c>
      <c r="K28" s="176">
        <f t="shared" si="11"/>
        <v>648163.31999999995</v>
      </c>
      <c r="L28" s="176">
        <f t="shared" ref="L28:P28" si="12">ROUND((L14*L26),2)</f>
        <v>973191.07</v>
      </c>
      <c r="M28" s="176">
        <f t="shared" si="12"/>
        <v>194725.25</v>
      </c>
      <c r="N28" s="176">
        <f t="shared" si="12"/>
        <v>2449228.5099999998</v>
      </c>
      <c r="O28" s="176">
        <f t="shared" si="12"/>
        <v>1811273.8</v>
      </c>
      <c r="P28" s="176">
        <f t="shared" si="12"/>
        <v>-872859</v>
      </c>
    </row>
    <row r="29" spans="1:16" x14ac:dyDescent="0.2">
      <c r="A29" s="42">
        <f t="shared" si="2"/>
        <v>22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ht="12" thickBot="1" x14ac:dyDescent="0.25">
      <c r="A30" s="42">
        <f t="shared" si="2"/>
        <v>23</v>
      </c>
      <c r="B30" s="41" t="s">
        <v>350</v>
      </c>
      <c r="C30" s="176">
        <f t="shared" ref="C30:K30" si="13">ROUND((C20*C24),2)</f>
        <v>-322987.13</v>
      </c>
      <c r="D30" s="176">
        <f t="shared" si="13"/>
        <v>-287866.46000000002</v>
      </c>
      <c r="E30" s="176">
        <f t="shared" si="13"/>
        <v>-270602.15999999997</v>
      </c>
      <c r="F30" s="176">
        <f t="shared" si="13"/>
        <v>-156597.12</v>
      </c>
      <c r="G30" s="176">
        <f t="shared" si="13"/>
        <v>-69799.839999999997</v>
      </c>
      <c r="H30" s="176">
        <f t="shared" si="13"/>
        <v>-64456.92</v>
      </c>
      <c r="I30" s="176">
        <f t="shared" si="13"/>
        <v>-51171.64</v>
      </c>
      <c r="J30" s="176">
        <f t="shared" si="13"/>
        <v>-45327.54</v>
      </c>
      <c r="K30" s="176">
        <f t="shared" si="13"/>
        <v>-53295.85</v>
      </c>
      <c r="L30" s="176">
        <f t="shared" ref="L30:P30" si="14">ROUND((L20*L26),2)</f>
        <v>-99049.63</v>
      </c>
      <c r="M30" s="176">
        <f t="shared" si="14"/>
        <v>-171530.81</v>
      </c>
      <c r="N30" s="176">
        <f t="shared" si="14"/>
        <v>-211658.03</v>
      </c>
      <c r="O30" s="176">
        <f t="shared" si="14"/>
        <v>-201525.65</v>
      </c>
      <c r="P30" s="176">
        <f t="shared" si="14"/>
        <v>-223358.26</v>
      </c>
    </row>
    <row r="31" spans="1:16" x14ac:dyDescent="0.2">
      <c r="A31" s="42">
        <f t="shared" si="2"/>
        <v>24</v>
      </c>
    </row>
    <row r="32" spans="1:16" s="169" customFormat="1" x14ac:dyDescent="0.2">
      <c r="A32" s="42">
        <f t="shared" si="2"/>
        <v>25</v>
      </c>
      <c r="B32" s="169" t="s">
        <v>354</v>
      </c>
    </row>
    <row r="33" spans="1:17" s="175" customFormat="1" x14ac:dyDescent="0.2">
      <c r="A33" s="42">
        <f t="shared" si="2"/>
        <v>26</v>
      </c>
      <c r="B33" s="175" t="s">
        <v>353</v>
      </c>
    </row>
    <row r="34" spans="1:17" x14ac:dyDescent="0.2">
      <c r="A34" s="123"/>
    </row>
    <row r="35" spans="1:17" x14ac:dyDescent="0.2">
      <c r="A35" s="42"/>
      <c r="B35" s="41" t="s">
        <v>435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</row>
    <row r="36" spans="1:17" x14ac:dyDescent="0.2">
      <c r="A36" s="42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</row>
    <row r="37" spans="1:17" x14ac:dyDescent="0.2">
      <c r="A37" s="42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1:17" x14ac:dyDescent="0.2">
      <c r="A38" s="42"/>
    </row>
    <row r="39" spans="1:17" x14ac:dyDescent="0.2">
      <c r="A39" s="42"/>
    </row>
    <row r="40" spans="1:17" x14ac:dyDescent="0.2">
      <c r="A40" s="42"/>
    </row>
    <row r="41" spans="1:17" x14ac:dyDescent="0.2">
      <c r="A41" s="42"/>
    </row>
    <row r="42" spans="1:17" x14ac:dyDescent="0.2">
      <c r="A42" s="42"/>
    </row>
    <row r="43" spans="1:17" x14ac:dyDescent="0.2">
      <c r="A43" s="42"/>
    </row>
    <row r="44" spans="1:17" x14ac:dyDescent="0.2">
      <c r="A44" s="42"/>
    </row>
    <row r="45" spans="1:17" x14ac:dyDescent="0.2">
      <c r="A45" s="42"/>
    </row>
    <row r="46" spans="1:17" x14ac:dyDescent="0.2">
      <c r="A46" s="42"/>
    </row>
    <row r="47" spans="1:17" x14ac:dyDescent="0.2">
      <c r="A47" s="42"/>
    </row>
    <row r="48" spans="1:17" x14ac:dyDescent="0.2">
      <c r="A48" s="42"/>
    </row>
    <row r="49" spans="1:1" x14ac:dyDescent="0.2">
      <c r="A49" s="42"/>
    </row>
    <row r="50" spans="1:1" x14ac:dyDescent="0.2">
      <c r="A50" s="42"/>
    </row>
    <row r="51" spans="1:1" x14ac:dyDescent="0.2">
      <c r="A51" s="42"/>
    </row>
    <row r="52" spans="1:1" x14ac:dyDescent="0.2">
      <c r="A52" s="42"/>
    </row>
    <row r="53" spans="1:1" x14ac:dyDescent="0.2">
      <c r="A53" s="42"/>
    </row>
    <row r="54" spans="1:1" x14ac:dyDescent="0.2">
      <c r="A54" s="42"/>
    </row>
    <row r="55" spans="1:1" x14ac:dyDescent="0.2">
      <c r="A55" s="42"/>
    </row>
    <row r="56" spans="1:1" x14ac:dyDescent="0.2">
      <c r="A56" s="42"/>
    </row>
    <row r="57" spans="1:1" x14ac:dyDescent="0.2">
      <c r="A57" s="42"/>
    </row>
    <row r="58" spans="1:1" x14ac:dyDescent="0.2">
      <c r="A58" s="42"/>
    </row>
    <row r="59" spans="1:1" x14ac:dyDescent="0.2">
      <c r="A59" s="42"/>
    </row>
    <row r="60" spans="1:1" x14ac:dyDescent="0.2">
      <c r="A60" s="42"/>
    </row>
    <row r="61" spans="1:1" x14ac:dyDescent="0.2">
      <c r="A61" s="42"/>
    </row>
    <row r="62" spans="1:1" x14ac:dyDescent="0.2">
      <c r="A62" s="42"/>
    </row>
    <row r="63" spans="1:1" x14ac:dyDescent="0.2">
      <c r="A63" s="42"/>
    </row>
    <row r="64" spans="1:1" x14ac:dyDescent="0.2">
      <c r="A64" s="42"/>
    </row>
    <row r="65" spans="1:1" x14ac:dyDescent="0.2">
      <c r="A65" s="42"/>
    </row>
    <row r="66" spans="1:1" x14ac:dyDescent="0.2">
      <c r="A66" s="42"/>
    </row>
    <row r="67" spans="1:1" x14ac:dyDescent="0.2">
      <c r="A67" s="42"/>
    </row>
    <row r="68" spans="1:1" x14ac:dyDescent="0.2">
      <c r="A68" s="42"/>
    </row>
    <row r="69" spans="1:1" x14ac:dyDescent="0.2">
      <c r="A69" s="42"/>
    </row>
    <row r="70" spans="1:1" x14ac:dyDescent="0.2">
      <c r="A70" s="42"/>
    </row>
    <row r="71" spans="1:1" x14ac:dyDescent="0.2">
      <c r="A71" s="42"/>
    </row>
    <row r="72" spans="1:1" x14ac:dyDescent="0.2">
      <c r="A72" s="42"/>
    </row>
    <row r="73" spans="1:1" x14ac:dyDescent="0.2">
      <c r="A73" s="42"/>
    </row>
    <row r="74" spans="1:1" x14ac:dyDescent="0.2">
      <c r="A74" s="42"/>
    </row>
    <row r="75" spans="1:1" x14ac:dyDescent="0.2">
      <c r="A75" s="42"/>
    </row>
    <row r="76" spans="1:1" x14ac:dyDescent="0.2">
      <c r="A76" s="42"/>
    </row>
    <row r="77" spans="1:1" x14ac:dyDescent="0.2">
      <c r="A77" s="42"/>
    </row>
    <row r="78" spans="1:1" x14ac:dyDescent="0.2">
      <c r="A78" s="42"/>
    </row>
  </sheetData>
  <printOptions horizontalCentered="1"/>
  <pageMargins left="0.45" right="0.45" top="0.75" bottom="0.75" header="0.3" footer="0.3"/>
  <pageSetup scale="70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0.79998168889431442"/>
    <pageSetUpPr fitToPage="1"/>
  </sheetPr>
  <dimension ref="A1:Q78"/>
  <sheetViews>
    <sheetView zoomScaleNormal="100" workbookViewId="0">
      <pane ySplit="6" topLeftCell="A7" activePane="bottomLeft" state="frozen"/>
      <selection activeCell="O46" sqref="O46"/>
      <selection pane="bottomLeft" activeCell="P20" sqref="P20"/>
    </sheetView>
  </sheetViews>
  <sheetFormatPr defaultColWidth="9.140625" defaultRowHeight="11.25" x14ac:dyDescent="0.2"/>
  <cols>
    <col min="1" max="1" width="5.5703125" style="41" bestFit="1" customWidth="1"/>
    <col min="2" max="2" width="41" style="41" customWidth="1"/>
    <col min="3" max="4" width="9.85546875" style="41" bestFit="1" customWidth="1"/>
    <col min="5" max="5" width="10" style="41" bestFit="1" customWidth="1"/>
    <col min="6" max="6" width="10.7109375" style="41" bestFit="1" customWidth="1"/>
    <col min="7" max="7" width="10" style="41" bestFit="1" customWidth="1"/>
    <col min="8" max="9" width="10.42578125" style="41" bestFit="1" customWidth="1"/>
    <col min="10" max="10" width="11.28515625" style="41" bestFit="1" customWidth="1"/>
    <col min="11" max="16" width="10.42578125" style="41" bestFit="1" customWidth="1"/>
    <col min="17" max="16384" width="9.140625" style="41"/>
  </cols>
  <sheetData>
    <row r="1" spans="1:17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7" x14ac:dyDescent="0.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7" x14ac:dyDescent="0.2">
      <c r="A3" s="10" t="s">
        <v>339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7" x14ac:dyDescent="0.2">
      <c r="A4" s="10" t="s">
        <v>180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2" thickBot="1" x14ac:dyDescent="0.25">
      <c r="L5" s="42" t="s">
        <v>434</v>
      </c>
    </row>
    <row r="6" spans="1:17" ht="33.75" x14ac:dyDescent="0.2">
      <c r="A6" s="166" t="s">
        <v>79</v>
      </c>
      <c r="B6" s="167"/>
      <c r="C6" s="219">
        <f>'Sch23&amp;53 Deferral Calc'!C6</f>
        <v>43861</v>
      </c>
      <c r="D6" s="168">
        <f t="shared" ref="D6:P6" si="0">EDATE(C6,1)</f>
        <v>43890</v>
      </c>
      <c r="E6" s="168">
        <f t="shared" si="0"/>
        <v>43919</v>
      </c>
      <c r="F6" s="168">
        <f t="shared" si="0"/>
        <v>43950</v>
      </c>
      <c r="G6" s="168">
        <f t="shared" si="0"/>
        <v>43980</v>
      </c>
      <c r="H6" s="168">
        <f t="shared" si="0"/>
        <v>44011</v>
      </c>
      <c r="I6" s="168">
        <f t="shared" si="0"/>
        <v>44041</v>
      </c>
      <c r="J6" s="168">
        <f t="shared" si="0"/>
        <v>44072</v>
      </c>
      <c r="K6" s="168">
        <f t="shared" si="0"/>
        <v>44103</v>
      </c>
      <c r="L6" s="168">
        <f t="shared" si="0"/>
        <v>44133</v>
      </c>
      <c r="M6" s="168">
        <f t="shared" si="0"/>
        <v>44164</v>
      </c>
      <c r="N6" s="168">
        <f t="shared" si="0"/>
        <v>44194</v>
      </c>
      <c r="O6" s="168">
        <f t="shared" si="0"/>
        <v>44225</v>
      </c>
      <c r="P6" s="168">
        <f t="shared" si="0"/>
        <v>44255</v>
      </c>
      <c r="Q6" s="263" t="s">
        <v>401</v>
      </c>
    </row>
    <row r="7" spans="1:17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264"/>
    </row>
    <row r="8" spans="1:17" ht="12" thickBot="1" x14ac:dyDescent="0.25">
      <c r="A8" s="42">
        <v>1</v>
      </c>
      <c r="B8" s="169" t="s">
        <v>80</v>
      </c>
      <c r="C8" s="141">
        <v>1571</v>
      </c>
      <c r="D8" s="141">
        <v>1560</v>
      </c>
      <c r="E8" s="141">
        <v>1555</v>
      </c>
      <c r="F8" s="141">
        <v>1546</v>
      </c>
      <c r="G8" s="141">
        <v>1539</v>
      </c>
      <c r="H8" s="141">
        <v>1533</v>
      </c>
      <c r="I8" s="141">
        <v>1516</v>
      </c>
      <c r="J8" s="141">
        <v>1511</v>
      </c>
      <c r="K8" s="141">
        <v>1509</v>
      </c>
      <c r="L8" s="141">
        <v>1511</v>
      </c>
      <c r="M8" s="141">
        <v>1508</v>
      </c>
      <c r="N8" s="141">
        <v>1496</v>
      </c>
      <c r="O8" s="141">
        <v>1471</v>
      </c>
      <c r="P8" s="141">
        <v>1448</v>
      </c>
      <c r="Q8" s="265">
        <f>AVERAGE(C8:N8)</f>
        <v>1529.5833333333333</v>
      </c>
    </row>
    <row r="9" spans="1:17" x14ac:dyDescent="0.2">
      <c r="A9" s="42">
        <f>A8+1</f>
        <v>2</v>
      </c>
      <c r="B9" s="41" t="s">
        <v>340</v>
      </c>
      <c r="C9" s="16">
        <v>1226.3412393681324</v>
      </c>
      <c r="D9" s="16">
        <v>1046.0829195506528</v>
      </c>
      <c r="E9" s="16">
        <v>1101.054368675603</v>
      </c>
      <c r="F9" s="16">
        <v>894.8943580158159</v>
      </c>
      <c r="G9" s="16">
        <v>695.41592242600007</v>
      </c>
      <c r="H9" s="16">
        <v>376.28443964710897</v>
      </c>
      <c r="I9" s="16">
        <v>515.59655931144289</v>
      </c>
      <c r="J9" s="16">
        <v>504.98287124582947</v>
      </c>
      <c r="K9" s="16">
        <v>575.54003158710259</v>
      </c>
      <c r="L9" s="16">
        <v>830.28431804891807</v>
      </c>
      <c r="M9" s="16">
        <v>1065.5093450951683</v>
      </c>
      <c r="N9" s="16">
        <v>1345.0795835688839</v>
      </c>
      <c r="O9" s="16">
        <v>1326.6283973234051</v>
      </c>
      <c r="P9" s="16">
        <v>1277.1080272466213</v>
      </c>
    </row>
    <row r="10" spans="1:17" x14ac:dyDescent="0.2">
      <c r="A10" s="42">
        <f t="shared" ref="A10:A33" si="1">A9+1</f>
        <v>3</v>
      </c>
      <c r="B10" s="41" t="s">
        <v>341</v>
      </c>
      <c r="C10" s="50">
        <f t="shared" ref="C10:P10" si="2">C8*C9</f>
        <v>1926582.0870473359</v>
      </c>
      <c r="D10" s="50">
        <f t="shared" si="2"/>
        <v>1631889.3544990185</v>
      </c>
      <c r="E10" s="50">
        <f t="shared" si="2"/>
        <v>1712139.5432905627</v>
      </c>
      <c r="F10" s="50">
        <f t="shared" si="2"/>
        <v>1383506.6774924514</v>
      </c>
      <c r="G10" s="50">
        <f t="shared" si="2"/>
        <v>1070245.104613614</v>
      </c>
      <c r="H10" s="50">
        <f t="shared" si="2"/>
        <v>576844.04597901809</v>
      </c>
      <c r="I10" s="50">
        <f t="shared" si="2"/>
        <v>781644.3839161474</v>
      </c>
      <c r="J10" s="50">
        <f t="shared" si="2"/>
        <v>763029.11845244828</v>
      </c>
      <c r="K10" s="50">
        <f t="shared" si="2"/>
        <v>868489.90766493778</v>
      </c>
      <c r="L10" s="50">
        <f t="shared" si="2"/>
        <v>1254559.6045719152</v>
      </c>
      <c r="M10" s="50">
        <f t="shared" si="2"/>
        <v>1606788.0924035138</v>
      </c>
      <c r="N10" s="50">
        <f t="shared" si="2"/>
        <v>2012239.0570190502</v>
      </c>
      <c r="O10" s="50">
        <f t="shared" si="2"/>
        <v>1951470.372462729</v>
      </c>
      <c r="P10" s="50">
        <f t="shared" si="2"/>
        <v>1849252.4234531077</v>
      </c>
    </row>
    <row r="11" spans="1:17" x14ac:dyDescent="0.2">
      <c r="A11" s="42">
        <f t="shared" si="1"/>
        <v>4</v>
      </c>
    </row>
    <row r="12" spans="1:17" x14ac:dyDescent="0.2">
      <c r="A12" s="42">
        <f t="shared" si="1"/>
        <v>5</v>
      </c>
      <c r="B12" s="41" t="s">
        <v>336</v>
      </c>
      <c r="C12" s="141">
        <v>1901105.3130893048</v>
      </c>
      <c r="D12" s="141">
        <v>2050049.7342831697</v>
      </c>
      <c r="E12" s="141">
        <v>1463392.172043388</v>
      </c>
      <c r="F12" s="141">
        <v>1343192.0215539907</v>
      </c>
      <c r="G12" s="141">
        <v>1204487.3291294365</v>
      </c>
      <c r="H12" s="141">
        <v>1336494.850424635</v>
      </c>
      <c r="I12" s="141">
        <v>1095635.592020524</v>
      </c>
      <c r="J12" s="141">
        <v>995352.32912351447</v>
      </c>
      <c r="K12" s="141">
        <v>1036032.4750743279</v>
      </c>
      <c r="L12" s="141">
        <v>1417906.9893664415</v>
      </c>
      <c r="M12" s="141">
        <v>1640590.7109144768</v>
      </c>
      <c r="N12" s="141">
        <v>1737513.5170640911</v>
      </c>
      <c r="O12" s="141">
        <v>1659678.8768309602</v>
      </c>
      <c r="P12" s="141">
        <v>1967726.9784408251</v>
      </c>
    </row>
    <row r="13" spans="1:17" x14ac:dyDescent="0.2">
      <c r="A13" s="42">
        <f t="shared" si="1"/>
        <v>6</v>
      </c>
    </row>
    <row r="14" spans="1:17" x14ac:dyDescent="0.2">
      <c r="A14" s="42">
        <f t="shared" si="1"/>
        <v>7</v>
      </c>
      <c r="B14" s="41" t="s">
        <v>337</v>
      </c>
      <c r="C14" s="50">
        <f t="shared" ref="C14:P14" si="3">C10-C12</f>
        <v>25476.773958031088</v>
      </c>
      <c r="D14" s="50">
        <f t="shared" si="3"/>
        <v>-418160.37978415121</v>
      </c>
      <c r="E14" s="50">
        <f t="shared" si="3"/>
        <v>248747.37124717468</v>
      </c>
      <c r="F14" s="50">
        <f t="shared" si="3"/>
        <v>40314.655938460724</v>
      </c>
      <c r="G14" s="50">
        <f>G10-G12</f>
        <v>-134242.22451582248</v>
      </c>
      <c r="H14" s="50">
        <f t="shared" si="3"/>
        <v>-759650.8044456169</v>
      </c>
      <c r="I14" s="50">
        <f t="shared" si="3"/>
        <v>-313991.20810437656</v>
      </c>
      <c r="J14" s="50">
        <f t="shared" si="3"/>
        <v>-232323.21067106619</v>
      </c>
      <c r="K14" s="50">
        <f t="shared" si="3"/>
        <v>-167542.56740939012</v>
      </c>
      <c r="L14" s="50">
        <f t="shared" si="3"/>
        <v>-163347.38479452627</v>
      </c>
      <c r="M14" s="50">
        <f t="shared" si="3"/>
        <v>-33802.61851096293</v>
      </c>
      <c r="N14" s="50">
        <f t="shared" si="3"/>
        <v>274725.53995495918</v>
      </c>
      <c r="O14" s="50">
        <f t="shared" si="3"/>
        <v>291791.49563176883</v>
      </c>
      <c r="P14" s="50">
        <f t="shared" si="3"/>
        <v>-118474.55498771742</v>
      </c>
    </row>
    <row r="15" spans="1:17" x14ac:dyDescent="0.2">
      <c r="A15" s="42">
        <f t="shared" si="1"/>
        <v>8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7" x14ac:dyDescent="0.2">
      <c r="A16" s="42">
        <f t="shared" si="1"/>
        <v>9</v>
      </c>
      <c r="B16" s="41" t="s">
        <v>343</v>
      </c>
      <c r="C16" s="141">
        <v>-5558.97</v>
      </c>
      <c r="D16" s="141">
        <v>-6249.26</v>
      </c>
      <c r="E16" s="141">
        <v>-6508.31</v>
      </c>
      <c r="F16" s="141">
        <v>-5628.12</v>
      </c>
      <c r="G16" s="141">
        <v>-5672.75</v>
      </c>
      <c r="H16" s="224">
        <v>-7084.21</v>
      </c>
      <c r="I16" s="224">
        <v>-6352.39</v>
      </c>
      <c r="J16" s="16">
        <v>-6899.86</v>
      </c>
      <c r="K16" s="141">
        <v>-7251.4</v>
      </c>
      <c r="L16" s="141">
        <v>-7079.26</v>
      </c>
      <c r="M16" s="141">
        <v>-7064.03</v>
      </c>
      <c r="N16" s="141">
        <v>-6456.33</v>
      </c>
      <c r="O16" s="141">
        <v>-5426.93</v>
      </c>
      <c r="P16" s="141">
        <v>-4884.7299999999996</v>
      </c>
    </row>
    <row r="17" spans="1:16" x14ac:dyDescent="0.2">
      <c r="A17" s="42">
        <f t="shared" si="1"/>
        <v>10</v>
      </c>
      <c r="H17" s="50"/>
      <c r="I17" s="50"/>
    </row>
    <row r="18" spans="1:16" x14ac:dyDescent="0.2">
      <c r="A18" s="42">
        <f t="shared" si="1"/>
        <v>11</v>
      </c>
      <c r="B18" s="41" t="s">
        <v>344</v>
      </c>
      <c r="C18" s="224">
        <v>36563.025285312557</v>
      </c>
      <c r="D18" s="50">
        <f t="shared" ref="D18:M18" si="4">C18+D14+D16</f>
        <v>-387846.61449883867</v>
      </c>
      <c r="E18" s="50">
        <f t="shared" si="4"/>
        <v>-145607.55325166398</v>
      </c>
      <c r="F18" s="50">
        <f t="shared" si="4"/>
        <v>-110921.01731320325</v>
      </c>
      <c r="G18" s="50">
        <f t="shared" si="4"/>
        <v>-250835.99182902573</v>
      </c>
      <c r="H18" s="50">
        <f t="shared" si="4"/>
        <v>-1017571.0062746427</v>
      </c>
      <c r="I18" s="50">
        <f t="shared" si="4"/>
        <v>-1337914.604379019</v>
      </c>
      <c r="J18" s="50">
        <f t="shared" si="4"/>
        <v>-1577137.6750500852</v>
      </c>
      <c r="K18" s="50">
        <f t="shared" si="4"/>
        <v>-1751931.6424594752</v>
      </c>
      <c r="L18" s="50">
        <f t="shared" si="4"/>
        <v>-1922358.2872540015</v>
      </c>
      <c r="M18" s="50">
        <f t="shared" si="4"/>
        <v>-1963224.9357649644</v>
      </c>
      <c r="N18" s="50">
        <f t="shared" ref="N18" si="5">M18+N14+N16</f>
        <v>-1694955.7258100053</v>
      </c>
      <c r="O18" s="50">
        <f t="shared" ref="O18" si="6">N18+O14+O16</f>
        <v>-1408591.1601782364</v>
      </c>
      <c r="P18" s="50">
        <f t="shared" ref="P18" si="7">O18+P14+P16</f>
        <v>-1531950.4451659538</v>
      </c>
    </row>
    <row r="19" spans="1:16" x14ac:dyDescent="0.2">
      <c r="A19" s="42">
        <f t="shared" si="1"/>
        <v>12</v>
      </c>
      <c r="H19" s="50"/>
      <c r="I19" s="50"/>
    </row>
    <row r="20" spans="1:16" x14ac:dyDescent="0.2">
      <c r="A20" s="42">
        <f t="shared" si="1"/>
        <v>13</v>
      </c>
      <c r="B20" s="41" t="s">
        <v>239</v>
      </c>
      <c r="C20" s="141">
        <v>-12081.44701634121</v>
      </c>
      <c r="D20" s="141">
        <v>-13208.698808650166</v>
      </c>
      <c r="E20" s="141">
        <v>-9325.2612080346153</v>
      </c>
      <c r="F20" s="141">
        <v>-9001.3213588106009</v>
      </c>
      <c r="G20" s="141">
        <v>-56427.057913399942</v>
      </c>
      <c r="H20" s="224">
        <v>-93908.719299362798</v>
      </c>
      <c r="I20" s="224">
        <v>-77139.801729839528</v>
      </c>
      <c r="J20" s="141">
        <v>-71389.551561093031</v>
      </c>
      <c r="K20" s="141">
        <v>-74243.603551410721</v>
      </c>
      <c r="L20" s="141">
        <v>-99543.159806933269</v>
      </c>
      <c r="M20" s="141">
        <v>-114469.31838775976</v>
      </c>
      <c r="N20" s="141">
        <v>-120306.86974143847</v>
      </c>
      <c r="O20" s="141">
        <v>-115130.36202819766</v>
      </c>
      <c r="P20" s="141">
        <v>-136996.99010748937</v>
      </c>
    </row>
    <row r="21" spans="1:16" x14ac:dyDescent="0.2">
      <c r="A21" s="42">
        <f t="shared" si="1"/>
        <v>14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 x14ac:dyDescent="0.2">
      <c r="A22" s="42">
        <f t="shared" si="1"/>
        <v>15</v>
      </c>
      <c r="B22" s="41" t="s">
        <v>346</v>
      </c>
      <c r="C22" s="224">
        <v>60388.714674862007</v>
      </c>
      <c r="D22" s="50">
        <f t="shared" ref="D22:M22" si="8">C22+D14+D16-D20</f>
        <v>-350812.2263006391</v>
      </c>
      <c r="E22" s="50">
        <f t="shared" si="8"/>
        <v>-99247.903845429799</v>
      </c>
      <c r="F22" s="50">
        <f t="shared" si="8"/>
        <v>-55560.046548158476</v>
      </c>
      <c r="G22" s="50">
        <f t="shared" si="8"/>
        <v>-139047.96315058102</v>
      </c>
      <c r="H22" s="50">
        <f t="shared" si="8"/>
        <v>-811874.258296835</v>
      </c>
      <c r="I22" s="50">
        <f t="shared" si="8"/>
        <v>-1055078.0546713718</v>
      </c>
      <c r="J22" s="50">
        <f t="shared" si="8"/>
        <v>-1222911.5737813453</v>
      </c>
      <c r="K22" s="50">
        <f t="shared" si="8"/>
        <v>-1323461.9376393245</v>
      </c>
      <c r="L22" s="50">
        <f t="shared" si="8"/>
        <v>-1394345.4226269175</v>
      </c>
      <c r="M22" s="50">
        <f t="shared" si="8"/>
        <v>-1320742.7527501206</v>
      </c>
      <c r="N22" s="50">
        <f t="shared" ref="N22" si="9">M22+N14+N16-N20</f>
        <v>-932166.67305372306</v>
      </c>
      <c r="O22" s="50">
        <f t="shared" ref="O22" si="10">N22+O14+O16-O20</f>
        <v>-530671.74539375666</v>
      </c>
      <c r="P22" s="50">
        <f t="shared" ref="P22" si="11">O22+P14+P16-P20</f>
        <v>-517034.04027398466</v>
      </c>
    </row>
    <row r="23" spans="1:16" x14ac:dyDescent="0.2">
      <c r="A23" s="42">
        <f t="shared" si="1"/>
        <v>16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16" x14ac:dyDescent="0.2">
      <c r="A24" s="42">
        <f t="shared" si="1"/>
        <v>17</v>
      </c>
      <c r="B24" s="175" t="s">
        <v>347</v>
      </c>
      <c r="C24" s="222">
        <v>0.954538</v>
      </c>
      <c r="D24" s="222">
        <v>0.954538</v>
      </c>
      <c r="E24" s="222">
        <v>0.954538</v>
      </c>
      <c r="F24" s="222">
        <v>0.954538</v>
      </c>
      <c r="G24" s="222">
        <v>0.954538</v>
      </c>
      <c r="H24" s="222">
        <v>0.954538</v>
      </c>
      <c r="I24" s="222">
        <v>0.954538</v>
      </c>
      <c r="J24" s="222">
        <v>0.954538</v>
      </c>
      <c r="K24" s="222">
        <v>0.954538</v>
      </c>
      <c r="L24" s="222"/>
      <c r="M24" s="222"/>
      <c r="N24" s="222"/>
      <c r="O24" s="222"/>
      <c r="P24" s="222"/>
    </row>
    <row r="25" spans="1:16" x14ac:dyDescent="0.2">
      <c r="A25" s="42">
        <f t="shared" si="1"/>
        <v>18</v>
      </c>
      <c r="C25" s="171"/>
      <c r="D25" s="171"/>
      <c r="E25" s="171"/>
      <c r="F25" s="171"/>
      <c r="G25" s="171"/>
      <c r="H25" s="224"/>
      <c r="I25" s="224"/>
      <c r="J25" s="171"/>
      <c r="K25" s="171"/>
      <c r="L25" s="171"/>
      <c r="M25" s="171"/>
      <c r="N25" s="171"/>
      <c r="O25" s="171"/>
      <c r="P25" s="171"/>
    </row>
    <row r="26" spans="1:16" x14ac:dyDescent="0.2">
      <c r="A26" s="42">
        <f t="shared" si="1"/>
        <v>19</v>
      </c>
      <c r="B26" s="175" t="s">
        <v>348</v>
      </c>
      <c r="C26" s="222"/>
      <c r="D26" s="222"/>
      <c r="E26" s="222"/>
      <c r="F26" s="222"/>
      <c r="G26" s="222"/>
      <c r="H26" s="298"/>
      <c r="I26" s="298"/>
      <c r="J26" s="222"/>
      <c r="K26" s="222"/>
      <c r="L26" s="222">
        <v>0.95455299999999998</v>
      </c>
      <c r="M26" s="222">
        <v>0.95455299999999998</v>
      </c>
      <c r="N26" s="222">
        <v>0.95455299999999998</v>
      </c>
      <c r="O26" s="222">
        <v>0.95455299999999998</v>
      </c>
      <c r="P26" s="222">
        <v>0.95455299999999998</v>
      </c>
    </row>
    <row r="27" spans="1:16" x14ac:dyDescent="0.2">
      <c r="A27" s="42">
        <f t="shared" si="1"/>
        <v>20</v>
      </c>
      <c r="C27" s="49"/>
      <c r="D27" s="49"/>
      <c r="E27" s="49"/>
      <c r="F27" s="49"/>
      <c r="G27" s="49"/>
      <c r="H27" s="50"/>
      <c r="I27" s="50"/>
      <c r="J27" s="49"/>
      <c r="K27" s="49"/>
      <c r="L27" s="49"/>
      <c r="M27" s="49"/>
      <c r="N27" s="49"/>
      <c r="O27" s="49"/>
      <c r="P27" s="49"/>
    </row>
    <row r="28" spans="1:16" ht="12" thickBot="1" x14ac:dyDescent="0.25">
      <c r="A28" s="42">
        <f t="shared" si="1"/>
        <v>21</v>
      </c>
      <c r="B28" s="41" t="s">
        <v>349</v>
      </c>
      <c r="C28" s="176">
        <f t="shared" ref="C28:K28" si="12">ROUND((C14*C24),2)</f>
        <v>24318.55</v>
      </c>
      <c r="D28" s="176">
        <f t="shared" si="12"/>
        <v>-399149.97</v>
      </c>
      <c r="E28" s="176">
        <f t="shared" si="12"/>
        <v>237438.82</v>
      </c>
      <c r="F28" s="176">
        <f t="shared" si="12"/>
        <v>38481.870000000003</v>
      </c>
      <c r="G28" s="176">
        <f t="shared" si="12"/>
        <v>-128139.3</v>
      </c>
      <c r="H28" s="176">
        <f t="shared" si="12"/>
        <v>-725115.56</v>
      </c>
      <c r="I28" s="176">
        <f t="shared" si="12"/>
        <v>-299716.53999999998</v>
      </c>
      <c r="J28" s="176">
        <f t="shared" si="12"/>
        <v>-221761.33</v>
      </c>
      <c r="K28" s="176">
        <f t="shared" si="12"/>
        <v>-159925.75</v>
      </c>
      <c r="L28" s="176">
        <f t="shared" ref="L28:N28" si="13">ROUND((L14*L26),2)</f>
        <v>-155923.74</v>
      </c>
      <c r="M28" s="176">
        <f t="shared" si="13"/>
        <v>-32266.39</v>
      </c>
      <c r="N28" s="176">
        <f t="shared" si="13"/>
        <v>262240.09000000003</v>
      </c>
      <c r="O28" s="176">
        <f t="shared" ref="O28:P28" si="14">ROUND((O14*O26),2)</f>
        <v>278530.45</v>
      </c>
      <c r="P28" s="176">
        <f t="shared" si="14"/>
        <v>-113090.24000000001</v>
      </c>
    </row>
    <row r="29" spans="1:16" x14ac:dyDescent="0.2">
      <c r="A29" s="42">
        <f t="shared" si="1"/>
        <v>22</v>
      </c>
      <c r="L29" s="50"/>
      <c r="M29" s="50"/>
      <c r="N29" s="50"/>
      <c r="O29" s="50"/>
      <c r="P29" s="50"/>
    </row>
    <row r="30" spans="1:16" ht="12" thickBot="1" x14ac:dyDescent="0.25">
      <c r="A30" s="42">
        <f t="shared" si="1"/>
        <v>23</v>
      </c>
      <c r="B30" s="41" t="s">
        <v>350</v>
      </c>
      <c r="C30" s="176">
        <f t="shared" ref="C30:K30" si="15">ROUND((C20*C24),2)</f>
        <v>-11532.2</v>
      </c>
      <c r="D30" s="176">
        <f t="shared" si="15"/>
        <v>-12608.2</v>
      </c>
      <c r="E30" s="176">
        <f t="shared" si="15"/>
        <v>-8901.32</v>
      </c>
      <c r="F30" s="176">
        <f t="shared" si="15"/>
        <v>-8592.1</v>
      </c>
      <c r="G30" s="176">
        <f t="shared" si="15"/>
        <v>-53861.77</v>
      </c>
      <c r="H30" s="176">
        <f t="shared" si="15"/>
        <v>-89639.44</v>
      </c>
      <c r="I30" s="176">
        <f t="shared" si="15"/>
        <v>-73632.87</v>
      </c>
      <c r="J30" s="176">
        <f t="shared" si="15"/>
        <v>-68144.039999999994</v>
      </c>
      <c r="K30" s="176">
        <f t="shared" si="15"/>
        <v>-70868.34</v>
      </c>
      <c r="L30" s="176">
        <f t="shared" ref="L30:N30" si="16">ROUND((L20*L26),2)</f>
        <v>-95019.22</v>
      </c>
      <c r="M30" s="176">
        <f t="shared" si="16"/>
        <v>-109267.03</v>
      </c>
      <c r="N30" s="176">
        <f t="shared" si="16"/>
        <v>-114839.28</v>
      </c>
      <c r="O30" s="176">
        <f t="shared" ref="O30:P30" si="17">ROUND((O20*O26),2)</f>
        <v>-109898.03</v>
      </c>
      <c r="P30" s="176">
        <f t="shared" si="17"/>
        <v>-130770.89</v>
      </c>
    </row>
    <row r="31" spans="1:16" x14ac:dyDescent="0.2">
      <c r="A31" s="42">
        <f t="shared" si="1"/>
        <v>24</v>
      </c>
    </row>
    <row r="32" spans="1:16" s="169" customFormat="1" x14ac:dyDescent="0.2">
      <c r="A32" s="42">
        <f t="shared" si="1"/>
        <v>25</v>
      </c>
      <c r="B32" s="169" t="s">
        <v>354</v>
      </c>
    </row>
    <row r="33" spans="1:16" s="175" customFormat="1" x14ac:dyDescent="0.2">
      <c r="A33" s="42">
        <f t="shared" si="1"/>
        <v>26</v>
      </c>
      <c r="B33" s="175" t="s">
        <v>353</v>
      </c>
    </row>
    <row r="34" spans="1:16" x14ac:dyDescent="0.2">
      <c r="A34" s="123"/>
    </row>
    <row r="35" spans="1:16" x14ac:dyDescent="0.2">
      <c r="A35" s="42"/>
      <c r="B35" s="41" t="s">
        <v>435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16" x14ac:dyDescent="0.2">
      <c r="A36" s="42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x14ac:dyDescent="0.2">
      <c r="A37" s="42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16" x14ac:dyDescent="0.2">
      <c r="A38" s="42"/>
    </row>
    <row r="39" spans="1:16" x14ac:dyDescent="0.2">
      <c r="A39" s="42"/>
    </row>
    <row r="40" spans="1:16" x14ac:dyDescent="0.2">
      <c r="A40" s="42"/>
    </row>
    <row r="41" spans="1:16" x14ac:dyDescent="0.2">
      <c r="A41" s="42"/>
    </row>
    <row r="42" spans="1:16" x14ac:dyDescent="0.2">
      <c r="A42" s="42"/>
    </row>
    <row r="43" spans="1:16" x14ac:dyDescent="0.2">
      <c r="A43" s="42"/>
    </row>
    <row r="44" spans="1:16" x14ac:dyDescent="0.2">
      <c r="A44" s="42"/>
    </row>
    <row r="45" spans="1:16" x14ac:dyDescent="0.2">
      <c r="A45" s="42"/>
    </row>
    <row r="46" spans="1:16" x14ac:dyDescent="0.2">
      <c r="A46" s="42"/>
    </row>
    <row r="47" spans="1:16" x14ac:dyDescent="0.2">
      <c r="A47" s="42"/>
    </row>
    <row r="48" spans="1:16" x14ac:dyDescent="0.2">
      <c r="A48" s="42"/>
    </row>
    <row r="49" spans="1:1" x14ac:dyDescent="0.2">
      <c r="A49" s="42"/>
    </row>
    <row r="50" spans="1:1" x14ac:dyDescent="0.2">
      <c r="A50" s="42"/>
    </row>
    <row r="51" spans="1:1" x14ac:dyDescent="0.2">
      <c r="A51" s="42"/>
    </row>
    <row r="52" spans="1:1" x14ac:dyDescent="0.2">
      <c r="A52" s="42"/>
    </row>
    <row r="53" spans="1:1" x14ac:dyDescent="0.2">
      <c r="A53" s="42"/>
    </row>
    <row r="54" spans="1:1" x14ac:dyDescent="0.2">
      <c r="A54" s="42"/>
    </row>
    <row r="55" spans="1:1" x14ac:dyDescent="0.2">
      <c r="A55" s="42"/>
    </row>
    <row r="56" spans="1:1" x14ac:dyDescent="0.2">
      <c r="A56" s="42"/>
    </row>
    <row r="57" spans="1:1" x14ac:dyDescent="0.2">
      <c r="A57" s="42"/>
    </row>
    <row r="58" spans="1:1" x14ac:dyDescent="0.2">
      <c r="A58" s="42"/>
    </row>
    <row r="59" spans="1:1" x14ac:dyDescent="0.2">
      <c r="A59" s="42"/>
    </row>
    <row r="60" spans="1:1" x14ac:dyDescent="0.2">
      <c r="A60" s="42"/>
    </row>
    <row r="61" spans="1:1" x14ac:dyDescent="0.2">
      <c r="A61" s="42"/>
    </row>
    <row r="62" spans="1:1" x14ac:dyDescent="0.2">
      <c r="A62" s="42"/>
    </row>
    <row r="63" spans="1:1" x14ac:dyDescent="0.2">
      <c r="A63" s="42"/>
    </row>
    <row r="64" spans="1:1" x14ac:dyDescent="0.2">
      <c r="A64" s="42"/>
    </row>
    <row r="65" spans="1:1" x14ac:dyDescent="0.2">
      <c r="A65" s="42"/>
    </row>
    <row r="66" spans="1:1" x14ac:dyDescent="0.2">
      <c r="A66" s="42"/>
    </row>
    <row r="67" spans="1:1" x14ac:dyDescent="0.2">
      <c r="A67" s="42"/>
    </row>
    <row r="68" spans="1:1" x14ac:dyDescent="0.2">
      <c r="A68" s="42"/>
    </row>
    <row r="69" spans="1:1" x14ac:dyDescent="0.2">
      <c r="A69" s="42"/>
    </row>
    <row r="70" spans="1:1" x14ac:dyDescent="0.2">
      <c r="A70" s="42"/>
    </row>
    <row r="71" spans="1:1" x14ac:dyDescent="0.2">
      <c r="A71" s="42"/>
    </row>
    <row r="72" spans="1:1" x14ac:dyDescent="0.2">
      <c r="A72" s="42"/>
    </row>
    <row r="73" spans="1:1" x14ac:dyDescent="0.2">
      <c r="A73" s="42"/>
    </row>
    <row r="74" spans="1:1" x14ac:dyDescent="0.2">
      <c r="A74" s="42"/>
    </row>
    <row r="75" spans="1:1" x14ac:dyDescent="0.2">
      <c r="A75" s="42"/>
    </row>
    <row r="76" spans="1:1" x14ac:dyDescent="0.2">
      <c r="A76" s="42"/>
    </row>
    <row r="77" spans="1:1" x14ac:dyDescent="0.2">
      <c r="A77" s="42"/>
    </row>
    <row r="78" spans="1:1" x14ac:dyDescent="0.2">
      <c r="A78" s="42"/>
    </row>
  </sheetData>
  <printOptions horizontalCentered="1"/>
  <pageMargins left="0.45" right="0.45" top="0.75" bottom="0.75" header="0.3" footer="0.3"/>
  <pageSetup scale="76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7" tint="0.79998168889431442"/>
    <pageSetUpPr fitToPage="1"/>
  </sheetPr>
  <dimension ref="A1:R70"/>
  <sheetViews>
    <sheetView zoomScaleNormal="100" workbookViewId="0">
      <pane ySplit="7" topLeftCell="A20" activePane="bottomLeft" state="frozen"/>
      <selection activeCell="O46" sqref="O46"/>
      <selection pane="bottomLeft" activeCell="C34" sqref="C34"/>
    </sheetView>
  </sheetViews>
  <sheetFormatPr defaultRowHeight="11.25" x14ac:dyDescent="0.2"/>
  <cols>
    <col min="1" max="1" width="21.85546875" style="8" customWidth="1"/>
    <col min="2" max="3" width="10.7109375" style="8" bestFit="1" customWidth="1"/>
    <col min="4" max="9" width="9.85546875" style="8" bestFit="1" customWidth="1"/>
    <col min="10" max="15" width="10.7109375" style="8" bestFit="1" customWidth="1"/>
    <col min="16" max="16" width="12.7109375" style="8" bestFit="1" customWidth="1"/>
    <col min="17" max="18" width="14" style="8" bestFit="1" customWidth="1"/>
    <col min="19" max="19" width="4.7109375" style="8" bestFit="1" customWidth="1"/>
    <col min="20" max="256" width="9.140625" style="8"/>
    <col min="257" max="257" width="12.140625" style="8" customWidth="1"/>
    <col min="258" max="258" width="14.7109375" style="8" bestFit="1" customWidth="1"/>
    <col min="259" max="259" width="12.7109375" style="8" bestFit="1" customWidth="1"/>
    <col min="260" max="260" width="13.7109375" style="8" bestFit="1" customWidth="1"/>
    <col min="261" max="261" width="12.7109375" style="8" bestFit="1" customWidth="1"/>
    <col min="262" max="262" width="12.28515625" style="8" bestFit="1" customWidth="1"/>
    <col min="263" max="263" width="12.7109375" style="8" bestFit="1" customWidth="1"/>
    <col min="264" max="264" width="12.42578125" style="8" bestFit="1" customWidth="1"/>
    <col min="265" max="265" width="12.5703125" style="8" bestFit="1" customWidth="1"/>
    <col min="266" max="266" width="13.7109375" style="8" bestFit="1" customWidth="1"/>
    <col min="267" max="271" width="13.7109375" style="8" customWidth="1"/>
    <col min="272" max="272" width="16" style="8" customWidth="1"/>
    <col min="273" max="274" width="14" style="8" bestFit="1" customWidth="1"/>
    <col min="275" max="275" width="4.7109375" style="8" bestFit="1" customWidth="1"/>
    <col min="276" max="512" width="9.140625" style="8"/>
    <col min="513" max="513" width="12.140625" style="8" customWidth="1"/>
    <col min="514" max="514" width="14.7109375" style="8" bestFit="1" customWidth="1"/>
    <col min="515" max="515" width="12.7109375" style="8" bestFit="1" customWidth="1"/>
    <col min="516" max="516" width="13.7109375" style="8" bestFit="1" customWidth="1"/>
    <col min="517" max="517" width="12.7109375" style="8" bestFit="1" customWidth="1"/>
    <col min="518" max="518" width="12.28515625" style="8" bestFit="1" customWidth="1"/>
    <col min="519" max="519" width="12.7109375" style="8" bestFit="1" customWidth="1"/>
    <col min="520" max="520" width="12.42578125" style="8" bestFit="1" customWidth="1"/>
    <col min="521" max="521" width="12.5703125" style="8" bestFit="1" customWidth="1"/>
    <col min="522" max="522" width="13.7109375" style="8" bestFit="1" customWidth="1"/>
    <col min="523" max="527" width="13.7109375" style="8" customWidth="1"/>
    <col min="528" max="528" width="16" style="8" customWidth="1"/>
    <col min="529" max="530" width="14" style="8" bestFit="1" customWidth="1"/>
    <col min="531" max="531" width="4.7109375" style="8" bestFit="1" customWidth="1"/>
    <col min="532" max="768" width="9.140625" style="8"/>
    <col min="769" max="769" width="12.140625" style="8" customWidth="1"/>
    <col min="770" max="770" width="14.7109375" style="8" bestFit="1" customWidth="1"/>
    <col min="771" max="771" width="12.7109375" style="8" bestFit="1" customWidth="1"/>
    <col min="772" max="772" width="13.7109375" style="8" bestFit="1" customWidth="1"/>
    <col min="773" max="773" width="12.7109375" style="8" bestFit="1" customWidth="1"/>
    <col min="774" max="774" width="12.28515625" style="8" bestFit="1" customWidth="1"/>
    <col min="775" max="775" width="12.7109375" style="8" bestFit="1" customWidth="1"/>
    <col min="776" max="776" width="12.42578125" style="8" bestFit="1" customWidth="1"/>
    <col min="777" max="777" width="12.5703125" style="8" bestFit="1" customWidth="1"/>
    <col min="778" max="778" width="13.7109375" style="8" bestFit="1" customWidth="1"/>
    <col min="779" max="783" width="13.7109375" style="8" customWidth="1"/>
    <col min="784" max="784" width="16" style="8" customWidth="1"/>
    <col min="785" max="786" width="14" style="8" bestFit="1" customWidth="1"/>
    <col min="787" max="787" width="4.7109375" style="8" bestFit="1" customWidth="1"/>
    <col min="788" max="1024" width="9.140625" style="8"/>
    <col min="1025" max="1025" width="12.140625" style="8" customWidth="1"/>
    <col min="1026" max="1026" width="14.7109375" style="8" bestFit="1" customWidth="1"/>
    <col min="1027" max="1027" width="12.7109375" style="8" bestFit="1" customWidth="1"/>
    <col min="1028" max="1028" width="13.7109375" style="8" bestFit="1" customWidth="1"/>
    <col min="1029" max="1029" width="12.7109375" style="8" bestFit="1" customWidth="1"/>
    <col min="1030" max="1030" width="12.28515625" style="8" bestFit="1" customWidth="1"/>
    <col min="1031" max="1031" width="12.7109375" style="8" bestFit="1" customWidth="1"/>
    <col min="1032" max="1032" width="12.42578125" style="8" bestFit="1" customWidth="1"/>
    <col min="1033" max="1033" width="12.5703125" style="8" bestFit="1" customWidth="1"/>
    <col min="1034" max="1034" width="13.7109375" style="8" bestFit="1" customWidth="1"/>
    <col min="1035" max="1039" width="13.7109375" style="8" customWidth="1"/>
    <col min="1040" max="1040" width="16" style="8" customWidth="1"/>
    <col min="1041" max="1042" width="14" style="8" bestFit="1" customWidth="1"/>
    <col min="1043" max="1043" width="4.7109375" style="8" bestFit="1" customWidth="1"/>
    <col min="1044" max="1280" width="9.140625" style="8"/>
    <col min="1281" max="1281" width="12.140625" style="8" customWidth="1"/>
    <col min="1282" max="1282" width="14.7109375" style="8" bestFit="1" customWidth="1"/>
    <col min="1283" max="1283" width="12.7109375" style="8" bestFit="1" customWidth="1"/>
    <col min="1284" max="1284" width="13.7109375" style="8" bestFit="1" customWidth="1"/>
    <col min="1285" max="1285" width="12.7109375" style="8" bestFit="1" customWidth="1"/>
    <col min="1286" max="1286" width="12.28515625" style="8" bestFit="1" customWidth="1"/>
    <col min="1287" max="1287" width="12.7109375" style="8" bestFit="1" customWidth="1"/>
    <col min="1288" max="1288" width="12.42578125" style="8" bestFit="1" customWidth="1"/>
    <col min="1289" max="1289" width="12.5703125" style="8" bestFit="1" customWidth="1"/>
    <col min="1290" max="1290" width="13.7109375" style="8" bestFit="1" customWidth="1"/>
    <col min="1291" max="1295" width="13.7109375" style="8" customWidth="1"/>
    <col min="1296" max="1296" width="16" style="8" customWidth="1"/>
    <col min="1297" max="1298" width="14" style="8" bestFit="1" customWidth="1"/>
    <col min="1299" max="1299" width="4.7109375" style="8" bestFit="1" customWidth="1"/>
    <col min="1300" max="1536" width="9.140625" style="8"/>
    <col min="1537" max="1537" width="12.140625" style="8" customWidth="1"/>
    <col min="1538" max="1538" width="14.7109375" style="8" bestFit="1" customWidth="1"/>
    <col min="1539" max="1539" width="12.7109375" style="8" bestFit="1" customWidth="1"/>
    <col min="1540" max="1540" width="13.7109375" style="8" bestFit="1" customWidth="1"/>
    <col min="1541" max="1541" width="12.7109375" style="8" bestFit="1" customWidth="1"/>
    <col min="1542" max="1542" width="12.28515625" style="8" bestFit="1" customWidth="1"/>
    <col min="1543" max="1543" width="12.7109375" style="8" bestFit="1" customWidth="1"/>
    <col min="1544" max="1544" width="12.42578125" style="8" bestFit="1" customWidth="1"/>
    <col min="1545" max="1545" width="12.5703125" style="8" bestFit="1" customWidth="1"/>
    <col min="1546" max="1546" width="13.7109375" style="8" bestFit="1" customWidth="1"/>
    <col min="1547" max="1551" width="13.7109375" style="8" customWidth="1"/>
    <col min="1552" max="1552" width="16" style="8" customWidth="1"/>
    <col min="1553" max="1554" width="14" style="8" bestFit="1" customWidth="1"/>
    <col min="1555" max="1555" width="4.7109375" style="8" bestFit="1" customWidth="1"/>
    <col min="1556" max="1792" width="9.140625" style="8"/>
    <col min="1793" max="1793" width="12.140625" style="8" customWidth="1"/>
    <col min="1794" max="1794" width="14.7109375" style="8" bestFit="1" customWidth="1"/>
    <col min="1795" max="1795" width="12.7109375" style="8" bestFit="1" customWidth="1"/>
    <col min="1796" max="1796" width="13.7109375" style="8" bestFit="1" customWidth="1"/>
    <col min="1797" max="1797" width="12.7109375" style="8" bestFit="1" customWidth="1"/>
    <col min="1798" max="1798" width="12.28515625" style="8" bestFit="1" customWidth="1"/>
    <col min="1799" max="1799" width="12.7109375" style="8" bestFit="1" customWidth="1"/>
    <col min="1800" max="1800" width="12.42578125" style="8" bestFit="1" customWidth="1"/>
    <col min="1801" max="1801" width="12.5703125" style="8" bestFit="1" customWidth="1"/>
    <col min="1802" max="1802" width="13.7109375" style="8" bestFit="1" customWidth="1"/>
    <col min="1803" max="1807" width="13.7109375" style="8" customWidth="1"/>
    <col min="1808" max="1808" width="16" style="8" customWidth="1"/>
    <col min="1809" max="1810" width="14" style="8" bestFit="1" customWidth="1"/>
    <col min="1811" max="1811" width="4.7109375" style="8" bestFit="1" customWidth="1"/>
    <col min="1812" max="2048" width="9.140625" style="8"/>
    <col min="2049" max="2049" width="12.140625" style="8" customWidth="1"/>
    <col min="2050" max="2050" width="14.7109375" style="8" bestFit="1" customWidth="1"/>
    <col min="2051" max="2051" width="12.7109375" style="8" bestFit="1" customWidth="1"/>
    <col min="2052" max="2052" width="13.7109375" style="8" bestFit="1" customWidth="1"/>
    <col min="2053" max="2053" width="12.7109375" style="8" bestFit="1" customWidth="1"/>
    <col min="2054" max="2054" width="12.28515625" style="8" bestFit="1" customWidth="1"/>
    <col min="2055" max="2055" width="12.7109375" style="8" bestFit="1" customWidth="1"/>
    <col min="2056" max="2056" width="12.42578125" style="8" bestFit="1" customWidth="1"/>
    <col min="2057" max="2057" width="12.5703125" style="8" bestFit="1" customWidth="1"/>
    <col min="2058" max="2058" width="13.7109375" style="8" bestFit="1" customWidth="1"/>
    <col min="2059" max="2063" width="13.7109375" style="8" customWidth="1"/>
    <col min="2064" max="2064" width="16" style="8" customWidth="1"/>
    <col min="2065" max="2066" width="14" style="8" bestFit="1" customWidth="1"/>
    <col min="2067" max="2067" width="4.7109375" style="8" bestFit="1" customWidth="1"/>
    <col min="2068" max="2304" width="9.140625" style="8"/>
    <col min="2305" max="2305" width="12.140625" style="8" customWidth="1"/>
    <col min="2306" max="2306" width="14.7109375" style="8" bestFit="1" customWidth="1"/>
    <col min="2307" max="2307" width="12.7109375" style="8" bestFit="1" customWidth="1"/>
    <col min="2308" max="2308" width="13.7109375" style="8" bestFit="1" customWidth="1"/>
    <col min="2309" max="2309" width="12.7109375" style="8" bestFit="1" customWidth="1"/>
    <col min="2310" max="2310" width="12.28515625" style="8" bestFit="1" customWidth="1"/>
    <col min="2311" max="2311" width="12.7109375" style="8" bestFit="1" customWidth="1"/>
    <col min="2312" max="2312" width="12.42578125" style="8" bestFit="1" customWidth="1"/>
    <col min="2313" max="2313" width="12.5703125" style="8" bestFit="1" customWidth="1"/>
    <col min="2314" max="2314" width="13.7109375" style="8" bestFit="1" customWidth="1"/>
    <col min="2315" max="2319" width="13.7109375" style="8" customWidth="1"/>
    <col min="2320" max="2320" width="16" style="8" customWidth="1"/>
    <col min="2321" max="2322" width="14" style="8" bestFit="1" customWidth="1"/>
    <col min="2323" max="2323" width="4.7109375" style="8" bestFit="1" customWidth="1"/>
    <col min="2324" max="2560" width="9.140625" style="8"/>
    <col min="2561" max="2561" width="12.140625" style="8" customWidth="1"/>
    <col min="2562" max="2562" width="14.7109375" style="8" bestFit="1" customWidth="1"/>
    <col min="2563" max="2563" width="12.7109375" style="8" bestFit="1" customWidth="1"/>
    <col min="2564" max="2564" width="13.7109375" style="8" bestFit="1" customWidth="1"/>
    <col min="2565" max="2565" width="12.7109375" style="8" bestFit="1" customWidth="1"/>
    <col min="2566" max="2566" width="12.28515625" style="8" bestFit="1" customWidth="1"/>
    <col min="2567" max="2567" width="12.7109375" style="8" bestFit="1" customWidth="1"/>
    <col min="2568" max="2568" width="12.42578125" style="8" bestFit="1" customWidth="1"/>
    <col min="2569" max="2569" width="12.5703125" style="8" bestFit="1" customWidth="1"/>
    <col min="2570" max="2570" width="13.7109375" style="8" bestFit="1" customWidth="1"/>
    <col min="2571" max="2575" width="13.7109375" style="8" customWidth="1"/>
    <col min="2576" max="2576" width="16" style="8" customWidth="1"/>
    <col min="2577" max="2578" width="14" style="8" bestFit="1" customWidth="1"/>
    <col min="2579" max="2579" width="4.7109375" style="8" bestFit="1" customWidth="1"/>
    <col min="2580" max="2816" width="9.140625" style="8"/>
    <col min="2817" max="2817" width="12.140625" style="8" customWidth="1"/>
    <col min="2818" max="2818" width="14.7109375" style="8" bestFit="1" customWidth="1"/>
    <col min="2819" max="2819" width="12.7109375" style="8" bestFit="1" customWidth="1"/>
    <col min="2820" max="2820" width="13.7109375" style="8" bestFit="1" customWidth="1"/>
    <col min="2821" max="2821" width="12.7109375" style="8" bestFit="1" customWidth="1"/>
    <col min="2822" max="2822" width="12.28515625" style="8" bestFit="1" customWidth="1"/>
    <col min="2823" max="2823" width="12.7109375" style="8" bestFit="1" customWidth="1"/>
    <col min="2824" max="2824" width="12.42578125" style="8" bestFit="1" customWidth="1"/>
    <col min="2825" max="2825" width="12.5703125" style="8" bestFit="1" customWidth="1"/>
    <col min="2826" max="2826" width="13.7109375" style="8" bestFit="1" customWidth="1"/>
    <col min="2827" max="2831" width="13.7109375" style="8" customWidth="1"/>
    <col min="2832" max="2832" width="16" style="8" customWidth="1"/>
    <col min="2833" max="2834" width="14" style="8" bestFit="1" customWidth="1"/>
    <col min="2835" max="2835" width="4.7109375" style="8" bestFit="1" customWidth="1"/>
    <col min="2836" max="3072" width="9.140625" style="8"/>
    <col min="3073" max="3073" width="12.140625" style="8" customWidth="1"/>
    <col min="3074" max="3074" width="14.7109375" style="8" bestFit="1" customWidth="1"/>
    <col min="3075" max="3075" width="12.7109375" style="8" bestFit="1" customWidth="1"/>
    <col min="3076" max="3076" width="13.7109375" style="8" bestFit="1" customWidth="1"/>
    <col min="3077" max="3077" width="12.7109375" style="8" bestFit="1" customWidth="1"/>
    <col min="3078" max="3078" width="12.28515625" style="8" bestFit="1" customWidth="1"/>
    <col min="3079" max="3079" width="12.7109375" style="8" bestFit="1" customWidth="1"/>
    <col min="3080" max="3080" width="12.42578125" style="8" bestFit="1" customWidth="1"/>
    <col min="3081" max="3081" width="12.5703125" style="8" bestFit="1" customWidth="1"/>
    <col min="3082" max="3082" width="13.7109375" style="8" bestFit="1" customWidth="1"/>
    <col min="3083" max="3087" width="13.7109375" style="8" customWidth="1"/>
    <col min="3088" max="3088" width="16" style="8" customWidth="1"/>
    <col min="3089" max="3090" width="14" style="8" bestFit="1" customWidth="1"/>
    <col min="3091" max="3091" width="4.7109375" style="8" bestFit="1" customWidth="1"/>
    <col min="3092" max="3328" width="9.140625" style="8"/>
    <col min="3329" max="3329" width="12.140625" style="8" customWidth="1"/>
    <col min="3330" max="3330" width="14.7109375" style="8" bestFit="1" customWidth="1"/>
    <col min="3331" max="3331" width="12.7109375" style="8" bestFit="1" customWidth="1"/>
    <col min="3332" max="3332" width="13.7109375" style="8" bestFit="1" customWidth="1"/>
    <col min="3333" max="3333" width="12.7109375" style="8" bestFit="1" customWidth="1"/>
    <col min="3334" max="3334" width="12.28515625" style="8" bestFit="1" customWidth="1"/>
    <col min="3335" max="3335" width="12.7109375" style="8" bestFit="1" customWidth="1"/>
    <col min="3336" max="3336" width="12.42578125" style="8" bestFit="1" customWidth="1"/>
    <col min="3337" max="3337" width="12.5703125" style="8" bestFit="1" customWidth="1"/>
    <col min="3338" max="3338" width="13.7109375" style="8" bestFit="1" customWidth="1"/>
    <col min="3339" max="3343" width="13.7109375" style="8" customWidth="1"/>
    <col min="3344" max="3344" width="16" style="8" customWidth="1"/>
    <col min="3345" max="3346" width="14" style="8" bestFit="1" customWidth="1"/>
    <col min="3347" max="3347" width="4.7109375" style="8" bestFit="1" customWidth="1"/>
    <col min="3348" max="3584" width="9.140625" style="8"/>
    <col min="3585" max="3585" width="12.140625" style="8" customWidth="1"/>
    <col min="3586" max="3586" width="14.7109375" style="8" bestFit="1" customWidth="1"/>
    <col min="3587" max="3587" width="12.7109375" style="8" bestFit="1" customWidth="1"/>
    <col min="3588" max="3588" width="13.7109375" style="8" bestFit="1" customWidth="1"/>
    <col min="3589" max="3589" width="12.7109375" style="8" bestFit="1" customWidth="1"/>
    <col min="3590" max="3590" width="12.28515625" style="8" bestFit="1" customWidth="1"/>
    <col min="3591" max="3591" width="12.7109375" style="8" bestFit="1" customWidth="1"/>
    <col min="3592" max="3592" width="12.42578125" style="8" bestFit="1" customWidth="1"/>
    <col min="3593" max="3593" width="12.5703125" style="8" bestFit="1" customWidth="1"/>
    <col min="3594" max="3594" width="13.7109375" style="8" bestFit="1" customWidth="1"/>
    <col min="3595" max="3599" width="13.7109375" style="8" customWidth="1"/>
    <col min="3600" max="3600" width="16" style="8" customWidth="1"/>
    <col min="3601" max="3602" width="14" style="8" bestFit="1" customWidth="1"/>
    <col min="3603" max="3603" width="4.7109375" style="8" bestFit="1" customWidth="1"/>
    <col min="3604" max="3840" width="9.140625" style="8"/>
    <col min="3841" max="3841" width="12.140625" style="8" customWidth="1"/>
    <col min="3842" max="3842" width="14.7109375" style="8" bestFit="1" customWidth="1"/>
    <col min="3843" max="3843" width="12.7109375" style="8" bestFit="1" customWidth="1"/>
    <col min="3844" max="3844" width="13.7109375" style="8" bestFit="1" customWidth="1"/>
    <col min="3845" max="3845" width="12.7109375" style="8" bestFit="1" customWidth="1"/>
    <col min="3846" max="3846" width="12.28515625" style="8" bestFit="1" customWidth="1"/>
    <col min="3847" max="3847" width="12.7109375" style="8" bestFit="1" customWidth="1"/>
    <col min="3848" max="3848" width="12.42578125" style="8" bestFit="1" customWidth="1"/>
    <col min="3849" max="3849" width="12.5703125" style="8" bestFit="1" customWidth="1"/>
    <col min="3850" max="3850" width="13.7109375" style="8" bestFit="1" customWidth="1"/>
    <col min="3851" max="3855" width="13.7109375" style="8" customWidth="1"/>
    <col min="3856" max="3856" width="16" style="8" customWidth="1"/>
    <col min="3857" max="3858" width="14" style="8" bestFit="1" customWidth="1"/>
    <col min="3859" max="3859" width="4.7109375" style="8" bestFit="1" customWidth="1"/>
    <col min="3860" max="4096" width="9.140625" style="8"/>
    <col min="4097" max="4097" width="12.140625" style="8" customWidth="1"/>
    <col min="4098" max="4098" width="14.7109375" style="8" bestFit="1" customWidth="1"/>
    <col min="4099" max="4099" width="12.7109375" style="8" bestFit="1" customWidth="1"/>
    <col min="4100" max="4100" width="13.7109375" style="8" bestFit="1" customWidth="1"/>
    <col min="4101" max="4101" width="12.7109375" style="8" bestFit="1" customWidth="1"/>
    <col min="4102" max="4102" width="12.28515625" style="8" bestFit="1" customWidth="1"/>
    <col min="4103" max="4103" width="12.7109375" style="8" bestFit="1" customWidth="1"/>
    <col min="4104" max="4104" width="12.42578125" style="8" bestFit="1" customWidth="1"/>
    <col min="4105" max="4105" width="12.5703125" style="8" bestFit="1" customWidth="1"/>
    <col min="4106" max="4106" width="13.7109375" style="8" bestFit="1" customWidth="1"/>
    <col min="4107" max="4111" width="13.7109375" style="8" customWidth="1"/>
    <col min="4112" max="4112" width="16" style="8" customWidth="1"/>
    <col min="4113" max="4114" width="14" style="8" bestFit="1" customWidth="1"/>
    <col min="4115" max="4115" width="4.7109375" style="8" bestFit="1" customWidth="1"/>
    <col min="4116" max="4352" width="9.140625" style="8"/>
    <col min="4353" max="4353" width="12.140625" style="8" customWidth="1"/>
    <col min="4354" max="4354" width="14.7109375" style="8" bestFit="1" customWidth="1"/>
    <col min="4355" max="4355" width="12.7109375" style="8" bestFit="1" customWidth="1"/>
    <col min="4356" max="4356" width="13.7109375" style="8" bestFit="1" customWidth="1"/>
    <col min="4357" max="4357" width="12.7109375" style="8" bestFit="1" customWidth="1"/>
    <col min="4358" max="4358" width="12.28515625" style="8" bestFit="1" customWidth="1"/>
    <col min="4359" max="4359" width="12.7109375" style="8" bestFit="1" customWidth="1"/>
    <col min="4360" max="4360" width="12.42578125" style="8" bestFit="1" customWidth="1"/>
    <col min="4361" max="4361" width="12.5703125" style="8" bestFit="1" customWidth="1"/>
    <col min="4362" max="4362" width="13.7109375" style="8" bestFit="1" customWidth="1"/>
    <col min="4363" max="4367" width="13.7109375" style="8" customWidth="1"/>
    <col min="4368" max="4368" width="16" style="8" customWidth="1"/>
    <col min="4369" max="4370" width="14" style="8" bestFit="1" customWidth="1"/>
    <col min="4371" max="4371" width="4.7109375" style="8" bestFit="1" customWidth="1"/>
    <col min="4372" max="4608" width="9.140625" style="8"/>
    <col min="4609" max="4609" width="12.140625" style="8" customWidth="1"/>
    <col min="4610" max="4610" width="14.7109375" style="8" bestFit="1" customWidth="1"/>
    <col min="4611" max="4611" width="12.7109375" style="8" bestFit="1" customWidth="1"/>
    <col min="4612" max="4612" width="13.7109375" style="8" bestFit="1" customWidth="1"/>
    <col min="4613" max="4613" width="12.7109375" style="8" bestFit="1" customWidth="1"/>
    <col min="4614" max="4614" width="12.28515625" style="8" bestFit="1" customWidth="1"/>
    <col min="4615" max="4615" width="12.7109375" style="8" bestFit="1" customWidth="1"/>
    <col min="4616" max="4616" width="12.42578125" style="8" bestFit="1" customWidth="1"/>
    <col min="4617" max="4617" width="12.5703125" style="8" bestFit="1" customWidth="1"/>
    <col min="4618" max="4618" width="13.7109375" style="8" bestFit="1" customWidth="1"/>
    <col min="4619" max="4623" width="13.7109375" style="8" customWidth="1"/>
    <col min="4624" max="4624" width="16" style="8" customWidth="1"/>
    <col min="4625" max="4626" width="14" style="8" bestFit="1" customWidth="1"/>
    <col min="4627" max="4627" width="4.7109375" style="8" bestFit="1" customWidth="1"/>
    <col min="4628" max="4864" width="9.140625" style="8"/>
    <col min="4865" max="4865" width="12.140625" style="8" customWidth="1"/>
    <col min="4866" max="4866" width="14.7109375" style="8" bestFit="1" customWidth="1"/>
    <col min="4867" max="4867" width="12.7109375" style="8" bestFit="1" customWidth="1"/>
    <col min="4868" max="4868" width="13.7109375" style="8" bestFit="1" customWidth="1"/>
    <col min="4869" max="4869" width="12.7109375" style="8" bestFit="1" customWidth="1"/>
    <col min="4870" max="4870" width="12.28515625" style="8" bestFit="1" customWidth="1"/>
    <col min="4871" max="4871" width="12.7109375" style="8" bestFit="1" customWidth="1"/>
    <col min="4872" max="4872" width="12.42578125" style="8" bestFit="1" customWidth="1"/>
    <col min="4873" max="4873" width="12.5703125" style="8" bestFit="1" customWidth="1"/>
    <col min="4874" max="4874" width="13.7109375" style="8" bestFit="1" customWidth="1"/>
    <col min="4875" max="4879" width="13.7109375" style="8" customWidth="1"/>
    <col min="4880" max="4880" width="16" style="8" customWidth="1"/>
    <col min="4881" max="4882" width="14" style="8" bestFit="1" customWidth="1"/>
    <col min="4883" max="4883" width="4.7109375" style="8" bestFit="1" customWidth="1"/>
    <col min="4884" max="5120" width="9.140625" style="8"/>
    <col min="5121" max="5121" width="12.140625" style="8" customWidth="1"/>
    <col min="5122" max="5122" width="14.7109375" style="8" bestFit="1" customWidth="1"/>
    <col min="5123" max="5123" width="12.7109375" style="8" bestFit="1" customWidth="1"/>
    <col min="5124" max="5124" width="13.7109375" style="8" bestFit="1" customWidth="1"/>
    <col min="5125" max="5125" width="12.7109375" style="8" bestFit="1" customWidth="1"/>
    <col min="5126" max="5126" width="12.28515625" style="8" bestFit="1" customWidth="1"/>
    <col min="5127" max="5127" width="12.7109375" style="8" bestFit="1" customWidth="1"/>
    <col min="5128" max="5128" width="12.42578125" style="8" bestFit="1" customWidth="1"/>
    <col min="5129" max="5129" width="12.5703125" style="8" bestFit="1" customWidth="1"/>
    <col min="5130" max="5130" width="13.7109375" style="8" bestFit="1" customWidth="1"/>
    <col min="5131" max="5135" width="13.7109375" style="8" customWidth="1"/>
    <col min="5136" max="5136" width="16" style="8" customWidth="1"/>
    <col min="5137" max="5138" width="14" style="8" bestFit="1" customWidth="1"/>
    <col min="5139" max="5139" width="4.7109375" style="8" bestFit="1" customWidth="1"/>
    <col min="5140" max="5376" width="9.140625" style="8"/>
    <col min="5377" max="5377" width="12.140625" style="8" customWidth="1"/>
    <col min="5378" max="5378" width="14.7109375" style="8" bestFit="1" customWidth="1"/>
    <col min="5379" max="5379" width="12.7109375" style="8" bestFit="1" customWidth="1"/>
    <col min="5380" max="5380" width="13.7109375" style="8" bestFit="1" customWidth="1"/>
    <col min="5381" max="5381" width="12.7109375" style="8" bestFit="1" customWidth="1"/>
    <col min="5382" max="5382" width="12.28515625" style="8" bestFit="1" customWidth="1"/>
    <col min="5383" max="5383" width="12.7109375" style="8" bestFit="1" customWidth="1"/>
    <col min="5384" max="5384" width="12.42578125" style="8" bestFit="1" customWidth="1"/>
    <col min="5385" max="5385" width="12.5703125" style="8" bestFit="1" customWidth="1"/>
    <col min="5386" max="5386" width="13.7109375" style="8" bestFit="1" customWidth="1"/>
    <col min="5387" max="5391" width="13.7109375" style="8" customWidth="1"/>
    <col min="5392" max="5392" width="16" style="8" customWidth="1"/>
    <col min="5393" max="5394" width="14" style="8" bestFit="1" customWidth="1"/>
    <col min="5395" max="5395" width="4.7109375" style="8" bestFit="1" customWidth="1"/>
    <col min="5396" max="5632" width="9.140625" style="8"/>
    <col min="5633" max="5633" width="12.140625" style="8" customWidth="1"/>
    <col min="5634" max="5634" width="14.7109375" style="8" bestFit="1" customWidth="1"/>
    <col min="5635" max="5635" width="12.7109375" style="8" bestFit="1" customWidth="1"/>
    <col min="5636" max="5636" width="13.7109375" style="8" bestFit="1" customWidth="1"/>
    <col min="5637" max="5637" width="12.7109375" style="8" bestFit="1" customWidth="1"/>
    <col min="5638" max="5638" width="12.28515625" style="8" bestFit="1" customWidth="1"/>
    <col min="5639" max="5639" width="12.7109375" style="8" bestFit="1" customWidth="1"/>
    <col min="5640" max="5640" width="12.42578125" style="8" bestFit="1" customWidth="1"/>
    <col min="5641" max="5641" width="12.5703125" style="8" bestFit="1" customWidth="1"/>
    <col min="5642" max="5642" width="13.7109375" style="8" bestFit="1" customWidth="1"/>
    <col min="5643" max="5647" width="13.7109375" style="8" customWidth="1"/>
    <col min="5648" max="5648" width="16" style="8" customWidth="1"/>
    <col min="5649" max="5650" width="14" style="8" bestFit="1" customWidth="1"/>
    <col min="5651" max="5651" width="4.7109375" style="8" bestFit="1" customWidth="1"/>
    <col min="5652" max="5888" width="9.140625" style="8"/>
    <col min="5889" max="5889" width="12.140625" style="8" customWidth="1"/>
    <col min="5890" max="5890" width="14.7109375" style="8" bestFit="1" customWidth="1"/>
    <col min="5891" max="5891" width="12.7109375" style="8" bestFit="1" customWidth="1"/>
    <col min="5892" max="5892" width="13.7109375" style="8" bestFit="1" customWidth="1"/>
    <col min="5893" max="5893" width="12.7109375" style="8" bestFit="1" customWidth="1"/>
    <col min="5894" max="5894" width="12.28515625" style="8" bestFit="1" customWidth="1"/>
    <col min="5895" max="5895" width="12.7109375" style="8" bestFit="1" customWidth="1"/>
    <col min="5896" max="5896" width="12.42578125" style="8" bestFit="1" customWidth="1"/>
    <col min="5897" max="5897" width="12.5703125" style="8" bestFit="1" customWidth="1"/>
    <col min="5898" max="5898" width="13.7109375" style="8" bestFit="1" customWidth="1"/>
    <col min="5899" max="5903" width="13.7109375" style="8" customWidth="1"/>
    <col min="5904" max="5904" width="16" style="8" customWidth="1"/>
    <col min="5905" max="5906" width="14" style="8" bestFit="1" customWidth="1"/>
    <col min="5907" max="5907" width="4.7109375" style="8" bestFit="1" customWidth="1"/>
    <col min="5908" max="6144" width="9.140625" style="8"/>
    <col min="6145" max="6145" width="12.140625" style="8" customWidth="1"/>
    <col min="6146" max="6146" width="14.7109375" style="8" bestFit="1" customWidth="1"/>
    <col min="6147" max="6147" width="12.7109375" style="8" bestFit="1" customWidth="1"/>
    <col min="6148" max="6148" width="13.7109375" style="8" bestFit="1" customWidth="1"/>
    <col min="6149" max="6149" width="12.7109375" style="8" bestFit="1" customWidth="1"/>
    <col min="6150" max="6150" width="12.28515625" style="8" bestFit="1" customWidth="1"/>
    <col min="6151" max="6151" width="12.7109375" style="8" bestFit="1" customWidth="1"/>
    <col min="6152" max="6152" width="12.42578125" style="8" bestFit="1" customWidth="1"/>
    <col min="6153" max="6153" width="12.5703125" style="8" bestFit="1" customWidth="1"/>
    <col min="6154" max="6154" width="13.7109375" style="8" bestFit="1" customWidth="1"/>
    <col min="6155" max="6159" width="13.7109375" style="8" customWidth="1"/>
    <col min="6160" max="6160" width="16" style="8" customWidth="1"/>
    <col min="6161" max="6162" width="14" style="8" bestFit="1" customWidth="1"/>
    <col min="6163" max="6163" width="4.7109375" style="8" bestFit="1" customWidth="1"/>
    <col min="6164" max="6400" width="9.140625" style="8"/>
    <col min="6401" max="6401" width="12.140625" style="8" customWidth="1"/>
    <col min="6402" max="6402" width="14.7109375" style="8" bestFit="1" customWidth="1"/>
    <col min="6403" max="6403" width="12.7109375" style="8" bestFit="1" customWidth="1"/>
    <col min="6404" max="6404" width="13.7109375" style="8" bestFit="1" customWidth="1"/>
    <col min="6405" max="6405" width="12.7109375" style="8" bestFit="1" customWidth="1"/>
    <col min="6406" max="6406" width="12.28515625" style="8" bestFit="1" customWidth="1"/>
    <col min="6407" max="6407" width="12.7109375" style="8" bestFit="1" customWidth="1"/>
    <col min="6408" max="6408" width="12.42578125" style="8" bestFit="1" customWidth="1"/>
    <col min="6409" max="6409" width="12.5703125" style="8" bestFit="1" customWidth="1"/>
    <col min="6410" max="6410" width="13.7109375" style="8" bestFit="1" customWidth="1"/>
    <col min="6411" max="6415" width="13.7109375" style="8" customWidth="1"/>
    <col min="6416" max="6416" width="16" style="8" customWidth="1"/>
    <col min="6417" max="6418" width="14" style="8" bestFit="1" customWidth="1"/>
    <col min="6419" max="6419" width="4.7109375" style="8" bestFit="1" customWidth="1"/>
    <col min="6420" max="6656" width="9.140625" style="8"/>
    <col min="6657" max="6657" width="12.140625" style="8" customWidth="1"/>
    <col min="6658" max="6658" width="14.7109375" style="8" bestFit="1" customWidth="1"/>
    <col min="6659" max="6659" width="12.7109375" style="8" bestFit="1" customWidth="1"/>
    <col min="6660" max="6660" width="13.7109375" style="8" bestFit="1" customWidth="1"/>
    <col min="6661" max="6661" width="12.7109375" style="8" bestFit="1" customWidth="1"/>
    <col min="6662" max="6662" width="12.28515625" style="8" bestFit="1" customWidth="1"/>
    <col min="6663" max="6663" width="12.7109375" style="8" bestFit="1" customWidth="1"/>
    <col min="6664" max="6664" width="12.42578125" style="8" bestFit="1" customWidth="1"/>
    <col min="6665" max="6665" width="12.5703125" style="8" bestFit="1" customWidth="1"/>
    <col min="6666" max="6666" width="13.7109375" style="8" bestFit="1" customWidth="1"/>
    <col min="6667" max="6671" width="13.7109375" style="8" customWidth="1"/>
    <col min="6672" max="6672" width="16" style="8" customWidth="1"/>
    <col min="6673" max="6674" width="14" style="8" bestFit="1" customWidth="1"/>
    <col min="6675" max="6675" width="4.7109375" style="8" bestFit="1" customWidth="1"/>
    <col min="6676" max="6912" width="9.140625" style="8"/>
    <col min="6913" max="6913" width="12.140625" style="8" customWidth="1"/>
    <col min="6914" max="6914" width="14.7109375" style="8" bestFit="1" customWidth="1"/>
    <col min="6915" max="6915" width="12.7109375" style="8" bestFit="1" customWidth="1"/>
    <col min="6916" max="6916" width="13.7109375" style="8" bestFit="1" customWidth="1"/>
    <col min="6917" max="6917" width="12.7109375" style="8" bestFit="1" customWidth="1"/>
    <col min="6918" max="6918" width="12.28515625" style="8" bestFit="1" customWidth="1"/>
    <col min="6919" max="6919" width="12.7109375" style="8" bestFit="1" customWidth="1"/>
    <col min="6920" max="6920" width="12.42578125" style="8" bestFit="1" customWidth="1"/>
    <col min="6921" max="6921" width="12.5703125" style="8" bestFit="1" customWidth="1"/>
    <col min="6922" max="6922" width="13.7109375" style="8" bestFit="1" customWidth="1"/>
    <col min="6923" max="6927" width="13.7109375" style="8" customWidth="1"/>
    <col min="6928" max="6928" width="16" style="8" customWidth="1"/>
    <col min="6929" max="6930" width="14" style="8" bestFit="1" customWidth="1"/>
    <col min="6931" max="6931" width="4.7109375" style="8" bestFit="1" customWidth="1"/>
    <col min="6932" max="7168" width="9.140625" style="8"/>
    <col min="7169" max="7169" width="12.140625" style="8" customWidth="1"/>
    <col min="7170" max="7170" width="14.7109375" style="8" bestFit="1" customWidth="1"/>
    <col min="7171" max="7171" width="12.7109375" style="8" bestFit="1" customWidth="1"/>
    <col min="7172" max="7172" width="13.7109375" style="8" bestFit="1" customWidth="1"/>
    <col min="7173" max="7173" width="12.7109375" style="8" bestFit="1" customWidth="1"/>
    <col min="7174" max="7174" width="12.28515625" style="8" bestFit="1" customWidth="1"/>
    <col min="7175" max="7175" width="12.7109375" style="8" bestFit="1" customWidth="1"/>
    <col min="7176" max="7176" width="12.42578125" style="8" bestFit="1" customWidth="1"/>
    <col min="7177" max="7177" width="12.5703125" style="8" bestFit="1" customWidth="1"/>
    <col min="7178" max="7178" width="13.7109375" style="8" bestFit="1" customWidth="1"/>
    <col min="7179" max="7183" width="13.7109375" style="8" customWidth="1"/>
    <col min="7184" max="7184" width="16" style="8" customWidth="1"/>
    <col min="7185" max="7186" width="14" style="8" bestFit="1" customWidth="1"/>
    <col min="7187" max="7187" width="4.7109375" style="8" bestFit="1" customWidth="1"/>
    <col min="7188" max="7424" width="9.140625" style="8"/>
    <col min="7425" max="7425" width="12.140625" style="8" customWidth="1"/>
    <col min="7426" max="7426" width="14.7109375" style="8" bestFit="1" customWidth="1"/>
    <col min="7427" max="7427" width="12.7109375" style="8" bestFit="1" customWidth="1"/>
    <col min="7428" max="7428" width="13.7109375" style="8" bestFit="1" customWidth="1"/>
    <col min="7429" max="7429" width="12.7109375" style="8" bestFit="1" customWidth="1"/>
    <col min="7430" max="7430" width="12.28515625" style="8" bestFit="1" customWidth="1"/>
    <col min="7431" max="7431" width="12.7109375" style="8" bestFit="1" customWidth="1"/>
    <col min="7432" max="7432" width="12.42578125" style="8" bestFit="1" customWidth="1"/>
    <col min="7433" max="7433" width="12.5703125" style="8" bestFit="1" customWidth="1"/>
    <col min="7434" max="7434" width="13.7109375" style="8" bestFit="1" customWidth="1"/>
    <col min="7435" max="7439" width="13.7109375" style="8" customWidth="1"/>
    <col min="7440" max="7440" width="16" style="8" customWidth="1"/>
    <col min="7441" max="7442" width="14" style="8" bestFit="1" customWidth="1"/>
    <col min="7443" max="7443" width="4.7109375" style="8" bestFit="1" customWidth="1"/>
    <col min="7444" max="7680" width="9.140625" style="8"/>
    <col min="7681" max="7681" width="12.140625" style="8" customWidth="1"/>
    <col min="7682" max="7682" width="14.7109375" style="8" bestFit="1" customWidth="1"/>
    <col min="7683" max="7683" width="12.7109375" style="8" bestFit="1" customWidth="1"/>
    <col min="7684" max="7684" width="13.7109375" style="8" bestFit="1" customWidth="1"/>
    <col min="7685" max="7685" width="12.7109375" style="8" bestFit="1" customWidth="1"/>
    <col min="7686" max="7686" width="12.28515625" style="8" bestFit="1" customWidth="1"/>
    <col min="7687" max="7687" width="12.7109375" style="8" bestFit="1" customWidth="1"/>
    <col min="7688" max="7688" width="12.42578125" style="8" bestFit="1" customWidth="1"/>
    <col min="7689" max="7689" width="12.5703125" style="8" bestFit="1" customWidth="1"/>
    <col min="7690" max="7690" width="13.7109375" style="8" bestFit="1" customWidth="1"/>
    <col min="7691" max="7695" width="13.7109375" style="8" customWidth="1"/>
    <col min="7696" max="7696" width="16" style="8" customWidth="1"/>
    <col min="7697" max="7698" width="14" style="8" bestFit="1" customWidth="1"/>
    <col min="7699" max="7699" width="4.7109375" style="8" bestFit="1" customWidth="1"/>
    <col min="7700" max="7936" width="9.140625" style="8"/>
    <col min="7937" max="7937" width="12.140625" style="8" customWidth="1"/>
    <col min="7938" max="7938" width="14.7109375" style="8" bestFit="1" customWidth="1"/>
    <col min="7939" max="7939" width="12.7109375" style="8" bestFit="1" customWidth="1"/>
    <col min="7940" max="7940" width="13.7109375" style="8" bestFit="1" customWidth="1"/>
    <col min="7941" max="7941" width="12.7109375" style="8" bestFit="1" customWidth="1"/>
    <col min="7942" max="7942" width="12.28515625" style="8" bestFit="1" customWidth="1"/>
    <col min="7943" max="7943" width="12.7109375" style="8" bestFit="1" customWidth="1"/>
    <col min="7944" max="7944" width="12.42578125" style="8" bestFit="1" customWidth="1"/>
    <col min="7945" max="7945" width="12.5703125" style="8" bestFit="1" customWidth="1"/>
    <col min="7946" max="7946" width="13.7109375" style="8" bestFit="1" customWidth="1"/>
    <col min="7947" max="7951" width="13.7109375" style="8" customWidth="1"/>
    <col min="7952" max="7952" width="16" style="8" customWidth="1"/>
    <col min="7953" max="7954" width="14" style="8" bestFit="1" customWidth="1"/>
    <col min="7955" max="7955" width="4.7109375" style="8" bestFit="1" customWidth="1"/>
    <col min="7956" max="8192" width="9.140625" style="8"/>
    <col min="8193" max="8193" width="12.140625" style="8" customWidth="1"/>
    <col min="8194" max="8194" width="14.7109375" style="8" bestFit="1" customWidth="1"/>
    <col min="8195" max="8195" width="12.7109375" style="8" bestFit="1" customWidth="1"/>
    <col min="8196" max="8196" width="13.7109375" style="8" bestFit="1" customWidth="1"/>
    <col min="8197" max="8197" width="12.7109375" style="8" bestFit="1" customWidth="1"/>
    <col min="8198" max="8198" width="12.28515625" style="8" bestFit="1" customWidth="1"/>
    <col min="8199" max="8199" width="12.7109375" style="8" bestFit="1" customWidth="1"/>
    <col min="8200" max="8200" width="12.42578125" style="8" bestFit="1" customWidth="1"/>
    <col min="8201" max="8201" width="12.5703125" style="8" bestFit="1" customWidth="1"/>
    <col min="8202" max="8202" width="13.7109375" style="8" bestFit="1" customWidth="1"/>
    <col min="8203" max="8207" width="13.7109375" style="8" customWidth="1"/>
    <col min="8208" max="8208" width="16" style="8" customWidth="1"/>
    <col min="8209" max="8210" width="14" style="8" bestFit="1" customWidth="1"/>
    <col min="8211" max="8211" width="4.7109375" style="8" bestFit="1" customWidth="1"/>
    <col min="8212" max="8448" width="9.140625" style="8"/>
    <col min="8449" max="8449" width="12.140625" style="8" customWidth="1"/>
    <col min="8450" max="8450" width="14.7109375" style="8" bestFit="1" customWidth="1"/>
    <col min="8451" max="8451" width="12.7109375" style="8" bestFit="1" customWidth="1"/>
    <col min="8452" max="8452" width="13.7109375" style="8" bestFit="1" customWidth="1"/>
    <col min="8453" max="8453" width="12.7109375" style="8" bestFit="1" customWidth="1"/>
    <col min="8454" max="8454" width="12.28515625" style="8" bestFit="1" customWidth="1"/>
    <col min="8455" max="8455" width="12.7109375" style="8" bestFit="1" customWidth="1"/>
    <col min="8456" max="8456" width="12.42578125" style="8" bestFit="1" customWidth="1"/>
    <col min="8457" max="8457" width="12.5703125" style="8" bestFit="1" customWidth="1"/>
    <col min="8458" max="8458" width="13.7109375" style="8" bestFit="1" customWidth="1"/>
    <col min="8459" max="8463" width="13.7109375" style="8" customWidth="1"/>
    <col min="8464" max="8464" width="16" style="8" customWidth="1"/>
    <col min="8465" max="8466" width="14" style="8" bestFit="1" customWidth="1"/>
    <col min="8467" max="8467" width="4.7109375" style="8" bestFit="1" customWidth="1"/>
    <col min="8468" max="8704" width="9.140625" style="8"/>
    <col min="8705" max="8705" width="12.140625" style="8" customWidth="1"/>
    <col min="8706" max="8706" width="14.7109375" style="8" bestFit="1" customWidth="1"/>
    <col min="8707" max="8707" width="12.7109375" style="8" bestFit="1" customWidth="1"/>
    <col min="8708" max="8708" width="13.7109375" style="8" bestFit="1" customWidth="1"/>
    <col min="8709" max="8709" width="12.7109375" style="8" bestFit="1" customWidth="1"/>
    <col min="8710" max="8710" width="12.28515625" style="8" bestFit="1" customWidth="1"/>
    <col min="8711" max="8711" width="12.7109375" style="8" bestFit="1" customWidth="1"/>
    <col min="8712" max="8712" width="12.42578125" style="8" bestFit="1" customWidth="1"/>
    <col min="8713" max="8713" width="12.5703125" style="8" bestFit="1" customWidth="1"/>
    <col min="8714" max="8714" width="13.7109375" style="8" bestFit="1" customWidth="1"/>
    <col min="8715" max="8719" width="13.7109375" style="8" customWidth="1"/>
    <col min="8720" max="8720" width="16" style="8" customWidth="1"/>
    <col min="8721" max="8722" width="14" style="8" bestFit="1" customWidth="1"/>
    <col min="8723" max="8723" width="4.7109375" style="8" bestFit="1" customWidth="1"/>
    <col min="8724" max="8960" width="9.140625" style="8"/>
    <col min="8961" max="8961" width="12.140625" style="8" customWidth="1"/>
    <col min="8962" max="8962" width="14.7109375" style="8" bestFit="1" customWidth="1"/>
    <col min="8963" max="8963" width="12.7109375" style="8" bestFit="1" customWidth="1"/>
    <col min="8964" max="8964" width="13.7109375" style="8" bestFit="1" customWidth="1"/>
    <col min="8965" max="8965" width="12.7109375" style="8" bestFit="1" customWidth="1"/>
    <col min="8966" max="8966" width="12.28515625" style="8" bestFit="1" customWidth="1"/>
    <col min="8967" max="8967" width="12.7109375" style="8" bestFit="1" customWidth="1"/>
    <col min="8968" max="8968" width="12.42578125" style="8" bestFit="1" customWidth="1"/>
    <col min="8969" max="8969" width="12.5703125" style="8" bestFit="1" customWidth="1"/>
    <col min="8970" max="8970" width="13.7109375" style="8" bestFit="1" customWidth="1"/>
    <col min="8971" max="8975" width="13.7109375" style="8" customWidth="1"/>
    <col min="8976" max="8976" width="16" style="8" customWidth="1"/>
    <col min="8977" max="8978" width="14" style="8" bestFit="1" customWidth="1"/>
    <col min="8979" max="8979" width="4.7109375" style="8" bestFit="1" customWidth="1"/>
    <col min="8980" max="9216" width="9.140625" style="8"/>
    <col min="9217" max="9217" width="12.140625" style="8" customWidth="1"/>
    <col min="9218" max="9218" width="14.7109375" style="8" bestFit="1" customWidth="1"/>
    <col min="9219" max="9219" width="12.7109375" style="8" bestFit="1" customWidth="1"/>
    <col min="9220" max="9220" width="13.7109375" style="8" bestFit="1" customWidth="1"/>
    <col min="9221" max="9221" width="12.7109375" style="8" bestFit="1" customWidth="1"/>
    <col min="9222" max="9222" width="12.28515625" style="8" bestFit="1" customWidth="1"/>
    <col min="9223" max="9223" width="12.7109375" style="8" bestFit="1" customWidth="1"/>
    <col min="9224" max="9224" width="12.42578125" style="8" bestFit="1" customWidth="1"/>
    <col min="9225" max="9225" width="12.5703125" style="8" bestFit="1" customWidth="1"/>
    <col min="9226" max="9226" width="13.7109375" style="8" bestFit="1" customWidth="1"/>
    <col min="9227" max="9231" width="13.7109375" style="8" customWidth="1"/>
    <col min="9232" max="9232" width="16" style="8" customWidth="1"/>
    <col min="9233" max="9234" width="14" style="8" bestFit="1" customWidth="1"/>
    <col min="9235" max="9235" width="4.7109375" style="8" bestFit="1" customWidth="1"/>
    <col min="9236" max="9472" width="9.140625" style="8"/>
    <col min="9473" max="9473" width="12.140625" style="8" customWidth="1"/>
    <col min="9474" max="9474" width="14.7109375" style="8" bestFit="1" customWidth="1"/>
    <col min="9475" max="9475" width="12.7109375" style="8" bestFit="1" customWidth="1"/>
    <col min="9476" max="9476" width="13.7109375" style="8" bestFit="1" customWidth="1"/>
    <col min="9477" max="9477" width="12.7109375" style="8" bestFit="1" customWidth="1"/>
    <col min="9478" max="9478" width="12.28515625" style="8" bestFit="1" customWidth="1"/>
    <col min="9479" max="9479" width="12.7109375" style="8" bestFit="1" customWidth="1"/>
    <col min="9480" max="9480" width="12.42578125" style="8" bestFit="1" customWidth="1"/>
    <col min="9481" max="9481" width="12.5703125" style="8" bestFit="1" customWidth="1"/>
    <col min="9482" max="9482" width="13.7109375" style="8" bestFit="1" customWidth="1"/>
    <col min="9483" max="9487" width="13.7109375" style="8" customWidth="1"/>
    <col min="9488" max="9488" width="16" style="8" customWidth="1"/>
    <col min="9489" max="9490" width="14" style="8" bestFit="1" customWidth="1"/>
    <col min="9491" max="9491" width="4.7109375" style="8" bestFit="1" customWidth="1"/>
    <col min="9492" max="9728" width="9.140625" style="8"/>
    <col min="9729" max="9729" width="12.140625" style="8" customWidth="1"/>
    <col min="9730" max="9730" width="14.7109375" style="8" bestFit="1" customWidth="1"/>
    <col min="9731" max="9731" width="12.7109375" style="8" bestFit="1" customWidth="1"/>
    <col min="9732" max="9732" width="13.7109375" style="8" bestFit="1" customWidth="1"/>
    <col min="9733" max="9733" width="12.7109375" style="8" bestFit="1" customWidth="1"/>
    <col min="9734" max="9734" width="12.28515625" style="8" bestFit="1" customWidth="1"/>
    <col min="9735" max="9735" width="12.7109375" style="8" bestFit="1" customWidth="1"/>
    <col min="9736" max="9736" width="12.42578125" style="8" bestFit="1" customWidth="1"/>
    <col min="9737" max="9737" width="12.5703125" style="8" bestFit="1" customWidth="1"/>
    <col min="9738" max="9738" width="13.7109375" style="8" bestFit="1" customWidth="1"/>
    <col min="9739" max="9743" width="13.7109375" style="8" customWidth="1"/>
    <col min="9744" max="9744" width="16" style="8" customWidth="1"/>
    <col min="9745" max="9746" width="14" style="8" bestFit="1" customWidth="1"/>
    <col min="9747" max="9747" width="4.7109375" style="8" bestFit="1" customWidth="1"/>
    <col min="9748" max="9984" width="9.140625" style="8"/>
    <col min="9985" max="9985" width="12.140625" style="8" customWidth="1"/>
    <col min="9986" max="9986" width="14.7109375" style="8" bestFit="1" customWidth="1"/>
    <col min="9987" max="9987" width="12.7109375" style="8" bestFit="1" customWidth="1"/>
    <col min="9988" max="9988" width="13.7109375" style="8" bestFit="1" customWidth="1"/>
    <col min="9989" max="9989" width="12.7109375" style="8" bestFit="1" customWidth="1"/>
    <col min="9990" max="9990" width="12.28515625" style="8" bestFit="1" customWidth="1"/>
    <col min="9991" max="9991" width="12.7109375" style="8" bestFit="1" customWidth="1"/>
    <col min="9992" max="9992" width="12.42578125" style="8" bestFit="1" customWidth="1"/>
    <col min="9993" max="9993" width="12.5703125" style="8" bestFit="1" customWidth="1"/>
    <col min="9994" max="9994" width="13.7109375" style="8" bestFit="1" customWidth="1"/>
    <col min="9995" max="9999" width="13.7109375" style="8" customWidth="1"/>
    <col min="10000" max="10000" width="16" style="8" customWidth="1"/>
    <col min="10001" max="10002" width="14" style="8" bestFit="1" customWidth="1"/>
    <col min="10003" max="10003" width="4.7109375" style="8" bestFit="1" customWidth="1"/>
    <col min="10004" max="10240" width="9.140625" style="8"/>
    <col min="10241" max="10241" width="12.140625" style="8" customWidth="1"/>
    <col min="10242" max="10242" width="14.7109375" style="8" bestFit="1" customWidth="1"/>
    <col min="10243" max="10243" width="12.7109375" style="8" bestFit="1" customWidth="1"/>
    <col min="10244" max="10244" width="13.7109375" style="8" bestFit="1" customWidth="1"/>
    <col min="10245" max="10245" width="12.7109375" style="8" bestFit="1" customWidth="1"/>
    <col min="10246" max="10246" width="12.28515625" style="8" bestFit="1" customWidth="1"/>
    <col min="10247" max="10247" width="12.7109375" style="8" bestFit="1" customWidth="1"/>
    <col min="10248" max="10248" width="12.42578125" style="8" bestFit="1" customWidth="1"/>
    <col min="10249" max="10249" width="12.5703125" style="8" bestFit="1" customWidth="1"/>
    <col min="10250" max="10250" width="13.7109375" style="8" bestFit="1" customWidth="1"/>
    <col min="10251" max="10255" width="13.7109375" style="8" customWidth="1"/>
    <col min="10256" max="10256" width="16" style="8" customWidth="1"/>
    <col min="10257" max="10258" width="14" style="8" bestFit="1" customWidth="1"/>
    <col min="10259" max="10259" width="4.7109375" style="8" bestFit="1" customWidth="1"/>
    <col min="10260" max="10496" width="9.140625" style="8"/>
    <col min="10497" max="10497" width="12.140625" style="8" customWidth="1"/>
    <col min="10498" max="10498" width="14.7109375" style="8" bestFit="1" customWidth="1"/>
    <col min="10499" max="10499" width="12.7109375" style="8" bestFit="1" customWidth="1"/>
    <col min="10500" max="10500" width="13.7109375" style="8" bestFit="1" customWidth="1"/>
    <col min="10501" max="10501" width="12.7109375" style="8" bestFit="1" customWidth="1"/>
    <col min="10502" max="10502" width="12.28515625" style="8" bestFit="1" customWidth="1"/>
    <col min="10503" max="10503" width="12.7109375" style="8" bestFit="1" customWidth="1"/>
    <col min="10504" max="10504" width="12.42578125" style="8" bestFit="1" customWidth="1"/>
    <col min="10505" max="10505" width="12.5703125" style="8" bestFit="1" customWidth="1"/>
    <col min="10506" max="10506" width="13.7109375" style="8" bestFit="1" customWidth="1"/>
    <col min="10507" max="10511" width="13.7109375" style="8" customWidth="1"/>
    <col min="10512" max="10512" width="16" style="8" customWidth="1"/>
    <col min="10513" max="10514" width="14" style="8" bestFit="1" customWidth="1"/>
    <col min="10515" max="10515" width="4.7109375" style="8" bestFit="1" customWidth="1"/>
    <col min="10516" max="10752" width="9.140625" style="8"/>
    <col min="10753" max="10753" width="12.140625" style="8" customWidth="1"/>
    <col min="10754" max="10754" width="14.7109375" style="8" bestFit="1" customWidth="1"/>
    <col min="10755" max="10755" width="12.7109375" style="8" bestFit="1" customWidth="1"/>
    <col min="10756" max="10756" width="13.7109375" style="8" bestFit="1" customWidth="1"/>
    <col min="10757" max="10757" width="12.7109375" style="8" bestFit="1" customWidth="1"/>
    <col min="10758" max="10758" width="12.28515625" style="8" bestFit="1" customWidth="1"/>
    <col min="10759" max="10759" width="12.7109375" style="8" bestFit="1" customWidth="1"/>
    <col min="10760" max="10760" width="12.42578125" style="8" bestFit="1" customWidth="1"/>
    <col min="10761" max="10761" width="12.5703125" style="8" bestFit="1" customWidth="1"/>
    <col min="10762" max="10762" width="13.7109375" style="8" bestFit="1" customWidth="1"/>
    <col min="10763" max="10767" width="13.7109375" style="8" customWidth="1"/>
    <col min="10768" max="10768" width="16" style="8" customWidth="1"/>
    <col min="10769" max="10770" width="14" style="8" bestFit="1" customWidth="1"/>
    <col min="10771" max="10771" width="4.7109375" style="8" bestFit="1" customWidth="1"/>
    <col min="10772" max="11008" width="9.140625" style="8"/>
    <col min="11009" max="11009" width="12.140625" style="8" customWidth="1"/>
    <col min="11010" max="11010" width="14.7109375" style="8" bestFit="1" customWidth="1"/>
    <col min="11011" max="11011" width="12.7109375" style="8" bestFit="1" customWidth="1"/>
    <col min="11012" max="11012" width="13.7109375" style="8" bestFit="1" customWidth="1"/>
    <col min="11013" max="11013" width="12.7109375" style="8" bestFit="1" customWidth="1"/>
    <col min="11014" max="11014" width="12.28515625" style="8" bestFit="1" customWidth="1"/>
    <col min="11015" max="11015" width="12.7109375" style="8" bestFit="1" customWidth="1"/>
    <col min="11016" max="11016" width="12.42578125" style="8" bestFit="1" customWidth="1"/>
    <col min="11017" max="11017" width="12.5703125" style="8" bestFit="1" customWidth="1"/>
    <col min="11018" max="11018" width="13.7109375" style="8" bestFit="1" customWidth="1"/>
    <col min="11019" max="11023" width="13.7109375" style="8" customWidth="1"/>
    <col min="11024" max="11024" width="16" style="8" customWidth="1"/>
    <col min="11025" max="11026" width="14" style="8" bestFit="1" customWidth="1"/>
    <col min="11027" max="11027" width="4.7109375" style="8" bestFit="1" customWidth="1"/>
    <col min="11028" max="11264" width="9.140625" style="8"/>
    <col min="11265" max="11265" width="12.140625" style="8" customWidth="1"/>
    <col min="11266" max="11266" width="14.7109375" style="8" bestFit="1" customWidth="1"/>
    <col min="11267" max="11267" width="12.7109375" style="8" bestFit="1" customWidth="1"/>
    <col min="11268" max="11268" width="13.7109375" style="8" bestFit="1" customWidth="1"/>
    <col min="11269" max="11269" width="12.7109375" style="8" bestFit="1" customWidth="1"/>
    <col min="11270" max="11270" width="12.28515625" style="8" bestFit="1" customWidth="1"/>
    <col min="11271" max="11271" width="12.7109375" style="8" bestFit="1" customWidth="1"/>
    <col min="11272" max="11272" width="12.42578125" style="8" bestFit="1" customWidth="1"/>
    <col min="11273" max="11273" width="12.5703125" style="8" bestFit="1" customWidth="1"/>
    <col min="11274" max="11274" width="13.7109375" style="8" bestFit="1" customWidth="1"/>
    <col min="11275" max="11279" width="13.7109375" style="8" customWidth="1"/>
    <col min="11280" max="11280" width="16" style="8" customWidth="1"/>
    <col min="11281" max="11282" width="14" style="8" bestFit="1" customWidth="1"/>
    <col min="11283" max="11283" width="4.7109375" style="8" bestFit="1" customWidth="1"/>
    <col min="11284" max="11520" width="9.140625" style="8"/>
    <col min="11521" max="11521" width="12.140625" style="8" customWidth="1"/>
    <col min="11522" max="11522" width="14.7109375" style="8" bestFit="1" customWidth="1"/>
    <col min="11523" max="11523" width="12.7109375" style="8" bestFit="1" customWidth="1"/>
    <col min="11524" max="11524" width="13.7109375" style="8" bestFit="1" customWidth="1"/>
    <col min="11525" max="11525" width="12.7109375" style="8" bestFit="1" customWidth="1"/>
    <col min="11526" max="11526" width="12.28515625" style="8" bestFit="1" customWidth="1"/>
    <col min="11527" max="11527" width="12.7109375" style="8" bestFit="1" customWidth="1"/>
    <col min="11528" max="11528" width="12.42578125" style="8" bestFit="1" customWidth="1"/>
    <col min="11529" max="11529" width="12.5703125" style="8" bestFit="1" customWidth="1"/>
    <col min="11530" max="11530" width="13.7109375" style="8" bestFit="1" customWidth="1"/>
    <col min="11531" max="11535" width="13.7109375" style="8" customWidth="1"/>
    <col min="11536" max="11536" width="16" style="8" customWidth="1"/>
    <col min="11537" max="11538" width="14" style="8" bestFit="1" customWidth="1"/>
    <col min="11539" max="11539" width="4.7109375" style="8" bestFit="1" customWidth="1"/>
    <col min="11540" max="11776" width="9.140625" style="8"/>
    <col min="11777" max="11777" width="12.140625" style="8" customWidth="1"/>
    <col min="11778" max="11778" width="14.7109375" style="8" bestFit="1" customWidth="1"/>
    <col min="11779" max="11779" width="12.7109375" style="8" bestFit="1" customWidth="1"/>
    <col min="11780" max="11780" width="13.7109375" style="8" bestFit="1" customWidth="1"/>
    <col min="11781" max="11781" width="12.7109375" style="8" bestFit="1" customWidth="1"/>
    <col min="11782" max="11782" width="12.28515625" style="8" bestFit="1" customWidth="1"/>
    <col min="11783" max="11783" width="12.7109375" style="8" bestFit="1" customWidth="1"/>
    <col min="11784" max="11784" width="12.42578125" style="8" bestFit="1" customWidth="1"/>
    <col min="11785" max="11785" width="12.5703125" style="8" bestFit="1" customWidth="1"/>
    <col min="11786" max="11786" width="13.7109375" style="8" bestFit="1" customWidth="1"/>
    <col min="11787" max="11791" width="13.7109375" style="8" customWidth="1"/>
    <col min="11792" max="11792" width="16" style="8" customWidth="1"/>
    <col min="11793" max="11794" width="14" style="8" bestFit="1" customWidth="1"/>
    <col min="11795" max="11795" width="4.7109375" style="8" bestFit="1" customWidth="1"/>
    <col min="11796" max="12032" width="9.140625" style="8"/>
    <col min="12033" max="12033" width="12.140625" style="8" customWidth="1"/>
    <col min="12034" max="12034" width="14.7109375" style="8" bestFit="1" customWidth="1"/>
    <col min="12035" max="12035" width="12.7109375" style="8" bestFit="1" customWidth="1"/>
    <col min="12036" max="12036" width="13.7109375" style="8" bestFit="1" customWidth="1"/>
    <col min="12037" max="12037" width="12.7109375" style="8" bestFit="1" customWidth="1"/>
    <col min="12038" max="12038" width="12.28515625" style="8" bestFit="1" customWidth="1"/>
    <col min="12039" max="12039" width="12.7109375" style="8" bestFit="1" customWidth="1"/>
    <col min="12040" max="12040" width="12.42578125" style="8" bestFit="1" customWidth="1"/>
    <col min="12041" max="12041" width="12.5703125" style="8" bestFit="1" customWidth="1"/>
    <col min="12042" max="12042" width="13.7109375" style="8" bestFit="1" customWidth="1"/>
    <col min="12043" max="12047" width="13.7109375" style="8" customWidth="1"/>
    <col min="12048" max="12048" width="16" style="8" customWidth="1"/>
    <col min="12049" max="12050" width="14" style="8" bestFit="1" customWidth="1"/>
    <col min="12051" max="12051" width="4.7109375" style="8" bestFit="1" customWidth="1"/>
    <col min="12052" max="12288" width="9.140625" style="8"/>
    <col min="12289" max="12289" width="12.140625" style="8" customWidth="1"/>
    <col min="12290" max="12290" width="14.7109375" style="8" bestFit="1" customWidth="1"/>
    <col min="12291" max="12291" width="12.7109375" style="8" bestFit="1" customWidth="1"/>
    <col min="12292" max="12292" width="13.7109375" style="8" bestFit="1" customWidth="1"/>
    <col min="12293" max="12293" width="12.7109375" style="8" bestFit="1" customWidth="1"/>
    <col min="12294" max="12294" width="12.28515625" style="8" bestFit="1" customWidth="1"/>
    <col min="12295" max="12295" width="12.7109375" style="8" bestFit="1" customWidth="1"/>
    <col min="12296" max="12296" width="12.42578125" style="8" bestFit="1" customWidth="1"/>
    <col min="12297" max="12297" width="12.5703125" style="8" bestFit="1" customWidth="1"/>
    <col min="12298" max="12298" width="13.7109375" style="8" bestFit="1" customWidth="1"/>
    <col min="12299" max="12303" width="13.7109375" style="8" customWidth="1"/>
    <col min="12304" max="12304" width="16" style="8" customWidth="1"/>
    <col min="12305" max="12306" width="14" style="8" bestFit="1" customWidth="1"/>
    <col min="12307" max="12307" width="4.7109375" style="8" bestFit="1" customWidth="1"/>
    <col min="12308" max="12544" width="9.140625" style="8"/>
    <col min="12545" max="12545" width="12.140625" style="8" customWidth="1"/>
    <col min="12546" max="12546" width="14.7109375" style="8" bestFit="1" customWidth="1"/>
    <col min="12547" max="12547" width="12.7109375" style="8" bestFit="1" customWidth="1"/>
    <col min="12548" max="12548" width="13.7109375" style="8" bestFit="1" customWidth="1"/>
    <col min="12549" max="12549" width="12.7109375" style="8" bestFit="1" customWidth="1"/>
    <col min="12550" max="12550" width="12.28515625" style="8" bestFit="1" customWidth="1"/>
    <col min="12551" max="12551" width="12.7109375" style="8" bestFit="1" customWidth="1"/>
    <col min="12552" max="12552" width="12.42578125" style="8" bestFit="1" customWidth="1"/>
    <col min="12553" max="12553" width="12.5703125" style="8" bestFit="1" customWidth="1"/>
    <col min="12554" max="12554" width="13.7109375" style="8" bestFit="1" customWidth="1"/>
    <col min="12555" max="12559" width="13.7109375" style="8" customWidth="1"/>
    <col min="12560" max="12560" width="16" style="8" customWidth="1"/>
    <col min="12561" max="12562" width="14" style="8" bestFit="1" customWidth="1"/>
    <col min="12563" max="12563" width="4.7109375" style="8" bestFit="1" customWidth="1"/>
    <col min="12564" max="12800" width="9.140625" style="8"/>
    <col min="12801" max="12801" width="12.140625" style="8" customWidth="1"/>
    <col min="12802" max="12802" width="14.7109375" style="8" bestFit="1" customWidth="1"/>
    <col min="12803" max="12803" width="12.7109375" style="8" bestFit="1" customWidth="1"/>
    <col min="12804" max="12804" width="13.7109375" style="8" bestFit="1" customWidth="1"/>
    <col min="12805" max="12805" width="12.7109375" style="8" bestFit="1" customWidth="1"/>
    <col min="12806" max="12806" width="12.28515625" style="8" bestFit="1" customWidth="1"/>
    <col min="12807" max="12807" width="12.7109375" style="8" bestFit="1" customWidth="1"/>
    <col min="12808" max="12808" width="12.42578125" style="8" bestFit="1" customWidth="1"/>
    <col min="12809" max="12809" width="12.5703125" style="8" bestFit="1" customWidth="1"/>
    <col min="12810" max="12810" width="13.7109375" style="8" bestFit="1" customWidth="1"/>
    <col min="12811" max="12815" width="13.7109375" style="8" customWidth="1"/>
    <col min="12816" max="12816" width="16" style="8" customWidth="1"/>
    <col min="12817" max="12818" width="14" style="8" bestFit="1" customWidth="1"/>
    <col min="12819" max="12819" width="4.7109375" style="8" bestFit="1" customWidth="1"/>
    <col min="12820" max="13056" width="9.140625" style="8"/>
    <col min="13057" max="13057" width="12.140625" style="8" customWidth="1"/>
    <col min="13058" max="13058" width="14.7109375" style="8" bestFit="1" customWidth="1"/>
    <col min="13059" max="13059" width="12.7109375" style="8" bestFit="1" customWidth="1"/>
    <col min="13060" max="13060" width="13.7109375" style="8" bestFit="1" customWidth="1"/>
    <col min="13061" max="13061" width="12.7109375" style="8" bestFit="1" customWidth="1"/>
    <col min="13062" max="13062" width="12.28515625" style="8" bestFit="1" customWidth="1"/>
    <col min="13063" max="13063" width="12.7109375" style="8" bestFit="1" customWidth="1"/>
    <col min="13064" max="13064" width="12.42578125" style="8" bestFit="1" customWidth="1"/>
    <col min="13065" max="13065" width="12.5703125" style="8" bestFit="1" customWidth="1"/>
    <col min="13066" max="13066" width="13.7109375" style="8" bestFit="1" customWidth="1"/>
    <col min="13067" max="13071" width="13.7109375" style="8" customWidth="1"/>
    <col min="13072" max="13072" width="16" style="8" customWidth="1"/>
    <col min="13073" max="13074" width="14" style="8" bestFit="1" customWidth="1"/>
    <col min="13075" max="13075" width="4.7109375" style="8" bestFit="1" customWidth="1"/>
    <col min="13076" max="13312" width="9.140625" style="8"/>
    <col min="13313" max="13313" width="12.140625" style="8" customWidth="1"/>
    <col min="13314" max="13314" width="14.7109375" style="8" bestFit="1" customWidth="1"/>
    <col min="13315" max="13315" width="12.7109375" style="8" bestFit="1" customWidth="1"/>
    <col min="13316" max="13316" width="13.7109375" style="8" bestFit="1" customWidth="1"/>
    <col min="13317" max="13317" width="12.7109375" style="8" bestFit="1" customWidth="1"/>
    <col min="13318" max="13318" width="12.28515625" style="8" bestFit="1" customWidth="1"/>
    <col min="13319" max="13319" width="12.7109375" style="8" bestFit="1" customWidth="1"/>
    <col min="13320" max="13320" width="12.42578125" style="8" bestFit="1" customWidth="1"/>
    <col min="13321" max="13321" width="12.5703125" style="8" bestFit="1" customWidth="1"/>
    <col min="13322" max="13322" width="13.7109375" style="8" bestFit="1" customWidth="1"/>
    <col min="13323" max="13327" width="13.7109375" style="8" customWidth="1"/>
    <col min="13328" max="13328" width="16" style="8" customWidth="1"/>
    <col min="13329" max="13330" width="14" style="8" bestFit="1" customWidth="1"/>
    <col min="13331" max="13331" width="4.7109375" style="8" bestFit="1" customWidth="1"/>
    <col min="13332" max="13568" width="9.140625" style="8"/>
    <col min="13569" max="13569" width="12.140625" style="8" customWidth="1"/>
    <col min="13570" max="13570" width="14.7109375" style="8" bestFit="1" customWidth="1"/>
    <col min="13571" max="13571" width="12.7109375" style="8" bestFit="1" customWidth="1"/>
    <col min="13572" max="13572" width="13.7109375" style="8" bestFit="1" customWidth="1"/>
    <col min="13573" max="13573" width="12.7109375" style="8" bestFit="1" customWidth="1"/>
    <col min="13574" max="13574" width="12.28515625" style="8" bestFit="1" customWidth="1"/>
    <col min="13575" max="13575" width="12.7109375" style="8" bestFit="1" customWidth="1"/>
    <col min="13576" max="13576" width="12.42578125" style="8" bestFit="1" customWidth="1"/>
    <col min="13577" max="13577" width="12.5703125" style="8" bestFit="1" customWidth="1"/>
    <col min="13578" max="13578" width="13.7109375" style="8" bestFit="1" customWidth="1"/>
    <col min="13579" max="13583" width="13.7109375" style="8" customWidth="1"/>
    <col min="13584" max="13584" width="16" style="8" customWidth="1"/>
    <col min="13585" max="13586" width="14" style="8" bestFit="1" customWidth="1"/>
    <col min="13587" max="13587" width="4.7109375" style="8" bestFit="1" customWidth="1"/>
    <col min="13588" max="13824" width="9.140625" style="8"/>
    <col min="13825" max="13825" width="12.140625" style="8" customWidth="1"/>
    <col min="13826" max="13826" width="14.7109375" style="8" bestFit="1" customWidth="1"/>
    <col min="13827" max="13827" width="12.7109375" style="8" bestFit="1" customWidth="1"/>
    <col min="13828" max="13828" width="13.7109375" style="8" bestFit="1" customWidth="1"/>
    <col min="13829" max="13829" width="12.7109375" style="8" bestFit="1" customWidth="1"/>
    <col min="13830" max="13830" width="12.28515625" style="8" bestFit="1" customWidth="1"/>
    <col min="13831" max="13831" width="12.7109375" style="8" bestFit="1" customWidth="1"/>
    <col min="13832" max="13832" width="12.42578125" style="8" bestFit="1" customWidth="1"/>
    <col min="13833" max="13833" width="12.5703125" style="8" bestFit="1" customWidth="1"/>
    <col min="13834" max="13834" width="13.7109375" style="8" bestFit="1" customWidth="1"/>
    <col min="13835" max="13839" width="13.7109375" style="8" customWidth="1"/>
    <col min="13840" max="13840" width="16" style="8" customWidth="1"/>
    <col min="13841" max="13842" width="14" style="8" bestFit="1" customWidth="1"/>
    <col min="13843" max="13843" width="4.7109375" style="8" bestFit="1" customWidth="1"/>
    <col min="13844" max="14080" width="9.140625" style="8"/>
    <col min="14081" max="14081" width="12.140625" style="8" customWidth="1"/>
    <col min="14082" max="14082" width="14.7109375" style="8" bestFit="1" customWidth="1"/>
    <col min="14083" max="14083" width="12.7109375" style="8" bestFit="1" customWidth="1"/>
    <col min="14084" max="14084" width="13.7109375" style="8" bestFit="1" customWidth="1"/>
    <col min="14085" max="14085" width="12.7109375" style="8" bestFit="1" customWidth="1"/>
    <col min="14086" max="14086" width="12.28515625" style="8" bestFit="1" customWidth="1"/>
    <col min="14087" max="14087" width="12.7109375" style="8" bestFit="1" customWidth="1"/>
    <col min="14088" max="14088" width="12.42578125" style="8" bestFit="1" customWidth="1"/>
    <col min="14089" max="14089" width="12.5703125" style="8" bestFit="1" customWidth="1"/>
    <col min="14090" max="14090" width="13.7109375" style="8" bestFit="1" customWidth="1"/>
    <col min="14091" max="14095" width="13.7109375" style="8" customWidth="1"/>
    <col min="14096" max="14096" width="16" style="8" customWidth="1"/>
    <col min="14097" max="14098" width="14" style="8" bestFit="1" customWidth="1"/>
    <col min="14099" max="14099" width="4.7109375" style="8" bestFit="1" customWidth="1"/>
    <col min="14100" max="14336" width="9.140625" style="8"/>
    <col min="14337" max="14337" width="12.140625" style="8" customWidth="1"/>
    <col min="14338" max="14338" width="14.7109375" style="8" bestFit="1" customWidth="1"/>
    <col min="14339" max="14339" width="12.7109375" style="8" bestFit="1" customWidth="1"/>
    <col min="14340" max="14340" width="13.7109375" style="8" bestFit="1" customWidth="1"/>
    <col min="14341" max="14341" width="12.7109375" style="8" bestFit="1" customWidth="1"/>
    <col min="14342" max="14342" width="12.28515625" style="8" bestFit="1" customWidth="1"/>
    <col min="14343" max="14343" width="12.7109375" style="8" bestFit="1" customWidth="1"/>
    <col min="14344" max="14344" width="12.42578125" style="8" bestFit="1" customWidth="1"/>
    <col min="14345" max="14345" width="12.5703125" style="8" bestFit="1" customWidth="1"/>
    <col min="14346" max="14346" width="13.7109375" style="8" bestFit="1" customWidth="1"/>
    <col min="14347" max="14351" width="13.7109375" style="8" customWidth="1"/>
    <col min="14352" max="14352" width="16" style="8" customWidth="1"/>
    <col min="14353" max="14354" width="14" style="8" bestFit="1" customWidth="1"/>
    <col min="14355" max="14355" width="4.7109375" style="8" bestFit="1" customWidth="1"/>
    <col min="14356" max="14592" width="9.140625" style="8"/>
    <col min="14593" max="14593" width="12.140625" style="8" customWidth="1"/>
    <col min="14594" max="14594" width="14.7109375" style="8" bestFit="1" customWidth="1"/>
    <col min="14595" max="14595" width="12.7109375" style="8" bestFit="1" customWidth="1"/>
    <col min="14596" max="14596" width="13.7109375" style="8" bestFit="1" customWidth="1"/>
    <col min="14597" max="14597" width="12.7109375" style="8" bestFit="1" customWidth="1"/>
    <col min="14598" max="14598" width="12.28515625" style="8" bestFit="1" customWidth="1"/>
    <col min="14599" max="14599" width="12.7109375" style="8" bestFit="1" customWidth="1"/>
    <col min="14600" max="14600" width="12.42578125" style="8" bestFit="1" customWidth="1"/>
    <col min="14601" max="14601" width="12.5703125" style="8" bestFit="1" customWidth="1"/>
    <col min="14602" max="14602" width="13.7109375" style="8" bestFit="1" customWidth="1"/>
    <col min="14603" max="14607" width="13.7109375" style="8" customWidth="1"/>
    <col min="14608" max="14608" width="16" style="8" customWidth="1"/>
    <col min="14609" max="14610" width="14" style="8" bestFit="1" customWidth="1"/>
    <col min="14611" max="14611" width="4.7109375" style="8" bestFit="1" customWidth="1"/>
    <col min="14612" max="14848" width="9.140625" style="8"/>
    <col min="14849" max="14849" width="12.140625" style="8" customWidth="1"/>
    <col min="14850" max="14850" width="14.7109375" style="8" bestFit="1" customWidth="1"/>
    <col min="14851" max="14851" width="12.7109375" style="8" bestFit="1" customWidth="1"/>
    <col min="14852" max="14852" width="13.7109375" style="8" bestFit="1" customWidth="1"/>
    <col min="14853" max="14853" width="12.7109375" style="8" bestFit="1" customWidth="1"/>
    <col min="14854" max="14854" width="12.28515625" style="8" bestFit="1" customWidth="1"/>
    <col min="14855" max="14855" width="12.7109375" style="8" bestFit="1" customWidth="1"/>
    <col min="14856" max="14856" width="12.42578125" style="8" bestFit="1" customWidth="1"/>
    <col min="14857" max="14857" width="12.5703125" style="8" bestFit="1" customWidth="1"/>
    <col min="14858" max="14858" width="13.7109375" style="8" bestFit="1" customWidth="1"/>
    <col min="14859" max="14863" width="13.7109375" style="8" customWidth="1"/>
    <col min="14864" max="14864" width="16" style="8" customWidth="1"/>
    <col min="14865" max="14866" width="14" style="8" bestFit="1" customWidth="1"/>
    <col min="14867" max="14867" width="4.7109375" style="8" bestFit="1" customWidth="1"/>
    <col min="14868" max="15104" width="9.140625" style="8"/>
    <col min="15105" max="15105" width="12.140625" style="8" customWidth="1"/>
    <col min="15106" max="15106" width="14.7109375" style="8" bestFit="1" customWidth="1"/>
    <col min="15107" max="15107" width="12.7109375" style="8" bestFit="1" customWidth="1"/>
    <col min="15108" max="15108" width="13.7109375" style="8" bestFit="1" customWidth="1"/>
    <col min="15109" max="15109" width="12.7109375" style="8" bestFit="1" customWidth="1"/>
    <col min="15110" max="15110" width="12.28515625" style="8" bestFit="1" customWidth="1"/>
    <col min="15111" max="15111" width="12.7109375" style="8" bestFit="1" customWidth="1"/>
    <col min="15112" max="15112" width="12.42578125" style="8" bestFit="1" customWidth="1"/>
    <col min="15113" max="15113" width="12.5703125" style="8" bestFit="1" customWidth="1"/>
    <col min="15114" max="15114" width="13.7109375" style="8" bestFit="1" customWidth="1"/>
    <col min="15115" max="15119" width="13.7109375" style="8" customWidth="1"/>
    <col min="15120" max="15120" width="16" style="8" customWidth="1"/>
    <col min="15121" max="15122" width="14" style="8" bestFit="1" customWidth="1"/>
    <col min="15123" max="15123" width="4.7109375" style="8" bestFit="1" customWidth="1"/>
    <col min="15124" max="15360" width="9.140625" style="8"/>
    <col min="15361" max="15361" width="12.140625" style="8" customWidth="1"/>
    <col min="15362" max="15362" width="14.7109375" style="8" bestFit="1" customWidth="1"/>
    <col min="15363" max="15363" width="12.7109375" style="8" bestFit="1" customWidth="1"/>
    <col min="15364" max="15364" width="13.7109375" style="8" bestFit="1" customWidth="1"/>
    <col min="15365" max="15365" width="12.7109375" style="8" bestFit="1" customWidth="1"/>
    <col min="15366" max="15366" width="12.28515625" style="8" bestFit="1" customWidth="1"/>
    <col min="15367" max="15367" width="12.7109375" style="8" bestFit="1" customWidth="1"/>
    <col min="15368" max="15368" width="12.42578125" style="8" bestFit="1" customWidth="1"/>
    <col min="15369" max="15369" width="12.5703125" style="8" bestFit="1" customWidth="1"/>
    <col min="15370" max="15370" width="13.7109375" style="8" bestFit="1" customWidth="1"/>
    <col min="15371" max="15375" width="13.7109375" style="8" customWidth="1"/>
    <col min="15376" max="15376" width="16" style="8" customWidth="1"/>
    <col min="15377" max="15378" width="14" style="8" bestFit="1" customWidth="1"/>
    <col min="15379" max="15379" width="4.7109375" style="8" bestFit="1" customWidth="1"/>
    <col min="15380" max="15616" width="9.140625" style="8"/>
    <col min="15617" max="15617" width="12.140625" style="8" customWidth="1"/>
    <col min="15618" max="15618" width="14.7109375" style="8" bestFit="1" customWidth="1"/>
    <col min="15619" max="15619" width="12.7109375" style="8" bestFit="1" customWidth="1"/>
    <col min="15620" max="15620" width="13.7109375" style="8" bestFit="1" customWidth="1"/>
    <col min="15621" max="15621" width="12.7109375" style="8" bestFit="1" customWidth="1"/>
    <col min="15622" max="15622" width="12.28515625" style="8" bestFit="1" customWidth="1"/>
    <col min="15623" max="15623" width="12.7109375" style="8" bestFit="1" customWidth="1"/>
    <col min="15624" max="15624" width="12.42578125" style="8" bestFit="1" customWidth="1"/>
    <col min="15625" max="15625" width="12.5703125" style="8" bestFit="1" customWidth="1"/>
    <col min="15626" max="15626" width="13.7109375" style="8" bestFit="1" customWidth="1"/>
    <col min="15627" max="15631" width="13.7109375" style="8" customWidth="1"/>
    <col min="15632" max="15632" width="16" style="8" customWidth="1"/>
    <col min="15633" max="15634" width="14" style="8" bestFit="1" customWidth="1"/>
    <col min="15635" max="15635" width="4.7109375" style="8" bestFit="1" customWidth="1"/>
    <col min="15636" max="15872" width="9.140625" style="8"/>
    <col min="15873" max="15873" width="12.140625" style="8" customWidth="1"/>
    <col min="15874" max="15874" width="14.7109375" style="8" bestFit="1" customWidth="1"/>
    <col min="15875" max="15875" width="12.7109375" style="8" bestFit="1" customWidth="1"/>
    <col min="15876" max="15876" width="13.7109375" style="8" bestFit="1" customWidth="1"/>
    <col min="15877" max="15877" width="12.7109375" style="8" bestFit="1" customWidth="1"/>
    <col min="15878" max="15878" width="12.28515625" style="8" bestFit="1" customWidth="1"/>
    <col min="15879" max="15879" width="12.7109375" style="8" bestFit="1" customWidth="1"/>
    <col min="15880" max="15880" width="12.42578125" style="8" bestFit="1" customWidth="1"/>
    <col min="15881" max="15881" width="12.5703125" style="8" bestFit="1" customWidth="1"/>
    <col min="15882" max="15882" width="13.7109375" style="8" bestFit="1" customWidth="1"/>
    <col min="15883" max="15887" width="13.7109375" style="8" customWidth="1"/>
    <col min="15888" max="15888" width="16" style="8" customWidth="1"/>
    <col min="15889" max="15890" width="14" style="8" bestFit="1" customWidth="1"/>
    <col min="15891" max="15891" width="4.7109375" style="8" bestFit="1" customWidth="1"/>
    <col min="15892" max="16128" width="9.140625" style="8"/>
    <col min="16129" max="16129" width="12.140625" style="8" customWidth="1"/>
    <col min="16130" max="16130" width="14.7109375" style="8" bestFit="1" customWidth="1"/>
    <col min="16131" max="16131" width="12.7109375" style="8" bestFit="1" customWidth="1"/>
    <col min="16132" max="16132" width="13.7109375" style="8" bestFit="1" customWidth="1"/>
    <col min="16133" max="16133" width="12.7109375" style="8" bestFit="1" customWidth="1"/>
    <col min="16134" max="16134" width="12.28515625" style="8" bestFit="1" customWidth="1"/>
    <col min="16135" max="16135" width="12.7109375" style="8" bestFit="1" customWidth="1"/>
    <col min="16136" max="16136" width="12.42578125" style="8" bestFit="1" customWidth="1"/>
    <col min="16137" max="16137" width="12.5703125" style="8" bestFit="1" customWidth="1"/>
    <col min="16138" max="16138" width="13.7109375" style="8" bestFit="1" customWidth="1"/>
    <col min="16139" max="16143" width="13.7109375" style="8" customWidth="1"/>
    <col min="16144" max="16144" width="16" style="8" customWidth="1"/>
    <col min="16145" max="16146" width="14" style="8" bestFit="1" customWidth="1"/>
    <col min="16147" max="16147" width="4.7109375" style="8" bestFit="1" customWidth="1"/>
    <col min="16148" max="16384" width="9.140625" style="8"/>
  </cols>
  <sheetData>
    <row r="1" spans="1:18" ht="15.75" customHeight="1" x14ac:dyDescent="0.2">
      <c r="A1" s="392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5"/>
    </row>
    <row r="2" spans="1:18" x14ac:dyDescent="0.2">
      <c r="A2" s="394" t="str">
        <f>'Delivery Rate Change Calc'!A2:F2</f>
        <v>2021 Gas Decoupling Filing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124"/>
    </row>
    <row r="3" spans="1:18" x14ac:dyDescent="0.2">
      <c r="A3" s="392" t="s">
        <v>172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124"/>
    </row>
    <row r="4" spans="1:18" x14ac:dyDescent="0.2">
      <c r="A4" s="394" t="str">
        <f>'Delivery Rate Change Calc'!A4:F4</f>
        <v>Proposed Effective May 1, 2021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124"/>
    </row>
    <row r="5" spans="1:18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1:18" x14ac:dyDescent="0.2">
      <c r="A6" s="71" t="s">
        <v>173</v>
      </c>
      <c r="B6" s="71"/>
      <c r="C6" s="71"/>
      <c r="I6" s="71"/>
      <c r="J6" s="71"/>
      <c r="P6" s="141" t="s">
        <v>436</v>
      </c>
      <c r="Q6" s="125"/>
    </row>
    <row r="7" spans="1:18" x14ac:dyDescent="0.2">
      <c r="A7" s="55" t="s">
        <v>174</v>
      </c>
      <c r="B7" s="388">
        <v>44286</v>
      </c>
      <c r="C7" s="126">
        <f t="shared" ref="C7:D7" si="0">EDATE(B7,1)</f>
        <v>44316</v>
      </c>
      <c r="D7" s="126">
        <f t="shared" si="0"/>
        <v>44346</v>
      </c>
      <c r="E7" s="126">
        <f>EDATE(D7,1)</f>
        <v>44377</v>
      </c>
      <c r="F7" s="126">
        <f t="shared" ref="F7:O7" si="1">EDATE(E7,1)</f>
        <v>44407</v>
      </c>
      <c r="G7" s="126">
        <f t="shared" si="1"/>
        <v>44438</v>
      </c>
      <c r="H7" s="126">
        <f t="shared" si="1"/>
        <v>44469</v>
      </c>
      <c r="I7" s="126">
        <f t="shared" si="1"/>
        <v>44499</v>
      </c>
      <c r="J7" s="126">
        <f t="shared" si="1"/>
        <v>44530</v>
      </c>
      <c r="K7" s="126">
        <f t="shared" si="1"/>
        <v>44560</v>
      </c>
      <c r="L7" s="126">
        <f t="shared" si="1"/>
        <v>44591</v>
      </c>
      <c r="M7" s="126">
        <f t="shared" si="1"/>
        <v>44620</v>
      </c>
      <c r="N7" s="126">
        <f t="shared" si="1"/>
        <v>44648</v>
      </c>
      <c r="O7" s="126">
        <f t="shared" si="1"/>
        <v>44679</v>
      </c>
      <c r="P7" s="55" t="s">
        <v>72</v>
      </c>
    </row>
    <row r="8" spans="1:18" x14ac:dyDescent="0.2">
      <c r="A8" s="73">
        <v>16</v>
      </c>
      <c r="B8" s="185">
        <v>742</v>
      </c>
      <c r="C8" s="185">
        <v>664</v>
      </c>
      <c r="D8" s="185">
        <v>619</v>
      </c>
      <c r="E8" s="185">
        <v>605</v>
      </c>
      <c r="F8" s="185">
        <v>793</v>
      </c>
      <c r="G8" s="185">
        <v>843</v>
      </c>
      <c r="H8" s="185">
        <v>891</v>
      </c>
      <c r="I8" s="185">
        <v>857</v>
      </c>
      <c r="J8" s="185">
        <v>745</v>
      </c>
      <c r="K8" s="185">
        <v>856</v>
      </c>
      <c r="L8" s="185">
        <v>811</v>
      </c>
      <c r="M8" s="185">
        <v>593</v>
      </c>
      <c r="N8" s="185">
        <v>732</v>
      </c>
      <c r="O8" s="185">
        <v>654</v>
      </c>
      <c r="P8" s="120">
        <f>SUM(D8:O8)</f>
        <v>8999</v>
      </c>
    </row>
    <row r="9" spans="1:18" x14ac:dyDescent="0.2">
      <c r="A9" s="125">
        <v>23</v>
      </c>
      <c r="B9" s="185">
        <v>77400416</v>
      </c>
      <c r="C9" s="185">
        <v>54433083</v>
      </c>
      <c r="D9" s="185">
        <v>34938725</v>
      </c>
      <c r="E9" s="185">
        <v>21501725</v>
      </c>
      <c r="F9" s="185">
        <v>15475986</v>
      </c>
      <c r="G9" s="185">
        <v>14257580</v>
      </c>
      <c r="H9" s="185">
        <v>17773002</v>
      </c>
      <c r="I9" s="185">
        <v>38517907</v>
      </c>
      <c r="J9" s="185">
        <v>70573397</v>
      </c>
      <c r="K9" s="185">
        <v>99800088</v>
      </c>
      <c r="L9" s="185">
        <v>98358872</v>
      </c>
      <c r="M9" s="185">
        <v>82956080</v>
      </c>
      <c r="N9" s="185">
        <v>77662767</v>
      </c>
      <c r="O9" s="185">
        <v>54561019</v>
      </c>
      <c r="P9" s="120">
        <f>SUM(D9:O9)</f>
        <v>626377148</v>
      </c>
      <c r="Q9" s="128"/>
      <c r="R9" s="129"/>
    </row>
    <row r="10" spans="1:18" x14ac:dyDescent="0.2">
      <c r="A10" s="125">
        <v>31</v>
      </c>
      <c r="B10" s="185">
        <v>26523006</v>
      </c>
      <c r="C10" s="185">
        <v>19795661</v>
      </c>
      <c r="D10" s="185">
        <v>14608131</v>
      </c>
      <c r="E10" s="185">
        <v>10748127</v>
      </c>
      <c r="F10" s="185">
        <v>8675782</v>
      </c>
      <c r="G10" s="185">
        <v>8864324</v>
      </c>
      <c r="H10" s="185">
        <v>9414380</v>
      </c>
      <c r="I10" s="185">
        <v>15330016</v>
      </c>
      <c r="J10" s="185">
        <v>23861847</v>
      </c>
      <c r="K10" s="185">
        <v>32759960</v>
      </c>
      <c r="L10" s="185">
        <v>33064232</v>
      </c>
      <c r="M10" s="185">
        <v>28419815</v>
      </c>
      <c r="N10" s="185">
        <v>26816131</v>
      </c>
      <c r="O10" s="185">
        <v>20104911</v>
      </c>
      <c r="P10" s="120">
        <f t="shared" ref="P10:P13" si="2">SUM(D10:O10)</f>
        <v>232667656</v>
      </c>
      <c r="Q10" s="128"/>
      <c r="R10" s="129"/>
    </row>
    <row r="11" spans="1:18" x14ac:dyDescent="0.2">
      <c r="A11" s="125" t="s">
        <v>71</v>
      </c>
      <c r="B11" s="185">
        <v>2206</v>
      </c>
      <c r="C11" s="185">
        <v>1715</v>
      </c>
      <c r="D11" s="185">
        <v>1373</v>
      </c>
      <c r="E11" s="185">
        <v>1122</v>
      </c>
      <c r="F11" s="185">
        <v>1027</v>
      </c>
      <c r="G11" s="185">
        <v>1182</v>
      </c>
      <c r="H11" s="185">
        <v>1326</v>
      </c>
      <c r="I11" s="185">
        <v>1972</v>
      </c>
      <c r="J11" s="185">
        <v>2439</v>
      </c>
      <c r="K11" s="185">
        <v>3479</v>
      </c>
      <c r="L11" s="185">
        <v>2699</v>
      </c>
      <c r="M11" s="185">
        <v>2189</v>
      </c>
      <c r="N11" s="185">
        <v>2140</v>
      </c>
      <c r="O11" s="185">
        <v>1662</v>
      </c>
      <c r="P11" s="120">
        <f t="shared" si="2"/>
        <v>22610</v>
      </c>
      <c r="Q11" s="128"/>
      <c r="R11" s="129"/>
    </row>
    <row r="12" spans="1:18" x14ac:dyDescent="0.2">
      <c r="A12" s="125">
        <v>41</v>
      </c>
      <c r="B12" s="185">
        <v>6768611</v>
      </c>
      <c r="C12" s="185">
        <v>5658680</v>
      </c>
      <c r="D12" s="185">
        <v>4766458</v>
      </c>
      <c r="E12" s="185">
        <v>4032897</v>
      </c>
      <c r="F12" s="185">
        <v>3374428</v>
      </c>
      <c r="G12" s="185">
        <v>3101846</v>
      </c>
      <c r="H12" s="185">
        <v>3328718</v>
      </c>
      <c r="I12" s="185">
        <v>4986495</v>
      </c>
      <c r="J12" s="185">
        <v>6396959</v>
      </c>
      <c r="K12" s="185">
        <v>7685902</v>
      </c>
      <c r="L12" s="185">
        <v>7601529</v>
      </c>
      <c r="M12" s="185">
        <v>6827632</v>
      </c>
      <c r="N12" s="185">
        <v>6742262</v>
      </c>
      <c r="O12" s="185">
        <v>5660839</v>
      </c>
      <c r="P12" s="120">
        <f t="shared" si="2"/>
        <v>64505965</v>
      </c>
      <c r="Q12" s="128"/>
      <c r="R12" s="129"/>
    </row>
    <row r="13" spans="1:18" x14ac:dyDescent="0.2">
      <c r="A13" s="125" t="s">
        <v>75</v>
      </c>
      <c r="B13" s="185">
        <v>2172748</v>
      </c>
      <c r="C13" s="185">
        <v>2019704</v>
      </c>
      <c r="D13" s="185">
        <v>1985887</v>
      </c>
      <c r="E13" s="185">
        <v>1936401</v>
      </c>
      <c r="F13" s="185">
        <v>1771208</v>
      </c>
      <c r="G13" s="185">
        <v>1829959</v>
      </c>
      <c r="H13" s="185">
        <v>1758073</v>
      </c>
      <c r="I13" s="185">
        <v>1958044</v>
      </c>
      <c r="J13" s="185">
        <v>2045810</v>
      </c>
      <c r="K13" s="185">
        <v>2261888</v>
      </c>
      <c r="L13" s="185">
        <v>2271760</v>
      </c>
      <c r="M13" s="185">
        <v>2034924</v>
      </c>
      <c r="N13" s="185">
        <v>2236239</v>
      </c>
      <c r="O13" s="185">
        <v>2078119</v>
      </c>
      <c r="P13" s="120">
        <f t="shared" si="2"/>
        <v>24168312</v>
      </c>
      <c r="Q13" s="128"/>
      <c r="R13" s="129"/>
    </row>
    <row r="14" spans="1:18" x14ac:dyDescent="0.2">
      <c r="A14" s="125">
        <v>53</v>
      </c>
      <c r="B14" s="185">
        <v>0</v>
      </c>
      <c r="C14" s="185">
        <v>0</v>
      </c>
      <c r="D14" s="185">
        <v>0</v>
      </c>
      <c r="E14" s="185">
        <v>0</v>
      </c>
      <c r="F14" s="185">
        <v>0</v>
      </c>
      <c r="G14" s="185">
        <v>0</v>
      </c>
      <c r="H14" s="185">
        <v>0</v>
      </c>
      <c r="I14" s="185">
        <v>0</v>
      </c>
      <c r="J14" s="185">
        <v>0</v>
      </c>
      <c r="K14" s="185">
        <v>0</v>
      </c>
      <c r="L14" s="185">
        <v>0</v>
      </c>
      <c r="M14" s="185">
        <v>0</v>
      </c>
      <c r="N14" s="185">
        <v>0</v>
      </c>
      <c r="O14" s="185">
        <v>0</v>
      </c>
      <c r="P14" s="120">
        <f>SUM(D14:O14)</f>
        <v>0</v>
      </c>
      <c r="Q14" s="128"/>
      <c r="R14" s="129"/>
    </row>
    <row r="15" spans="1:18" x14ac:dyDescent="0.2">
      <c r="A15" s="125">
        <v>85</v>
      </c>
      <c r="B15" s="185">
        <v>1104087</v>
      </c>
      <c r="C15" s="185">
        <v>1001429</v>
      </c>
      <c r="D15" s="185">
        <v>780959</v>
      </c>
      <c r="E15" s="185">
        <v>562486</v>
      </c>
      <c r="F15" s="185">
        <v>528197</v>
      </c>
      <c r="G15" s="185">
        <v>522826</v>
      </c>
      <c r="H15" s="185">
        <v>512346</v>
      </c>
      <c r="I15" s="185">
        <v>544180</v>
      </c>
      <c r="J15" s="185">
        <v>874871</v>
      </c>
      <c r="K15" s="185">
        <v>1050437</v>
      </c>
      <c r="L15" s="185">
        <v>1205906</v>
      </c>
      <c r="M15" s="185">
        <v>1075360</v>
      </c>
      <c r="N15" s="185">
        <v>1077629</v>
      </c>
      <c r="O15" s="185">
        <v>982126</v>
      </c>
      <c r="P15" s="120">
        <f t="shared" ref="P15:P21" si="3">SUM(D15:O15)</f>
        <v>9717323</v>
      </c>
      <c r="Q15" s="128"/>
      <c r="R15" s="129"/>
    </row>
    <row r="16" spans="1:18" x14ac:dyDescent="0.2">
      <c r="A16" s="125" t="s">
        <v>124</v>
      </c>
      <c r="B16" s="185">
        <v>6198708</v>
      </c>
      <c r="C16" s="185">
        <v>6580181</v>
      </c>
      <c r="D16" s="185">
        <v>6112186</v>
      </c>
      <c r="E16" s="185">
        <v>5822584</v>
      </c>
      <c r="F16" s="185">
        <v>5495243</v>
      </c>
      <c r="G16" s="185">
        <v>5815394</v>
      </c>
      <c r="H16" s="185">
        <v>5680544</v>
      </c>
      <c r="I16" s="185">
        <v>6102449</v>
      </c>
      <c r="J16" s="185">
        <v>6326376</v>
      </c>
      <c r="K16" s="185">
        <v>5961270</v>
      </c>
      <c r="L16" s="185">
        <v>6250197</v>
      </c>
      <c r="M16" s="185">
        <v>5739687</v>
      </c>
      <c r="N16" s="185">
        <v>6162468</v>
      </c>
      <c r="O16" s="185">
        <v>6548017</v>
      </c>
      <c r="P16" s="120">
        <f t="shared" si="3"/>
        <v>72016415</v>
      </c>
      <c r="Q16" s="128"/>
      <c r="R16" s="129"/>
    </row>
    <row r="17" spans="1:18" x14ac:dyDescent="0.2">
      <c r="A17" s="125">
        <v>86</v>
      </c>
      <c r="B17" s="185">
        <v>615365</v>
      </c>
      <c r="C17" s="185">
        <v>570848</v>
      </c>
      <c r="D17" s="185">
        <v>432431</v>
      </c>
      <c r="E17" s="185">
        <v>270483</v>
      </c>
      <c r="F17" s="185">
        <v>149193</v>
      </c>
      <c r="G17" s="185">
        <v>103627</v>
      </c>
      <c r="H17" s="185">
        <v>124933</v>
      </c>
      <c r="I17" s="185">
        <v>242604</v>
      </c>
      <c r="J17" s="185">
        <v>413721</v>
      </c>
      <c r="K17" s="185">
        <v>587578</v>
      </c>
      <c r="L17" s="185">
        <v>592557</v>
      </c>
      <c r="M17" s="185">
        <v>540889</v>
      </c>
      <c r="N17" s="185">
        <v>566054</v>
      </c>
      <c r="O17" s="185">
        <v>527395</v>
      </c>
      <c r="P17" s="120">
        <f t="shared" si="3"/>
        <v>4551465</v>
      </c>
      <c r="Q17" s="128"/>
      <c r="R17" s="129"/>
    </row>
    <row r="18" spans="1:18" x14ac:dyDescent="0.2">
      <c r="A18" s="125" t="s">
        <v>78</v>
      </c>
      <c r="B18" s="185">
        <v>21372</v>
      </c>
      <c r="C18" s="185">
        <v>17462</v>
      </c>
      <c r="D18" s="185">
        <v>13997</v>
      </c>
      <c r="E18" s="185">
        <v>15002</v>
      </c>
      <c r="F18" s="185">
        <v>11959</v>
      </c>
      <c r="G18" s="185">
        <v>10855</v>
      </c>
      <c r="H18" s="185">
        <v>6726</v>
      </c>
      <c r="I18" s="185">
        <v>10510</v>
      </c>
      <c r="J18" s="185">
        <v>22518</v>
      </c>
      <c r="K18" s="185">
        <v>24333</v>
      </c>
      <c r="L18" s="185">
        <v>23697</v>
      </c>
      <c r="M18" s="185">
        <v>21729</v>
      </c>
      <c r="N18" s="185">
        <v>21506</v>
      </c>
      <c r="O18" s="185">
        <v>17592</v>
      </c>
      <c r="P18" s="120">
        <f t="shared" si="3"/>
        <v>200424</v>
      </c>
      <c r="Q18" s="128"/>
      <c r="R18" s="129"/>
    </row>
    <row r="19" spans="1:18" x14ac:dyDescent="0.2">
      <c r="A19" s="125">
        <v>87</v>
      </c>
      <c r="B19" s="185">
        <v>1524538</v>
      </c>
      <c r="C19" s="185">
        <v>1184385</v>
      </c>
      <c r="D19" s="185">
        <v>1152303</v>
      </c>
      <c r="E19" s="185">
        <v>805416</v>
      </c>
      <c r="F19" s="185">
        <v>789650</v>
      </c>
      <c r="G19" s="185">
        <v>774985</v>
      </c>
      <c r="H19" s="185">
        <v>782465</v>
      </c>
      <c r="I19" s="185">
        <v>1062362</v>
      </c>
      <c r="J19" s="185">
        <v>1385968</v>
      </c>
      <c r="K19" s="185">
        <v>1719523</v>
      </c>
      <c r="L19" s="185">
        <v>1688839</v>
      </c>
      <c r="M19" s="185">
        <v>1433410</v>
      </c>
      <c r="N19" s="185">
        <v>1490563</v>
      </c>
      <c r="O19" s="185">
        <v>1163210</v>
      </c>
      <c r="P19" s="120">
        <f t="shared" si="3"/>
        <v>14248694</v>
      </c>
      <c r="Q19" s="128"/>
      <c r="R19" s="129"/>
    </row>
    <row r="20" spans="1:18" x14ac:dyDescent="0.2">
      <c r="A20" s="125" t="s">
        <v>126</v>
      </c>
      <c r="B20" s="185">
        <v>8236762</v>
      </c>
      <c r="C20" s="185">
        <v>7411757</v>
      </c>
      <c r="D20" s="185">
        <v>7792150</v>
      </c>
      <c r="E20" s="185">
        <v>7329495</v>
      </c>
      <c r="F20" s="185">
        <v>7958506</v>
      </c>
      <c r="G20" s="185">
        <v>7347866</v>
      </c>
      <c r="H20" s="185">
        <v>7297242</v>
      </c>
      <c r="I20" s="185">
        <v>7835761</v>
      </c>
      <c r="J20" s="185">
        <v>7108943</v>
      </c>
      <c r="K20" s="185">
        <v>8324277</v>
      </c>
      <c r="L20" s="185">
        <v>8205330</v>
      </c>
      <c r="M20" s="185">
        <v>7268522</v>
      </c>
      <c r="N20" s="185">
        <v>8214552</v>
      </c>
      <c r="O20" s="185">
        <v>7404432</v>
      </c>
      <c r="P20" s="120">
        <f t="shared" si="3"/>
        <v>92087076</v>
      </c>
      <c r="Q20" s="128"/>
      <c r="R20" s="129"/>
    </row>
    <row r="21" spans="1:18" x14ac:dyDescent="0.2">
      <c r="A21" s="125" t="s">
        <v>175</v>
      </c>
      <c r="B21" s="185">
        <v>3296678</v>
      </c>
      <c r="C21" s="185">
        <v>2730362</v>
      </c>
      <c r="D21" s="185">
        <v>2344167</v>
      </c>
      <c r="E21" s="185">
        <v>1952097</v>
      </c>
      <c r="F21" s="185">
        <v>1714220</v>
      </c>
      <c r="G21" s="185">
        <v>1707447</v>
      </c>
      <c r="H21" s="185">
        <v>1777317</v>
      </c>
      <c r="I21" s="185">
        <v>2358155</v>
      </c>
      <c r="J21" s="185">
        <v>3336235</v>
      </c>
      <c r="K21" s="185">
        <v>3936859</v>
      </c>
      <c r="L21" s="185">
        <v>3876393</v>
      </c>
      <c r="M21" s="185">
        <v>3369913</v>
      </c>
      <c r="N21" s="185">
        <v>3317320</v>
      </c>
      <c r="O21" s="185">
        <v>2750737</v>
      </c>
      <c r="P21" s="120">
        <f t="shared" si="3"/>
        <v>32440860</v>
      </c>
      <c r="Q21" s="128"/>
      <c r="R21" s="129"/>
    </row>
    <row r="22" spans="1:18" x14ac:dyDescent="0.2">
      <c r="A22" s="8" t="s">
        <v>72</v>
      </c>
      <c r="B22" s="122">
        <f>SUM(B8:B21)</f>
        <v>133865239</v>
      </c>
      <c r="C22" s="122">
        <f t="shared" ref="C22:O22" si="4">SUM(C8:C21)</f>
        <v>101405931</v>
      </c>
      <c r="D22" s="122">
        <f t="shared" si="4"/>
        <v>74929386</v>
      </c>
      <c r="E22" s="122">
        <f t="shared" si="4"/>
        <v>54978440</v>
      </c>
      <c r="F22" s="122">
        <f t="shared" si="4"/>
        <v>45946192</v>
      </c>
      <c r="G22" s="122">
        <f t="shared" si="4"/>
        <v>44338734</v>
      </c>
      <c r="H22" s="122">
        <f t="shared" si="4"/>
        <v>48457963</v>
      </c>
      <c r="I22" s="122">
        <f t="shared" si="4"/>
        <v>78951312</v>
      </c>
      <c r="J22" s="122">
        <f t="shared" si="4"/>
        <v>122349829</v>
      </c>
      <c r="K22" s="122">
        <f t="shared" si="4"/>
        <v>164116450</v>
      </c>
      <c r="L22" s="122">
        <f t="shared" si="4"/>
        <v>163142822</v>
      </c>
      <c r="M22" s="122">
        <f t="shared" si="4"/>
        <v>139690743</v>
      </c>
      <c r="N22" s="122">
        <f t="shared" si="4"/>
        <v>134310363</v>
      </c>
      <c r="O22" s="122">
        <f t="shared" si="4"/>
        <v>101800713</v>
      </c>
      <c r="P22" s="122">
        <f>SUM(P8:P21)</f>
        <v>1173012947</v>
      </c>
      <c r="Q22" s="128"/>
      <c r="R22" s="129"/>
    </row>
    <row r="23" spans="1:18" x14ac:dyDescent="0.2">
      <c r="A23" s="125"/>
      <c r="B23" s="125"/>
      <c r="C23" s="125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0"/>
      <c r="Q23" s="128"/>
      <c r="R23" s="129"/>
    </row>
    <row r="24" spans="1:18" x14ac:dyDescent="0.2">
      <c r="A24" s="130" t="s">
        <v>178</v>
      </c>
      <c r="B24" s="120">
        <f>SUM(B9,B14)</f>
        <v>77400416</v>
      </c>
      <c r="C24" s="120">
        <f t="shared" ref="C24:O24" si="5">SUM(C9,C14)</f>
        <v>54433083</v>
      </c>
      <c r="D24" s="120">
        <f t="shared" si="5"/>
        <v>34938725</v>
      </c>
      <c r="E24" s="120">
        <f t="shared" si="5"/>
        <v>21501725</v>
      </c>
      <c r="F24" s="120">
        <f t="shared" si="5"/>
        <v>15475986</v>
      </c>
      <c r="G24" s="120">
        <f t="shared" si="5"/>
        <v>14257580</v>
      </c>
      <c r="H24" s="120">
        <f t="shared" si="5"/>
        <v>17773002</v>
      </c>
      <c r="I24" s="120">
        <f t="shared" si="5"/>
        <v>38517907</v>
      </c>
      <c r="J24" s="120">
        <f t="shared" si="5"/>
        <v>70573397</v>
      </c>
      <c r="K24" s="120">
        <f t="shared" si="5"/>
        <v>99800088</v>
      </c>
      <c r="L24" s="120">
        <f t="shared" si="5"/>
        <v>98358872</v>
      </c>
      <c r="M24" s="120">
        <f t="shared" si="5"/>
        <v>82956080</v>
      </c>
      <c r="N24" s="120">
        <f t="shared" si="5"/>
        <v>77662767</v>
      </c>
      <c r="O24" s="120">
        <f t="shared" si="5"/>
        <v>54561019</v>
      </c>
      <c r="P24" s="120">
        <f>SUM(D24:O24)</f>
        <v>626377148</v>
      </c>
      <c r="Q24" s="128"/>
      <c r="R24" s="129"/>
    </row>
    <row r="25" spans="1:18" x14ac:dyDescent="0.2">
      <c r="A25" s="130" t="s">
        <v>179</v>
      </c>
      <c r="B25" s="120">
        <f>SUM(B10:B11)</f>
        <v>26525212</v>
      </c>
      <c r="C25" s="120">
        <f t="shared" ref="C25:O25" si="6">SUM(C10:C11)</f>
        <v>19797376</v>
      </c>
      <c r="D25" s="120">
        <f t="shared" si="6"/>
        <v>14609504</v>
      </c>
      <c r="E25" s="120">
        <f t="shared" si="6"/>
        <v>10749249</v>
      </c>
      <c r="F25" s="120">
        <f t="shared" si="6"/>
        <v>8676809</v>
      </c>
      <c r="G25" s="120">
        <f t="shared" si="6"/>
        <v>8865506</v>
      </c>
      <c r="H25" s="120">
        <f t="shared" si="6"/>
        <v>9415706</v>
      </c>
      <c r="I25" s="120">
        <f t="shared" si="6"/>
        <v>15331988</v>
      </c>
      <c r="J25" s="120">
        <f t="shared" si="6"/>
        <v>23864286</v>
      </c>
      <c r="K25" s="120">
        <f t="shared" si="6"/>
        <v>32763439</v>
      </c>
      <c r="L25" s="120">
        <f t="shared" si="6"/>
        <v>33066931</v>
      </c>
      <c r="M25" s="120">
        <f t="shared" si="6"/>
        <v>28422004</v>
      </c>
      <c r="N25" s="120">
        <f t="shared" si="6"/>
        <v>26818271</v>
      </c>
      <c r="O25" s="120">
        <f t="shared" si="6"/>
        <v>20106573</v>
      </c>
      <c r="P25" s="120">
        <f t="shared" ref="P25:P26" si="7">SUM(D25:O25)</f>
        <v>232690266</v>
      </c>
      <c r="Q25" s="131"/>
      <c r="R25" s="129"/>
    </row>
    <row r="26" spans="1:18" x14ac:dyDescent="0.2">
      <c r="A26" s="130" t="s">
        <v>180</v>
      </c>
      <c r="B26" s="132">
        <f>SUM(B12:B13,B17:B18)</f>
        <v>9578096</v>
      </c>
      <c r="C26" s="132">
        <f t="shared" ref="C26:O26" si="8">SUM(C12:C13,C17:C18)</f>
        <v>8266694</v>
      </c>
      <c r="D26" s="132">
        <f t="shared" si="8"/>
        <v>7198773</v>
      </c>
      <c r="E26" s="132">
        <f t="shared" si="8"/>
        <v>6254783</v>
      </c>
      <c r="F26" s="132">
        <f t="shared" si="8"/>
        <v>5306788</v>
      </c>
      <c r="G26" s="132">
        <f t="shared" si="8"/>
        <v>5046287</v>
      </c>
      <c r="H26" s="132">
        <f t="shared" si="8"/>
        <v>5218450</v>
      </c>
      <c r="I26" s="132">
        <f t="shared" si="8"/>
        <v>7197653</v>
      </c>
      <c r="J26" s="132">
        <f t="shared" si="8"/>
        <v>8879008</v>
      </c>
      <c r="K26" s="132">
        <f t="shared" si="8"/>
        <v>10559701</v>
      </c>
      <c r="L26" s="132">
        <f t="shared" si="8"/>
        <v>10489543</v>
      </c>
      <c r="M26" s="132">
        <f t="shared" si="8"/>
        <v>9425174</v>
      </c>
      <c r="N26" s="132">
        <f t="shared" si="8"/>
        <v>9566061</v>
      </c>
      <c r="O26" s="132">
        <f t="shared" si="8"/>
        <v>8283945</v>
      </c>
      <c r="P26" s="120">
        <f t="shared" si="7"/>
        <v>93426166</v>
      </c>
      <c r="Q26" s="131"/>
      <c r="R26" s="129"/>
    </row>
    <row r="27" spans="1:18" x14ac:dyDescent="0.2">
      <c r="A27" s="130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20"/>
      <c r="Q27" s="131"/>
      <c r="R27" s="129"/>
    </row>
    <row r="28" spans="1:18" x14ac:dyDescent="0.2">
      <c r="A28" s="130"/>
      <c r="B28" s="130"/>
      <c r="C28" s="13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</row>
    <row r="29" spans="1:18" x14ac:dyDescent="0.2">
      <c r="A29" s="71" t="s">
        <v>176</v>
      </c>
      <c r="B29" s="71"/>
      <c r="C29" s="71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 t="str">
        <f>P6</f>
        <v>12ME Apr 2022</v>
      </c>
    </row>
    <row r="30" spans="1:18" x14ac:dyDescent="0.2">
      <c r="A30" s="55" t="s">
        <v>174</v>
      </c>
      <c r="B30" s="126">
        <f t="shared" ref="B30:O30" si="9">B7</f>
        <v>44286</v>
      </c>
      <c r="C30" s="126">
        <f t="shared" si="9"/>
        <v>44316</v>
      </c>
      <c r="D30" s="126">
        <f t="shared" si="9"/>
        <v>44346</v>
      </c>
      <c r="E30" s="126">
        <f t="shared" si="9"/>
        <v>44377</v>
      </c>
      <c r="F30" s="126">
        <f t="shared" si="9"/>
        <v>44407</v>
      </c>
      <c r="G30" s="126">
        <f t="shared" si="9"/>
        <v>44438</v>
      </c>
      <c r="H30" s="126">
        <f t="shared" si="9"/>
        <v>44469</v>
      </c>
      <c r="I30" s="126">
        <f t="shared" si="9"/>
        <v>44499</v>
      </c>
      <c r="J30" s="126">
        <f t="shared" si="9"/>
        <v>44530</v>
      </c>
      <c r="K30" s="126">
        <f t="shared" si="9"/>
        <v>44560</v>
      </c>
      <c r="L30" s="126">
        <f t="shared" si="9"/>
        <v>44591</v>
      </c>
      <c r="M30" s="126">
        <f t="shared" si="9"/>
        <v>44620</v>
      </c>
      <c r="N30" s="126">
        <f t="shared" si="9"/>
        <v>44648</v>
      </c>
      <c r="O30" s="126">
        <f t="shared" si="9"/>
        <v>44679</v>
      </c>
      <c r="P30" s="133" t="s">
        <v>177</v>
      </c>
      <c r="Q30" s="134"/>
      <c r="R30" s="134"/>
    </row>
    <row r="31" spans="1:18" x14ac:dyDescent="0.2">
      <c r="A31" s="73">
        <v>16</v>
      </c>
      <c r="B31" s="185">
        <v>6</v>
      </c>
      <c r="C31" s="185">
        <v>6</v>
      </c>
      <c r="D31" s="185">
        <v>6</v>
      </c>
      <c r="E31" s="185">
        <v>6</v>
      </c>
      <c r="F31" s="185">
        <v>6</v>
      </c>
      <c r="G31" s="185">
        <v>6</v>
      </c>
      <c r="H31" s="185">
        <v>6</v>
      </c>
      <c r="I31" s="185">
        <v>6</v>
      </c>
      <c r="J31" s="185">
        <v>6</v>
      </c>
      <c r="K31" s="185">
        <v>6</v>
      </c>
      <c r="L31" s="185">
        <v>6</v>
      </c>
      <c r="M31" s="185">
        <v>6</v>
      </c>
      <c r="N31" s="185">
        <v>6</v>
      </c>
      <c r="O31" s="185">
        <v>6</v>
      </c>
      <c r="P31" s="135">
        <f>AVERAGE(D31:O31)</f>
        <v>6</v>
      </c>
      <c r="Q31" s="134"/>
      <c r="R31" s="134"/>
    </row>
    <row r="32" spans="1:18" x14ac:dyDescent="0.2">
      <c r="A32" s="125">
        <v>23</v>
      </c>
      <c r="B32" s="185">
        <v>799635</v>
      </c>
      <c r="C32" s="185">
        <v>799504</v>
      </c>
      <c r="D32" s="185">
        <v>799743</v>
      </c>
      <c r="E32" s="185">
        <v>799979</v>
      </c>
      <c r="F32" s="185">
        <v>800214</v>
      </c>
      <c r="G32" s="185">
        <v>800447</v>
      </c>
      <c r="H32" s="185">
        <v>801394</v>
      </c>
      <c r="I32" s="185">
        <v>804001</v>
      </c>
      <c r="J32" s="185">
        <v>806171</v>
      </c>
      <c r="K32" s="185">
        <v>807579</v>
      </c>
      <c r="L32" s="185">
        <v>808551</v>
      </c>
      <c r="M32" s="185">
        <v>809114</v>
      </c>
      <c r="N32" s="185">
        <v>809385</v>
      </c>
      <c r="O32" s="185">
        <v>809243</v>
      </c>
      <c r="P32" s="135">
        <f>AVERAGE(D32:O32)</f>
        <v>804651.75</v>
      </c>
    </row>
    <row r="33" spans="1:18" x14ac:dyDescent="0.2">
      <c r="A33" s="125">
        <v>31</v>
      </c>
      <c r="B33" s="185">
        <v>57312</v>
      </c>
      <c r="C33" s="185">
        <v>57311</v>
      </c>
      <c r="D33" s="185">
        <v>57328</v>
      </c>
      <c r="E33" s="185">
        <v>57346</v>
      </c>
      <c r="F33" s="185">
        <v>57391</v>
      </c>
      <c r="G33" s="185">
        <v>57452</v>
      </c>
      <c r="H33" s="185">
        <v>57505</v>
      </c>
      <c r="I33" s="185">
        <v>57569</v>
      </c>
      <c r="J33" s="185">
        <v>57643</v>
      </c>
      <c r="K33" s="185">
        <v>57730</v>
      </c>
      <c r="L33" s="185">
        <v>57843</v>
      </c>
      <c r="M33" s="185">
        <v>57884</v>
      </c>
      <c r="N33" s="185">
        <v>57955</v>
      </c>
      <c r="O33" s="185">
        <v>57903</v>
      </c>
      <c r="P33" s="135">
        <f t="shared" ref="P33:P44" si="10">AVERAGE(D33:O33)</f>
        <v>57629.083333333336</v>
      </c>
      <c r="Q33" s="136"/>
      <c r="R33" s="136"/>
    </row>
    <row r="34" spans="1:18" x14ac:dyDescent="0.2">
      <c r="A34" s="125" t="s">
        <v>71</v>
      </c>
      <c r="B34" s="185">
        <v>2</v>
      </c>
      <c r="C34" s="185">
        <v>2</v>
      </c>
      <c r="D34" s="185">
        <v>2</v>
      </c>
      <c r="E34" s="185">
        <v>2</v>
      </c>
      <c r="F34" s="185">
        <v>2</v>
      </c>
      <c r="G34" s="185">
        <v>2</v>
      </c>
      <c r="H34" s="185">
        <v>2</v>
      </c>
      <c r="I34" s="185">
        <v>2</v>
      </c>
      <c r="J34" s="185">
        <v>2</v>
      </c>
      <c r="K34" s="185">
        <v>2</v>
      </c>
      <c r="L34" s="185">
        <v>2</v>
      </c>
      <c r="M34" s="185">
        <v>2</v>
      </c>
      <c r="N34" s="185">
        <v>2</v>
      </c>
      <c r="O34" s="185">
        <v>2</v>
      </c>
      <c r="P34" s="135">
        <f t="shared" si="10"/>
        <v>2</v>
      </c>
      <c r="Q34" s="136"/>
      <c r="R34" s="136"/>
    </row>
    <row r="35" spans="1:18" x14ac:dyDescent="0.2">
      <c r="A35" s="125">
        <v>41</v>
      </c>
      <c r="B35" s="185">
        <v>1334</v>
      </c>
      <c r="C35" s="185">
        <v>1325</v>
      </c>
      <c r="D35" s="185">
        <v>1320</v>
      </c>
      <c r="E35" s="185">
        <v>1324</v>
      </c>
      <c r="F35" s="185">
        <v>1324</v>
      </c>
      <c r="G35" s="185">
        <v>1320</v>
      </c>
      <c r="H35" s="185">
        <v>1330</v>
      </c>
      <c r="I35" s="185">
        <v>1334</v>
      </c>
      <c r="J35" s="185">
        <v>1332</v>
      </c>
      <c r="K35" s="185">
        <v>1329</v>
      </c>
      <c r="L35" s="185">
        <v>1337</v>
      </c>
      <c r="M35" s="185">
        <v>1332</v>
      </c>
      <c r="N35" s="185">
        <v>1335</v>
      </c>
      <c r="O35" s="185">
        <v>1326</v>
      </c>
      <c r="P35" s="135">
        <f t="shared" si="10"/>
        <v>1328.5833333333333</v>
      </c>
      <c r="Q35" s="63"/>
      <c r="R35" s="63"/>
    </row>
    <row r="36" spans="1:18" x14ac:dyDescent="0.2">
      <c r="A36" s="125" t="s">
        <v>75</v>
      </c>
      <c r="B36" s="185">
        <v>111</v>
      </c>
      <c r="C36" s="185">
        <v>111</v>
      </c>
      <c r="D36" s="185">
        <v>111</v>
      </c>
      <c r="E36" s="185">
        <v>112</v>
      </c>
      <c r="F36" s="185">
        <v>112</v>
      </c>
      <c r="G36" s="185">
        <v>112</v>
      </c>
      <c r="H36" s="185">
        <v>113</v>
      </c>
      <c r="I36" s="185">
        <v>113</v>
      </c>
      <c r="J36" s="185">
        <v>113</v>
      </c>
      <c r="K36" s="185">
        <v>113</v>
      </c>
      <c r="L36" s="185">
        <v>112</v>
      </c>
      <c r="M36" s="185">
        <v>112</v>
      </c>
      <c r="N36" s="185">
        <v>113</v>
      </c>
      <c r="O36" s="185">
        <v>113</v>
      </c>
      <c r="P36" s="135">
        <f t="shared" si="10"/>
        <v>112.41666666666667</v>
      </c>
      <c r="Q36" s="63"/>
      <c r="R36" s="63"/>
    </row>
    <row r="37" spans="1:18" x14ac:dyDescent="0.2">
      <c r="A37" s="125">
        <v>53</v>
      </c>
      <c r="B37" s="185">
        <v>0</v>
      </c>
      <c r="C37" s="185">
        <v>0</v>
      </c>
      <c r="D37" s="185">
        <v>0</v>
      </c>
      <c r="E37" s="185">
        <v>0</v>
      </c>
      <c r="F37" s="185">
        <v>0</v>
      </c>
      <c r="G37" s="185">
        <v>0</v>
      </c>
      <c r="H37" s="185">
        <v>0</v>
      </c>
      <c r="I37" s="185">
        <v>0</v>
      </c>
      <c r="J37" s="185">
        <v>0</v>
      </c>
      <c r="K37" s="185">
        <v>0</v>
      </c>
      <c r="L37" s="185">
        <v>0</v>
      </c>
      <c r="M37" s="185">
        <v>0</v>
      </c>
      <c r="N37" s="185">
        <v>0</v>
      </c>
      <c r="O37" s="185">
        <v>0</v>
      </c>
      <c r="P37" s="135">
        <f t="shared" si="10"/>
        <v>0</v>
      </c>
      <c r="Q37" s="63"/>
      <c r="R37" s="63"/>
    </row>
    <row r="38" spans="1:18" x14ac:dyDescent="0.2">
      <c r="A38" s="125">
        <v>85</v>
      </c>
      <c r="B38" s="185">
        <v>20</v>
      </c>
      <c r="C38" s="185">
        <v>20</v>
      </c>
      <c r="D38" s="185">
        <v>20</v>
      </c>
      <c r="E38" s="185">
        <v>20</v>
      </c>
      <c r="F38" s="185">
        <v>20</v>
      </c>
      <c r="G38" s="185">
        <v>20</v>
      </c>
      <c r="H38" s="185">
        <v>20</v>
      </c>
      <c r="I38" s="185">
        <v>21</v>
      </c>
      <c r="J38" s="185">
        <v>20</v>
      </c>
      <c r="K38" s="185">
        <v>21</v>
      </c>
      <c r="L38" s="185">
        <v>21</v>
      </c>
      <c r="M38" s="185">
        <v>21</v>
      </c>
      <c r="N38" s="185">
        <v>21</v>
      </c>
      <c r="O38" s="185">
        <v>21</v>
      </c>
      <c r="P38" s="135">
        <f t="shared" si="10"/>
        <v>20.5</v>
      </c>
      <c r="Q38" s="63"/>
      <c r="R38" s="63"/>
    </row>
    <row r="39" spans="1:18" x14ac:dyDescent="0.2">
      <c r="A39" s="125" t="s">
        <v>124</v>
      </c>
      <c r="B39" s="185">
        <v>92</v>
      </c>
      <c r="C39" s="185">
        <v>92</v>
      </c>
      <c r="D39" s="185">
        <v>91</v>
      </c>
      <c r="E39" s="185">
        <v>91</v>
      </c>
      <c r="F39" s="185">
        <v>91</v>
      </c>
      <c r="G39" s="185">
        <v>91</v>
      </c>
      <c r="H39" s="185">
        <v>91</v>
      </c>
      <c r="I39" s="185">
        <v>90</v>
      </c>
      <c r="J39" s="185">
        <v>90</v>
      </c>
      <c r="K39" s="185">
        <v>90</v>
      </c>
      <c r="L39" s="185">
        <v>91</v>
      </c>
      <c r="M39" s="185">
        <v>91</v>
      </c>
      <c r="N39" s="185">
        <v>91</v>
      </c>
      <c r="O39" s="185">
        <v>91</v>
      </c>
      <c r="P39" s="135">
        <f t="shared" si="10"/>
        <v>90.75</v>
      </c>
      <c r="Q39" s="63"/>
      <c r="R39" s="63"/>
    </row>
    <row r="40" spans="1:18" x14ac:dyDescent="0.2">
      <c r="A40" s="125">
        <v>86</v>
      </c>
      <c r="B40" s="185">
        <v>131</v>
      </c>
      <c r="C40" s="185">
        <v>131</v>
      </c>
      <c r="D40" s="185">
        <v>130</v>
      </c>
      <c r="E40" s="185">
        <v>130</v>
      </c>
      <c r="F40" s="185">
        <v>129</v>
      </c>
      <c r="G40" s="185">
        <v>129</v>
      </c>
      <c r="H40" s="185">
        <v>128</v>
      </c>
      <c r="I40" s="185">
        <v>128</v>
      </c>
      <c r="J40" s="185">
        <v>127</v>
      </c>
      <c r="K40" s="185">
        <v>127</v>
      </c>
      <c r="L40" s="185">
        <v>126</v>
      </c>
      <c r="M40" s="185">
        <v>126</v>
      </c>
      <c r="N40" s="185">
        <v>126</v>
      </c>
      <c r="O40" s="185">
        <v>125</v>
      </c>
      <c r="P40" s="135">
        <f t="shared" si="10"/>
        <v>127.58333333333333</v>
      </c>
      <c r="Q40" s="63"/>
      <c r="R40" s="63"/>
    </row>
    <row r="41" spans="1:18" x14ac:dyDescent="0.2">
      <c r="A41" s="125" t="s">
        <v>78</v>
      </c>
      <c r="B41" s="185">
        <v>2</v>
      </c>
      <c r="C41" s="185">
        <v>2</v>
      </c>
      <c r="D41" s="185">
        <v>2</v>
      </c>
      <c r="E41" s="185">
        <v>2</v>
      </c>
      <c r="F41" s="185">
        <v>2</v>
      </c>
      <c r="G41" s="185">
        <v>2</v>
      </c>
      <c r="H41" s="185">
        <v>2</v>
      </c>
      <c r="I41" s="185">
        <v>2</v>
      </c>
      <c r="J41" s="185">
        <v>2</v>
      </c>
      <c r="K41" s="185">
        <v>2</v>
      </c>
      <c r="L41" s="185">
        <v>2</v>
      </c>
      <c r="M41" s="185">
        <v>2</v>
      </c>
      <c r="N41" s="185">
        <v>2</v>
      </c>
      <c r="O41" s="185">
        <v>2</v>
      </c>
      <c r="P41" s="135">
        <f t="shared" si="10"/>
        <v>2</v>
      </c>
      <c r="Q41" s="63"/>
      <c r="R41" s="63"/>
    </row>
    <row r="42" spans="1:18" x14ac:dyDescent="0.2">
      <c r="A42" s="125">
        <v>87</v>
      </c>
      <c r="B42" s="185">
        <v>3</v>
      </c>
      <c r="C42" s="185">
        <v>3</v>
      </c>
      <c r="D42" s="185">
        <v>3</v>
      </c>
      <c r="E42" s="185">
        <v>3</v>
      </c>
      <c r="F42" s="185">
        <v>3</v>
      </c>
      <c r="G42" s="185">
        <v>4</v>
      </c>
      <c r="H42" s="185">
        <v>3</v>
      </c>
      <c r="I42" s="185">
        <v>4</v>
      </c>
      <c r="J42" s="185">
        <v>4</v>
      </c>
      <c r="K42" s="185">
        <v>4</v>
      </c>
      <c r="L42" s="185">
        <v>4</v>
      </c>
      <c r="M42" s="185">
        <v>4</v>
      </c>
      <c r="N42" s="185">
        <v>4</v>
      </c>
      <c r="O42" s="185">
        <v>4</v>
      </c>
      <c r="P42" s="135">
        <f t="shared" si="10"/>
        <v>3.6666666666666665</v>
      </c>
      <c r="Q42" s="63"/>
      <c r="R42" s="63"/>
    </row>
    <row r="43" spans="1:18" x14ac:dyDescent="0.2">
      <c r="A43" s="125" t="s">
        <v>126</v>
      </c>
      <c r="B43" s="185">
        <v>9</v>
      </c>
      <c r="C43" s="185">
        <v>9</v>
      </c>
      <c r="D43" s="185">
        <v>9</v>
      </c>
      <c r="E43" s="185">
        <v>9</v>
      </c>
      <c r="F43" s="185">
        <v>9</v>
      </c>
      <c r="G43" s="185">
        <v>9</v>
      </c>
      <c r="H43" s="185">
        <v>9</v>
      </c>
      <c r="I43" s="185">
        <v>9</v>
      </c>
      <c r="J43" s="185">
        <v>9</v>
      </c>
      <c r="K43" s="185">
        <v>9</v>
      </c>
      <c r="L43" s="185">
        <v>9</v>
      </c>
      <c r="M43" s="185">
        <v>9</v>
      </c>
      <c r="N43" s="185">
        <v>9</v>
      </c>
      <c r="O43" s="185">
        <v>9</v>
      </c>
      <c r="P43" s="135">
        <f t="shared" si="10"/>
        <v>9</v>
      </c>
      <c r="Q43" s="63"/>
      <c r="R43" s="63"/>
    </row>
    <row r="44" spans="1:18" x14ac:dyDescent="0.2">
      <c r="A44" s="125" t="s">
        <v>175</v>
      </c>
      <c r="B44" s="185">
        <v>9</v>
      </c>
      <c r="C44" s="185">
        <v>9</v>
      </c>
      <c r="D44" s="185">
        <v>9</v>
      </c>
      <c r="E44" s="185">
        <v>9</v>
      </c>
      <c r="F44" s="185">
        <v>9</v>
      </c>
      <c r="G44" s="185">
        <v>9</v>
      </c>
      <c r="H44" s="185">
        <v>9</v>
      </c>
      <c r="I44" s="185">
        <v>9</v>
      </c>
      <c r="J44" s="185">
        <v>9</v>
      </c>
      <c r="K44" s="185">
        <v>9</v>
      </c>
      <c r="L44" s="185">
        <v>9</v>
      </c>
      <c r="M44" s="185">
        <v>9</v>
      </c>
      <c r="N44" s="185">
        <v>9</v>
      </c>
      <c r="O44" s="185">
        <v>9</v>
      </c>
      <c r="P44" s="135">
        <f t="shared" si="10"/>
        <v>9</v>
      </c>
      <c r="Q44" s="63"/>
      <c r="R44" s="63"/>
    </row>
    <row r="45" spans="1:18" x14ac:dyDescent="0.2">
      <c r="A45" s="130"/>
      <c r="B45" s="130"/>
      <c r="C45" s="13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35"/>
      <c r="Q45" s="63"/>
      <c r="R45" s="63"/>
    </row>
    <row r="46" spans="1:18" x14ac:dyDescent="0.2">
      <c r="A46" s="130" t="s">
        <v>178</v>
      </c>
      <c r="B46" s="120">
        <f>SUM(B32,B37)</f>
        <v>799635</v>
      </c>
      <c r="C46" s="120">
        <f t="shared" ref="C46:O46" si="11">SUM(C32,C37)</f>
        <v>799504</v>
      </c>
      <c r="D46" s="120">
        <f t="shared" si="11"/>
        <v>799743</v>
      </c>
      <c r="E46" s="120">
        <f t="shared" si="11"/>
        <v>799979</v>
      </c>
      <c r="F46" s="120">
        <f t="shared" si="11"/>
        <v>800214</v>
      </c>
      <c r="G46" s="120">
        <f t="shared" si="11"/>
        <v>800447</v>
      </c>
      <c r="H46" s="120">
        <f t="shared" si="11"/>
        <v>801394</v>
      </c>
      <c r="I46" s="120">
        <f t="shared" si="11"/>
        <v>804001</v>
      </c>
      <c r="J46" s="120">
        <f t="shared" si="11"/>
        <v>806171</v>
      </c>
      <c r="K46" s="120">
        <f t="shared" si="11"/>
        <v>807579</v>
      </c>
      <c r="L46" s="120">
        <f t="shared" si="11"/>
        <v>808551</v>
      </c>
      <c r="M46" s="120">
        <f t="shared" si="11"/>
        <v>809114</v>
      </c>
      <c r="N46" s="120">
        <f t="shared" si="11"/>
        <v>809385</v>
      </c>
      <c r="O46" s="120">
        <f t="shared" si="11"/>
        <v>809243</v>
      </c>
      <c r="P46" s="135">
        <f t="shared" ref="P46:P48" si="12">AVERAGE(D46:O46)</f>
        <v>804651.75</v>
      </c>
      <c r="Q46" s="131"/>
      <c r="R46" s="131"/>
    </row>
    <row r="47" spans="1:18" x14ac:dyDescent="0.2">
      <c r="A47" s="130" t="s">
        <v>179</v>
      </c>
      <c r="B47" s="120">
        <f>SUM(B33:B34)</f>
        <v>57314</v>
      </c>
      <c r="C47" s="120">
        <f t="shared" ref="C47:O47" si="13">SUM(C33:C34)</f>
        <v>57313</v>
      </c>
      <c r="D47" s="120">
        <f t="shared" si="13"/>
        <v>57330</v>
      </c>
      <c r="E47" s="120">
        <f t="shared" si="13"/>
        <v>57348</v>
      </c>
      <c r="F47" s="120">
        <f t="shared" si="13"/>
        <v>57393</v>
      </c>
      <c r="G47" s="120">
        <f t="shared" si="13"/>
        <v>57454</v>
      </c>
      <c r="H47" s="120">
        <f t="shared" si="13"/>
        <v>57507</v>
      </c>
      <c r="I47" s="120">
        <f t="shared" si="13"/>
        <v>57571</v>
      </c>
      <c r="J47" s="120">
        <f t="shared" si="13"/>
        <v>57645</v>
      </c>
      <c r="K47" s="120">
        <f t="shared" si="13"/>
        <v>57732</v>
      </c>
      <c r="L47" s="120">
        <f t="shared" si="13"/>
        <v>57845</v>
      </c>
      <c r="M47" s="120">
        <f t="shared" si="13"/>
        <v>57886</v>
      </c>
      <c r="N47" s="120">
        <f t="shared" si="13"/>
        <v>57957</v>
      </c>
      <c r="O47" s="120">
        <f t="shared" si="13"/>
        <v>57905</v>
      </c>
      <c r="P47" s="135">
        <f t="shared" si="12"/>
        <v>57631.083333333336</v>
      </c>
    </row>
    <row r="48" spans="1:18" x14ac:dyDescent="0.2">
      <c r="A48" s="130" t="s">
        <v>180</v>
      </c>
      <c r="B48" s="120">
        <f>SUM(B35:B36,B40:B41)</f>
        <v>1578</v>
      </c>
      <c r="C48" s="120">
        <f t="shared" ref="C48:O48" si="14">SUM(C35:C36,C40:C41)</f>
        <v>1569</v>
      </c>
      <c r="D48" s="120">
        <f t="shared" si="14"/>
        <v>1563</v>
      </c>
      <c r="E48" s="120">
        <f t="shared" si="14"/>
        <v>1568</v>
      </c>
      <c r="F48" s="120">
        <f t="shared" si="14"/>
        <v>1567</v>
      </c>
      <c r="G48" s="120">
        <f t="shared" si="14"/>
        <v>1563</v>
      </c>
      <c r="H48" s="120">
        <f t="shared" si="14"/>
        <v>1573</v>
      </c>
      <c r="I48" s="120">
        <f t="shared" si="14"/>
        <v>1577</v>
      </c>
      <c r="J48" s="120">
        <f t="shared" si="14"/>
        <v>1574</v>
      </c>
      <c r="K48" s="120">
        <f t="shared" si="14"/>
        <v>1571</v>
      </c>
      <c r="L48" s="120">
        <f t="shared" si="14"/>
        <v>1577</v>
      </c>
      <c r="M48" s="120">
        <f t="shared" si="14"/>
        <v>1572</v>
      </c>
      <c r="N48" s="120">
        <f t="shared" si="14"/>
        <v>1576</v>
      </c>
      <c r="O48" s="120">
        <f t="shared" si="14"/>
        <v>1566</v>
      </c>
      <c r="P48" s="135">
        <f t="shared" si="12"/>
        <v>1570.5833333333333</v>
      </c>
    </row>
    <row r="49" spans="1:17" x14ac:dyDescent="0.2">
      <c r="A49" s="41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16"/>
    </row>
    <row r="50" spans="1:17" x14ac:dyDescent="0.2">
      <c r="A50" s="8" t="s">
        <v>437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</row>
    <row r="53" spans="1:17" x14ac:dyDescent="0.2">
      <c r="D53" s="137"/>
      <c r="E53" s="137"/>
      <c r="F53" s="137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</row>
    <row r="56" spans="1:17" x14ac:dyDescent="0.2">
      <c r="D56" s="138"/>
      <c r="E56" s="138"/>
      <c r="F56" s="138"/>
    </row>
    <row r="57" spans="1:17" x14ac:dyDescent="0.2">
      <c r="A57" s="125"/>
      <c r="B57" s="125"/>
      <c r="C57" s="125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</row>
    <row r="58" spans="1:17" x14ac:dyDescent="0.2">
      <c r="A58" s="125"/>
      <c r="B58" s="125"/>
      <c r="C58" s="125"/>
      <c r="D58" s="139"/>
      <c r="E58" s="139"/>
      <c r="F58" s="139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</row>
    <row r="59" spans="1:17" x14ac:dyDescent="0.2"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</row>
    <row r="60" spans="1:17" x14ac:dyDescent="0.2">
      <c r="A60" s="125"/>
      <c r="B60" s="125"/>
      <c r="C60" s="125"/>
      <c r="D60" s="140"/>
      <c r="E60" s="140"/>
      <c r="F60" s="140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</row>
    <row r="61" spans="1:17" x14ac:dyDescent="0.2">
      <c r="A61" s="125"/>
      <c r="B61" s="125"/>
      <c r="C61" s="125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</row>
    <row r="62" spans="1:17" x14ac:dyDescent="0.2">
      <c r="A62" s="125"/>
      <c r="B62" s="125"/>
      <c r="C62" s="125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</row>
    <row r="63" spans="1:17" x14ac:dyDescent="0.2">
      <c r="A63" s="125"/>
      <c r="B63" s="125"/>
      <c r="C63" s="125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</row>
    <row r="64" spans="1:17" x14ac:dyDescent="0.2">
      <c r="A64" s="125"/>
      <c r="B64" s="125"/>
      <c r="C64" s="125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</row>
    <row r="65" spans="1:17" x14ac:dyDescent="0.2">
      <c r="A65" s="125"/>
      <c r="B65" s="125"/>
      <c r="C65" s="125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</row>
    <row r="66" spans="1:17" x14ac:dyDescent="0.2">
      <c r="A66" s="125"/>
      <c r="B66" s="125"/>
      <c r="C66" s="125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</row>
    <row r="67" spans="1:17" x14ac:dyDescent="0.2"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</row>
    <row r="69" spans="1:17" x14ac:dyDescent="0.2"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</row>
    <row r="70" spans="1:17" x14ac:dyDescent="0.2"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66" orientation="landscape" blackAndWhite="1" r:id="rId1"/>
  <headerFooter>
    <oddFooter>&amp;R&amp;F
&amp;A</oddFooter>
  </headerFooter>
  <customProperties>
    <customPr name="_pios_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B1:AN299"/>
  <sheetViews>
    <sheetView zoomScaleNormal="100" workbookViewId="0">
      <pane ySplit="6" topLeftCell="A223" activePane="bottomLeft" state="frozen"/>
      <selection activeCell="O46" sqref="O46"/>
      <selection pane="bottomLeft" activeCell="L258" sqref="L258"/>
    </sheetView>
  </sheetViews>
  <sheetFormatPr defaultColWidth="9.140625" defaultRowHeight="11.25" x14ac:dyDescent="0.2"/>
  <cols>
    <col min="1" max="1" width="2.28515625" style="7" customWidth="1"/>
    <col min="2" max="2" width="36.5703125" style="7" customWidth="1"/>
    <col min="3" max="3" width="7.7109375" style="7" bestFit="1" customWidth="1"/>
    <col min="4" max="9" width="10.28515625" style="7" bestFit="1" customWidth="1"/>
    <col min="10" max="11" width="8.7109375" style="7" bestFit="1" customWidth="1"/>
    <col min="12" max="15" width="10.28515625" style="7" bestFit="1" customWidth="1"/>
    <col min="16" max="16" width="10.85546875" style="7" bestFit="1" customWidth="1"/>
    <col min="17" max="17" width="12.7109375" style="7" customWidth="1"/>
    <col min="18" max="18" width="12.42578125" style="7" bestFit="1" customWidth="1"/>
    <col min="19" max="19" width="9.140625" style="7"/>
    <col min="20" max="20" width="13.42578125" style="7" bestFit="1" customWidth="1"/>
    <col min="21" max="16384" width="9.140625" style="7"/>
  </cols>
  <sheetData>
    <row r="1" spans="2:19" x14ac:dyDescent="0.2">
      <c r="B1" s="215" t="s">
        <v>0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2:19" x14ac:dyDescent="0.2">
      <c r="B2" s="215" t="s">
        <v>440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</row>
    <row r="3" spans="2:19" x14ac:dyDescent="0.2">
      <c r="B3" s="215" t="s">
        <v>425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</row>
    <row r="4" spans="2:19" x14ac:dyDescent="0.2">
      <c r="B4" s="52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</row>
    <row r="5" spans="2:19" x14ac:dyDescent="0.2">
      <c r="B5" s="52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</row>
    <row r="6" spans="2:19" x14ac:dyDescent="0.2">
      <c r="B6" s="54" t="s">
        <v>46</v>
      </c>
      <c r="C6" s="54" t="s">
        <v>248</v>
      </c>
      <c r="D6" s="299">
        <v>43831</v>
      </c>
      <c r="E6" s="299">
        <f t="shared" ref="E6:O6" si="0">EDATE(D6,1)</f>
        <v>43862</v>
      </c>
      <c r="F6" s="299">
        <f t="shared" si="0"/>
        <v>43891</v>
      </c>
      <c r="G6" s="299">
        <f t="shared" si="0"/>
        <v>43922</v>
      </c>
      <c r="H6" s="299">
        <f t="shared" si="0"/>
        <v>43952</v>
      </c>
      <c r="I6" s="299">
        <f t="shared" si="0"/>
        <v>43983</v>
      </c>
      <c r="J6" s="299">
        <f t="shared" si="0"/>
        <v>44013</v>
      </c>
      <c r="K6" s="299">
        <f t="shared" si="0"/>
        <v>44044</v>
      </c>
      <c r="L6" s="299">
        <f t="shared" si="0"/>
        <v>44075</v>
      </c>
      <c r="M6" s="299">
        <f t="shared" si="0"/>
        <v>44105</v>
      </c>
      <c r="N6" s="299">
        <f t="shared" si="0"/>
        <v>44136</v>
      </c>
      <c r="O6" s="299">
        <f t="shared" si="0"/>
        <v>44166</v>
      </c>
      <c r="P6" s="55" t="s">
        <v>72</v>
      </c>
      <c r="Q6" s="73"/>
    </row>
    <row r="7" spans="2:19" x14ac:dyDescent="0.2">
      <c r="B7" s="4" t="s">
        <v>249</v>
      </c>
      <c r="C7" s="142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</row>
    <row r="8" spans="2:19" s="8" customFormat="1" x14ac:dyDescent="0.2">
      <c r="B8" s="8" t="s">
        <v>250</v>
      </c>
      <c r="C8" s="144">
        <v>16</v>
      </c>
      <c r="D8" s="180">
        <v>741</v>
      </c>
      <c r="E8" s="180">
        <v>741</v>
      </c>
      <c r="F8" s="180">
        <v>779</v>
      </c>
      <c r="G8" s="180">
        <v>712.5</v>
      </c>
      <c r="H8" s="180">
        <v>741</v>
      </c>
      <c r="I8" s="180">
        <v>741</v>
      </c>
      <c r="J8" s="180">
        <v>741</v>
      </c>
      <c r="K8" s="180">
        <v>741</v>
      </c>
      <c r="L8" s="180">
        <v>741</v>
      </c>
      <c r="M8" s="180">
        <v>741</v>
      </c>
      <c r="N8" s="180">
        <v>842.65050000000008</v>
      </c>
      <c r="O8" s="180">
        <v>507.61649999999997</v>
      </c>
      <c r="P8" s="145">
        <f t="shared" ref="P8:P33" si="1">SUM(D8:O8)</f>
        <v>8769.7669999999998</v>
      </c>
      <c r="Q8" s="145"/>
      <c r="S8" s="145"/>
    </row>
    <row r="9" spans="2:19" s="8" customFormat="1" x14ac:dyDescent="0.2">
      <c r="B9" s="8" t="s">
        <v>67</v>
      </c>
      <c r="C9" s="8">
        <v>23</v>
      </c>
      <c r="D9" s="180">
        <v>87776088.288198099</v>
      </c>
      <c r="E9" s="180">
        <v>82127727.592746943</v>
      </c>
      <c r="F9" s="180">
        <v>80013825.466278553</v>
      </c>
      <c r="G9" s="180">
        <v>47337140.088200465</v>
      </c>
      <c r="H9" s="180">
        <v>28114275.836765639</v>
      </c>
      <c r="I9" s="180">
        <v>22129499.153005496</v>
      </c>
      <c r="J9" s="180">
        <v>15739605.101357549</v>
      </c>
      <c r="K9" s="180">
        <v>13893499.841616526</v>
      </c>
      <c r="L9" s="180">
        <v>16136642.397344152</v>
      </c>
      <c r="M9" s="180">
        <v>41021289.343802243</v>
      </c>
      <c r="N9" s="180">
        <v>71919611.409754813</v>
      </c>
      <c r="O9" s="180">
        <v>86592280.357450098</v>
      </c>
      <c r="P9" s="145">
        <f t="shared" si="1"/>
        <v>592801484.87652051</v>
      </c>
      <c r="Q9" s="145"/>
      <c r="R9" s="146"/>
    </row>
    <row r="10" spans="2:19" s="8" customFormat="1" x14ac:dyDescent="0.2">
      <c r="B10" s="8" t="s">
        <v>251</v>
      </c>
      <c r="C10" s="8">
        <v>53</v>
      </c>
      <c r="D10" s="180">
        <v>0</v>
      </c>
      <c r="E10" s="180">
        <v>0</v>
      </c>
      <c r="F10" s="180">
        <v>0</v>
      </c>
      <c r="G10" s="180">
        <v>0</v>
      </c>
      <c r="H10" s="180">
        <v>0</v>
      </c>
      <c r="I10" s="180">
        <v>0</v>
      </c>
      <c r="J10" s="180">
        <v>0</v>
      </c>
      <c r="K10" s="180">
        <v>0</v>
      </c>
      <c r="L10" s="180">
        <v>0</v>
      </c>
      <c r="M10" s="180">
        <v>0</v>
      </c>
      <c r="N10" s="180">
        <v>0</v>
      </c>
      <c r="O10" s="180">
        <v>0</v>
      </c>
      <c r="P10" s="145">
        <f t="shared" si="1"/>
        <v>0</v>
      </c>
      <c r="Q10" s="145"/>
      <c r="R10" s="146"/>
    </row>
    <row r="11" spans="2:19" s="8" customFormat="1" x14ac:dyDescent="0.2">
      <c r="B11" s="8" t="s">
        <v>252</v>
      </c>
      <c r="C11" s="8">
        <v>31</v>
      </c>
      <c r="D11" s="180">
        <v>30382423.95312278</v>
      </c>
      <c r="E11" s="180">
        <v>27303461.611762621</v>
      </c>
      <c r="F11" s="180">
        <v>25546257.65462457</v>
      </c>
      <c r="G11" s="180">
        <v>14810408.05933395</v>
      </c>
      <c r="H11" s="180">
        <v>9456597.5059285499</v>
      </c>
      <c r="I11" s="180">
        <v>8445562.8832279257</v>
      </c>
      <c r="J11" s="180">
        <v>6876806.3947784351</v>
      </c>
      <c r="K11" s="180">
        <v>6091317.4126718361</v>
      </c>
      <c r="L11" s="180">
        <v>7198170.4631709</v>
      </c>
      <c r="M11" s="180">
        <v>13285546.265109081</v>
      </c>
      <c r="N11" s="180">
        <v>22639620.993818656</v>
      </c>
      <c r="O11" s="180">
        <v>28511066.976637185</v>
      </c>
      <c r="P11" s="145">
        <f t="shared" si="1"/>
        <v>200547240.17418647</v>
      </c>
      <c r="Q11" s="145"/>
    </row>
    <row r="12" spans="2:19" s="8" customFormat="1" x14ac:dyDescent="0.2">
      <c r="B12" s="8" t="s">
        <v>253</v>
      </c>
      <c r="C12" s="8">
        <v>41</v>
      </c>
      <c r="D12" s="180">
        <v>7258457.7646817639</v>
      </c>
      <c r="E12" s="180">
        <v>6666767.2891386077</v>
      </c>
      <c r="F12" s="180">
        <v>6047791.5839777812</v>
      </c>
      <c r="G12" s="180">
        <v>3899285.5259983018</v>
      </c>
      <c r="H12" s="180">
        <v>2522143.5231847158</v>
      </c>
      <c r="I12" s="180">
        <v>2206345.4205215685</v>
      </c>
      <c r="J12" s="180">
        <v>2241497.8236634964</v>
      </c>
      <c r="K12" s="180">
        <v>1580121.0159915425</v>
      </c>
      <c r="L12" s="180">
        <v>2034958.0748219695</v>
      </c>
      <c r="M12" s="180">
        <v>3928405.3000414846</v>
      </c>
      <c r="N12" s="180">
        <v>5398547.1930417828</v>
      </c>
      <c r="O12" s="180">
        <v>6279529.183944473</v>
      </c>
      <c r="P12" s="145">
        <f t="shared" si="1"/>
        <v>50063849.699007489</v>
      </c>
      <c r="Q12" s="145"/>
      <c r="R12" s="147"/>
    </row>
    <row r="13" spans="2:19" s="8" customFormat="1" x14ac:dyDescent="0.2">
      <c r="B13" s="8" t="s">
        <v>254</v>
      </c>
      <c r="C13" s="8">
        <v>50</v>
      </c>
      <c r="D13" s="180">
        <v>0</v>
      </c>
      <c r="E13" s="180">
        <v>0</v>
      </c>
      <c r="F13" s="180">
        <v>0</v>
      </c>
      <c r="G13" s="180">
        <v>0</v>
      </c>
      <c r="H13" s="180">
        <v>0</v>
      </c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0">
        <v>0</v>
      </c>
      <c r="O13" s="180">
        <v>0</v>
      </c>
      <c r="P13" s="145">
        <f t="shared" si="1"/>
        <v>0</v>
      </c>
      <c r="Q13" s="145"/>
    </row>
    <row r="14" spans="2:19" s="8" customFormat="1" x14ac:dyDescent="0.2">
      <c r="B14" s="8" t="s">
        <v>255</v>
      </c>
      <c r="C14" s="8">
        <v>85</v>
      </c>
      <c r="D14" s="180">
        <v>2360016.787</v>
      </c>
      <c r="E14" s="180">
        <v>547082.24992879992</v>
      </c>
      <c r="F14" s="180">
        <v>1379423.8376664002</v>
      </c>
      <c r="G14" s="180">
        <v>1182341.9423698003</v>
      </c>
      <c r="H14" s="180">
        <v>1251301.3980350001</v>
      </c>
      <c r="I14" s="180">
        <v>1649442.9109999998</v>
      </c>
      <c r="J14" s="180">
        <v>726229.9929999999</v>
      </c>
      <c r="K14" s="180">
        <v>863878.3735000001</v>
      </c>
      <c r="L14" s="180">
        <v>710764.24449999991</v>
      </c>
      <c r="M14" s="180">
        <v>1101651.736</v>
      </c>
      <c r="N14" s="180">
        <v>1185280.9954999997</v>
      </c>
      <c r="O14" s="180">
        <v>2304189.2124999994</v>
      </c>
      <c r="P14" s="145">
        <f t="shared" si="1"/>
        <v>15261603.681000002</v>
      </c>
      <c r="Q14" s="145"/>
    </row>
    <row r="15" spans="2:19" s="8" customFormat="1" x14ac:dyDescent="0.2">
      <c r="B15" s="8" t="s">
        <v>256</v>
      </c>
      <c r="C15" s="8">
        <v>86</v>
      </c>
      <c r="D15" s="180">
        <v>995964.93288916815</v>
      </c>
      <c r="E15" s="180">
        <v>537994.34481965913</v>
      </c>
      <c r="F15" s="180">
        <v>833705.62110438116</v>
      </c>
      <c r="G15" s="180">
        <v>507332.13420605543</v>
      </c>
      <c r="H15" s="180">
        <v>184446.13182107257</v>
      </c>
      <c r="I15" s="180">
        <v>276661.09213783318</v>
      </c>
      <c r="J15" s="180">
        <v>190337.035009871</v>
      </c>
      <c r="K15" s="180">
        <v>106594.1035143358</v>
      </c>
      <c r="L15" s="180">
        <v>153364.15174677549</v>
      </c>
      <c r="M15" s="180">
        <v>370232.5967910568</v>
      </c>
      <c r="N15" s="180">
        <v>610564.86184392637</v>
      </c>
      <c r="O15" s="180">
        <v>671556.4137257965</v>
      </c>
      <c r="P15" s="145">
        <f t="shared" si="1"/>
        <v>5438753.4196099313</v>
      </c>
      <c r="Q15" s="145"/>
    </row>
    <row r="16" spans="2:19" s="8" customFormat="1" x14ac:dyDescent="0.2">
      <c r="B16" s="8" t="s">
        <v>257</v>
      </c>
      <c r="C16" s="8">
        <v>87</v>
      </c>
      <c r="D16" s="180">
        <v>2490675.6459999997</v>
      </c>
      <c r="E16" s="180">
        <v>3643616.3310000007</v>
      </c>
      <c r="F16" s="180">
        <v>786954.10699999996</v>
      </c>
      <c r="G16" s="180">
        <v>1075341.7685</v>
      </c>
      <c r="H16" s="180">
        <v>1903387.1122499998</v>
      </c>
      <c r="I16" s="180">
        <v>3388841.8797499998</v>
      </c>
      <c r="J16" s="180">
        <v>204785.59449999995</v>
      </c>
      <c r="K16" s="180">
        <v>2315404.6089999997</v>
      </c>
      <c r="L16" s="180">
        <v>955360.63349999988</v>
      </c>
      <c r="M16" s="180">
        <v>1276820.942</v>
      </c>
      <c r="N16" s="180">
        <v>4053113.3310000002</v>
      </c>
      <c r="O16" s="180">
        <v>-301277.2070000004</v>
      </c>
      <c r="P16" s="145">
        <f t="shared" si="1"/>
        <v>21793024.747500002</v>
      </c>
      <c r="Q16" s="145"/>
    </row>
    <row r="17" spans="2:18" s="8" customFormat="1" x14ac:dyDescent="0.2">
      <c r="B17" s="8" t="s">
        <v>258</v>
      </c>
      <c r="C17" s="8">
        <v>31</v>
      </c>
      <c r="D17" s="180">
        <v>2149305.4233316202</v>
      </c>
      <c r="E17" s="180">
        <v>1687196.3373218689</v>
      </c>
      <c r="F17" s="180">
        <v>1712000.1451480736</v>
      </c>
      <c r="G17" s="180">
        <v>956362.19146866968</v>
      </c>
      <c r="H17" s="180">
        <v>507505.32708685624</v>
      </c>
      <c r="I17" s="180">
        <v>593196.76191320911</v>
      </c>
      <c r="J17" s="180">
        <v>394256.59177188622</v>
      </c>
      <c r="K17" s="180">
        <v>341801.04028491443</v>
      </c>
      <c r="L17" s="180">
        <v>366845.17891145137</v>
      </c>
      <c r="M17" s="180">
        <v>770809.65403901576</v>
      </c>
      <c r="N17" s="180">
        <v>1709723.6542017972</v>
      </c>
      <c r="O17" s="180">
        <v>1523945.5966776158</v>
      </c>
      <c r="P17" s="145">
        <f t="shared" si="1"/>
        <v>12712947.902156979</v>
      </c>
      <c r="Q17" s="145"/>
    </row>
    <row r="18" spans="2:18" s="8" customFormat="1" x14ac:dyDescent="0.2">
      <c r="B18" s="8" t="s">
        <v>259</v>
      </c>
      <c r="C18" s="8">
        <v>41</v>
      </c>
      <c r="D18" s="180">
        <v>860514.16701708804</v>
      </c>
      <c r="E18" s="180">
        <v>951213.07176927733</v>
      </c>
      <c r="F18" s="180">
        <v>1075335.8344363957</v>
      </c>
      <c r="G18" s="180">
        <v>485076.31335638888</v>
      </c>
      <c r="H18" s="180">
        <v>573284.36973752012</v>
      </c>
      <c r="I18" s="180">
        <v>693204.09135476698</v>
      </c>
      <c r="J18" s="180">
        <v>747783.09464704292</v>
      </c>
      <c r="K18" s="180">
        <v>648668.99909260496</v>
      </c>
      <c r="L18" s="180">
        <v>656550.07492592395</v>
      </c>
      <c r="M18" s="180">
        <v>690448.62927936553</v>
      </c>
      <c r="N18" s="180">
        <v>773235.74441805365</v>
      </c>
      <c r="O18" s="180">
        <v>1077705.7880215044</v>
      </c>
      <c r="P18" s="145">
        <f t="shared" si="1"/>
        <v>9233020.1780559327</v>
      </c>
      <c r="Q18" s="145"/>
    </row>
    <row r="19" spans="2:18" s="8" customFormat="1" x14ac:dyDescent="0.2">
      <c r="B19" s="8" t="s">
        <v>260</v>
      </c>
      <c r="C19" s="8">
        <v>85</v>
      </c>
      <c r="D19" s="180">
        <v>155265.43194821398</v>
      </c>
      <c r="E19" s="180">
        <v>59595.122687769006</v>
      </c>
      <c r="F19" s="180">
        <v>73083.823599052004</v>
      </c>
      <c r="G19" s="180">
        <v>117165.95512160801</v>
      </c>
      <c r="H19" s="180">
        <v>74395.919349639997</v>
      </c>
      <c r="I19" s="180">
        <v>172685.88736655301</v>
      </c>
      <c r="J19" s="180">
        <v>114205.16840096</v>
      </c>
      <c r="K19" s="180">
        <v>77026.867314787014</v>
      </c>
      <c r="L19" s="180">
        <v>1931324.90331416</v>
      </c>
      <c r="M19" s="180">
        <v>-1231785.1118173602</v>
      </c>
      <c r="N19" s="180">
        <v>565416.31944563391</v>
      </c>
      <c r="O19" s="180">
        <v>539357.0313275829</v>
      </c>
      <c r="P19" s="145">
        <f t="shared" si="1"/>
        <v>2647737.3180585997</v>
      </c>
      <c r="Q19" s="145"/>
    </row>
    <row r="20" spans="2:18" s="8" customFormat="1" x14ac:dyDescent="0.2">
      <c r="B20" s="8" t="s">
        <v>261</v>
      </c>
      <c r="C20" s="8">
        <v>86</v>
      </c>
      <c r="D20" s="180">
        <v>-47293.697999999997</v>
      </c>
      <c r="E20" s="180">
        <v>35303.879999999997</v>
      </c>
      <c r="F20" s="180">
        <v>-11038.373999999996</v>
      </c>
      <c r="G20" s="180">
        <v>15533.204000000002</v>
      </c>
      <c r="H20" s="180">
        <v>10565.165999999999</v>
      </c>
      <c r="I20" s="180">
        <v>8457.2099999999991</v>
      </c>
      <c r="J20" s="180">
        <v>12598.293</v>
      </c>
      <c r="K20" s="180">
        <v>20849.244999999999</v>
      </c>
      <c r="L20" s="180">
        <v>14466.824999999999</v>
      </c>
      <c r="M20" s="180">
        <v>14064.655000000001</v>
      </c>
      <c r="N20" s="180">
        <v>21505.317999999999</v>
      </c>
      <c r="O20" s="180">
        <v>4425.2890000000007</v>
      </c>
      <c r="P20" s="145">
        <f t="shared" si="1"/>
        <v>99437.013000000006</v>
      </c>
      <c r="Q20" s="145"/>
    </row>
    <row r="21" spans="2:18" s="8" customFormat="1" x14ac:dyDescent="0.2">
      <c r="B21" s="8" t="s">
        <v>262</v>
      </c>
      <c r="C21" s="8">
        <v>87</v>
      </c>
      <c r="D21" s="180">
        <v>0</v>
      </c>
      <c r="E21" s="180">
        <v>0</v>
      </c>
      <c r="F21" s="180">
        <v>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0</v>
      </c>
      <c r="M21" s="180">
        <v>0</v>
      </c>
      <c r="N21" s="180">
        <v>0</v>
      </c>
      <c r="O21" s="180">
        <v>0</v>
      </c>
      <c r="P21" s="145">
        <f t="shared" si="1"/>
        <v>0</v>
      </c>
      <c r="Q21" s="145"/>
    </row>
    <row r="22" spans="2:18" s="8" customFormat="1" x14ac:dyDescent="0.2">
      <c r="B22" s="7" t="s">
        <v>263</v>
      </c>
      <c r="C22" s="144" t="s">
        <v>71</v>
      </c>
      <c r="D22" s="180">
        <v>4061.8100000000009</v>
      </c>
      <c r="E22" s="180">
        <v>7479.44</v>
      </c>
      <c r="F22" s="180">
        <v>436.00999999999931</v>
      </c>
      <c r="G22" s="180">
        <v>8197.6499999999978</v>
      </c>
      <c r="H22" s="180">
        <v>2010.3100000000009</v>
      </c>
      <c r="I22" s="180">
        <v>2026.2400000000048</v>
      </c>
      <c r="J22" s="180">
        <v>1223.1899999999966</v>
      </c>
      <c r="K22" s="180">
        <v>1417.5800000000008</v>
      </c>
      <c r="L22" s="180">
        <v>621.72999999999911</v>
      </c>
      <c r="M22" s="180">
        <v>4209.6500000000005</v>
      </c>
      <c r="N22" s="180">
        <v>-91.069999999999709</v>
      </c>
      <c r="O22" s="180">
        <v>10944.9</v>
      </c>
      <c r="P22" s="145">
        <f t="shared" si="1"/>
        <v>42537.440000000002</v>
      </c>
      <c r="Q22" s="145"/>
    </row>
    <row r="23" spans="2:18" s="8" customFormat="1" x14ac:dyDescent="0.2">
      <c r="B23" s="7" t="s">
        <v>264</v>
      </c>
      <c r="C23" s="148" t="s">
        <v>75</v>
      </c>
      <c r="D23" s="180">
        <v>1563950.2499999998</v>
      </c>
      <c r="E23" s="180">
        <v>2567589.52</v>
      </c>
      <c r="F23" s="180">
        <v>313646.05000000022</v>
      </c>
      <c r="G23" s="180">
        <v>1127638.3899999997</v>
      </c>
      <c r="H23" s="180">
        <v>991048.18000000017</v>
      </c>
      <c r="I23" s="180">
        <v>1026464.1799999999</v>
      </c>
      <c r="J23" s="180">
        <v>1046017.5199999999</v>
      </c>
      <c r="K23" s="180">
        <v>981530.54000000015</v>
      </c>
      <c r="L23" s="180">
        <v>1014592.38</v>
      </c>
      <c r="M23" s="180">
        <v>1136344.9399999997</v>
      </c>
      <c r="N23" s="180">
        <v>1118756.3000000003</v>
      </c>
      <c r="O23" s="180">
        <v>1438237.3599999999</v>
      </c>
      <c r="P23" s="145">
        <f t="shared" si="1"/>
        <v>14325815.609999999</v>
      </c>
      <c r="Q23" s="145"/>
    </row>
    <row r="24" spans="2:18" s="8" customFormat="1" x14ac:dyDescent="0.2">
      <c r="B24" s="7" t="s">
        <v>265</v>
      </c>
      <c r="C24" s="148" t="s">
        <v>124</v>
      </c>
      <c r="D24" s="180">
        <v>1697639.4699999997</v>
      </c>
      <c r="E24" s="180">
        <v>3229243.2</v>
      </c>
      <c r="F24" s="180">
        <v>327152.28000000003</v>
      </c>
      <c r="G24" s="180">
        <v>1843021.17</v>
      </c>
      <c r="H24" s="180">
        <v>1435658.0000000005</v>
      </c>
      <c r="I24" s="180">
        <v>1357213.58</v>
      </c>
      <c r="J24" s="180">
        <v>1461125.7699999996</v>
      </c>
      <c r="K24" s="180">
        <v>1395942.5600000003</v>
      </c>
      <c r="L24" s="180">
        <v>1356814.3899999997</v>
      </c>
      <c r="M24" s="180">
        <v>1585604.9000000001</v>
      </c>
      <c r="N24" s="180">
        <v>1230808.23</v>
      </c>
      <c r="O24" s="180">
        <v>2257440.92</v>
      </c>
      <c r="P24" s="145">
        <f t="shared" si="1"/>
        <v>19177664.469999999</v>
      </c>
      <c r="Q24" s="145"/>
    </row>
    <row r="25" spans="2:18" s="8" customFormat="1" x14ac:dyDescent="0.2">
      <c r="B25" s="8" t="s">
        <v>265</v>
      </c>
      <c r="C25" s="144" t="s">
        <v>78</v>
      </c>
      <c r="D25" s="180">
        <v>24628</v>
      </c>
      <c r="E25" s="180">
        <v>24606.36</v>
      </c>
      <c r="F25" s="180">
        <v>24050.42</v>
      </c>
      <c r="G25" s="180">
        <v>25634.7</v>
      </c>
      <c r="H25" s="180">
        <v>21436.83</v>
      </c>
      <c r="I25" s="180">
        <v>20548.330000000002</v>
      </c>
      <c r="J25" s="180">
        <v>18321.95</v>
      </c>
      <c r="K25" s="180">
        <v>18168.88</v>
      </c>
      <c r="L25" s="180">
        <v>18204.89</v>
      </c>
      <c r="M25" s="180">
        <v>85671.54</v>
      </c>
      <c r="N25" s="180">
        <v>55425.62</v>
      </c>
      <c r="O25" s="180">
        <v>0</v>
      </c>
      <c r="P25" s="145">
        <f t="shared" si="1"/>
        <v>336697.52</v>
      </c>
      <c r="Q25" s="145"/>
    </row>
    <row r="26" spans="2:18" s="8" customFormat="1" x14ac:dyDescent="0.2">
      <c r="B26" s="7" t="s">
        <v>266</v>
      </c>
      <c r="C26" s="148" t="s">
        <v>126</v>
      </c>
      <c r="D26" s="180">
        <v>1935140.5</v>
      </c>
      <c r="E26" s="180">
        <v>3844792.74</v>
      </c>
      <c r="F26" s="180">
        <v>10733.719999999739</v>
      </c>
      <c r="G26" s="180">
        <v>1317269.4799999997</v>
      </c>
      <c r="H26" s="180">
        <v>1157819.3200000003</v>
      </c>
      <c r="I26" s="180">
        <v>1072233.48</v>
      </c>
      <c r="J26" s="180">
        <v>1019637.2000000002</v>
      </c>
      <c r="K26" s="180">
        <v>982726.42999999982</v>
      </c>
      <c r="L26" s="180">
        <v>997833.03000000014</v>
      </c>
      <c r="M26" s="180">
        <v>1298806.9299999997</v>
      </c>
      <c r="N26" s="180">
        <v>246521.23000000021</v>
      </c>
      <c r="O26" s="180">
        <v>3107607.75</v>
      </c>
      <c r="P26" s="145">
        <f t="shared" si="1"/>
        <v>16991121.810000002</v>
      </c>
      <c r="Q26" s="145"/>
    </row>
    <row r="27" spans="2:18" s="8" customFormat="1" x14ac:dyDescent="0.2">
      <c r="B27" s="7" t="s">
        <v>267</v>
      </c>
      <c r="C27" s="148" t="s">
        <v>75</v>
      </c>
      <c r="D27" s="180">
        <v>504234.70999999996</v>
      </c>
      <c r="E27" s="180">
        <v>928852.49</v>
      </c>
      <c r="F27" s="180">
        <v>85413.800000000105</v>
      </c>
      <c r="G27" s="180">
        <v>437136.83</v>
      </c>
      <c r="H27" s="180">
        <v>496445.19</v>
      </c>
      <c r="I27" s="180">
        <v>503016.57999999996</v>
      </c>
      <c r="J27" s="180">
        <v>442736.74000000011</v>
      </c>
      <c r="K27" s="180">
        <v>585057.75999999989</v>
      </c>
      <c r="L27" s="180">
        <v>408833.07</v>
      </c>
      <c r="M27" s="180">
        <v>482183.03</v>
      </c>
      <c r="N27" s="180">
        <v>325721.79000000004</v>
      </c>
      <c r="O27" s="180">
        <v>610358.8899999999</v>
      </c>
      <c r="P27" s="145">
        <f t="shared" si="1"/>
        <v>5809990.8799999999</v>
      </c>
      <c r="Q27" s="145"/>
    </row>
    <row r="28" spans="2:18" s="8" customFormat="1" x14ac:dyDescent="0.2">
      <c r="B28" s="7" t="s">
        <v>268</v>
      </c>
      <c r="C28" s="148" t="s">
        <v>124</v>
      </c>
      <c r="D28" s="180">
        <v>3878121.0200000005</v>
      </c>
      <c r="E28" s="180">
        <v>7618053.7699999996</v>
      </c>
      <c r="F28" s="180">
        <v>697902.78999999934</v>
      </c>
      <c r="G28" s="180">
        <v>3531061.9600000009</v>
      </c>
      <c r="H28" s="180">
        <v>3480813.0299999993</v>
      </c>
      <c r="I28" s="180">
        <v>3975648.0300000007</v>
      </c>
      <c r="J28" s="180">
        <v>4025328.85</v>
      </c>
      <c r="K28" s="180">
        <v>4076798.65</v>
      </c>
      <c r="L28" s="180">
        <v>3873990.4699999997</v>
      </c>
      <c r="M28" s="180">
        <v>4046103.2100000004</v>
      </c>
      <c r="N28" s="180">
        <v>3553801.3299999996</v>
      </c>
      <c r="O28" s="180">
        <v>5093508.12</v>
      </c>
      <c r="P28" s="145">
        <f t="shared" si="1"/>
        <v>47851131.229999997</v>
      </c>
      <c r="Q28" s="145"/>
    </row>
    <row r="29" spans="2:18" s="8" customFormat="1" x14ac:dyDescent="0.2">
      <c r="B29" s="8" t="s">
        <v>269</v>
      </c>
      <c r="C29" s="148" t="s">
        <v>78</v>
      </c>
      <c r="D29" s="180">
        <v>36985.149999999994</v>
      </c>
      <c r="E29" s="180">
        <v>47663.689999999995</v>
      </c>
      <c r="F29" s="180">
        <v>11189.360000000006</v>
      </c>
      <c r="G29" s="180">
        <v>33255.879999999997</v>
      </c>
      <c r="H29" s="180">
        <v>39802.83</v>
      </c>
      <c r="I29" s="180">
        <v>33304.07</v>
      </c>
      <c r="J29" s="180">
        <v>26703.710000000006</v>
      </c>
      <c r="K29" s="180">
        <v>32242.730000000003</v>
      </c>
      <c r="L29" s="180">
        <v>33962.239999999998</v>
      </c>
      <c r="M29" s="180">
        <v>521973.78</v>
      </c>
      <c r="N29" s="180">
        <v>74651.509999999995</v>
      </c>
      <c r="O29" s="180">
        <v>43383.649999999994</v>
      </c>
      <c r="P29" s="145">
        <f t="shared" si="1"/>
        <v>935118.60000000009</v>
      </c>
      <c r="Q29" s="145"/>
    </row>
    <row r="30" spans="2:18" s="8" customFormat="1" x14ac:dyDescent="0.2">
      <c r="B30" s="7" t="s">
        <v>270</v>
      </c>
      <c r="C30" s="148" t="s">
        <v>126</v>
      </c>
      <c r="D30" s="180">
        <v>4846722.7800000012</v>
      </c>
      <c r="E30" s="180">
        <v>12852449.119999997</v>
      </c>
      <c r="F30" s="180">
        <v>398610.4700000002</v>
      </c>
      <c r="G30" s="180">
        <v>5768223.4700000007</v>
      </c>
      <c r="H30" s="180">
        <v>5240546.9399999995</v>
      </c>
      <c r="I30" s="180">
        <v>6104841.8300000001</v>
      </c>
      <c r="J30" s="180">
        <v>5448528.0099999998</v>
      </c>
      <c r="K30" s="180">
        <v>7391875.1700000009</v>
      </c>
      <c r="L30" s="180">
        <v>6423453.0799999991</v>
      </c>
      <c r="M30" s="180">
        <v>7451255.4500000011</v>
      </c>
      <c r="N30" s="180">
        <v>6106038.3899999997</v>
      </c>
      <c r="O30" s="180">
        <v>7447233.7100000009</v>
      </c>
      <c r="P30" s="145">
        <f t="shared" si="1"/>
        <v>75479778.419999987</v>
      </c>
      <c r="Q30" s="145"/>
    </row>
    <row r="31" spans="2:18" s="63" customFormat="1" x14ac:dyDescent="0.2">
      <c r="B31" s="63" t="s">
        <v>271</v>
      </c>
      <c r="C31" s="238" t="s">
        <v>272</v>
      </c>
      <c r="D31" s="180">
        <v>3871128.5700000003</v>
      </c>
      <c r="E31" s="180">
        <v>7085600.7199999997</v>
      </c>
      <c r="F31" s="180">
        <v>-205432.40000000011</v>
      </c>
      <c r="G31" s="180">
        <v>1877765.8899999997</v>
      </c>
      <c r="H31" s="180">
        <v>2452449.3200000003</v>
      </c>
      <c r="I31" s="180">
        <v>1881715.6199999999</v>
      </c>
      <c r="J31" s="180">
        <v>1644229.3199999998</v>
      </c>
      <c r="K31" s="180">
        <v>1677138.95</v>
      </c>
      <c r="L31" s="180">
        <v>1705149.7000000002</v>
      </c>
      <c r="M31" s="180">
        <v>2611229.0099999998</v>
      </c>
      <c r="N31" s="180">
        <v>2596754.4600000004</v>
      </c>
      <c r="O31" s="180">
        <v>4182144.6200000006</v>
      </c>
      <c r="P31" s="149">
        <f t="shared" si="1"/>
        <v>31379873.779999997</v>
      </c>
      <c r="Q31" s="68"/>
    </row>
    <row r="32" spans="2:18" s="8" customFormat="1" x14ac:dyDescent="0.2">
      <c r="B32" s="8" t="s">
        <v>273</v>
      </c>
      <c r="D32" s="150">
        <f t="shared" ref="D32:O32" si="2">SUM(D8:D31)</f>
        <v>152744771.95618874</v>
      </c>
      <c r="E32" s="150">
        <f t="shared" si="2"/>
        <v>161767029.88117555</v>
      </c>
      <c r="F32" s="150">
        <f t="shared" si="2"/>
        <v>119121821.1998352</v>
      </c>
      <c r="G32" s="150">
        <f t="shared" si="2"/>
        <v>86355905.10255523</v>
      </c>
      <c r="H32" s="150">
        <f t="shared" si="2"/>
        <v>59916673.240158997</v>
      </c>
      <c r="I32" s="150">
        <f t="shared" si="2"/>
        <v>55541650.230277345</v>
      </c>
      <c r="J32" s="150">
        <f t="shared" si="2"/>
        <v>42382698.350129239</v>
      </c>
      <c r="K32" s="150">
        <f t="shared" si="2"/>
        <v>43082801.757986546</v>
      </c>
      <c r="L32" s="150">
        <f t="shared" si="2"/>
        <v>45992642.927235335</v>
      </c>
      <c r="M32" s="150">
        <f t="shared" si="2"/>
        <v>80451607.450244889</v>
      </c>
      <c r="N32" s="150">
        <f t="shared" si="2"/>
        <v>124185850.26152469</v>
      </c>
      <c r="O32" s="150">
        <f t="shared" si="2"/>
        <v>151394146.17878428</v>
      </c>
      <c r="P32" s="145">
        <f t="shared" si="1"/>
        <v>1122937598.5360961</v>
      </c>
      <c r="Q32" s="68"/>
      <c r="R32" s="145"/>
    </row>
    <row r="33" spans="2:40" s="8" customFormat="1" x14ac:dyDescent="0.2">
      <c r="B33" s="8" t="s">
        <v>274</v>
      </c>
      <c r="D33" s="68">
        <f t="shared" ref="D33:O33" si="3">SUM(D22:D31)</f>
        <v>18362612.260000002</v>
      </c>
      <c r="E33" s="68">
        <f t="shared" si="3"/>
        <v>38206331.050000004</v>
      </c>
      <c r="F33" s="68">
        <f t="shared" si="3"/>
        <v>1663702.4999999998</v>
      </c>
      <c r="G33" s="68">
        <f t="shared" si="3"/>
        <v>15969205.420000002</v>
      </c>
      <c r="H33" s="68">
        <f t="shared" si="3"/>
        <v>15318029.949999999</v>
      </c>
      <c r="I33" s="68">
        <f t="shared" si="3"/>
        <v>15977011.939999999</v>
      </c>
      <c r="J33" s="68">
        <f t="shared" si="3"/>
        <v>15133852.260000002</v>
      </c>
      <c r="K33" s="68">
        <f t="shared" si="3"/>
        <v>17142899.25</v>
      </c>
      <c r="L33" s="68">
        <f t="shared" si="3"/>
        <v>15833454.979999997</v>
      </c>
      <c r="M33" s="68">
        <f t="shared" si="3"/>
        <v>19223382.439999998</v>
      </c>
      <c r="N33" s="68">
        <f t="shared" si="3"/>
        <v>15308387.789999999</v>
      </c>
      <c r="O33" s="68">
        <f t="shared" si="3"/>
        <v>24190859.920000002</v>
      </c>
      <c r="P33" s="145">
        <f t="shared" si="1"/>
        <v>212329729.75999999</v>
      </c>
      <c r="Q33" s="145"/>
    </row>
    <row r="34" spans="2:40" x14ac:dyDescent="0.2">
      <c r="C34" s="148"/>
      <c r="D34" s="151"/>
      <c r="E34" s="151"/>
      <c r="F34" s="151"/>
      <c r="G34" s="151"/>
      <c r="H34" s="115"/>
      <c r="I34" s="115"/>
      <c r="J34" s="115"/>
      <c r="K34" s="151"/>
      <c r="L34" s="151"/>
      <c r="M34" s="151"/>
      <c r="N34" s="151"/>
      <c r="O34" s="151"/>
      <c r="P34" s="145"/>
      <c r="Q34" s="151"/>
    </row>
    <row r="35" spans="2:40" x14ac:dyDescent="0.2">
      <c r="B35" s="4" t="s">
        <v>275</v>
      </c>
      <c r="C35" s="142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</row>
    <row r="36" spans="2:40" x14ac:dyDescent="0.2">
      <c r="B36" s="8" t="s">
        <v>250</v>
      </c>
      <c r="C36" s="144">
        <v>16</v>
      </c>
      <c r="D36" s="180">
        <v>6</v>
      </c>
      <c r="E36" s="180">
        <v>7</v>
      </c>
      <c r="F36" s="180">
        <v>6</v>
      </c>
      <c r="G36" s="180">
        <v>7</v>
      </c>
      <c r="H36" s="180">
        <v>7</v>
      </c>
      <c r="I36" s="180">
        <v>6</v>
      </c>
      <c r="J36" s="180">
        <v>6</v>
      </c>
      <c r="K36" s="180">
        <v>6</v>
      </c>
      <c r="L36" s="180">
        <v>6</v>
      </c>
      <c r="M36" s="180">
        <v>7</v>
      </c>
      <c r="N36" s="180">
        <v>7</v>
      </c>
      <c r="O36" s="180">
        <v>6</v>
      </c>
      <c r="P36" s="145">
        <f t="shared" ref="P36:P64" si="4">SUM(D36:O36)</f>
        <v>77</v>
      </c>
      <c r="Q36" s="120"/>
      <c r="R36" s="8"/>
      <c r="S36" s="120"/>
      <c r="T36" s="120"/>
      <c r="U36" s="8"/>
      <c r="V36" s="8"/>
      <c r="W36" s="120"/>
      <c r="X36" s="120"/>
      <c r="Y36" s="120"/>
      <c r="Z36" s="120"/>
      <c r="AA36" s="120"/>
      <c r="AB36" s="8"/>
      <c r="AC36" s="120"/>
      <c r="AD36" s="120"/>
      <c r="AE36" s="11"/>
      <c r="AF36" s="120"/>
      <c r="AG36" s="120"/>
      <c r="AH36" s="120"/>
      <c r="AI36" s="120"/>
      <c r="AJ36" s="120"/>
      <c r="AK36" s="120"/>
      <c r="AL36" s="120"/>
      <c r="AM36" s="120"/>
      <c r="AN36" s="120"/>
    </row>
    <row r="37" spans="2:40" s="8" customFormat="1" x14ac:dyDescent="0.2">
      <c r="B37" s="8" t="s">
        <v>67</v>
      </c>
      <c r="C37" s="8">
        <v>23</v>
      </c>
      <c r="D37" s="180">
        <v>788582</v>
      </c>
      <c r="E37" s="180">
        <v>789208</v>
      </c>
      <c r="F37" s="180">
        <v>789781</v>
      </c>
      <c r="G37" s="180">
        <v>789760</v>
      </c>
      <c r="H37" s="180">
        <v>789943</v>
      </c>
      <c r="I37" s="180">
        <v>790435</v>
      </c>
      <c r="J37" s="180">
        <v>790935</v>
      </c>
      <c r="K37" s="180">
        <v>791858</v>
      </c>
      <c r="L37" s="180">
        <v>792846</v>
      </c>
      <c r="M37" s="180">
        <v>794189</v>
      </c>
      <c r="N37" s="180">
        <v>795324</v>
      </c>
      <c r="O37" s="180">
        <v>796402</v>
      </c>
      <c r="P37" s="145">
        <f t="shared" si="4"/>
        <v>9499263</v>
      </c>
      <c r="Q37" s="145"/>
      <c r="R37" s="7"/>
    </row>
    <row r="38" spans="2:40" s="8" customFormat="1" x14ac:dyDescent="0.2">
      <c r="B38" s="8" t="s">
        <v>251</v>
      </c>
      <c r="C38" s="8">
        <v>53</v>
      </c>
      <c r="D38" s="180">
        <v>0</v>
      </c>
      <c r="E38" s="180">
        <v>0</v>
      </c>
      <c r="F38" s="180">
        <v>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0">
        <v>0</v>
      </c>
      <c r="M38" s="180">
        <v>0</v>
      </c>
      <c r="N38" s="180">
        <v>0</v>
      </c>
      <c r="O38" s="180">
        <v>0</v>
      </c>
      <c r="P38" s="145">
        <f t="shared" si="4"/>
        <v>0</v>
      </c>
      <c r="Q38" s="145"/>
      <c r="R38" s="7"/>
    </row>
    <row r="39" spans="2:40" s="8" customFormat="1" x14ac:dyDescent="0.2">
      <c r="B39" s="8" t="s">
        <v>276</v>
      </c>
      <c r="C39" s="8">
        <v>61</v>
      </c>
      <c r="D39" s="180">
        <v>0</v>
      </c>
      <c r="E39" s="180">
        <v>0</v>
      </c>
      <c r="F39" s="180">
        <v>0</v>
      </c>
      <c r="G39" s="180">
        <v>0</v>
      </c>
      <c r="H39" s="180">
        <v>0</v>
      </c>
      <c r="I39" s="180">
        <v>0</v>
      </c>
      <c r="J39" s="180">
        <v>0</v>
      </c>
      <c r="K39" s="180">
        <v>0</v>
      </c>
      <c r="L39" s="180">
        <v>0</v>
      </c>
      <c r="M39" s="180">
        <v>0</v>
      </c>
      <c r="N39" s="180">
        <v>0</v>
      </c>
      <c r="O39" s="180">
        <v>0</v>
      </c>
      <c r="P39" s="145">
        <f t="shared" si="4"/>
        <v>0</v>
      </c>
      <c r="Q39" s="145"/>
      <c r="R39" s="7"/>
    </row>
    <row r="40" spans="2:40" s="8" customFormat="1" x14ac:dyDescent="0.2">
      <c r="B40" s="8" t="s">
        <v>277</v>
      </c>
      <c r="C40" s="8">
        <v>31</v>
      </c>
      <c r="D40" s="180">
        <v>55168</v>
      </c>
      <c r="E40" s="180">
        <v>55200</v>
      </c>
      <c r="F40" s="180">
        <v>55230</v>
      </c>
      <c r="G40" s="180">
        <v>55107</v>
      </c>
      <c r="H40" s="180">
        <v>55035</v>
      </c>
      <c r="I40" s="180">
        <v>54959</v>
      </c>
      <c r="J40" s="180">
        <v>54947</v>
      </c>
      <c r="K40" s="180">
        <v>54915</v>
      </c>
      <c r="L40" s="180">
        <v>54936</v>
      </c>
      <c r="M40" s="180">
        <v>55000</v>
      </c>
      <c r="N40" s="180">
        <v>55139</v>
      </c>
      <c r="O40" s="180">
        <v>55233</v>
      </c>
      <c r="P40" s="145">
        <f t="shared" si="4"/>
        <v>660869</v>
      </c>
      <c r="Q40" s="145"/>
      <c r="R40" s="7"/>
    </row>
    <row r="41" spans="2:40" s="8" customFormat="1" x14ac:dyDescent="0.2">
      <c r="B41" s="8" t="s">
        <v>278</v>
      </c>
      <c r="C41" s="8">
        <v>41</v>
      </c>
      <c r="D41" s="180">
        <v>1261</v>
      </c>
      <c r="E41" s="180">
        <v>1254</v>
      </c>
      <c r="F41" s="180">
        <v>1250</v>
      </c>
      <c r="G41" s="180">
        <v>1242</v>
      </c>
      <c r="H41" s="180">
        <v>1235</v>
      </c>
      <c r="I41" s="180">
        <v>1236</v>
      </c>
      <c r="J41" s="180">
        <v>1220</v>
      </c>
      <c r="K41" s="180">
        <v>1214</v>
      </c>
      <c r="L41" s="180">
        <v>1215</v>
      </c>
      <c r="M41" s="180">
        <v>1215</v>
      </c>
      <c r="N41" s="180">
        <v>1215</v>
      </c>
      <c r="O41" s="180">
        <v>1204</v>
      </c>
      <c r="P41" s="145">
        <f t="shared" si="4"/>
        <v>14761</v>
      </c>
      <c r="Q41" s="145"/>
      <c r="R41" s="7"/>
    </row>
    <row r="42" spans="2:40" s="8" customFormat="1" x14ac:dyDescent="0.2">
      <c r="B42" s="8" t="s">
        <v>254</v>
      </c>
      <c r="C42" s="8">
        <v>50</v>
      </c>
      <c r="D42" s="180">
        <v>0</v>
      </c>
      <c r="E42" s="180">
        <v>0</v>
      </c>
      <c r="F42" s="180">
        <v>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80">
        <v>0</v>
      </c>
      <c r="M42" s="180">
        <v>0</v>
      </c>
      <c r="N42" s="180">
        <v>0</v>
      </c>
      <c r="O42" s="180">
        <v>0</v>
      </c>
      <c r="P42" s="145">
        <f t="shared" si="4"/>
        <v>0</v>
      </c>
      <c r="Q42" s="145"/>
      <c r="R42" s="7"/>
    </row>
    <row r="43" spans="2:40" s="8" customFormat="1" x14ac:dyDescent="0.2">
      <c r="B43" s="8" t="s">
        <v>279</v>
      </c>
      <c r="C43" s="8">
        <v>61</v>
      </c>
      <c r="D43" s="180">
        <v>0</v>
      </c>
      <c r="E43" s="180">
        <v>0</v>
      </c>
      <c r="F43" s="180">
        <v>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80">
        <v>0</v>
      </c>
      <c r="M43" s="180">
        <v>0</v>
      </c>
      <c r="N43" s="180">
        <v>0</v>
      </c>
      <c r="O43" s="180">
        <v>0</v>
      </c>
      <c r="P43" s="145">
        <f t="shared" si="4"/>
        <v>0</v>
      </c>
      <c r="Q43" s="145"/>
      <c r="R43" s="7"/>
    </row>
    <row r="44" spans="2:40" s="8" customFormat="1" x14ac:dyDescent="0.2">
      <c r="B44" s="8" t="s">
        <v>255</v>
      </c>
      <c r="C44" s="8">
        <v>85</v>
      </c>
      <c r="D44" s="180">
        <v>24</v>
      </c>
      <c r="E44" s="180">
        <v>24</v>
      </c>
      <c r="F44" s="180">
        <v>24</v>
      </c>
      <c r="G44" s="180">
        <v>24</v>
      </c>
      <c r="H44" s="180">
        <v>24</v>
      </c>
      <c r="I44" s="180">
        <v>24</v>
      </c>
      <c r="J44" s="180">
        <v>24</v>
      </c>
      <c r="K44" s="180">
        <v>24</v>
      </c>
      <c r="L44" s="180">
        <v>24</v>
      </c>
      <c r="M44" s="180">
        <v>24</v>
      </c>
      <c r="N44" s="180">
        <v>25</v>
      </c>
      <c r="O44" s="180">
        <v>25</v>
      </c>
      <c r="P44" s="145">
        <f t="shared" si="4"/>
        <v>290</v>
      </c>
      <c r="Q44" s="145"/>
      <c r="R44" s="7"/>
    </row>
    <row r="45" spans="2:40" s="8" customFormat="1" x14ac:dyDescent="0.2">
      <c r="B45" s="8" t="s">
        <v>256</v>
      </c>
      <c r="C45" s="8">
        <v>86</v>
      </c>
      <c r="D45" s="180">
        <v>127</v>
      </c>
      <c r="E45" s="180">
        <v>124</v>
      </c>
      <c r="F45" s="180">
        <v>123</v>
      </c>
      <c r="G45" s="180">
        <v>123</v>
      </c>
      <c r="H45" s="180">
        <v>122</v>
      </c>
      <c r="I45" s="180">
        <v>116</v>
      </c>
      <c r="J45" s="180">
        <v>115</v>
      </c>
      <c r="K45" s="180">
        <v>115</v>
      </c>
      <c r="L45" s="180">
        <v>115</v>
      </c>
      <c r="M45" s="180">
        <v>115</v>
      </c>
      <c r="N45" s="180">
        <v>114</v>
      </c>
      <c r="O45" s="180">
        <v>114</v>
      </c>
      <c r="P45" s="145">
        <f t="shared" si="4"/>
        <v>1423</v>
      </c>
      <c r="Q45" s="145"/>
      <c r="R45" s="7"/>
    </row>
    <row r="46" spans="2:40" s="8" customFormat="1" x14ac:dyDescent="0.2">
      <c r="B46" s="8" t="s">
        <v>280</v>
      </c>
      <c r="C46" s="8">
        <v>87</v>
      </c>
      <c r="D46" s="180">
        <v>5</v>
      </c>
      <c r="E46" s="180">
        <v>5</v>
      </c>
      <c r="F46" s="180">
        <v>5</v>
      </c>
      <c r="G46" s="180">
        <v>5</v>
      </c>
      <c r="H46" s="180">
        <v>5</v>
      </c>
      <c r="I46" s="180">
        <v>5</v>
      </c>
      <c r="J46" s="180">
        <v>5</v>
      </c>
      <c r="K46" s="180">
        <v>5</v>
      </c>
      <c r="L46" s="180">
        <v>5</v>
      </c>
      <c r="M46" s="180">
        <v>5</v>
      </c>
      <c r="N46" s="180">
        <v>5</v>
      </c>
      <c r="O46" s="180">
        <v>5</v>
      </c>
      <c r="P46" s="145">
        <f t="shared" si="4"/>
        <v>60</v>
      </c>
      <c r="Q46" s="145"/>
      <c r="R46" s="7"/>
    </row>
    <row r="47" spans="2:40" s="8" customFormat="1" x14ac:dyDescent="0.2">
      <c r="B47" s="8" t="s">
        <v>258</v>
      </c>
      <c r="C47" s="8">
        <v>31</v>
      </c>
      <c r="D47" s="180">
        <v>2231</v>
      </c>
      <c r="E47" s="180">
        <v>2232</v>
      </c>
      <c r="F47" s="180">
        <v>2239</v>
      </c>
      <c r="G47" s="180">
        <v>2230</v>
      </c>
      <c r="H47" s="180">
        <v>2226</v>
      </c>
      <c r="I47" s="180">
        <v>2218</v>
      </c>
      <c r="J47" s="180">
        <v>2212</v>
      </c>
      <c r="K47" s="180">
        <v>2211</v>
      </c>
      <c r="L47" s="180">
        <v>2215</v>
      </c>
      <c r="M47" s="180">
        <v>2212</v>
      </c>
      <c r="N47" s="180">
        <v>2218</v>
      </c>
      <c r="O47" s="180">
        <v>2219</v>
      </c>
      <c r="P47" s="145">
        <f t="shared" si="4"/>
        <v>26663</v>
      </c>
      <c r="Q47" s="145"/>
      <c r="R47" s="7"/>
    </row>
    <row r="48" spans="2:40" s="8" customFormat="1" x14ac:dyDescent="0.2">
      <c r="B48" s="8" t="s">
        <v>259</v>
      </c>
      <c r="C48" s="8">
        <v>41</v>
      </c>
      <c r="D48" s="180">
        <v>72</v>
      </c>
      <c r="E48" s="180">
        <v>72</v>
      </c>
      <c r="F48" s="180">
        <v>72</v>
      </c>
      <c r="G48" s="180">
        <v>71</v>
      </c>
      <c r="H48" s="180">
        <v>71</v>
      </c>
      <c r="I48" s="180">
        <v>70</v>
      </c>
      <c r="J48" s="180">
        <v>70</v>
      </c>
      <c r="K48" s="180">
        <v>70</v>
      </c>
      <c r="L48" s="180">
        <v>69</v>
      </c>
      <c r="M48" s="180">
        <v>71</v>
      </c>
      <c r="N48" s="180">
        <v>71</v>
      </c>
      <c r="O48" s="180">
        <v>70</v>
      </c>
      <c r="P48" s="145">
        <f t="shared" si="4"/>
        <v>849</v>
      </c>
      <c r="Q48" s="145"/>
      <c r="R48" s="7"/>
      <c r="S48" s="145"/>
      <c r="T48" s="239"/>
    </row>
    <row r="49" spans="2:20" s="8" customFormat="1" x14ac:dyDescent="0.2">
      <c r="B49" s="8" t="s">
        <v>281</v>
      </c>
      <c r="C49" s="8">
        <v>61</v>
      </c>
      <c r="D49" s="180">
        <v>0</v>
      </c>
      <c r="E49" s="180">
        <v>0</v>
      </c>
      <c r="F49" s="180">
        <v>0</v>
      </c>
      <c r="G49" s="180">
        <v>0</v>
      </c>
      <c r="H49" s="180">
        <v>0</v>
      </c>
      <c r="I49" s="180">
        <v>0</v>
      </c>
      <c r="J49" s="180">
        <v>0</v>
      </c>
      <c r="K49" s="180">
        <v>0</v>
      </c>
      <c r="L49" s="180">
        <v>0</v>
      </c>
      <c r="M49" s="180">
        <v>0</v>
      </c>
      <c r="N49" s="180">
        <v>0</v>
      </c>
      <c r="O49" s="180">
        <v>0</v>
      </c>
      <c r="P49" s="145">
        <f t="shared" si="4"/>
        <v>0</v>
      </c>
      <c r="Q49" s="145"/>
      <c r="R49" s="7"/>
      <c r="S49" s="145"/>
    </row>
    <row r="50" spans="2:20" s="8" customFormat="1" x14ac:dyDescent="0.2">
      <c r="B50" s="8" t="s">
        <v>260</v>
      </c>
      <c r="C50" s="8">
        <v>85</v>
      </c>
      <c r="D50" s="180">
        <v>4</v>
      </c>
      <c r="E50" s="180">
        <v>4</v>
      </c>
      <c r="F50" s="180">
        <v>4</v>
      </c>
      <c r="G50" s="180">
        <v>4</v>
      </c>
      <c r="H50" s="180">
        <v>4</v>
      </c>
      <c r="I50" s="180">
        <v>4</v>
      </c>
      <c r="J50" s="180">
        <v>4</v>
      </c>
      <c r="K50" s="180">
        <v>5</v>
      </c>
      <c r="L50" s="180">
        <v>5</v>
      </c>
      <c r="M50" s="180">
        <v>5</v>
      </c>
      <c r="N50" s="180">
        <v>4</v>
      </c>
      <c r="O50" s="180">
        <v>4</v>
      </c>
      <c r="P50" s="145">
        <f t="shared" si="4"/>
        <v>51</v>
      </c>
      <c r="Q50" s="145"/>
      <c r="R50" s="7"/>
    </row>
    <row r="51" spans="2:20" s="8" customFormat="1" x14ac:dyDescent="0.2">
      <c r="B51" s="8" t="s">
        <v>261</v>
      </c>
      <c r="C51" s="8">
        <v>86</v>
      </c>
      <c r="D51" s="180">
        <v>4</v>
      </c>
      <c r="E51" s="180">
        <v>4</v>
      </c>
      <c r="F51" s="180">
        <v>4</v>
      </c>
      <c r="G51" s="180">
        <v>4</v>
      </c>
      <c r="H51" s="180">
        <v>4</v>
      </c>
      <c r="I51" s="180">
        <v>4</v>
      </c>
      <c r="J51" s="180">
        <v>4</v>
      </c>
      <c r="K51" s="180">
        <v>4</v>
      </c>
      <c r="L51" s="180">
        <v>4</v>
      </c>
      <c r="M51" s="180">
        <v>4</v>
      </c>
      <c r="N51" s="180">
        <v>4</v>
      </c>
      <c r="O51" s="180">
        <v>4</v>
      </c>
      <c r="P51" s="145">
        <f t="shared" si="4"/>
        <v>48</v>
      </c>
      <c r="Q51" s="145"/>
      <c r="R51" s="7"/>
    </row>
    <row r="52" spans="2:20" s="8" customFormat="1" x14ac:dyDescent="0.2">
      <c r="B52" s="8" t="s">
        <v>262</v>
      </c>
      <c r="C52" s="8">
        <v>87</v>
      </c>
      <c r="D52" s="180">
        <v>0</v>
      </c>
      <c r="E52" s="180">
        <v>0</v>
      </c>
      <c r="F52" s="180">
        <v>0</v>
      </c>
      <c r="G52" s="180">
        <v>0</v>
      </c>
      <c r="H52" s="180">
        <v>0</v>
      </c>
      <c r="I52" s="180">
        <v>0</v>
      </c>
      <c r="J52" s="180">
        <v>0</v>
      </c>
      <c r="K52" s="180">
        <v>0</v>
      </c>
      <c r="L52" s="180">
        <v>0</v>
      </c>
      <c r="M52" s="180">
        <v>0</v>
      </c>
      <c r="N52" s="180">
        <v>0</v>
      </c>
      <c r="O52" s="180">
        <v>0</v>
      </c>
      <c r="P52" s="145">
        <f t="shared" si="4"/>
        <v>0</v>
      </c>
      <c r="Q52" s="145"/>
      <c r="R52" s="7"/>
    </row>
    <row r="53" spans="2:20" s="8" customFormat="1" x14ac:dyDescent="0.2">
      <c r="B53" s="7" t="s">
        <v>263</v>
      </c>
      <c r="C53" s="144" t="s">
        <v>71</v>
      </c>
      <c r="D53" s="180">
        <v>2</v>
      </c>
      <c r="E53" s="180">
        <v>2</v>
      </c>
      <c r="F53" s="180">
        <v>2</v>
      </c>
      <c r="G53" s="180">
        <v>2</v>
      </c>
      <c r="H53" s="180">
        <v>2</v>
      </c>
      <c r="I53" s="180">
        <v>2</v>
      </c>
      <c r="J53" s="180">
        <v>2</v>
      </c>
      <c r="K53" s="180">
        <v>2</v>
      </c>
      <c r="L53" s="180">
        <v>2</v>
      </c>
      <c r="M53" s="180">
        <v>2</v>
      </c>
      <c r="N53" s="180">
        <v>2</v>
      </c>
      <c r="O53" s="180">
        <v>2</v>
      </c>
      <c r="P53" s="145">
        <f t="shared" si="4"/>
        <v>24</v>
      </c>
      <c r="Q53" s="145"/>
      <c r="R53" s="7"/>
    </row>
    <row r="54" spans="2:20" s="8" customFormat="1" x14ac:dyDescent="0.2">
      <c r="B54" s="7" t="s">
        <v>264</v>
      </c>
      <c r="C54" s="148" t="s">
        <v>75</v>
      </c>
      <c r="D54" s="180">
        <v>83</v>
      </c>
      <c r="E54" s="180">
        <v>83</v>
      </c>
      <c r="F54" s="180">
        <v>83</v>
      </c>
      <c r="G54" s="180">
        <v>83</v>
      </c>
      <c r="H54" s="180">
        <v>83</v>
      </c>
      <c r="I54" s="180">
        <v>83</v>
      </c>
      <c r="J54" s="180">
        <v>83</v>
      </c>
      <c r="K54" s="180">
        <v>83</v>
      </c>
      <c r="L54" s="180">
        <v>82</v>
      </c>
      <c r="M54" s="180">
        <v>81</v>
      </c>
      <c r="N54" s="180">
        <v>79</v>
      </c>
      <c r="O54" s="180">
        <v>79</v>
      </c>
      <c r="P54" s="145">
        <f t="shared" si="4"/>
        <v>985</v>
      </c>
      <c r="Q54" s="145"/>
      <c r="R54" s="7"/>
    </row>
    <row r="55" spans="2:20" s="8" customFormat="1" x14ac:dyDescent="0.2">
      <c r="B55" s="7" t="s">
        <v>265</v>
      </c>
      <c r="C55" s="148" t="s">
        <v>124</v>
      </c>
      <c r="D55" s="180">
        <v>29</v>
      </c>
      <c r="E55" s="180">
        <v>29</v>
      </c>
      <c r="F55" s="180">
        <v>29</v>
      </c>
      <c r="G55" s="180">
        <v>29</v>
      </c>
      <c r="H55" s="180">
        <v>29</v>
      </c>
      <c r="I55" s="180">
        <v>29</v>
      </c>
      <c r="J55" s="180">
        <v>29</v>
      </c>
      <c r="K55" s="180">
        <v>29</v>
      </c>
      <c r="L55" s="180">
        <v>28</v>
      </c>
      <c r="M55" s="180">
        <v>28</v>
      </c>
      <c r="N55" s="180">
        <v>28</v>
      </c>
      <c r="O55" s="180">
        <v>28</v>
      </c>
      <c r="P55" s="145">
        <f t="shared" si="4"/>
        <v>344</v>
      </c>
      <c r="Q55" s="145"/>
      <c r="R55" s="7"/>
    </row>
    <row r="56" spans="2:20" s="8" customFormat="1" x14ac:dyDescent="0.2">
      <c r="B56" s="8" t="s">
        <v>369</v>
      </c>
      <c r="C56" s="148" t="s">
        <v>78</v>
      </c>
      <c r="D56" s="180">
        <v>1</v>
      </c>
      <c r="E56" s="180">
        <v>1</v>
      </c>
      <c r="F56" s="180">
        <v>1</v>
      </c>
      <c r="G56" s="180">
        <v>1</v>
      </c>
      <c r="H56" s="180">
        <v>1</v>
      </c>
      <c r="I56" s="180">
        <v>1</v>
      </c>
      <c r="J56" s="180">
        <v>1</v>
      </c>
      <c r="K56" s="180">
        <v>1</v>
      </c>
      <c r="L56" s="180">
        <v>2</v>
      </c>
      <c r="M56" s="180">
        <v>2</v>
      </c>
      <c r="N56" s="180">
        <v>2</v>
      </c>
      <c r="O56" s="180">
        <v>2</v>
      </c>
      <c r="P56" s="145">
        <f t="shared" si="4"/>
        <v>16</v>
      </c>
      <c r="Q56" s="145"/>
      <c r="R56" s="7"/>
    </row>
    <row r="57" spans="2:20" s="8" customFormat="1" x14ac:dyDescent="0.2">
      <c r="B57" s="7" t="s">
        <v>266</v>
      </c>
      <c r="C57" s="148" t="s">
        <v>126</v>
      </c>
      <c r="D57" s="180">
        <v>3</v>
      </c>
      <c r="E57" s="180">
        <v>3</v>
      </c>
      <c r="F57" s="180">
        <v>3</v>
      </c>
      <c r="G57" s="180">
        <v>3</v>
      </c>
      <c r="H57" s="180">
        <v>3</v>
      </c>
      <c r="I57" s="180">
        <v>3</v>
      </c>
      <c r="J57" s="180">
        <v>3</v>
      </c>
      <c r="K57" s="180">
        <v>3</v>
      </c>
      <c r="L57" s="180">
        <v>3</v>
      </c>
      <c r="M57" s="180">
        <v>3</v>
      </c>
      <c r="N57" s="180">
        <v>3</v>
      </c>
      <c r="O57" s="180">
        <v>3</v>
      </c>
      <c r="P57" s="145">
        <f t="shared" si="4"/>
        <v>36</v>
      </c>
      <c r="Q57" s="145"/>
      <c r="R57" s="7"/>
    </row>
    <row r="58" spans="2:20" s="8" customFormat="1" x14ac:dyDescent="0.2">
      <c r="B58" s="7" t="s">
        <v>370</v>
      </c>
      <c r="C58" s="144" t="s">
        <v>71</v>
      </c>
      <c r="D58" s="180">
        <v>0</v>
      </c>
      <c r="E58" s="180">
        <v>0</v>
      </c>
      <c r="F58" s="180">
        <v>0</v>
      </c>
      <c r="G58" s="180">
        <v>0</v>
      </c>
      <c r="H58" s="180">
        <v>0</v>
      </c>
      <c r="I58" s="180">
        <v>0</v>
      </c>
      <c r="J58" s="180">
        <v>0</v>
      </c>
      <c r="K58" s="180">
        <v>0</v>
      </c>
      <c r="L58" s="180">
        <v>0</v>
      </c>
      <c r="M58" s="180">
        <v>0</v>
      </c>
      <c r="N58" s="180">
        <v>0</v>
      </c>
      <c r="O58" s="180">
        <v>0</v>
      </c>
      <c r="P58" s="145">
        <f t="shared" si="4"/>
        <v>0</v>
      </c>
      <c r="Q58" s="145"/>
      <c r="R58" s="7"/>
    </row>
    <row r="59" spans="2:20" s="8" customFormat="1" x14ac:dyDescent="0.2">
      <c r="B59" s="7" t="s">
        <v>267</v>
      </c>
      <c r="C59" s="148" t="s">
        <v>75</v>
      </c>
      <c r="D59" s="180">
        <v>21</v>
      </c>
      <c r="E59" s="180">
        <v>20</v>
      </c>
      <c r="F59" s="180">
        <v>20</v>
      </c>
      <c r="G59" s="180">
        <v>20</v>
      </c>
      <c r="H59" s="180">
        <v>20</v>
      </c>
      <c r="I59" s="180">
        <v>20</v>
      </c>
      <c r="J59" s="180">
        <v>20</v>
      </c>
      <c r="K59" s="180">
        <v>20</v>
      </c>
      <c r="L59" s="180">
        <v>18</v>
      </c>
      <c r="M59" s="180">
        <v>18</v>
      </c>
      <c r="N59" s="180">
        <v>18</v>
      </c>
      <c r="O59" s="180">
        <v>18</v>
      </c>
      <c r="P59" s="145">
        <f t="shared" si="4"/>
        <v>233</v>
      </c>
      <c r="Q59" s="145"/>
      <c r="R59" s="7"/>
      <c r="T59" s="300"/>
    </row>
    <row r="60" spans="2:20" s="8" customFormat="1" x14ac:dyDescent="0.2">
      <c r="B60" s="7" t="s">
        <v>268</v>
      </c>
      <c r="C60" s="148" t="s">
        <v>124</v>
      </c>
      <c r="D60" s="180">
        <v>67</v>
      </c>
      <c r="E60" s="180">
        <v>67</v>
      </c>
      <c r="F60" s="180">
        <v>67</v>
      </c>
      <c r="G60" s="180">
        <v>68</v>
      </c>
      <c r="H60" s="180">
        <v>67</v>
      </c>
      <c r="I60" s="180">
        <v>67</v>
      </c>
      <c r="J60" s="180">
        <v>67</v>
      </c>
      <c r="K60" s="180">
        <v>67</v>
      </c>
      <c r="L60" s="180">
        <v>67</v>
      </c>
      <c r="M60" s="180">
        <v>66</v>
      </c>
      <c r="N60" s="180">
        <v>66</v>
      </c>
      <c r="O60" s="180">
        <v>65</v>
      </c>
      <c r="P60" s="145">
        <f t="shared" si="4"/>
        <v>801</v>
      </c>
      <c r="Q60" s="145"/>
      <c r="R60" s="7"/>
      <c r="T60" s="300"/>
    </row>
    <row r="61" spans="2:20" s="8" customFormat="1" x14ac:dyDescent="0.2">
      <c r="B61" s="8" t="s">
        <v>269</v>
      </c>
      <c r="C61" s="148" t="s">
        <v>78</v>
      </c>
      <c r="D61" s="180">
        <v>2</v>
      </c>
      <c r="E61" s="180">
        <v>2</v>
      </c>
      <c r="F61" s="180">
        <v>2</v>
      </c>
      <c r="G61" s="180">
        <v>2</v>
      </c>
      <c r="H61" s="180">
        <v>3</v>
      </c>
      <c r="I61" s="180">
        <v>3</v>
      </c>
      <c r="J61" s="180">
        <v>3</v>
      </c>
      <c r="K61" s="180">
        <v>4</v>
      </c>
      <c r="L61" s="180">
        <v>4</v>
      </c>
      <c r="M61" s="180">
        <v>5</v>
      </c>
      <c r="N61" s="180">
        <v>5</v>
      </c>
      <c r="O61" s="180">
        <v>5</v>
      </c>
      <c r="P61" s="145">
        <f t="shared" si="4"/>
        <v>40</v>
      </c>
      <c r="Q61" s="145"/>
      <c r="R61" s="7"/>
    </row>
    <row r="62" spans="2:20" s="8" customFormat="1" x14ac:dyDescent="0.2">
      <c r="B62" s="7" t="s">
        <v>270</v>
      </c>
      <c r="C62" s="148" t="s">
        <v>126</v>
      </c>
      <c r="D62" s="180">
        <v>7</v>
      </c>
      <c r="E62" s="180">
        <v>7</v>
      </c>
      <c r="F62" s="180">
        <v>7</v>
      </c>
      <c r="G62" s="180">
        <v>7</v>
      </c>
      <c r="H62" s="180">
        <v>7</v>
      </c>
      <c r="I62" s="180">
        <v>7</v>
      </c>
      <c r="J62" s="180">
        <v>7</v>
      </c>
      <c r="K62" s="180">
        <v>7</v>
      </c>
      <c r="L62" s="180">
        <v>7</v>
      </c>
      <c r="M62" s="180">
        <v>7</v>
      </c>
      <c r="N62" s="180">
        <v>7</v>
      </c>
      <c r="O62" s="180">
        <v>7</v>
      </c>
      <c r="P62" s="145">
        <f t="shared" si="4"/>
        <v>84</v>
      </c>
      <c r="Q62" s="145"/>
      <c r="R62" s="7"/>
    </row>
    <row r="63" spans="2:20" s="63" customFormat="1" x14ac:dyDescent="0.2">
      <c r="B63" s="63" t="s">
        <v>271</v>
      </c>
      <c r="C63" s="238" t="s">
        <v>272</v>
      </c>
      <c r="D63" s="180">
        <v>10</v>
      </c>
      <c r="E63" s="180">
        <v>10</v>
      </c>
      <c r="F63" s="180">
        <v>10</v>
      </c>
      <c r="G63" s="180">
        <v>10</v>
      </c>
      <c r="H63" s="180">
        <v>10</v>
      </c>
      <c r="I63" s="180">
        <v>10</v>
      </c>
      <c r="J63" s="180">
        <v>10</v>
      </c>
      <c r="K63" s="180">
        <v>10</v>
      </c>
      <c r="L63" s="180">
        <v>10</v>
      </c>
      <c r="M63" s="180">
        <v>10</v>
      </c>
      <c r="N63" s="180">
        <v>10</v>
      </c>
      <c r="O63" s="180">
        <v>10</v>
      </c>
      <c r="P63" s="149">
        <f t="shared" si="4"/>
        <v>120</v>
      </c>
      <c r="Q63" s="68"/>
      <c r="R63" s="7"/>
    </row>
    <row r="64" spans="2:20" s="8" customFormat="1" x14ac:dyDescent="0.2">
      <c r="B64" s="8" t="s">
        <v>72</v>
      </c>
      <c r="D64" s="150">
        <f t="shared" ref="D64:O64" si="5">SUM(D36:D63)</f>
        <v>847709</v>
      </c>
      <c r="E64" s="150">
        <f t="shared" si="5"/>
        <v>848358</v>
      </c>
      <c r="F64" s="150">
        <f t="shared" si="5"/>
        <v>848962</v>
      </c>
      <c r="G64" s="150">
        <f t="shared" si="5"/>
        <v>848802</v>
      </c>
      <c r="H64" s="150">
        <f t="shared" si="5"/>
        <v>848901</v>
      </c>
      <c r="I64" s="150">
        <f t="shared" si="5"/>
        <v>849302</v>
      </c>
      <c r="J64" s="150">
        <f t="shared" si="5"/>
        <v>849767</v>
      </c>
      <c r="K64" s="150">
        <f t="shared" si="5"/>
        <v>850653</v>
      </c>
      <c r="L64" s="150">
        <f t="shared" si="5"/>
        <v>851663</v>
      </c>
      <c r="M64" s="150">
        <f t="shared" si="5"/>
        <v>853069</v>
      </c>
      <c r="N64" s="150">
        <f t="shared" si="5"/>
        <v>854346</v>
      </c>
      <c r="O64" s="150">
        <f t="shared" si="5"/>
        <v>855505</v>
      </c>
      <c r="P64" s="145">
        <f t="shared" si="4"/>
        <v>10207037</v>
      </c>
      <c r="Q64" s="68"/>
    </row>
    <row r="65" spans="2:17" s="8" customFormat="1" x14ac:dyDescent="0.2">
      <c r="C65" s="144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</row>
    <row r="66" spans="2:17" x14ac:dyDescent="0.2">
      <c r="B66" s="4" t="s">
        <v>282</v>
      </c>
      <c r="C66" s="148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</row>
    <row r="67" spans="2:17" x14ac:dyDescent="0.2">
      <c r="B67" s="7" t="s">
        <v>67</v>
      </c>
      <c r="C67" s="148">
        <v>23</v>
      </c>
      <c r="D67" s="151">
        <f t="shared" ref="D67:O67" si="6">IFERROR(D9/D37,0)</f>
        <v>111.30876470449249</v>
      </c>
      <c r="E67" s="151">
        <f t="shared" si="6"/>
        <v>104.06347577919502</v>
      </c>
      <c r="F67" s="151">
        <f t="shared" si="6"/>
        <v>101.31140843636217</v>
      </c>
      <c r="G67" s="151">
        <f t="shared" si="6"/>
        <v>59.93863969838997</v>
      </c>
      <c r="H67" s="151">
        <f t="shared" si="6"/>
        <v>35.590258837366292</v>
      </c>
      <c r="I67" s="151">
        <f t="shared" si="6"/>
        <v>27.996608390323676</v>
      </c>
      <c r="J67" s="151">
        <f t="shared" si="6"/>
        <v>19.899998231659428</v>
      </c>
      <c r="K67" s="151">
        <f t="shared" si="6"/>
        <v>17.545443553789347</v>
      </c>
      <c r="L67" s="151">
        <f t="shared" si="6"/>
        <v>20.352807982059758</v>
      </c>
      <c r="M67" s="151">
        <f t="shared" si="6"/>
        <v>51.651797423286197</v>
      </c>
      <c r="N67" s="151">
        <f t="shared" si="6"/>
        <v>90.428066309774152</v>
      </c>
      <c r="O67" s="151">
        <f t="shared" si="6"/>
        <v>108.72936074677122</v>
      </c>
      <c r="P67" s="151">
        <f t="shared" ref="P67:P78" si="7">SUM(D67:O67)</f>
        <v>748.81663009346983</v>
      </c>
      <c r="Q67" s="151"/>
    </row>
    <row r="68" spans="2:17" x14ac:dyDescent="0.2">
      <c r="B68" s="8" t="s">
        <v>252</v>
      </c>
      <c r="C68" s="8">
        <v>31</v>
      </c>
      <c r="D68" s="151">
        <f t="shared" ref="D68:O68" si="8">IFERROR(D11/D40,0)</f>
        <v>550.72549218972551</v>
      </c>
      <c r="E68" s="151">
        <f t="shared" si="8"/>
        <v>494.62792774932285</v>
      </c>
      <c r="F68" s="151">
        <f t="shared" si="8"/>
        <v>462.54314058708258</v>
      </c>
      <c r="G68" s="151">
        <f t="shared" si="8"/>
        <v>268.7572914390903</v>
      </c>
      <c r="H68" s="151">
        <f t="shared" si="8"/>
        <v>171.82879087723359</v>
      </c>
      <c r="I68" s="151">
        <f t="shared" si="8"/>
        <v>153.6702429670832</v>
      </c>
      <c r="J68" s="151">
        <f t="shared" si="8"/>
        <v>125.15344595298079</v>
      </c>
      <c r="K68" s="151">
        <f t="shared" si="8"/>
        <v>110.92265160105319</v>
      </c>
      <c r="L68" s="151">
        <f t="shared" si="8"/>
        <v>131.02829589287353</v>
      </c>
      <c r="M68" s="151">
        <f t="shared" si="8"/>
        <v>241.55538663834693</v>
      </c>
      <c r="N68" s="151">
        <f t="shared" si="8"/>
        <v>410.59179516891231</v>
      </c>
      <c r="O68" s="151">
        <f t="shared" si="8"/>
        <v>516.1962409544509</v>
      </c>
      <c r="P68" s="151">
        <f t="shared" si="7"/>
        <v>3637.6007020181555</v>
      </c>
      <c r="Q68" s="151"/>
    </row>
    <row r="69" spans="2:17" s="8" customFormat="1" x14ac:dyDescent="0.2">
      <c r="B69" s="8" t="s">
        <v>253</v>
      </c>
      <c r="C69" s="8">
        <v>41</v>
      </c>
      <c r="D69" s="145">
        <f t="shared" ref="D69:O69" si="9">IFERROR(D12/D41,0)</f>
        <v>5756.1124224280447</v>
      </c>
      <c r="E69" s="145">
        <f t="shared" si="9"/>
        <v>5316.4013470004847</v>
      </c>
      <c r="F69" s="145">
        <f t="shared" si="9"/>
        <v>4838.2332671822251</v>
      </c>
      <c r="G69" s="145">
        <f t="shared" si="9"/>
        <v>3139.5213574865552</v>
      </c>
      <c r="H69" s="145">
        <f t="shared" si="9"/>
        <v>2042.2214762629278</v>
      </c>
      <c r="I69" s="145">
        <f t="shared" si="9"/>
        <v>1785.0691104543434</v>
      </c>
      <c r="J69" s="145">
        <f t="shared" si="9"/>
        <v>1837.2932980848332</v>
      </c>
      <c r="K69" s="145">
        <f t="shared" si="9"/>
        <v>1301.5823854955045</v>
      </c>
      <c r="L69" s="145">
        <f t="shared" si="9"/>
        <v>1674.8626130221971</v>
      </c>
      <c r="M69" s="145">
        <f t="shared" si="9"/>
        <v>3233.2553909806456</v>
      </c>
      <c r="N69" s="145">
        <f t="shared" si="9"/>
        <v>4443.248718552908</v>
      </c>
      <c r="O69" s="145">
        <f t="shared" si="9"/>
        <v>5215.5558006183328</v>
      </c>
      <c r="P69" s="151">
        <f t="shared" si="7"/>
        <v>40583.357187569003</v>
      </c>
      <c r="Q69" s="151"/>
    </row>
    <row r="70" spans="2:17" s="8" customFormat="1" x14ac:dyDescent="0.2">
      <c r="B70" s="8" t="s">
        <v>259</v>
      </c>
      <c r="C70" s="8">
        <v>41</v>
      </c>
      <c r="D70" s="145">
        <f t="shared" ref="D70:O70" si="10">IFERROR(D18/D48,0)</f>
        <v>11951.585653015112</v>
      </c>
      <c r="E70" s="145">
        <f t="shared" si="10"/>
        <v>13211.292663462185</v>
      </c>
      <c r="F70" s="145">
        <f t="shared" si="10"/>
        <v>14935.219922727718</v>
      </c>
      <c r="G70" s="145">
        <f t="shared" si="10"/>
        <v>6832.0607514984349</v>
      </c>
      <c r="H70" s="145">
        <f t="shared" si="10"/>
        <v>8074.4277427819734</v>
      </c>
      <c r="I70" s="145">
        <f t="shared" si="10"/>
        <v>9902.9155907823861</v>
      </c>
      <c r="J70" s="145">
        <f t="shared" si="10"/>
        <v>10682.615637814899</v>
      </c>
      <c r="K70" s="145">
        <f t="shared" si="10"/>
        <v>9266.6999870372147</v>
      </c>
      <c r="L70" s="145">
        <f t="shared" si="10"/>
        <v>9515.2184771873035</v>
      </c>
      <c r="M70" s="145">
        <f t="shared" si="10"/>
        <v>9724.6285813995146</v>
      </c>
      <c r="N70" s="145">
        <f t="shared" si="10"/>
        <v>10890.644287578221</v>
      </c>
      <c r="O70" s="145">
        <f t="shared" si="10"/>
        <v>15395.796971735777</v>
      </c>
      <c r="P70" s="151">
        <f t="shared" si="7"/>
        <v>130383.10626702075</v>
      </c>
      <c r="Q70" s="151"/>
    </row>
    <row r="71" spans="2:17" x14ac:dyDescent="0.2">
      <c r="B71" s="7" t="s">
        <v>264</v>
      </c>
      <c r="C71" s="148" t="s">
        <v>75</v>
      </c>
      <c r="D71" s="151">
        <f t="shared" ref="D71:O71" si="11">IFERROR(D23/D54,0)</f>
        <v>18842.774096385539</v>
      </c>
      <c r="E71" s="151">
        <f t="shared" si="11"/>
        <v>30934.813493975904</v>
      </c>
      <c r="F71" s="151">
        <f t="shared" si="11"/>
        <v>3778.8680722891595</v>
      </c>
      <c r="G71" s="151">
        <f t="shared" si="11"/>
        <v>13586.004698795177</v>
      </c>
      <c r="H71" s="151">
        <f t="shared" si="11"/>
        <v>11940.339518072291</v>
      </c>
      <c r="I71" s="151">
        <f t="shared" si="11"/>
        <v>12367.038313253011</v>
      </c>
      <c r="J71" s="151">
        <f t="shared" si="11"/>
        <v>12602.620722891565</v>
      </c>
      <c r="K71" s="151">
        <f t="shared" si="11"/>
        <v>11825.669156626507</v>
      </c>
      <c r="L71" s="151">
        <f t="shared" si="11"/>
        <v>12373.077804878048</v>
      </c>
      <c r="M71" s="151">
        <f t="shared" si="11"/>
        <v>14028.949876543207</v>
      </c>
      <c r="N71" s="151">
        <f t="shared" si="11"/>
        <v>14161.472151898737</v>
      </c>
      <c r="O71" s="151">
        <f t="shared" si="11"/>
        <v>18205.536202531643</v>
      </c>
      <c r="P71" s="151">
        <f t="shared" si="7"/>
        <v>174647.1641081408</v>
      </c>
      <c r="Q71" s="151"/>
    </row>
    <row r="72" spans="2:17" x14ac:dyDescent="0.2">
      <c r="B72" s="7" t="s">
        <v>265</v>
      </c>
      <c r="C72" s="148" t="s">
        <v>124</v>
      </c>
      <c r="D72" s="151">
        <f t="shared" ref="D72:O72" si="12">IFERROR(D24/D55,0)</f>
        <v>58539.292068965507</v>
      </c>
      <c r="E72" s="151">
        <f t="shared" si="12"/>
        <v>111353.21379310345</v>
      </c>
      <c r="F72" s="151">
        <f t="shared" si="12"/>
        <v>11281.113103448277</v>
      </c>
      <c r="G72" s="151">
        <f t="shared" si="12"/>
        <v>63552.454137931032</v>
      </c>
      <c r="H72" s="151">
        <f t="shared" si="12"/>
        <v>49505.448275862087</v>
      </c>
      <c r="I72" s="151">
        <f t="shared" si="12"/>
        <v>46800.468275862069</v>
      </c>
      <c r="J72" s="151">
        <f t="shared" si="12"/>
        <v>50383.647241379294</v>
      </c>
      <c r="K72" s="151">
        <f t="shared" si="12"/>
        <v>48135.950344827594</v>
      </c>
      <c r="L72" s="151">
        <f t="shared" si="12"/>
        <v>48457.656785714273</v>
      </c>
      <c r="M72" s="151">
        <f t="shared" si="12"/>
        <v>56628.74642857143</v>
      </c>
      <c r="N72" s="151">
        <f t="shared" si="12"/>
        <v>43957.436785714286</v>
      </c>
      <c r="O72" s="151">
        <f t="shared" si="12"/>
        <v>80622.89</v>
      </c>
      <c r="P72" s="151">
        <f t="shared" si="7"/>
        <v>669218.31724137929</v>
      </c>
      <c r="Q72" s="151"/>
    </row>
    <row r="73" spans="2:17" x14ac:dyDescent="0.2">
      <c r="B73" s="7" t="s">
        <v>266</v>
      </c>
      <c r="C73" s="148" t="s">
        <v>126</v>
      </c>
      <c r="D73" s="151">
        <f t="shared" ref="D73:O73" si="13">IFERROR(D26/D57,0)</f>
        <v>645046.83333333337</v>
      </c>
      <c r="E73" s="151">
        <f t="shared" si="13"/>
        <v>1281597.58</v>
      </c>
      <c r="F73" s="151">
        <f t="shared" si="13"/>
        <v>3577.9066666665799</v>
      </c>
      <c r="G73" s="151">
        <f t="shared" si="13"/>
        <v>439089.8266666666</v>
      </c>
      <c r="H73" s="151">
        <f t="shared" si="13"/>
        <v>385939.77333333343</v>
      </c>
      <c r="I73" s="151">
        <f t="shared" si="13"/>
        <v>357411.16</v>
      </c>
      <c r="J73" s="151">
        <f t="shared" si="13"/>
        <v>339879.06666666671</v>
      </c>
      <c r="K73" s="151">
        <f t="shared" si="13"/>
        <v>327575.47666666663</v>
      </c>
      <c r="L73" s="151">
        <f t="shared" si="13"/>
        <v>332611.01000000007</v>
      </c>
      <c r="M73" s="151">
        <f t="shared" si="13"/>
        <v>432935.64333333325</v>
      </c>
      <c r="N73" s="151">
        <f t="shared" si="13"/>
        <v>82173.743333333405</v>
      </c>
      <c r="O73" s="151">
        <f t="shared" si="13"/>
        <v>1035869.25</v>
      </c>
      <c r="P73" s="151">
        <f t="shared" si="7"/>
        <v>5663707.2700000005</v>
      </c>
      <c r="Q73" s="151"/>
    </row>
    <row r="74" spans="2:17" x14ac:dyDescent="0.2">
      <c r="B74" s="7" t="s">
        <v>255</v>
      </c>
      <c r="C74" s="7">
        <v>85</v>
      </c>
      <c r="D74" s="151">
        <f t="shared" ref="D74:O74" si="14">IFERROR(D14/D44,0)</f>
        <v>98334.032791666672</v>
      </c>
      <c r="E74" s="151">
        <f t="shared" si="14"/>
        <v>22795.09374703333</v>
      </c>
      <c r="F74" s="151">
        <f t="shared" si="14"/>
        <v>57475.99323610001</v>
      </c>
      <c r="G74" s="151">
        <f t="shared" si="14"/>
        <v>49264.247598741676</v>
      </c>
      <c r="H74" s="151">
        <f t="shared" si="14"/>
        <v>52137.558251458337</v>
      </c>
      <c r="I74" s="151">
        <f t="shared" si="14"/>
        <v>68726.787958333327</v>
      </c>
      <c r="J74" s="151">
        <f t="shared" si="14"/>
        <v>30259.583041666661</v>
      </c>
      <c r="K74" s="151">
        <f t="shared" si="14"/>
        <v>35994.932229166669</v>
      </c>
      <c r="L74" s="151">
        <f t="shared" si="14"/>
        <v>29615.176854166664</v>
      </c>
      <c r="M74" s="151">
        <f t="shared" si="14"/>
        <v>45902.155666666666</v>
      </c>
      <c r="N74" s="151">
        <f t="shared" si="14"/>
        <v>47411.239819999988</v>
      </c>
      <c r="O74" s="151">
        <f t="shared" si="14"/>
        <v>92167.568499999979</v>
      </c>
      <c r="P74" s="151">
        <f t="shared" si="7"/>
        <v>630084.369695</v>
      </c>
      <c r="Q74" s="151"/>
    </row>
    <row r="75" spans="2:17" x14ac:dyDescent="0.2">
      <c r="B75" s="7" t="s">
        <v>256</v>
      </c>
      <c r="C75" s="7">
        <v>86</v>
      </c>
      <c r="D75" s="151">
        <f t="shared" ref="D75:O75" si="15">IFERROR(D15/D45,0)</f>
        <v>7842.2435660564424</v>
      </c>
      <c r="E75" s="151">
        <f t="shared" si="15"/>
        <v>4338.6640711262835</v>
      </c>
      <c r="F75" s="151">
        <f t="shared" si="15"/>
        <v>6778.094480523424</v>
      </c>
      <c r="G75" s="151">
        <f t="shared" si="15"/>
        <v>4124.6514976102071</v>
      </c>
      <c r="H75" s="151">
        <f t="shared" si="15"/>
        <v>1511.8535395169883</v>
      </c>
      <c r="I75" s="151">
        <f t="shared" si="15"/>
        <v>2385.0094149813203</v>
      </c>
      <c r="J75" s="151">
        <f t="shared" si="15"/>
        <v>1655.1046522597478</v>
      </c>
      <c r="K75" s="151">
        <f t="shared" si="15"/>
        <v>926.90524795074612</v>
      </c>
      <c r="L75" s="151">
        <f t="shared" si="15"/>
        <v>1333.6013195371781</v>
      </c>
      <c r="M75" s="151">
        <f t="shared" si="15"/>
        <v>3219.4138851396242</v>
      </c>
      <c r="N75" s="151">
        <f t="shared" si="15"/>
        <v>5355.8321214379503</v>
      </c>
      <c r="O75" s="151">
        <f t="shared" si="15"/>
        <v>5890.8457344368117</v>
      </c>
      <c r="P75" s="151">
        <f t="shared" si="7"/>
        <v>45362.219530576731</v>
      </c>
      <c r="Q75" s="151"/>
    </row>
    <row r="76" spans="2:17" x14ac:dyDescent="0.2">
      <c r="B76" s="8" t="s">
        <v>280</v>
      </c>
      <c r="C76" s="8">
        <v>87</v>
      </c>
      <c r="D76" s="151">
        <f t="shared" ref="D76:O76" si="16">IFERROR(D16/D46,0)</f>
        <v>498135.12919999997</v>
      </c>
      <c r="E76" s="151">
        <f t="shared" si="16"/>
        <v>728723.26620000019</v>
      </c>
      <c r="F76" s="151">
        <f t="shared" si="16"/>
        <v>157390.82139999999</v>
      </c>
      <c r="G76" s="151">
        <f t="shared" si="16"/>
        <v>215068.35370000001</v>
      </c>
      <c r="H76" s="151">
        <f t="shared" si="16"/>
        <v>380677.42244999995</v>
      </c>
      <c r="I76" s="151">
        <f t="shared" si="16"/>
        <v>677768.37595000002</v>
      </c>
      <c r="J76" s="151">
        <f t="shared" si="16"/>
        <v>40957.118899999987</v>
      </c>
      <c r="K76" s="151">
        <f t="shared" si="16"/>
        <v>463080.92179999995</v>
      </c>
      <c r="L76" s="151">
        <f t="shared" si="16"/>
        <v>191072.12669999996</v>
      </c>
      <c r="M76" s="151">
        <f t="shared" si="16"/>
        <v>255364.18840000001</v>
      </c>
      <c r="N76" s="151">
        <f t="shared" si="16"/>
        <v>810622.66620000009</v>
      </c>
      <c r="O76" s="151">
        <f t="shared" si="16"/>
        <v>-60255.441400000083</v>
      </c>
      <c r="P76" s="151">
        <f t="shared" si="7"/>
        <v>4358604.9495000001</v>
      </c>
      <c r="Q76" s="151"/>
    </row>
    <row r="77" spans="2:17" x14ac:dyDescent="0.2">
      <c r="B77" s="7" t="s">
        <v>258</v>
      </c>
      <c r="C77" s="7">
        <v>31</v>
      </c>
      <c r="D77" s="151">
        <f t="shared" ref="D77:O77" si="17">IFERROR(D17/D47,0)</f>
        <v>963.38208127818029</v>
      </c>
      <c r="E77" s="151">
        <f t="shared" si="17"/>
        <v>755.91233750979791</v>
      </c>
      <c r="F77" s="151">
        <f t="shared" si="17"/>
        <v>764.62713048149783</v>
      </c>
      <c r="G77" s="151">
        <f t="shared" si="17"/>
        <v>428.86196926846173</v>
      </c>
      <c r="H77" s="151">
        <f t="shared" si="17"/>
        <v>227.98981450442778</v>
      </c>
      <c r="I77" s="151">
        <f t="shared" si="17"/>
        <v>267.44669157493649</v>
      </c>
      <c r="J77" s="151">
        <f t="shared" si="17"/>
        <v>178.23534890229936</v>
      </c>
      <c r="K77" s="151">
        <f t="shared" si="17"/>
        <v>154.5911534531499</v>
      </c>
      <c r="L77" s="151">
        <f t="shared" si="17"/>
        <v>165.61859093067781</v>
      </c>
      <c r="M77" s="151">
        <f t="shared" si="17"/>
        <v>348.46729386935613</v>
      </c>
      <c r="N77" s="151">
        <f t="shared" si="17"/>
        <v>770.84024084842076</v>
      </c>
      <c r="O77" s="151">
        <f t="shared" si="17"/>
        <v>686.77133694349516</v>
      </c>
      <c r="P77" s="151">
        <f t="shared" si="7"/>
        <v>5712.7439895647012</v>
      </c>
      <c r="Q77" s="151"/>
    </row>
    <row r="78" spans="2:17" s="57" customFormat="1" x14ac:dyDescent="0.2">
      <c r="B78" s="63" t="s">
        <v>271</v>
      </c>
      <c r="C78" s="240" t="s">
        <v>272</v>
      </c>
      <c r="D78" s="118">
        <f t="shared" ref="D78:O78" si="18">IFERROR(D31/D63,0)</f>
        <v>387112.85700000002</v>
      </c>
      <c r="E78" s="118">
        <f t="shared" si="18"/>
        <v>708560.07199999993</v>
      </c>
      <c r="F78" s="118">
        <f t="shared" si="18"/>
        <v>-20543.240000000013</v>
      </c>
      <c r="G78" s="118">
        <f t="shared" si="18"/>
        <v>187776.58899999998</v>
      </c>
      <c r="H78" s="118">
        <f t="shared" si="18"/>
        <v>245244.93200000003</v>
      </c>
      <c r="I78" s="118">
        <f t="shared" si="18"/>
        <v>188171.56199999998</v>
      </c>
      <c r="J78" s="118">
        <f t="shared" si="18"/>
        <v>164422.93199999997</v>
      </c>
      <c r="K78" s="118">
        <f t="shared" si="18"/>
        <v>167713.89499999999</v>
      </c>
      <c r="L78" s="118">
        <f t="shared" si="18"/>
        <v>170514.97000000003</v>
      </c>
      <c r="M78" s="118">
        <f t="shared" si="18"/>
        <v>261122.90099999998</v>
      </c>
      <c r="N78" s="118">
        <f t="shared" si="18"/>
        <v>259675.44600000005</v>
      </c>
      <c r="O78" s="118">
        <f t="shared" si="18"/>
        <v>418214.46200000006</v>
      </c>
      <c r="P78" s="151">
        <f t="shared" si="7"/>
        <v>3137987.3780000005</v>
      </c>
      <c r="Q78" s="118"/>
    </row>
    <row r="79" spans="2:17" x14ac:dyDescent="0.2">
      <c r="C79" s="148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</row>
    <row r="80" spans="2:17" x14ac:dyDescent="0.2">
      <c r="B80" s="4" t="s">
        <v>283</v>
      </c>
      <c r="C80" s="148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</row>
    <row r="81" spans="2:23" s="8" customFormat="1" x14ac:dyDescent="0.2">
      <c r="B81" s="8" t="s">
        <v>284</v>
      </c>
      <c r="C81" s="144"/>
      <c r="D81" s="152">
        <v>623.79166666666697</v>
      </c>
      <c r="E81" s="152">
        <v>621.91666666666697</v>
      </c>
      <c r="F81" s="152">
        <v>645.70833333333303</v>
      </c>
      <c r="G81" s="152">
        <v>397.79166666666703</v>
      </c>
      <c r="H81" s="152">
        <v>227.708333333333</v>
      </c>
      <c r="I81" s="152">
        <v>143.291666666667</v>
      </c>
      <c r="J81" s="152">
        <v>47.4583333333333</v>
      </c>
      <c r="K81" s="152">
        <v>22.2916666666667</v>
      </c>
      <c r="L81" s="152">
        <v>68</v>
      </c>
      <c r="M81" s="152">
        <v>348.33333333333297</v>
      </c>
      <c r="N81" s="152">
        <v>565.54166666666697</v>
      </c>
      <c r="O81" s="152">
        <v>646.91666666666697</v>
      </c>
      <c r="P81" s="145">
        <f>SUM(D81:O81)</f>
        <v>4358.7500000000009</v>
      </c>
      <c r="Q81" s="145"/>
    </row>
    <row r="82" spans="2:23" s="8" customFormat="1" x14ac:dyDescent="0.2">
      <c r="B82" s="8" t="s">
        <v>285</v>
      </c>
      <c r="C82" s="144"/>
      <c r="D82" s="152">
        <v>714.26944444444405</v>
      </c>
      <c r="E82" s="152">
        <v>638.81785714285695</v>
      </c>
      <c r="F82" s="152">
        <v>586.70347222222199</v>
      </c>
      <c r="G82" s="152">
        <v>450.16944444444403</v>
      </c>
      <c r="H82" s="152">
        <v>287.21944444444398</v>
      </c>
      <c r="I82" s="152">
        <v>159.85138888888901</v>
      </c>
      <c r="J82" s="152">
        <v>53.848611111111097</v>
      </c>
      <c r="K82" s="152">
        <v>44.7222222222222</v>
      </c>
      <c r="L82" s="152">
        <v>135.23333333333301</v>
      </c>
      <c r="M82" s="152">
        <v>389.50833333333298</v>
      </c>
      <c r="N82" s="152">
        <v>580.64583333333303</v>
      </c>
      <c r="O82" s="152">
        <v>743.77638888888896</v>
      </c>
      <c r="P82" s="145">
        <f>SUM(D82:O82)</f>
        <v>4784.7657738095204</v>
      </c>
      <c r="Q82" s="145"/>
    </row>
    <row r="83" spans="2:23" s="8" customFormat="1" x14ac:dyDescent="0.2">
      <c r="B83" s="8" t="s">
        <v>286</v>
      </c>
      <c r="C83" s="144"/>
      <c r="D83" s="150">
        <f t="shared" ref="D83:P83" si="19">D81-D82</f>
        <v>-90.477777777777078</v>
      </c>
      <c r="E83" s="150">
        <f t="shared" si="19"/>
        <v>-16.901190476189981</v>
      </c>
      <c r="F83" s="150">
        <f t="shared" si="19"/>
        <v>59.00486111111104</v>
      </c>
      <c r="G83" s="150">
        <f t="shared" si="19"/>
        <v>-52.377777777776998</v>
      </c>
      <c r="H83" s="150">
        <f t="shared" si="19"/>
        <v>-59.511111111110978</v>
      </c>
      <c r="I83" s="150">
        <f t="shared" si="19"/>
        <v>-16.559722222222007</v>
      </c>
      <c r="J83" s="150">
        <f t="shared" si="19"/>
        <v>-6.390277777777797</v>
      </c>
      <c r="K83" s="150">
        <f t="shared" si="19"/>
        <v>-22.4305555555555</v>
      </c>
      <c r="L83" s="150">
        <f t="shared" si="19"/>
        <v>-67.233333333333007</v>
      </c>
      <c r="M83" s="150">
        <f t="shared" si="19"/>
        <v>-41.175000000000011</v>
      </c>
      <c r="N83" s="150">
        <f t="shared" si="19"/>
        <v>-15.10416666666606</v>
      </c>
      <c r="O83" s="150">
        <f t="shared" si="19"/>
        <v>-96.85972222222199</v>
      </c>
      <c r="P83" s="150">
        <f t="shared" si="19"/>
        <v>-426.01577380951949</v>
      </c>
      <c r="Q83" s="60"/>
    </row>
    <row r="84" spans="2:23" x14ac:dyDescent="0.2">
      <c r="C84" s="148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</row>
    <row r="85" spans="2:23" x14ac:dyDescent="0.2">
      <c r="B85" s="4" t="s">
        <v>287</v>
      </c>
      <c r="C85" s="148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</row>
    <row r="86" spans="2:23" s="8" customFormat="1" x14ac:dyDescent="0.2">
      <c r="B86" s="7" t="s">
        <v>67</v>
      </c>
      <c r="C86" s="144">
        <v>23</v>
      </c>
      <c r="D86" s="302">
        <v>0.14843300000000001</v>
      </c>
      <c r="E86" s="302">
        <v>0.13326499999999999</v>
      </c>
      <c r="F86" s="302">
        <v>0.12901499999999999</v>
      </c>
      <c r="G86" s="302">
        <v>9.7175999999999998E-2</v>
      </c>
      <c r="H86" s="302">
        <v>7.9665E-2</v>
      </c>
      <c r="I86" s="302">
        <v>4.4332000000000003E-2</v>
      </c>
      <c r="J86" s="302">
        <v>0</v>
      </c>
      <c r="K86" s="302">
        <v>0</v>
      </c>
      <c r="L86" s="302">
        <v>6.5781999999999993E-2</v>
      </c>
      <c r="M86" s="302">
        <v>0.105157</v>
      </c>
      <c r="N86" s="302">
        <v>0.129523</v>
      </c>
      <c r="O86" s="302">
        <v>0.14127400000000001</v>
      </c>
      <c r="P86" s="145"/>
      <c r="Q86" s="145"/>
      <c r="R86" s="153"/>
      <c r="S86" s="153"/>
      <c r="T86" s="153"/>
      <c r="U86" s="153"/>
      <c r="V86" s="153"/>
      <c r="W86" s="153"/>
    </row>
    <row r="87" spans="2:23" s="8" customFormat="1" x14ac:dyDescent="0.2">
      <c r="B87" s="8" t="s">
        <v>252</v>
      </c>
      <c r="C87" s="8">
        <v>31</v>
      </c>
      <c r="D87" s="302">
        <v>0.56211999999999995</v>
      </c>
      <c r="E87" s="302">
        <v>0.49016900000000002</v>
      </c>
      <c r="F87" s="302">
        <v>0.47404400000000002</v>
      </c>
      <c r="G87" s="302">
        <v>0.32211600000000001</v>
      </c>
      <c r="H87" s="302">
        <v>0.22225900000000001</v>
      </c>
      <c r="I87" s="302">
        <v>0</v>
      </c>
      <c r="J87" s="302">
        <v>0</v>
      </c>
      <c r="K87" s="302">
        <v>0</v>
      </c>
      <c r="L87" s="302">
        <v>0</v>
      </c>
      <c r="M87" s="302">
        <v>0.300286</v>
      </c>
      <c r="N87" s="302">
        <v>0.44214700000000001</v>
      </c>
      <c r="O87" s="302">
        <v>0.53035299999999996</v>
      </c>
      <c r="P87" s="145"/>
      <c r="Q87" s="145"/>
      <c r="R87" s="153"/>
      <c r="S87" s="153"/>
      <c r="T87" s="153"/>
      <c r="U87" s="153"/>
      <c r="V87" s="153"/>
      <c r="W87" s="153"/>
    </row>
    <row r="88" spans="2:23" s="8" customFormat="1" x14ac:dyDescent="0.2">
      <c r="B88" s="8" t="s">
        <v>253</v>
      </c>
      <c r="C88" s="8">
        <v>41</v>
      </c>
      <c r="D88" s="302">
        <v>5.1037419999999996</v>
      </c>
      <c r="E88" s="302">
        <v>4.5949350000000004</v>
      </c>
      <c r="F88" s="302">
        <v>4.8190229999999996</v>
      </c>
      <c r="G88" s="302">
        <v>3.89839</v>
      </c>
      <c r="H88" s="302">
        <v>3.937405</v>
      </c>
      <c r="I88" s="302">
        <v>2.2077610000000001</v>
      </c>
      <c r="J88" s="302">
        <v>0</v>
      </c>
      <c r="K88" s="302">
        <v>0</v>
      </c>
      <c r="L88" s="302">
        <v>2.5386829999999998</v>
      </c>
      <c r="M88" s="302">
        <v>3.8703810000000001</v>
      </c>
      <c r="N88" s="302">
        <v>4.3589320000000003</v>
      </c>
      <c r="O88" s="302">
        <v>4.8179379999999998</v>
      </c>
      <c r="P88" s="145"/>
      <c r="Q88" s="145"/>
      <c r="R88" s="153"/>
      <c r="S88" s="153"/>
      <c r="T88" s="153"/>
      <c r="U88" s="153"/>
      <c r="V88" s="153"/>
      <c r="W88" s="153"/>
    </row>
    <row r="89" spans="2:23" s="8" customFormat="1" x14ac:dyDescent="0.2">
      <c r="B89" s="7" t="s">
        <v>264</v>
      </c>
      <c r="C89" s="148" t="s">
        <v>75</v>
      </c>
      <c r="D89" s="302">
        <v>6.4014239999999996</v>
      </c>
      <c r="E89" s="302">
        <v>4.7951090000000001</v>
      </c>
      <c r="F89" s="302">
        <v>5.8934179999999996</v>
      </c>
      <c r="G89" s="302">
        <v>3.1987100000000002</v>
      </c>
      <c r="H89" s="302">
        <v>0</v>
      </c>
      <c r="I89" s="302">
        <v>0</v>
      </c>
      <c r="J89" s="302">
        <v>0</v>
      </c>
      <c r="K89" s="302">
        <v>0</v>
      </c>
      <c r="L89" s="302">
        <v>0</v>
      </c>
      <c r="M89" s="302">
        <v>5.00969</v>
      </c>
      <c r="N89" s="302">
        <v>5.0422890000000002</v>
      </c>
      <c r="O89" s="302">
        <v>5.9059410000000003</v>
      </c>
      <c r="P89" s="145"/>
      <c r="Q89" s="145"/>
      <c r="R89" s="153"/>
      <c r="S89" s="153"/>
      <c r="T89" s="153"/>
      <c r="U89" s="153"/>
      <c r="V89" s="153"/>
      <c r="W89" s="153"/>
    </row>
    <row r="90" spans="2:23" s="8" customFormat="1" x14ac:dyDescent="0.2">
      <c r="B90" s="7" t="s">
        <v>265</v>
      </c>
      <c r="C90" s="148" t="s">
        <v>124</v>
      </c>
      <c r="D90" s="302">
        <v>23.314800000000002</v>
      </c>
      <c r="E90" s="302">
        <v>14.54114</v>
      </c>
      <c r="F90" s="302">
        <v>20.8767</v>
      </c>
      <c r="G90" s="302">
        <v>14.45091</v>
      </c>
      <c r="H90" s="302">
        <v>19.440560000000001</v>
      </c>
      <c r="I90" s="302">
        <v>15.61425</v>
      </c>
      <c r="J90" s="302">
        <v>0</v>
      </c>
      <c r="K90" s="302">
        <v>0</v>
      </c>
      <c r="L90" s="302">
        <v>0</v>
      </c>
      <c r="M90" s="302">
        <v>18.385000000000002</v>
      </c>
      <c r="N90" s="302">
        <v>18.859000000000002</v>
      </c>
      <c r="O90" s="302">
        <v>22.260739999999998</v>
      </c>
      <c r="P90" s="145"/>
      <c r="Q90" s="145"/>
      <c r="R90" s="153"/>
      <c r="S90" s="153"/>
      <c r="T90" s="153"/>
      <c r="U90" s="153"/>
      <c r="V90" s="153"/>
      <c r="W90" s="153"/>
    </row>
    <row r="91" spans="2:23" s="8" customFormat="1" x14ac:dyDescent="0.2">
      <c r="B91" s="7" t="s">
        <v>266</v>
      </c>
      <c r="C91" s="148" t="s">
        <v>126</v>
      </c>
      <c r="D91" s="302">
        <v>466.12970000000001</v>
      </c>
      <c r="E91" s="302">
        <v>431.1379</v>
      </c>
      <c r="F91" s="302">
        <v>426.19880000000001</v>
      </c>
      <c r="G91" s="302">
        <v>344.77269999999999</v>
      </c>
      <c r="H91" s="302">
        <v>279.79160000000002</v>
      </c>
      <c r="I91" s="302">
        <v>0</v>
      </c>
      <c r="J91" s="302">
        <v>0</v>
      </c>
      <c r="K91" s="302">
        <v>0</v>
      </c>
      <c r="L91" s="302">
        <v>224.5455</v>
      </c>
      <c r="M91" s="302">
        <v>354.9085</v>
      </c>
      <c r="N91" s="302">
        <v>385.61250000000001</v>
      </c>
      <c r="O91" s="302">
        <v>453.87939999999998</v>
      </c>
      <c r="P91" s="145"/>
      <c r="Q91" s="145"/>
      <c r="R91" s="153"/>
      <c r="S91" s="153"/>
      <c r="T91" s="153"/>
      <c r="U91" s="153"/>
      <c r="V91" s="153"/>
      <c r="W91" s="153"/>
    </row>
    <row r="92" spans="2:23" s="8" customFormat="1" x14ac:dyDescent="0.2">
      <c r="B92" s="8" t="s">
        <v>255</v>
      </c>
      <c r="C92" s="8">
        <v>85</v>
      </c>
      <c r="D92" s="302">
        <v>54.240630000000003</v>
      </c>
      <c r="E92" s="302">
        <v>46.982019999999999</v>
      </c>
      <c r="F92" s="302">
        <v>52.231749999999998</v>
      </c>
      <c r="G92" s="302">
        <v>35.026940000000003</v>
      </c>
      <c r="H92" s="302">
        <v>0</v>
      </c>
      <c r="I92" s="302">
        <v>0</v>
      </c>
      <c r="J92" s="302">
        <v>0</v>
      </c>
      <c r="K92" s="302">
        <v>0</v>
      </c>
      <c r="L92" s="302">
        <v>0</v>
      </c>
      <c r="M92" s="302">
        <v>43.090139999999998</v>
      </c>
      <c r="N92" s="302">
        <v>46.467610000000001</v>
      </c>
      <c r="O92" s="302">
        <v>53.150300000000001</v>
      </c>
      <c r="P92" s="145"/>
      <c r="Q92" s="145"/>
      <c r="R92" s="153"/>
      <c r="S92" s="153"/>
      <c r="T92" s="153"/>
      <c r="U92" s="153"/>
      <c r="V92" s="153"/>
      <c r="W92" s="153"/>
    </row>
    <row r="93" spans="2:23" s="8" customFormat="1" x14ac:dyDescent="0.2">
      <c r="B93" s="8" t="s">
        <v>256</v>
      </c>
      <c r="C93" s="8">
        <v>86</v>
      </c>
      <c r="D93" s="302">
        <v>6.7106209999999997</v>
      </c>
      <c r="E93" s="302">
        <v>6.1166910000000003</v>
      </c>
      <c r="F93" s="302">
        <v>6.6381240000000004</v>
      </c>
      <c r="G93" s="302">
        <v>5.8106330000000002</v>
      </c>
      <c r="H93" s="302">
        <v>5.7579000000000002</v>
      </c>
      <c r="I93" s="302">
        <v>3.4498419999999999</v>
      </c>
      <c r="J93" s="302">
        <v>0</v>
      </c>
      <c r="K93" s="302">
        <v>0</v>
      </c>
      <c r="L93" s="302">
        <v>3.9153500000000001</v>
      </c>
      <c r="M93" s="302">
        <v>5.8907119999999997</v>
      </c>
      <c r="N93" s="302">
        <v>6.0481020000000001</v>
      </c>
      <c r="O93" s="302">
        <v>6.3461499999999997</v>
      </c>
      <c r="P93" s="145"/>
      <c r="Q93" s="145"/>
      <c r="R93" s="153"/>
      <c r="S93" s="153"/>
      <c r="T93" s="153"/>
      <c r="U93" s="153"/>
      <c r="V93" s="153"/>
      <c r="W93" s="153"/>
    </row>
    <row r="94" spans="2:23" s="8" customFormat="1" x14ac:dyDescent="0.2">
      <c r="B94" s="8" t="s">
        <v>280</v>
      </c>
      <c r="C94" s="8">
        <v>87</v>
      </c>
      <c r="D94" s="302">
        <v>398.9393</v>
      </c>
      <c r="E94" s="302">
        <v>354.4239</v>
      </c>
      <c r="F94" s="302">
        <v>399.89699999999999</v>
      </c>
      <c r="G94" s="302">
        <v>355.2817</v>
      </c>
      <c r="H94" s="302">
        <v>314.5908</v>
      </c>
      <c r="I94" s="302">
        <v>182.58940000000001</v>
      </c>
      <c r="J94" s="302">
        <v>0</v>
      </c>
      <c r="K94" s="302">
        <v>0</v>
      </c>
      <c r="L94" s="302">
        <v>191.72649999999999</v>
      </c>
      <c r="M94" s="302">
        <v>323.19709999999998</v>
      </c>
      <c r="N94" s="302">
        <v>347.68830000000003</v>
      </c>
      <c r="O94" s="302">
        <v>385.93389999999999</v>
      </c>
      <c r="P94" s="145"/>
      <c r="Q94" s="145"/>
      <c r="R94" s="154"/>
      <c r="S94" s="154"/>
      <c r="T94" s="153"/>
      <c r="U94" s="153"/>
      <c r="V94" s="153"/>
      <c r="W94" s="153"/>
    </row>
    <row r="95" spans="2:23" s="8" customFormat="1" x14ac:dyDescent="0.2">
      <c r="B95" s="8" t="s">
        <v>258</v>
      </c>
      <c r="C95" s="8">
        <v>31</v>
      </c>
      <c r="D95" s="302">
        <v>1.073915</v>
      </c>
      <c r="E95" s="302">
        <v>0.96124900000000002</v>
      </c>
      <c r="F95" s="302">
        <v>0.91605300000000001</v>
      </c>
      <c r="G95" s="302">
        <v>0.61812299999999998</v>
      </c>
      <c r="H95" s="302">
        <v>0.43819900000000001</v>
      </c>
      <c r="I95" s="302">
        <v>0</v>
      </c>
      <c r="J95" s="302">
        <v>0</v>
      </c>
      <c r="K95" s="302">
        <v>0</v>
      </c>
      <c r="L95" s="302">
        <v>0.33429700000000001</v>
      </c>
      <c r="M95" s="302">
        <v>0.63546899999999995</v>
      </c>
      <c r="N95" s="302">
        <v>0.843005</v>
      </c>
      <c r="O95" s="302">
        <v>0.98933000000000004</v>
      </c>
      <c r="P95" s="145"/>
      <c r="Q95" s="145"/>
      <c r="R95" s="153"/>
      <c r="S95" s="153"/>
      <c r="T95" s="153"/>
      <c r="U95" s="153"/>
      <c r="V95" s="153"/>
      <c r="W95" s="153"/>
    </row>
    <row r="96" spans="2:23" s="8" customFormat="1" x14ac:dyDescent="0.2">
      <c r="B96" s="8" t="s">
        <v>259</v>
      </c>
      <c r="C96" s="8">
        <v>41</v>
      </c>
      <c r="D96" s="302">
        <v>5.8031600000000001</v>
      </c>
      <c r="E96" s="302">
        <v>4.4810970000000001</v>
      </c>
      <c r="F96" s="302">
        <v>6.2523549999999997</v>
      </c>
      <c r="G96" s="302">
        <v>4.133642</v>
      </c>
      <c r="H96" s="302">
        <v>3.2849059999999999</v>
      </c>
      <c r="I96" s="302">
        <v>0</v>
      </c>
      <c r="J96" s="302">
        <v>0</v>
      </c>
      <c r="K96" s="302">
        <v>0</v>
      </c>
      <c r="L96" s="302">
        <v>3.3669989999999999</v>
      </c>
      <c r="M96" s="302">
        <v>5.7441250000000004</v>
      </c>
      <c r="N96" s="302">
        <v>5.0722699999999996</v>
      </c>
      <c r="O96" s="302">
        <v>4.9307889999999999</v>
      </c>
      <c r="P96" s="145"/>
      <c r="Q96" s="145"/>
      <c r="R96" s="153"/>
      <c r="S96" s="153"/>
      <c r="T96" s="153"/>
      <c r="U96" s="153"/>
      <c r="V96" s="153"/>
      <c r="W96" s="153"/>
    </row>
    <row r="97" spans="2:23" s="63" customFormat="1" x14ac:dyDescent="0.2">
      <c r="B97" s="240"/>
      <c r="C97" s="238" t="s">
        <v>272</v>
      </c>
      <c r="D97" s="302">
        <v>364.74450000000002</v>
      </c>
      <c r="E97" s="302">
        <v>354.10489999999999</v>
      </c>
      <c r="F97" s="302">
        <v>356.22820000000002</v>
      </c>
      <c r="G97" s="302">
        <v>310.54539999999997</v>
      </c>
      <c r="H97" s="302">
        <v>298.54050000000001</v>
      </c>
      <c r="I97" s="302">
        <v>266.61540000000002</v>
      </c>
      <c r="J97" s="302">
        <v>0</v>
      </c>
      <c r="K97" s="302">
        <v>0</v>
      </c>
      <c r="L97" s="302">
        <v>213.9247</v>
      </c>
      <c r="M97" s="302">
        <v>313.68279999999999</v>
      </c>
      <c r="N97" s="302">
        <v>327.99889999999999</v>
      </c>
      <c r="O97" s="302">
        <v>332.63220000000001</v>
      </c>
      <c r="P97" s="68"/>
      <c r="Q97" s="68"/>
      <c r="R97" s="155"/>
      <c r="S97" s="155"/>
      <c r="T97" s="156"/>
      <c r="U97" s="156"/>
      <c r="V97" s="156"/>
      <c r="W97" s="156"/>
    </row>
    <row r="98" spans="2:23" x14ac:dyDescent="0.2">
      <c r="C98" s="148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51"/>
    </row>
    <row r="99" spans="2:23" x14ac:dyDescent="0.2">
      <c r="B99" s="4" t="s">
        <v>288</v>
      </c>
      <c r="C99" s="148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51"/>
    </row>
    <row r="100" spans="2:23" x14ac:dyDescent="0.2">
      <c r="B100" s="7" t="s">
        <v>67</v>
      </c>
      <c r="C100" s="148">
        <v>23</v>
      </c>
      <c r="D100" s="151">
        <f t="shared" ref="D100:O100" si="20">IF(D67=0,0,D67+D86*(-D$83))</f>
        <v>124.73865269338127</v>
      </c>
      <c r="E100" s="151">
        <f t="shared" si="20"/>
        <v>106.31581292800448</v>
      </c>
      <c r="F100" s="151">
        <f t="shared" si="20"/>
        <v>93.69889628011218</v>
      </c>
      <c r="G100" s="151">
        <f t="shared" si="20"/>
        <v>65.028502631723228</v>
      </c>
      <c r="H100" s="151">
        <f t="shared" si="20"/>
        <v>40.33121150403295</v>
      </c>
      <c r="I100" s="151">
        <f t="shared" si="20"/>
        <v>28.730733995879223</v>
      </c>
      <c r="J100" s="151">
        <f t="shared" si="20"/>
        <v>19.899998231659428</v>
      </c>
      <c r="K100" s="151">
        <f t="shared" si="20"/>
        <v>17.545443553789347</v>
      </c>
      <c r="L100" s="151">
        <f t="shared" si="20"/>
        <v>24.775551115393071</v>
      </c>
      <c r="M100" s="151">
        <f t="shared" si="20"/>
        <v>55.981636898286197</v>
      </c>
      <c r="N100" s="151">
        <f t="shared" si="20"/>
        <v>92.384403288940746</v>
      </c>
      <c r="O100" s="151">
        <f t="shared" si="20"/>
        <v>122.41312114399341</v>
      </c>
      <c r="P100" s="151">
        <f t="shared" ref="P100:P111" si="21">SUM(D100:O100)</f>
        <v>791.8439642651955</v>
      </c>
      <c r="Q100" s="151"/>
    </row>
    <row r="101" spans="2:23" x14ac:dyDescent="0.2">
      <c r="B101" s="8" t="s">
        <v>252</v>
      </c>
      <c r="C101" s="148">
        <v>31</v>
      </c>
      <c r="D101" s="151">
        <f t="shared" ref="D101:O101" si="22">IF(D68=0,0,D68+D87*(-D$83))</f>
        <v>601.58486063416956</v>
      </c>
      <c r="E101" s="151">
        <f t="shared" si="22"/>
        <v>502.9123673838464</v>
      </c>
      <c r="F101" s="151">
        <f t="shared" si="22"/>
        <v>434.57224020652706</v>
      </c>
      <c r="G101" s="151">
        <f t="shared" si="22"/>
        <v>285.62901170575674</v>
      </c>
      <c r="H101" s="151">
        <f t="shared" si="22"/>
        <v>185.055670921678</v>
      </c>
      <c r="I101" s="151">
        <f t="shared" si="22"/>
        <v>153.6702429670832</v>
      </c>
      <c r="J101" s="151">
        <f t="shared" si="22"/>
        <v>125.15344595298079</v>
      </c>
      <c r="K101" s="151">
        <f t="shared" si="22"/>
        <v>110.92265160105319</v>
      </c>
      <c r="L101" s="151">
        <f t="shared" si="22"/>
        <v>131.02829589287353</v>
      </c>
      <c r="M101" s="151">
        <f t="shared" si="22"/>
        <v>253.91966268834693</v>
      </c>
      <c r="N101" s="151">
        <f t="shared" si="22"/>
        <v>417.27005714807871</v>
      </c>
      <c r="O101" s="151">
        <f t="shared" si="22"/>
        <v>567.56608521417297</v>
      </c>
      <c r="P101" s="151">
        <f t="shared" si="21"/>
        <v>3769.2845923165669</v>
      </c>
      <c r="Q101" s="151"/>
    </row>
    <row r="102" spans="2:23" x14ac:dyDescent="0.2">
      <c r="B102" s="8" t="s">
        <v>253</v>
      </c>
      <c r="C102" s="8">
        <v>41</v>
      </c>
      <c r="D102" s="151">
        <f t="shared" ref="D102:O102" si="23">IF(D69=0,0,D69+D88*(-D$83))</f>
        <v>6217.8876569391523</v>
      </c>
      <c r="E102" s="151">
        <f t="shared" si="23"/>
        <v>5394.061218661197</v>
      </c>
      <c r="F102" s="151">
        <f t="shared" si="23"/>
        <v>4553.887484375975</v>
      </c>
      <c r="G102" s="151">
        <f t="shared" si="23"/>
        <v>3343.7103625976633</v>
      </c>
      <c r="H102" s="151">
        <f t="shared" si="23"/>
        <v>2276.5408227073717</v>
      </c>
      <c r="I102" s="151">
        <f t="shared" si="23"/>
        <v>1821.6290193473985</v>
      </c>
      <c r="J102" s="151">
        <f t="shared" si="23"/>
        <v>1837.2932980848332</v>
      </c>
      <c r="K102" s="151">
        <f t="shared" si="23"/>
        <v>1301.5823854955045</v>
      </c>
      <c r="L102" s="151">
        <f t="shared" si="23"/>
        <v>1845.546733388863</v>
      </c>
      <c r="M102" s="151">
        <f t="shared" si="23"/>
        <v>3392.6183286556457</v>
      </c>
      <c r="N102" s="151">
        <f t="shared" si="23"/>
        <v>4509.0867539695719</v>
      </c>
      <c r="O102" s="151">
        <f t="shared" si="23"/>
        <v>5682.2199369822201</v>
      </c>
      <c r="P102" s="151">
        <f t="shared" si="21"/>
        <v>42176.064001205392</v>
      </c>
      <c r="Q102" s="151"/>
    </row>
    <row r="103" spans="2:23" x14ac:dyDescent="0.2">
      <c r="B103" s="7" t="s">
        <v>264</v>
      </c>
      <c r="C103" s="148" t="s">
        <v>75</v>
      </c>
      <c r="D103" s="151">
        <f t="shared" ref="D103:O103" si="24">IF(D71=0,0,D71+D89*(-D$83))</f>
        <v>19421.960714518867</v>
      </c>
      <c r="E103" s="151">
        <f t="shared" si="24"/>
        <v>31015.856544538998</v>
      </c>
      <c r="F103" s="151">
        <f t="shared" si="24"/>
        <v>3431.1277617294377</v>
      </c>
      <c r="G103" s="151">
        <f t="shared" si="24"/>
        <v>13753.54602035073</v>
      </c>
      <c r="H103" s="151">
        <f t="shared" si="24"/>
        <v>11940.339518072291</v>
      </c>
      <c r="I103" s="151">
        <f t="shared" si="24"/>
        <v>12367.038313253011</v>
      </c>
      <c r="J103" s="151">
        <f t="shared" si="24"/>
        <v>12602.620722891565</v>
      </c>
      <c r="K103" s="151">
        <f t="shared" si="24"/>
        <v>11825.669156626507</v>
      </c>
      <c r="L103" s="151">
        <f t="shared" si="24"/>
        <v>12373.077804878048</v>
      </c>
      <c r="M103" s="151">
        <f t="shared" si="24"/>
        <v>14235.223862293207</v>
      </c>
      <c r="N103" s="151">
        <f t="shared" si="24"/>
        <v>14237.631725336234</v>
      </c>
      <c r="O103" s="151">
        <f t="shared" si="24"/>
        <v>18777.584007252473</v>
      </c>
      <c r="P103" s="151">
        <f t="shared" si="21"/>
        <v>175981.67615174135</v>
      </c>
      <c r="Q103" s="151"/>
    </row>
    <row r="104" spans="2:23" x14ac:dyDescent="0.2">
      <c r="B104" s="7" t="s">
        <v>265</v>
      </c>
      <c r="C104" s="148" t="s">
        <v>124</v>
      </c>
      <c r="D104" s="151">
        <f t="shared" ref="D104:O104" si="25">IF(D72=0,0,D72+D90*(-D$83))</f>
        <v>60648.763362298821</v>
      </c>
      <c r="E104" s="151">
        <f t="shared" si="25"/>
        <v>111598.9763699844</v>
      </c>
      <c r="F104" s="151">
        <f t="shared" si="25"/>
        <v>10049.286319489946</v>
      </c>
      <c r="G104" s="151">
        <f t="shared" si="25"/>
        <v>64309.360690597685</v>
      </c>
      <c r="H104" s="151">
        <f t="shared" si="25"/>
        <v>50662.377602084307</v>
      </c>
      <c r="I104" s="151">
        <f t="shared" si="25"/>
        <v>47059.0359185704</v>
      </c>
      <c r="J104" s="151">
        <f t="shared" si="25"/>
        <v>50383.647241379294</v>
      </c>
      <c r="K104" s="151">
        <f t="shared" si="25"/>
        <v>48135.950344827594</v>
      </c>
      <c r="L104" s="151">
        <f t="shared" si="25"/>
        <v>48457.656785714273</v>
      </c>
      <c r="M104" s="151">
        <f t="shared" si="25"/>
        <v>57385.748803571434</v>
      </c>
      <c r="N104" s="151">
        <f t="shared" si="25"/>
        <v>44242.286264880939</v>
      </c>
      <c r="O104" s="151">
        <f t="shared" si="25"/>
        <v>82779.059092861105</v>
      </c>
      <c r="P104" s="151">
        <f t="shared" si="21"/>
        <v>675712.14879626024</v>
      </c>
      <c r="Q104" s="151"/>
    </row>
    <row r="105" spans="2:23" x14ac:dyDescent="0.2">
      <c r="B105" s="7" t="s">
        <v>266</v>
      </c>
      <c r="C105" s="148" t="s">
        <v>126</v>
      </c>
      <c r="D105" s="151">
        <f t="shared" ref="D105:O105" si="26">IF(D73=0,0,D73+D91*(-D$83))</f>
        <v>687221.21274555521</v>
      </c>
      <c r="E105" s="151">
        <f t="shared" si="26"/>
        <v>1288884.3237694046</v>
      </c>
      <c r="F105" s="151">
        <f t="shared" si="26"/>
        <v>-21569.894333055614</v>
      </c>
      <c r="G105" s="151">
        <f t="shared" si="26"/>
        <v>457148.25453111075</v>
      </c>
      <c r="H105" s="151">
        <f t="shared" si="26"/>
        <v>402590.48232888896</v>
      </c>
      <c r="I105" s="151">
        <f t="shared" si="26"/>
        <v>357411.16</v>
      </c>
      <c r="J105" s="151">
        <f t="shared" si="26"/>
        <v>339879.06666666671</v>
      </c>
      <c r="K105" s="151">
        <f t="shared" si="26"/>
        <v>327575.47666666663</v>
      </c>
      <c r="L105" s="151">
        <f t="shared" si="26"/>
        <v>347707.95244999998</v>
      </c>
      <c r="M105" s="151">
        <f t="shared" si="26"/>
        <v>447549.00082083326</v>
      </c>
      <c r="N105" s="151">
        <f t="shared" si="26"/>
        <v>87998.098802083172</v>
      </c>
      <c r="O105" s="151">
        <f t="shared" si="26"/>
        <v>1079831.8826063888</v>
      </c>
      <c r="P105" s="151">
        <f t="shared" si="21"/>
        <v>5802227.0170545429</v>
      </c>
      <c r="Q105" s="151"/>
    </row>
    <row r="106" spans="2:23" x14ac:dyDescent="0.2">
      <c r="B106" s="7" t="s">
        <v>255</v>
      </c>
      <c r="C106" s="7">
        <v>85</v>
      </c>
      <c r="D106" s="151">
        <f t="shared" ref="D106:O106" si="27">IF(D74=0,0,D74+D92*(-D$83))</f>
        <v>103241.60445933331</v>
      </c>
      <c r="E106" s="151">
        <f t="shared" si="27"/>
        <v>23589.145816009499</v>
      </c>
      <c r="F106" s="151">
        <f t="shared" si="27"/>
        <v>54394.066081759738</v>
      </c>
      <c r="G106" s="151">
        <f t="shared" si="27"/>
        <v>51098.880878297205</v>
      </c>
      <c r="H106" s="151">
        <f t="shared" si="27"/>
        <v>52137.558251458337</v>
      </c>
      <c r="I106" s="151">
        <f t="shared" si="27"/>
        <v>68726.787958333327</v>
      </c>
      <c r="J106" s="151">
        <f t="shared" si="27"/>
        <v>30259.583041666661</v>
      </c>
      <c r="K106" s="151">
        <f t="shared" si="27"/>
        <v>35994.932229166669</v>
      </c>
      <c r="L106" s="151">
        <f t="shared" si="27"/>
        <v>29615.176854166664</v>
      </c>
      <c r="M106" s="151">
        <f t="shared" si="27"/>
        <v>47676.392181166666</v>
      </c>
      <c r="N106" s="151">
        <f t="shared" si="27"/>
        <v>48113.094346041624</v>
      </c>
      <c r="O106" s="151">
        <f t="shared" si="27"/>
        <v>97315.691794027749</v>
      </c>
      <c r="P106" s="151">
        <f t="shared" si="21"/>
        <v>642162.91389142745</v>
      </c>
      <c r="Q106" s="151"/>
    </row>
    <row r="107" spans="2:23" x14ac:dyDescent="0.2">
      <c r="B107" s="7" t="s">
        <v>256</v>
      </c>
      <c r="C107" s="7">
        <v>86</v>
      </c>
      <c r="D107" s="151">
        <f t="shared" ref="D107:O107" si="28">IF(D75=0,0,D75+D93*(-D$83))</f>
        <v>8449.4056416453259</v>
      </c>
      <c r="E107" s="151">
        <f t="shared" si="28"/>
        <v>4442.0434308012809</v>
      </c>
      <c r="F107" s="151">
        <f t="shared" si="28"/>
        <v>6386.4128958650908</v>
      </c>
      <c r="G107" s="151">
        <f t="shared" si="28"/>
        <v>4428.9995416324246</v>
      </c>
      <c r="H107" s="151">
        <f t="shared" si="28"/>
        <v>1854.5125661836541</v>
      </c>
      <c r="I107" s="151">
        <f t="shared" si="28"/>
        <v>2442.1378402118753</v>
      </c>
      <c r="J107" s="151">
        <f t="shared" si="28"/>
        <v>1655.1046522597478</v>
      </c>
      <c r="K107" s="151">
        <f t="shared" si="28"/>
        <v>926.90524795074612</v>
      </c>
      <c r="L107" s="151">
        <f t="shared" si="28"/>
        <v>1596.8433512038437</v>
      </c>
      <c r="M107" s="151">
        <f t="shared" si="28"/>
        <v>3461.9639517396245</v>
      </c>
      <c r="N107" s="151">
        <f t="shared" si="28"/>
        <v>5447.1836620629465</v>
      </c>
      <c r="O107" s="151">
        <f t="shared" si="28"/>
        <v>6505.5320606173655</v>
      </c>
      <c r="P107" s="151">
        <f t="shared" si="21"/>
        <v>47597.04484217392</v>
      </c>
      <c r="Q107" s="151"/>
    </row>
    <row r="108" spans="2:23" x14ac:dyDescent="0.2">
      <c r="B108" s="8" t="s">
        <v>280</v>
      </c>
      <c r="C108" s="8">
        <v>87</v>
      </c>
      <c r="D108" s="151">
        <f t="shared" ref="D108:O108" si="29">IF(D76=0,0,D76+D94*(-D$83))</f>
        <v>534230.27053222188</v>
      </c>
      <c r="E108" s="151">
        <f t="shared" si="29"/>
        <v>734713.45204321435</v>
      </c>
      <c r="F108" s="151">
        <f t="shared" si="29"/>
        <v>133794.95445625001</v>
      </c>
      <c r="G108" s="151">
        <f t="shared" si="29"/>
        <v>233677.21963111084</v>
      </c>
      <c r="H108" s="151">
        <f t="shared" si="29"/>
        <v>399399.07050333323</v>
      </c>
      <c r="I108" s="151">
        <f t="shared" si="29"/>
        <v>680792.00569472217</v>
      </c>
      <c r="J108" s="151">
        <f t="shared" si="29"/>
        <v>40957.118899999987</v>
      </c>
      <c r="K108" s="151">
        <f t="shared" si="29"/>
        <v>463080.92179999995</v>
      </c>
      <c r="L108" s="151">
        <f t="shared" si="29"/>
        <v>203962.53838333325</v>
      </c>
      <c r="M108" s="151">
        <f t="shared" si="29"/>
        <v>268671.82899250003</v>
      </c>
      <c r="N108" s="151">
        <f t="shared" si="29"/>
        <v>815874.20823124994</v>
      </c>
      <c r="O108" s="151">
        <f t="shared" si="29"/>
        <v>-22873.991049861288</v>
      </c>
      <c r="P108" s="151">
        <f t="shared" si="21"/>
        <v>4486279.5981180742</v>
      </c>
      <c r="Q108" s="151"/>
    </row>
    <row r="109" spans="2:23" x14ac:dyDescent="0.2">
      <c r="B109" s="7" t="s">
        <v>258</v>
      </c>
      <c r="C109" s="7">
        <v>31</v>
      </c>
      <c r="D109" s="151">
        <f t="shared" ref="D109:O109" si="30">IF(D77=0,0,D77+D95*(-D$83))</f>
        <v>1060.5475240004018</v>
      </c>
      <c r="E109" s="151">
        <f t="shared" si="30"/>
        <v>772.15858995384508</v>
      </c>
      <c r="F109" s="151">
        <f t="shared" si="30"/>
        <v>710.57555044608125</v>
      </c>
      <c r="G109" s="151">
        <f t="shared" si="30"/>
        <v>461.2378784017946</v>
      </c>
      <c r="H109" s="151">
        <f t="shared" si="30"/>
        <v>254.06752388220551</v>
      </c>
      <c r="I109" s="151">
        <f t="shared" si="30"/>
        <v>267.44669157493649</v>
      </c>
      <c r="J109" s="151">
        <f t="shared" si="30"/>
        <v>178.23534890229936</v>
      </c>
      <c r="K109" s="151">
        <f t="shared" si="30"/>
        <v>154.5911534531499</v>
      </c>
      <c r="L109" s="151">
        <f t="shared" si="30"/>
        <v>188.09449256401103</v>
      </c>
      <c r="M109" s="151">
        <f t="shared" si="30"/>
        <v>374.63272994435613</v>
      </c>
      <c r="N109" s="151">
        <f t="shared" si="30"/>
        <v>783.57312886925354</v>
      </c>
      <c r="O109" s="151">
        <f t="shared" si="30"/>
        <v>782.59756592960605</v>
      </c>
      <c r="P109" s="151">
        <f t="shared" si="21"/>
        <v>5987.7581779219408</v>
      </c>
      <c r="Q109" s="151"/>
    </row>
    <row r="110" spans="2:23" x14ac:dyDescent="0.2">
      <c r="B110" s="8" t="s">
        <v>259</v>
      </c>
      <c r="C110" s="8">
        <v>41</v>
      </c>
      <c r="D110" s="151">
        <f t="shared" ref="D110:O110" si="31">IF(D70=0,0,D70+D96*(-D$83))</f>
        <v>12476.642673903996</v>
      </c>
      <c r="E110" s="151">
        <f t="shared" si="31"/>
        <v>13287.028537401469</v>
      </c>
      <c r="F110" s="151">
        <f t="shared" si="31"/>
        <v>14566.300584335357</v>
      </c>
      <c r="G110" s="151">
        <f t="shared" si="31"/>
        <v>7048.5717335873205</v>
      </c>
      <c r="H110" s="151">
        <f t="shared" si="31"/>
        <v>8269.9161487375277</v>
      </c>
      <c r="I110" s="151">
        <f t="shared" si="31"/>
        <v>9902.9155907823861</v>
      </c>
      <c r="J110" s="151">
        <f t="shared" si="31"/>
        <v>10682.615637814899</v>
      </c>
      <c r="K110" s="151">
        <f t="shared" si="31"/>
        <v>9266.6999870372147</v>
      </c>
      <c r="L110" s="151">
        <f t="shared" si="31"/>
        <v>9741.5930432873029</v>
      </c>
      <c r="M110" s="151">
        <f t="shared" si="31"/>
        <v>9961.1429282745139</v>
      </c>
      <c r="N110" s="151">
        <f t="shared" si="31"/>
        <v>10967.256699036552</v>
      </c>
      <c r="O110" s="151">
        <f t="shared" si="31"/>
        <v>15873.391824612165</v>
      </c>
      <c r="P110" s="151">
        <f t="shared" si="21"/>
        <v>132044.07538881068</v>
      </c>
      <c r="Q110" s="151"/>
    </row>
    <row r="111" spans="2:23" s="57" customFormat="1" x14ac:dyDescent="0.2">
      <c r="B111" s="63" t="s">
        <v>271</v>
      </c>
      <c r="C111" s="240" t="s">
        <v>272</v>
      </c>
      <c r="D111" s="118">
        <f t="shared" ref="D111:O111" si="32">IF(D78=0,0,D78+D97*(-D$83))</f>
        <v>420114.12881666643</v>
      </c>
      <c r="E111" s="118">
        <f t="shared" si="32"/>
        <v>714544.86636345217</v>
      </c>
      <c r="F111" s="118">
        <f t="shared" si="32"/>
        <v>-41562.435464861104</v>
      </c>
      <c r="G111" s="118">
        <f t="shared" si="32"/>
        <v>204042.26695111085</v>
      </c>
      <c r="H111" s="118">
        <f t="shared" si="32"/>
        <v>263011.40886666666</v>
      </c>
      <c r="I111" s="118">
        <f t="shared" si="32"/>
        <v>192586.63896416657</v>
      </c>
      <c r="J111" s="118">
        <f t="shared" si="32"/>
        <v>164422.93199999997</v>
      </c>
      <c r="K111" s="118">
        <f t="shared" si="32"/>
        <v>167713.89499999999</v>
      </c>
      <c r="L111" s="118">
        <f t="shared" si="32"/>
        <v>184897.84066333331</v>
      </c>
      <c r="M111" s="118">
        <f t="shared" si="32"/>
        <v>274038.79028999998</v>
      </c>
      <c r="N111" s="118">
        <f t="shared" si="32"/>
        <v>264629.59605208319</v>
      </c>
      <c r="O111" s="118">
        <f t="shared" si="32"/>
        <v>450433.12449416664</v>
      </c>
      <c r="P111" s="151">
        <f t="shared" si="21"/>
        <v>3258873.0529967849</v>
      </c>
      <c r="Q111" s="118"/>
    </row>
    <row r="112" spans="2:23" x14ac:dyDescent="0.2">
      <c r="C112" s="148"/>
      <c r="D112" s="151"/>
      <c r="E112" s="151"/>
      <c r="F112" s="151"/>
      <c r="G112" s="151"/>
      <c r="H112" s="151"/>
      <c r="I112" s="151"/>
      <c r="J112" s="151"/>
      <c r="K112" s="151"/>
      <c r="L112" s="151"/>
      <c r="M112" s="151"/>
      <c r="N112" s="151"/>
      <c r="O112" s="151"/>
      <c r="P112" s="151"/>
      <c r="Q112" s="151"/>
    </row>
    <row r="113" spans="2:17" x14ac:dyDescent="0.2">
      <c r="B113" s="4" t="s">
        <v>289</v>
      </c>
      <c r="C113" s="148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  <c r="O113" s="151"/>
      <c r="P113" s="151"/>
      <c r="Q113" s="151"/>
    </row>
    <row r="114" spans="2:17" x14ac:dyDescent="0.2">
      <c r="B114" s="7" t="s">
        <v>67</v>
      </c>
      <c r="C114" s="148">
        <v>23</v>
      </c>
      <c r="D114" s="151">
        <f t="shared" ref="D114:O114" si="33">D100*D37</f>
        <v>98366656.218251988</v>
      </c>
      <c r="E114" s="151">
        <f t="shared" si="33"/>
        <v>83905290.089284554</v>
      </c>
      <c r="F114" s="151">
        <f t="shared" si="33"/>
        <v>74001608.003003284</v>
      </c>
      <c r="G114" s="151">
        <f t="shared" si="33"/>
        <v>51356910.23842974</v>
      </c>
      <c r="H114" s="151">
        <f t="shared" si="33"/>
        <v>31859358.209130302</v>
      </c>
      <c r="I114" s="151">
        <f t="shared" si="33"/>
        <v>22709777.726032794</v>
      </c>
      <c r="J114" s="151">
        <f t="shared" si="33"/>
        <v>15739605.101357549</v>
      </c>
      <c r="K114" s="151">
        <f t="shared" si="33"/>
        <v>13893499.841616524</v>
      </c>
      <c r="L114" s="151">
        <f t="shared" si="33"/>
        <v>19643196.599634934</v>
      </c>
      <c r="M114" s="151">
        <f t="shared" si="33"/>
        <v>44460000.226613015</v>
      </c>
      <c r="N114" s="151">
        <f t="shared" si="33"/>
        <v>73475533.161373511</v>
      </c>
      <c r="O114" s="151">
        <f t="shared" si="33"/>
        <v>97490054.505318642</v>
      </c>
      <c r="P114" s="151">
        <f>SUM(D114:O114)</f>
        <v>626901489.92004681</v>
      </c>
      <c r="Q114" s="151"/>
    </row>
    <row r="115" spans="2:17" x14ac:dyDescent="0.2">
      <c r="B115" s="8" t="s">
        <v>252</v>
      </c>
      <c r="C115" s="148">
        <v>31</v>
      </c>
      <c r="D115" s="151">
        <f t="shared" ref="D115:O115" si="34">D101*D40</f>
        <v>33188233.591465868</v>
      </c>
      <c r="E115" s="151">
        <f t="shared" si="34"/>
        <v>27760762.679588322</v>
      </c>
      <c r="F115" s="151">
        <f t="shared" si="34"/>
        <v>24001424.82660649</v>
      </c>
      <c r="G115" s="151">
        <f t="shared" si="34"/>
        <v>15740157.948069137</v>
      </c>
      <c r="H115" s="151">
        <f t="shared" si="34"/>
        <v>10184538.849174548</v>
      </c>
      <c r="I115" s="151">
        <f t="shared" si="34"/>
        <v>8445562.8832279257</v>
      </c>
      <c r="J115" s="151">
        <f t="shared" si="34"/>
        <v>6876806.3947784351</v>
      </c>
      <c r="K115" s="151">
        <f t="shared" si="34"/>
        <v>6091317.4126718361</v>
      </c>
      <c r="L115" s="151">
        <f t="shared" si="34"/>
        <v>7198170.4631709</v>
      </c>
      <c r="M115" s="151">
        <f t="shared" si="34"/>
        <v>13965581.447859081</v>
      </c>
      <c r="N115" s="151">
        <f t="shared" si="34"/>
        <v>23007853.681087911</v>
      </c>
      <c r="O115" s="151">
        <f t="shared" si="34"/>
        <v>31348377.584634416</v>
      </c>
      <c r="P115" s="151">
        <f>SUM(D115:O115)</f>
        <v>207808787.76233488</v>
      </c>
      <c r="Q115" s="151"/>
    </row>
    <row r="116" spans="2:17" x14ac:dyDescent="0.2">
      <c r="B116" s="8" t="s">
        <v>253</v>
      </c>
      <c r="C116" s="8">
        <v>41</v>
      </c>
      <c r="D116" s="151">
        <f t="shared" ref="D116:O116" si="35">D102*D41</f>
        <v>7840756.3354002712</v>
      </c>
      <c r="E116" s="151">
        <f t="shared" si="35"/>
        <v>6764152.7682011407</v>
      </c>
      <c r="F116" s="151">
        <f t="shared" si="35"/>
        <v>5692359.3554699691</v>
      </c>
      <c r="G116" s="151">
        <f t="shared" si="35"/>
        <v>4152888.2703462979</v>
      </c>
      <c r="H116" s="151">
        <f t="shared" si="35"/>
        <v>2811527.9160436043</v>
      </c>
      <c r="I116" s="151">
        <f t="shared" si="35"/>
        <v>2251533.4679133845</v>
      </c>
      <c r="J116" s="151">
        <f t="shared" si="35"/>
        <v>2241497.8236634964</v>
      </c>
      <c r="K116" s="151">
        <f t="shared" si="35"/>
        <v>1580121.0159915425</v>
      </c>
      <c r="L116" s="151">
        <f t="shared" si="35"/>
        <v>2242339.2810674687</v>
      </c>
      <c r="M116" s="151">
        <f t="shared" si="35"/>
        <v>4122031.2693166095</v>
      </c>
      <c r="N116" s="151">
        <f t="shared" si="35"/>
        <v>5478540.4060730301</v>
      </c>
      <c r="O116" s="151">
        <f t="shared" si="35"/>
        <v>6841392.8041265933</v>
      </c>
      <c r="P116" s="151">
        <f>SUM(D116:O116)</f>
        <v>52019140.713613406</v>
      </c>
      <c r="Q116" s="151"/>
    </row>
    <row r="117" spans="2:17" x14ac:dyDescent="0.2">
      <c r="B117" s="7" t="s">
        <v>264</v>
      </c>
      <c r="C117" s="148" t="s">
        <v>75</v>
      </c>
      <c r="D117" s="151">
        <f t="shared" ref="D117:O117" si="36">D103*D54</f>
        <v>1612022.7393050659</v>
      </c>
      <c r="E117" s="151">
        <f t="shared" si="36"/>
        <v>2574316.0931967366</v>
      </c>
      <c r="F117" s="151">
        <f t="shared" si="36"/>
        <v>284783.60422354331</v>
      </c>
      <c r="G117" s="151">
        <f t="shared" si="36"/>
        <v>1141544.3196891106</v>
      </c>
      <c r="H117" s="151">
        <f t="shared" si="36"/>
        <v>991048.18000000017</v>
      </c>
      <c r="I117" s="151">
        <f t="shared" si="36"/>
        <v>1026464.1799999999</v>
      </c>
      <c r="J117" s="151">
        <f t="shared" si="36"/>
        <v>1046017.5199999999</v>
      </c>
      <c r="K117" s="151">
        <f t="shared" si="36"/>
        <v>981530.54</v>
      </c>
      <c r="L117" s="151">
        <f t="shared" si="36"/>
        <v>1014592.38</v>
      </c>
      <c r="M117" s="151">
        <f t="shared" si="36"/>
        <v>1153053.1328457498</v>
      </c>
      <c r="N117" s="151">
        <f t="shared" si="36"/>
        <v>1124772.9063015624</v>
      </c>
      <c r="O117" s="151">
        <f t="shared" si="36"/>
        <v>1483429.1365729454</v>
      </c>
      <c r="P117" s="151">
        <f>P103*P59</f>
        <v>41003730.543355733</v>
      </c>
      <c r="Q117" s="151"/>
    </row>
    <row r="118" spans="2:17" x14ac:dyDescent="0.2">
      <c r="B118" s="7" t="s">
        <v>265</v>
      </c>
      <c r="C118" s="148" t="s">
        <v>124</v>
      </c>
      <c r="D118" s="151">
        <f t="shared" ref="D118:O118" si="37">D104*D55</f>
        <v>1758814.1375066659</v>
      </c>
      <c r="E118" s="151">
        <f t="shared" si="37"/>
        <v>3236370.3147295476</v>
      </c>
      <c r="F118" s="151">
        <f t="shared" si="37"/>
        <v>291429.30326520844</v>
      </c>
      <c r="G118" s="151">
        <f t="shared" si="37"/>
        <v>1864971.4600273329</v>
      </c>
      <c r="H118" s="151">
        <f t="shared" si="37"/>
        <v>1469208.9504604449</v>
      </c>
      <c r="I118" s="151">
        <f t="shared" si="37"/>
        <v>1364712.0416385415</v>
      </c>
      <c r="J118" s="151">
        <f t="shared" si="37"/>
        <v>1461125.7699999996</v>
      </c>
      <c r="K118" s="151">
        <f t="shared" si="37"/>
        <v>1395942.5600000003</v>
      </c>
      <c r="L118" s="151">
        <f t="shared" si="37"/>
        <v>1356814.3899999997</v>
      </c>
      <c r="M118" s="151">
        <f t="shared" si="37"/>
        <v>1606800.9665000001</v>
      </c>
      <c r="N118" s="151">
        <f t="shared" si="37"/>
        <v>1238784.0154166664</v>
      </c>
      <c r="O118" s="151">
        <f t="shared" si="37"/>
        <v>2317813.6546001108</v>
      </c>
      <c r="P118" s="151">
        <f>P104*P60</f>
        <v>541245431.18580449</v>
      </c>
      <c r="Q118" s="151"/>
    </row>
    <row r="119" spans="2:17" x14ac:dyDescent="0.2">
      <c r="B119" s="7" t="s">
        <v>266</v>
      </c>
      <c r="C119" s="148" t="s">
        <v>126</v>
      </c>
      <c r="D119" s="151">
        <f t="shared" ref="D119:O119" si="38">D105*D57</f>
        <v>2061663.6382366656</v>
      </c>
      <c r="E119" s="151">
        <f t="shared" si="38"/>
        <v>3866652.9713082137</v>
      </c>
      <c r="F119" s="151">
        <f t="shared" si="38"/>
        <v>-64709.682999166842</v>
      </c>
      <c r="G119" s="151">
        <f t="shared" si="38"/>
        <v>1371444.7635933324</v>
      </c>
      <c r="H119" s="151">
        <f t="shared" si="38"/>
        <v>1207771.4469866669</v>
      </c>
      <c r="I119" s="151">
        <f t="shared" si="38"/>
        <v>1072233.48</v>
      </c>
      <c r="J119" s="151">
        <f t="shared" si="38"/>
        <v>1019637.2000000002</v>
      </c>
      <c r="K119" s="151">
        <f t="shared" si="38"/>
        <v>982726.42999999993</v>
      </c>
      <c r="L119" s="151">
        <f t="shared" si="38"/>
        <v>1043123.8573499999</v>
      </c>
      <c r="M119" s="151">
        <f t="shared" si="38"/>
        <v>1342647.0024624998</v>
      </c>
      <c r="N119" s="151">
        <f t="shared" si="38"/>
        <v>263994.29640624952</v>
      </c>
      <c r="O119" s="151">
        <f t="shared" si="38"/>
        <v>3239495.6478191661</v>
      </c>
      <c r="P119" s="151">
        <f t="shared" ref="P119:P126" si="39">SUM(D119:O119)</f>
        <v>17406681.051163625</v>
      </c>
      <c r="Q119" s="151"/>
    </row>
    <row r="120" spans="2:17" x14ac:dyDescent="0.2">
      <c r="B120" s="7" t="s">
        <v>255</v>
      </c>
      <c r="C120" s="7">
        <v>85</v>
      </c>
      <c r="D120" s="151">
        <f t="shared" ref="D120:O120" si="40">D106*D44</f>
        <v>2477798.5070239995</v>
      </c>
      <c r="E120" s="151">
        <f t="shared" si="40"/>
        <v>566139.49958422803</v>
      </c>
      <c r="F120" s="151">
        <f t="shared" si="40"/>
        <v>1305457.5859622336</v>
      </c>
      <c r="G120" s="151">
        <f t="shared" si="40"/>
        <v>1226373.1410791329</v>
      </c>
      <c r="H120" s="151">
        <f t="shared" si="40"/>
        <v>1251301.3980350001</v>
      </c>
      <c r="I120" s="151">
        <f t="shared" si="40"/>
        <v>1649442.9109999998</v>
      </c>
      <c r="J120" s="151">
        <f t="shared" si="40"/>
        <v>726229.9929999999</v>
      </c>
      <c r="K120" s="151">
        <f t="shared" si="40"/>
        <v>863878.37349999999</v>
      </c>
      <c r="L120" s="151">
        <f t="shared" si="40"/>
        <v>710764.24449999991</v>
      </c>
      <c r="M120" s="151">
        <f t="shared" si="40"/>
        <v>1144233.4123479999</v>
      </c>
      <c r="N120" s="151">
        <f t="shared" si="40"/>
        <v>1202827.3586510406</v>
      </c>
      <c r="O120" s="151">
        <f t="shared" si="40"/>
        <v>2432892.2948506935</v>
      </c>
      <c r="P120" s="151">
        <f t="shared" si="39"/>
        <v>15557338.71953433</v>
      </c>
      <c r="Q120" s="151"/>
    </row>
    <row r="121" spans="2:17" x14ac:dyDescent="0.2">
      <c r="B121" s="7" t="s">
        <v>256</v>
      </c>
      <c r="C121" s="7">
        <v>86</v>
      </c>
      <c r="D121" s="151">
        <f t="shared" ref="D121:O121" si="41">D107*D45</f>
        <v>1073074.5164889563</v>
      </c>
      <c r="E121" s="151">
        <f t="shared" si="41"/>
        <v>550813.38541935885</v>
      </c>
      <c r="F121" s="151">
        <f t="shared" si="41"/>
        <v>785528.78619140619</v>
      </c>
      <c r="G121" s="151">
        <f t="shared" si="41"/>
        <v>544766.94362078817</v>
      </c>
      <c r="H121" s="151">
        <f t="shared" si="41"/>
        <v>226250.5330744058</v>
      </c>
      <c r="I121" s="151">
        <f t="shared" si="41"/>
        <v>283287.98946457752</v>
      </c>
      <c r="J121" s="151">
        <f t="shared" si="41"/>
        <v>190337.035009871</v>
      </c>
      <c r="K121" s="151">
        <f t="shared" si="41"/>
        <v>106594.1035143358</v>
      </c>
      <c r="L121" s="151">
        <f t="shared" si="41"/>
        <v>183636.98538844203</v>
      </c>
      <c r="M121" s="151">
        <f t="shared" si="41"/>
        <v>398125.8544500568</v>
      </c>
      <c r="N121" s="151">
        <f t="shared" si="41"/>
        <v>620978.93747517595</v>
      </c>
      <c r="O121" s="151">
        <f t="shared" si="41"/>
        <v>741630.65491037967</v>
      </c>
      <c r="P121" s="151">
        <f t="shared" si="39"/>
        <v>5705025.7250077538</v>
      </c>
      <c r="Q121" s="151"/>
    </row>
    <row r="122" spans="2:17" x14ac:dyDescent="0.2">
      <c r="B122" s="8" t="s">
        <v>280</v>
      </c>
      <c r="C122" s="8">
        <v>87</v>
      </c>
      <c r="D122" s="151">
        <f t="shared" ref="D122:O122" si="42">D108*D46</f>
        <v>2671151.3526611095</v>
      </c>
      <c r="E122" s="151">
        <f t="shared" si="42"/>
        <v>3673567.2602160717</v>
      </c>
      <c r="F122" s="151">
        <f t="shared" si="42"/>
        <v>668974.77228124999</v>
      </c>
      <c r="G122" s="151">
        <f t="shared" si="42"/>
        <v>1168386.0981555542</v>
      </c>
      <c r="H122" s="151">
        <f t="shared" si="42"/>
        <v>1996995.3525166661</v>
      </c>
      <c r="I122" s="151">
        <f t="shared" si="42"/>
        <v>3403960.028473611</v>
      </c>
      <c r="J122" s="151">
        <f t="shared" si="42"/>
        <v>204785.59449999995</v>
      </c>
      <c r="K122" s="151">
        <f t="shared" si="42"/>
        <v>2315404.6089999997</v>
      </c>
      <c r="L122" s="151">
        <f t="shared" si="42"/>
        <v>1019812.6919166662</v>
      </c>
      <c r="M122" s="151">
        <f t="shared" si="42"/>
        <v>1343359.1449625001</v>
      </c>
      <c r="N122" s="151">
        <f t="shared" si="42"/>
        <v>4079371.0411562496</v>
      </c>
      <c r="O122" s="151">
        <f t="shared" si="42"/>
        <v>-114369.95524930644</v>
      </c>
      <c r="P122" s="151">
        <f t="shared" si="39"/>
        <v>22431397.990590375</v>
      </c>
      <c r="Q122" s="151"/>
    </row>
    <row r="123" spans="2:17" x14ac:dyDescent="0.2">
      <c r="B123" s="7" t="s">
        <v>258</v>
      </c>
      <c r="C123" s="7">
        <v>31</v>
      </c>
      <c r="D123" s="151">
        <f t="shared" ref="D123:O123" si="43">D109*D47</f>
        <v>2366081.5260448963</v>
      </c>
      <c r="E123" s="151">
        <f t="shared" si="43"/>
        <v>1723457.9727769822</v>
      </c>
      <c r="F123" s="151">
        <f t="shared" si="43"/>
        <v>1590978.6574487758</v>
      </c>
      <c r="G123" s="151">
        <f t="shared" si="43"/>
        <v>1028560.4688360019</v>
      </c>
      <c r="H123" s="151">
        <f t="shared" si="43"/>
        <v>565554.30816178943</v>
      </c>
      <c r="I123" s="151">
        <f t="shared" si="43"/>
        <v>593196.76191320911</v>
      </c>
      <c r="J123" s="151">
        <f t="shared" si="43"/>
        <v>394256.59177188622</v>
      </c>
      <c r="K123" s="151">
        <f t="shared" si="43"/>
        <v>341801.04028491443</v>
      </c>
      <c r="L123" s="151">
        <f t="shared" si="43"/>
        <v>416629.30102928443</v>
      </c>
      <c r="M123" s="151">
        <f t="shared" si="43"/>
        <v>828687.59863691579</v>
      </c>
      <c r="N123" s="151">
        <f t="shared" si="43"/>
        <v>1737965.1998320043</v>
      </c>
      <c r="O123" s="151">
        <f t="shared" si="43"/>
        <v>1736583.9987977957</v>
      </c>
      <c r="P123" s="151">
        <f t="shared" si="39"/>
        <v>13323753.425534457</v>
      </c>
      <c r="Q123" s="151"/>
    </row>
    <row r="124" spans="2:17" x14ac:dyDescent="0.2">
      <c r="B124" s="8" t="s">
        <v>259</v>
      </c>
      <c r="C124" s="8">
        <v>41</v>
      </c>
      <c r="D124" s="151">
        <f t="shared" ref="D124:O124" si="44">D110*D48</f>
        <v>898318.27252108767</v>
      </c>
      <c r="E124" s="151">
        <f t="shared" si="44"/>
        <v>956666.05469290575</v>
      </c>
      <c r="F124" s="151">
        <f t="shared" si="44"/>
        <v>1048773.6420721456</v>
      </c>
      <c r="G124" s="151">
        <f t="shared" si="44"/>
        <v>500448.59308469977</v>
      </c>
      <c r="H124" s="151">
        <f t="shared" si="44"/>
        <v>587164.04656036443</v>
      </c>
      <c r="I124" s="151">
        <f t="shared" si="44"/>
        <v>693204.09135476698</v>
      </c>
      <c r="J124" s="151">
        <f t="shared" si="44"/>
        <v>747783.09464704292</v>
      </c>
      <c r="K124" s="151">
        <f t="shared" si="44"/>
        <v>648668.99909260508</v>
      </c>
      <c r="L124" s="151">
        <f t="shared" si="44"/>
        <v>672169.91998682392</v>
      </c>
      <c r="M124" s="151">
        <f t="shared" si="44"/>
        <v>707241.14790749049</v>
      </c>
      <c r="N124" s="151">
        <f t="shared" si="44"/>
        <v>778675.22563159524</v>
      </c>
      <c r="O124" s="151">
        <f t="shared" si="44"/>
        <v>1111137.4277228515</v>
      </c>
      <c r="P124" s="151">
        <f t="shared" si="39"/>
        <v>9350250.5152743794</v>
      </c>
      <c r="Q124" s="151"/>
    </row>
    <row r="125" spans="2:17" s="57" customFormat="1" x14ac:dyDescent="0.2">
      <c r="B125" s="63" t="s">
        <v>271</v>
      </c>
      <c r="C125" s="240" t="s">
        <v>272</v>
      </c>
      <c r="D125" s="118">
        <f t="shared" ref="D125:O125" si="45">D111*D63</f>
        <v>4201141.2881666645</v>
      </c>
      <c r="E125" s="118">
        <f t="shared" si="45"/>
        <v>7145448.6636345219</v>
      </c>
      <c r="F125" s="118">
        <f t="shared" si="45"/>
        <v>-415624.35464861104</v>
      </c>
      <c r="G125" s="118">
        <f t="shared" si="45"/>
        <v>2040422.6695111087</v>
      </c>
      <c r="H125" s="118">
        <f t="shared" si="45"/>
        <v>2630114.0886666668</v>
      </c>
      <c r="I125" s="118">
        <f t="shared" si="45"/>
        <v>1925866.3896416659</v>
      </c>
      <c r="J125" s="118">
        <f t="shared" si="45"/>
        <v>1644229.3199999998</v>
      </c>
      <c r="K125" s="118">
        <f t="shared" si="45"/>
        <v>1677138.95</v>
      </c>
      <c r="L125" s="118">
        <f t="shared" si="45"/>
        <v>1848978.4066333331</v>
      </c>
      <c r="M125" s="118">
        <f t="shared" si="45"/>
        <v>2740387.9028999996</v>
      </c>
      <c r="N125" s="118">
        <f t="shared" si="45"/>
        <v>2646295.9605208319</v>
      </c>
      <c r="O125" s="118">
        <f t="shared" si="45"/>
        <v>4504331.2449416667</v>
      </c>
      <c r="P125" s="301">
        <f t="shared" si="39"/>
        <v>32588730.529967844</v>
      </c>
      <c r="Q125" s="118"/>
    </row>
    <row r="126" spans="2:17" x14ac:dyDescent="0.2">
      <c r="B126" s="7" t="s">
        <v>290</v>
      </c>
      <c r="C126" s="148"/>
      <c r="D126" s="157">
        <f t="shared" ref="D126:O126" si="46">SUM(D114:D125)</f>
        <v>158515712.12307328</v>
      </c>
      <c r="E126" s="157">
        <f t="shared" si="46"/>
        <v>142723637.75263256</v>
      </c>
      <c r="F126" s="157">
        <f t="shared" si="46"/>
        <v>109190984.49887654</v>
      </c>
      <c r="G126" s="157">
        <f t="shared" si="46"/>
        <v>82136874.914442226</v>
      </c>
      <c r="H126" s="157">
        <f t="shared" si="46"/>
        <v>55780833.278810449</v>
      </c>
      <c r="I126" s="157">
        <f t="shared" si="46"/>
        <v>45419241.950660467</v>
      </c>
      <c r="J126" s="157">
        <f t="shared" si="46"/>
        <v>32292311.43872828</v>
      </c>
      <c r="K126" s="157">
        <f t="shared" si="46"/>
        <v>30878623.875671756</v>
      </c>
      <c r="L126" s="157">
        <f t="shared" si="46"/>
        <v>37350228.52067785</v>
      </c>
      <c r="M126" s="157">
        <f t="shared" si="46"/>
        <v>73812149.106801912</v>
      </c>
      <c r="N126" s="157">
        <f t="shared" si="46"/>
        <v>115655592.18992583</v>
      </c>
      <c r="O126" s="157">
        <f t="shared" si="46"/>
        <v>153132768.99904597</v>
      </c>
      <c r="P126" s="151">
        <f t="shared" si="39"/>
        <v>1036888958.6493471</v>
      </c>
      <c r="Q126" s="118"/>
    </row>
    <row r="127" spans="2:17" x14ac:dyDescent="0.2">
      <c r="C127" s="148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</row>
    <row r="128" spans="2:17" s="8" customFormat="1" x14ac:dyDescent="0.2">
      <c r="B128" s="8" t="s">
        <v>294</v>
      </c>
      <c r="C128" s="8">
        <v>16</v>
      </c>
      <c r="D128" s="145">
        <f t="shared" ref="D128:O128" si="47">D8</f>
        <v>741</v>
      </c>
      <c r="E128" s="145">
        <f t="shared" si="47"/>
        <v>741</v>
      </c>
      <c r="F128" s="145">
        <f t="shared" si="47"/>
        <v>779</v>
      </c>
      <c r="G128" s="145">
        <f t="shared" si="47"/>
        <v>712.5</v>
      </c>
      <c r="H128" s="145">
        <f t="shared" si="47"/>
        <v>741</v>
      </c>
      <c r="I128" s="145">
        <f t="shared" si="47"/>
        <v>741</v>
      </c>
      <c r="J128" s="145">
        <f t="shared" si="47"/>
        <v>741</v>
      </c>
      <c r="K128" s="145">
        <f t="shared" si="47"/>
        <v>741</v>
      </c>
      <c r="L128" s="145">
        <f t="shared" si="47"/>
        <v>741</v>
      </c>
      <c r="M128" s="145">
        <f t="shared" si="47"/>
        <v>741</v>
      </c>
      <c r="N128" s="145">
        <f t="shared" si="47"/>
        <v>842.65050000000008</v>
      </c>
      <c r="O128" s="145">
        <f t="shared" si="47"/>
        <v>507.61649999999997</v>
      </c>
      <c r="P128" s="145">
        <f t="shared" ref="P128:P139" si="48">SUM(D128:O128)</f>
        <v>8769.7669999999998</v>
      </c>
      <c r="Q128" s="145"/>
    </row>
    <row r="129" spans="2:18" s="8" customFormat="1" x14ac:dyDescent="0.2">
      <c r="B129" s="8" t="str">
        <f t="shared" ref="B129:O129" si="49">B10</f>
        <v>Propane</v>
      </c>
      <c r="C129" s="144">
        <f t="shared" si="49"/>
        <v>53</v>
      </c>
      <c r="D129" s="145">
        <f t="shared" si="49"/>
        <v>0</v>
      </c>
      <c r="E129" s="145">
        <f t="shared" si="49"/>
        <v>0</v>
      </c>
      <c r="F129" s="145">
        <f t="shared" si="49"/>
        <v>0</v>
      </c>
      <c r="G129" s="145">
        <f t="shared" si="49"/>
        <v>0</v>
      </c>
      <c r="H129" s="145">
        <f t="shared" si="49"/>
        <v>0</v>
      </c>
      <c r="I129" s="145">
        <f t="shared" si="49"/>
        <v>0</v>
      </c>
      <c r="J129" s="145">
        <f t="shared" si="49"/>
        <v>0</v>
      </c>
      <c r="K129" s="145">
        <f t="shared" si="49"/>
        <v>0</v>
      </c>
      <c r="L129" s="145">
        <f t="shared" si="49"/>
        <v>0</v>
      </c>
      <c r="M129" s="145">
        <f t="shared" si="49"/>
        <v>0</v>
      </c>
      <c r="N129" s="145">
        <f t="shared" si="49"/>
        <v>0</v>
      </c>
      <c r="O129" s="145">
        <f t="shared" si="49"/>
        <v>0</v>
      </c>
      <c r="P129" s="145">
        <f t="shared" si="48"/>
        <v>0</v>
      </c>
      <c r="Q129" s="145"/>
    </row>
    <row r="130" spans="2:18" s="8" customFormat="1" x14ac:dyDescent="0.2">
      <c r="B130" s="8" t="s">
        <v>254</v>
      </c>
      <c r="C130" s="8">
        <v>50</v>
      </c>
      <c r="D130" s="145">
        <f t="shared" ref="D130:O130" si="50">D13</f>
        <v>0</v>
      </c>
      <c r="E130" s="145">
        <f t="shared" si="50"/>
        <v>0</v>
      </c>
      <c r="F130" s="145">
        <f t="shared" si="50"/>
        <v>0</v>
      </c>
      <c r="G130" s="145">
        <f t="shared" si="50"/>
        <v>0</v>
      </c>
      <c r="H130" s="145">
        <f t="shared" si="50"/>
        <v>0</v>
      </c>
      <c r="I130" s="145">
        <f t="shared" si="50"/>
        <v>0</v>
      </c>
      <c r="J130" s="145">
        <f t="shared" si="50"/>
        <v>0</v>
      </c>
      <c r="K130" s="145">
        <f t="shared" si="50"/>
        <v>0</v>
      </c>
      <c r="L130" s="145">
        <f t="shared" si="50"/>
        <v>0</v>
      </c>
      <c r="M130" s="145">
        <f t="shared" si="50"/>
        <v>0</v>
      </c>
      <c r="N130" s="145">
        <f t="shared" si="50"/>
        <v>0</v>
      </c>
      <c r="O130" s="145">
        <f t="shared" si="50"/>
        <v>0</v>
      </c>
      <c r="P130" s="145">
        <f t="shared" si="48"/>
        <v>0</v>
      </c>
      <c r="Q130" s="145"/>
    </row>
    <row r="131" spans="2:18" s="8" customFormat="1" x14ac:dyDescent="0.2">
      <c r="B131" s="7" t="s">
        <v>295</v>
      </c>
      <c r="C131" s="148" t="s">
        <v>71</v>
      </c>
      <c r="D131" s="145">
        <f t="shared" ref="D131:O131" si="51">D22</f>
        <v>4061.8100000000009</v>
      </c>
      <c r="E131" s="145">
        <f t="shared" si="51"/>
        <v>7479.44</v>
      </c>
      <c r="F131" s="145">
        <f t="shared" si="51"/>
        <v>436.00999999999931</v>
      </c>
      <c r="G131" s="145">
        <f t="shared" si="51"/>
        <v>8197.6499999999978</v>
      </c>
      <c r="H131" s="145">
        <f t="shared" si="51"/>
        <v>2010.3100000000009</v>
      </c>
      <c r="I131" s="145">
        <f t="shared" si="51"/>
        <v>2026.2400000000048</v>
      </c>
      <c r="J131" s="145">
        <f t="shared" si="51"/>
        <v>1223.1899999999966</v>
      </c>
      <c r="K131" s="145">
        <f t="shared" si="51"/>
        <v>1417.5800000000008</v>
      </c>
      <c r="L131" s="145">
        <f t="shared" si="51"/>
        <v>621.72999999999911</v>
      </c>
      <c r="M131" s="145">
        <f t="shared" si="51"/>
        <v>4209.6500000000005</v>
      </c>
      <c r="N131" s="145">
        <f t="shared" si="51"/>
        <v>-91.069999999999709</v>
      </c>
      <c r="O131" s="145">
        <f t="shared" si="51"/>
        <v>10944.9</v>
      </c>
      <c r="P131" s="145">
        <f t="shared" si="48"/>
        <v>42537.440000000002</v>
      </c>
      <c r="Q131" s="145"/>
    </row>
    <row r="132" spans="2:18" s="8" customFormat="1" x14ac:dyDescent="0.2">
      <c r="B132" s="8" t="s">
        <v>392</v>
      </c>
      <c r="C132" s="148" t="s">
        <v>78</v>
      </c>
      <c r="D132" s="145">
        <f t="shared" ref="D132:O132" si="52">D25</f>
        <v>24628</v>
      </c>
      <c r="E132" s="145">
        <f t="shared" si="52"/>
        <v>24606.36</v>
      </c>
      <c r="F132" s="145">
        <f t="shared" si="52"/>
        <v>24050.42</v>
      </c>
      <c r="G132" s="145">
        <f t="shared" si="52"/>
        <v>25634.7</v>
      </c>
      <c r="H132" s="145">
        <f t="shared" si="52"/>
        <v>21436.83</v>
      </c>
      <c r="I132" s="145">
        <f t="shared" si="52"/>
        <v>20548.330000000002</v>
      </c>
      <c r="J132" s="145">
        <f t="shared" si="52"/>
        <v>18321.95</v>
      </c>
      <c r="K132" s="145">
        <f t="shared" si="52"/>
        <v>18168.88</v>
      </c>
      <c r="L132" s="145">
        <f t="shared" si="52"/>
        <v>18204.89</v>
      </c>
      <c r="M132" s="145">
        <f t="shared" si="52"/>
        <v>85671.54</v>
      </c>
      <c r="N132" s="145">
        <f t="shared" si="52"/>
        <v>55425.62</v>
      </c>
      <c r="O132" s="145">
        <f t="shared" si="52"/>
        <v>0</v>
      </c>
      <c r="P132" s="145">
        <f t="shared" si="48"/>
        <v>336697.52</v>
      </c>
      <c r="Q132" s="145"/>
    </row>
    <row r="133" spans="2:18" s="8" customFormat="1" x14ac:dyDescent="0.2">
      <c r="B133" s="8" t="str">
        <f t="shared" ref="B133:O133" si="53">B19</f>
        <v>Interruptible with firm option - ind</v>
      </c>
      <c r="C133" s="144">
        <f t="shared" si="53"/>
        <v>85</v>
      </c>
      <c r="D133" s="145">
        <f t="shared" si="53"/>
        <v>155265.43194821398</v>
      </c>
      <c r="E133" s="145">
        <f t="shared" si="53"/>
        <v>59595.122687769006</v>
      </c>
      <c r="F133" s="145">
        <f t="shared" si="53"/>
        <v>73083.823599052004</v>
      </c>
      <c r="G133" s="145">
        <f t="shared" si="53"/>
        <v>117165.95512160801</v>
      </c>
      <c r="H133" s="145">
        <f t="shared" si="53"/>
        <v>74395.919349639997</v>
      </c>
      <c r="I133" s="145">
        <f t="shared" si="53"/>
        <v>172685.88736655301</v>
      </c>
      <c r="J133" s="145">
        <f t="shared" si="53"/>
        <v>114205.16840096</v>
      </c>
      <c r="K133" s="145">
        <f t="shared" si="53"/>
        <v>77026.867314787014</v>
      </c>
      <c r="L133" s="145">
        <f t="shared" si="53"/>
        <v>1931324.90331416</v>
      </c>
      <c r="M133" s="145">
        <f t="shared" si="53"/>
        <v>-1231785.1118173602</v>
      </c>
      <c r="N133" s="145">
        <f t="shared" si="53"/>
        <v>565416.31944563391</v>
      </c>
      <c r="O133" s="145">
        <f t="shared" si="53"/>
        <v>539357.0313275829</v>
      </c>
      <c r="P133" s="145">
        <f t="shared" si="48"/>
        <v>2647737.3180585997</v>
      </c>
      <c r="Q133" s="145"/>
    </row>
    <row r="134" spans="2:18" s="8" customFormat="1" x14ac:dyDescent="0.2">
      <c r="B134" s="8" t="str">
        <f t="shared" ref="B134:O134" si="54">B20</f>
        <v>Limited interrupt w/ firm option - ind</v>
      </c>
      <c r="C134" s="144">
        <f t="shared" si="54"/>
        <v>86</v>
      </c>
      <c r="D134" s="145">
        <f t="shared" si="54"/>
        <v>-47293.697999999997</v>
      </c>
      <c r="E134" s="145">
        <f t="shared" si="54"/>
        <v>35303.879999999997</v>
      </c>
      <c r="F134" s="145">
        <f t="shared" si="54"/>
        <v>-11038.373999999996</v>
      </c>
      <c r="G134" s="145">
        <f t="shared" si="54"/>
        <v>15533.204000000002</v>
      </c>
      <c r="H134" s="145">
        <f t="shared" si="54"/>
        <v>10565.165999999999</v>
      </c>
      <c r="I134" s="145">
        <f t="shared" si="54"/>
        <v>8457.2099999999991</v>
      </c>
      <c r="J134" s="145">
        <f t="shared" si="54"/>
        <v>12598.293</v>
      </c>
      <c r="K134" s="145">
        <f t="shared" si="54"/>
        <v>20849.244999999999</v>
      </c>
      <c r="L134" s="145">
        <f t="shared" si="54"/>
        <v>14466.824999999999</v>
      </c>
      <c r="M134" s="145">
        <f t="shared" si="54"/>
        <v>14064.655000000001</v>
      </c>
      <c r="N134" s="145">
        <f t="shared" si="54"/>
        <v>21505.317999999999</v>
      </c>
      <c r="O134" s="145">
        <f t="shared" si="54"/>
        <v>4425.2890000000007</v>
      </c>
      <c r="P134" s="145">
        <f t="shared" si="48"/>
        <v>99437.013000000006</v>
      </c>
      <c r="Q134" s="145"/>
    </row>
    <row r="135" spans="2:18" s="8" customFormat="1" x14ac:dyDescent="0.2">
      <c r="B135" s="8" t="str">
        <f t="shared" ref="B135:O135" si="55">B21</f>
        <v>Non-excl interrupt w/ firm option - ind</v>
      </c>
      <c r="C135" s="144">
        <f t="shared" si="55"/>
        <v>87</v>
      </c>
      <c r="D135" s="145">
        <f t="shared" si="55"/>
        <v>0</v>
      </c>
      <c r="E135" s="145">
        <f t="shared" si="55"/>
        <v>0</v>
      </c>
      <c r="F135" s="145">
        <f t="shared" si="55"/>
        <v>0</v>
      </c>
      <c r="G135" s="145">
        <f t="shared" si="55"/>
        <v>0</v>
      </c>
      <c r="H135" s="145">
        <f t="shared" si="55"/>
        <v>0</v>
      </c>
      <c r="I135" s="145">
        <f t="shared" si="55"/>
        <v>0</v>
      </c>
      <c r="J135" s="145">
        <f t="shared" si="55"/>
        <v>0</v>
      </c>
      <c r="K135" s="145">
        <f t="shared" si="55"/>
        <v>0</v>
      </c>
      <c r="L135" s="145">
        <f t="shared" si="55"/>
        <v>0</v>
      </c>
      <c r="M135" s="145">
        <f t="shared" si="55"/>
        <v>0</v>
      </c>
      <c r="N135" s="145">
        <f t="shared" si="55"/>
        <v>0</v>
      </c>
      <c r="O135" s="145">
        <f t="shared" si="55"/>
        <v>0</v>
      </c>
      <c r="P135" s="145">
        <f t="shared" si="48"/>
        <v>0</v>
      </c>
      <c r="Q135" s="145"/>
    </row>
    <row r="136" spans="2:18" s="8" customFormat="1" x14ac:dyDescent="0.2">
      <c r="B136" s="7" t="s">
        <v>267</v>
      </c>
      <c r="C136" s="148" t="s">
        <v>75</v>
      </c>
      <c r="D136" s="145">
        <f t="shared" ref="D136:O136" si="56">D27</f>
        <v>504234.70999999996</v>
      </c>
      <c r="E136" s="145">
        <f t="shared" si="56"/>
        <v>928852.49</v>
      </c>
      <c r="F136" s="145">
        <f t="shared" si="56"/>
        <v>85413.800000000105</v>
      </c>
      <c r="G136" s="145">
        <f t="shared" si="56"/>
        <v>437136.83</v>
      </c>
      <c r="H136" s="145">
        <f t="shared" si="56"/>
        <v>496445.19</v>
      </c>
      <c r="I136" s="145">
        <f t="shared" si="56"/>
        <v>503016.57999999996</v>
      </c>
      <c r="J136" s="145">
        <f t="shared" si="56"/>
        <v>442736.74000000011</v>
      </c>
      <c r="K136" s="145">
        <f t="shared" si="56"/>
        <v>585057.75999999989</v>
      </c>
      <c r="L136" s="145">
        <f t="shared" si="56"/>
        <v>408833.07</v>
      </c>
      <c r="M136" s="145">
        <f t="shared" si="56"/>
        <v>482183.03</v>
      </c>
      <c r="N136" s="145">
        <f t="shared" si="56"/>
        <v>325721.79000000004</v>
      </c>
      <c r="O136" s="145">
        <f t="shared" si="56"/>
        <v>610358.8899999999</v>
      </c>
      <c r="P136" s="145">
        <f t="shared" si="48"/>
        <v>5809990.8799999999</v>
      </c>
      <c r="Q136" s="145"/>
    </row>
    <row r="137" spans="2:18" s="8" customFormat="1" x14ac:dyDescent="0.2">
      <c r="B137" s="7" t="s">
        <v>268</v>
      </c>
      <c r="C137" s="148" t="s">
        <v>124</v>
      </c>
      <c r="D137" s="145">
        <f t="shared" ref="D137:O137" si="57">D28</f>
        <v>3878121.0200000005</v>
      </c>
      <c r="E137" s="145">
        <f t="shared" si="57"/>
        <v>7618053.7699999996</v>
      </c>
      <c r="F137" s="145">
        <f t="shared" si="57"/>
        <v>697902.78999999934</v>
      </c>
      <c r="G137" s="145">
        <f t="shared" si="57"/>
        <v>3531061.9600000009</v>
      </c>
      <c r="H137" s="145">
        <f t="shared" si="57"/>
        <v>3480813.0299999993</v>
      </c>
      <c r="I137" s="145">
        <f t="shared" si="57"/>
        <v>3975648.0300000007</v>
      </c>
      <c r="J137" s="145">
        <f t="shared" si="57"/>
        <v>4025328.85</v>
      </c>
      <c r="K137" s="145">
        <f t="shared" si="57"/>
        <v>4076798.65</v>
      </c>
      <c r="L137" s="145">
        <f t="shared" si="57"/>
        <v>3873990.4699999997</v>
      </c>
      <c r="M137" s="145">
        <f t="shared" si="57"/>
        <v>4046103.2100000004</v>
      </c>
      <c r="N137" s="145">
        <f t="shared" si="57"/>
        <v>3553801.3299999996</v>
      </c>
      <c r="O137" s="145">
        <f t="shared" si="57"/>
        <v>5093508.12</v>
      </c>
      <c r="P137" s="145">
        <f t="shared" si="48"/>
        <v>47851131.229999997</v>
      </c>
      <c r="Q137" s="145"/>
    </row>
    <row r="138" spans="2:18" s="8" customFormat="1" x14ac:dyDescent="0.2">
      <c r="B138" s="8" t="s">
        <v>269</v>
      </c>
      <c r="C138" s="148" t="s">
        <v>78</v>
      </c>
      <c r="D138" s="145">
        <f t="shared" ref="D138:O138" si="58">D29</f>
        <v>36985.149999999994</v>
      </c>
      <c r="E138" s="145">
        <f t="shared" si="58"/>
        <v>47663.689999999995</v>
      </c>
      <c r="F138" s="145">
        <f t="shared" si="58"/>
        <v>11189.360000000006</v>
      </c>
      <c r="G138" s="145">
        <f t="shared" si="58"/>
        <v>33255.879999999997</v>
      </c>
      <c r="H138" s="145">
        <f t="shared" si="58"/>
        <v>39802.83</v>
      </c>
      <c r="I138" s="145">
        <f t="shared" si="58"/>
        <v>33304.07</v>
      </c>
      <c r="J138" s="145">
        <f t="shared" si="58"/>
        <v>26703.710000000006</v>
      </c>
      <c r="K138" s="145">
        <f t="shared" si="58"/>
        <v>32242.730000000003</v>
      </c>
      <c r="L138" s="145">
        <f t="shared" si="58"/>
        <v>33962.239999999998</v>
      </c>
      <c r="M138" s="145">
        <f t="shared" si="58"/>
        <v>521973.78</v>
      </c>
      <c r="N138" s="145">
        <f t="shared" si="58"/>
        <v>74651.509999999995</v>
      </c>
      <c r="O138" s="145">
        <f t="shared" si="58"/>
        <v>43383.649999999994</v>
      </c>
      <c r="P138" s="145">
        <f t="shared" si="48"/>
        <v>935118.60000000009</v>
      </c>
      <c r="Q138" s="145"/>
    </row>
    <row r="139" spans="2:18" s="8" customFormat="1" x14ac:dyDescent="0.2">
      <c r="B139" s="7" t="s">
        <v>270</v>
      </c>
      <c r="C139" s="148" t="s">
        <v>126</v>
      </c>
      <c r="D139" s="145">
        <f t="shared" ref="D139:O139" si="59">D30</f>
        <v>4846722.7800000012</v>
      </c>
      <c r="E139" s="145">
        <f t="shared" si="59"/>
        <v>12852449.119999997</v>
      </c>
      <c r="F139" s="145">
        <f t="shared" si="59"/>
        <v>398610.4700000002</v>
      </c>
      <c r="G139" s="145">
        <f t="shared" si="59"/>
        <v>5768223.4700000007</v>
      </c>
      <c r="H139" s="145">
        <f t="shared" si="59"/>
        <v>5240546.9399999995</v>
      </c>
      <c r="I139" s="145">
        <f t="shared" si="59"/>
        <v>6104841.8300000001</v>
      </c>
      <c r="J139" s="145">
        <f t="shared" si="59"/>
        <v>5448528.0099999998</v>
      </c>
      <c r="K139" s="145">
        <f t="shared" si="59"/>
        <v>7391875.1700000009</v>
      </c>
      <c r="L139" s="145">
        <f t="shared" si="59"/>
        <v>6423453.0799999991</v>
      </c>
      <c r="M139" s="145">
        <f t="shared" si="59"/>
        <v>7451255.4500000011</v>
      </c>
      <c r="N139" s="145">
        <f t="shared" si="59"/>
        <v>6106038.3899999997</v>
      </c>
      <c r="O139" s="145">
        <f t="shared" si="59"/>
        <v>7447233.7100000009</v>
      </c>
      <c r="P139" s="145">
        <f t="shared" si="48"/>
        <v>75479778.419999987</v>
      </c>
      <c r="Q139" s="145"/>
    </row>
    <row r="140" spans="2:18" s="8" customFormat="1" x14ac:dyDescent="0.2">
      <c r="B140" s="8" t="s">
        <v>296</v>
      </c>
      <c r="C140" s="144"/>
      <c r="D140" s="150">
        <f t="shared" ref="D140:P140" si="60">SUM(D128:D139)</f>
        <v>9403466.2039482165</v>
      </c>
      <c r="E140" s="150">
        <f t="shared" si="60"/>
        <v>21574744.872687764</v>
      </c>
      <c r="F140" s="150">
        <f t="shared" si="60"/>
        <v>1280427.2995990515</v>
      </c>
      <c r="G140" s="150">
        <f t="shared" si="60"/>
        <v>9936922.1491216086</v>
      </c>
      <c r="H140" s="150">
        <f t="shared" si="60"/>
        <v>9366757.2153496388</v>
      </c>
      <c r="I140" s="150">
        <f t="shared" si="60"/>
        <v>10821269.177366555</v>
      </c>
      <c r="J140" s="150">
        <f t="shared" si="60"/>
        <v>10090386.911400959</v>
      </c>
      <c r="K140" s="150">
        <f t="shared" si="60"/>
        <v>12204177.882314788</v>
      </c>
      <c r="L140" s="150">
        <f t="shared" si="60"/>
        <v>12705598.208314158</v>
      </c>
      <c r="M140" s="150">
        <f t="shared" si="60"/>
        <v>11374417.203182641</v>
      </c>
      <c r="N140" s="150">
        <f t="shared" si="60"/>
        <v>10703311.857945632</v>
      </c>
      <c r="O140" s="150">
        <f t="shared" si="60"/>
        <v>13749719.206827585</v>
      </c>
      <c r="P140" s="150">
        <f t="shared" si="60"/>
        <v>133211198.18805858</v>
      </c>
      <c r="Q140" s="68"/>
    </row>
    <row r="141" spans="2:18" s="8" customFormat="1" x14ac:dyDescent="0.2">
      <c r="C141" s="144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</row>
    <row r="142" spans="2:18" s="8" customFormat="1" x14ac:dyDescent="0.2">
      <c r="B142" s="8" t="s">
        <v>297</v>
      </c>
      <c r="C142" s="144"/>
      <c r="D142" s="150">
        <f t="shared" ref="D142:P142" si="61">D126+D140</f>
        <v>167919178.32702151</v>
      </c>
      <c r="E142" s="150">
        <f t="shared" si="61"/>
        <v>164298382.62532032</v>
      </c>
      <c r="F142" s="150">
        <f t="shared" si="61"/>
        <v>110471411.79847559</v>
      </c>
      <c r="G142" s="150">
        <f t="shared" si="61"/>
        <v>92073797.063563839</v>
      </c>
      <c r="H142" s="150">
        <f t="shared" si="61"/>
        <v>65147590.494160086</v>
      </c>
      <c r="I142" s="150">
        <f t="shared" si="61"/>
        <v>56240511.128027022</v>
      </c>
      <c r="J142" s="150">
        <f t="shared" si="61"/>
        <v>42382698.350129239</v>
      </c>
      <c r="K142" s="150">
        <f t="shared" si="61"/>
        <v>43082801.757986546</v>
      </c>
      <c r="L142" s="150">
        <f t="shared" si="61"/>
        <v>50055826.728992008</v>
      </c>
      <c r="M142" s="150">
        <f t="shared" si="61"/>
        <v>85186566.30998455</v>
      </c>
      <c r="N142" s="150">
        <f t="shared" si="61"/>
        <v>126358904.04787147</v>
      </c>
      <c r="O142" s="150">
        <f t="shared" si="61"/>
        <v>166882488.20587355</v>
      </c>
      <c r="P142" s="150">
        <f t="shared" si="61"/>
        <v>1170100156.8374057</v>
      </c>
      <c r="Q142" s="68"/>
      <c r="R142" s="145"/>
    </row>
    <row r="143" spans="2:18" x14ac:dyDescent="0.2">
      <c r="C143" s="14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</row>
    <row r="144" spans="2:18" s="8" customFormat="1" x14ac:dyDescent="0.2">
      <c r="B144" s="71" t="s">
        <v>291</v>
      </c>
      <c r="D144" s="145"/>
      <c r="E144" s="145"/>
      <c r="F144" s="145"/>
      <c r="G144" s="145"/>
      <c r="H144" s="145"/>
      <c r="I144" s="145"/>
      <c r="J144" s="145"/>
      <c r="K144" s="145"/>
      <c r="L144" s="145"/>
      <c r="M144" s="145"/>
      <c r="N144" s="145"/>
      <c r="O144" s="145"/>
      <c r="P144" s="145"/>
      <c r="Q144" s="145"/>
    </row>
    <row r="145" spans="2:17" s="8" customFormat="1" x14ac:dyDescent="0.2">
      <c r="B145" s="7" t="s">
        <v>67</v>
      </c>
      <c r="C145" s="144">
        <v>23</v>
      </c>
      <c r="D145" s="145">
        <f t="shared" ref="D145:O145" si="62">D114-D9</f>
        <v>10590567.93005389</v>
      </c>
      <c r="E145" s="145">
        <f t="shared" si="62"/>
        <v>1777562.4965376109</v>
      </c>
      <c r="F145" s="145">
        <f t="shared" si="62"/>
        <v>-6012217.4632752687</v>
      </c>
      <c r="G145" s="145">
        <f t="shared" si="62"/>
        <v>4019770.1502292752</v>
      </c>
      <c r="H145" s="145">
        <f t="shared" si="62"/>
        <v>3745082.3723646626</v>
      </c>
      <c r="I145" s="145">
        <f t="shared" si="62"/>
        <v>580278.57302729785</v>
      </c>
      <c r="J145" s="145">
        <f t="shared" si="62"/>
        <v>0</v>
      </c>
      <c r="K145" s="145">
        <f t="shared" si="62"/>
        <v>0</v>
      </c>
      <c r="L145" s="145">
        <f t="shared" si="62"/>
        <v>3506554.2022907827</v>
      </c>
      <c r="M145" s="145">
        <f t="shared" si="62"/>
        <v>3438710.8828107715</v>
      </c>
      <c r="N145" s="145">
        <f t="shared" si="62"/>
        <v>1555921.7516186982</v>
      </c>
      <c r="O145" s="145">
        <f t="shared" si="62"/>
        <v>10897774.147868544</v>
      </c>
      <c r="P145" s="145">
        <f t="shared" ref="P145:P157" si="63">SUM(D145:O145)</f>
        <v>34100005.043526262</v>
      </c>
      <c r="Q145" s="145"/>
    </row>
    <row r="146" spans="2:17" s="8" customFormat="1" x14ac:dyDescent="0.2">
      <c r="B146" s="8" t="s">
        <v>252</v>
      </c>
      <c r="C146" s="148">
        <v>31</v>
      </c>
      <c r="D146" s="145">
        <f t="shared" ref="D146:O146" si="64">D115-D11</f>
        <v>2805809.6383430883</v>
      </c>
      <c r="E146" s="145">
        <f t="shared" si="64"/>
        <v>457301.06782570109</v>
      </c>
      <c r="F146" s="145">
        <f t="shared" si="64"/>
        <v>-1544832.8280180804</v>
      </c>
      <c r="G146" s="145">
        <f t="shared" si="64"/>
        <v>929749.88873518631</v>
      </c>
      <c r="H146" s="145">
        <f t="shared" si="64"/>
        <v>727941.34324599802</v>
      </c>
      <c r="I146" s="145">
        <f t="shared" si="64"/>
        <v>0</v>
      </c>
      <c r="J146" s="145">
        <f t="shared" si="64"/>
        <v>0</v>
      </c>
      <c r="K146" s="145">
        <f t="shared" si="64"/>
        <v>0</v>
      </c>
      <c r="L146" s="145">
        <f t="shared" si="64"/>
        <v>0</v>
      </c>
      <c r="M146" s="145">
        <f t="shared" si="64"/>
        <v>680035.18274999969</v>
      </c>
      <c r="N146" s="145">
        <f t="shared" si="64"/>
        <v>368232.68726925552</v>
      </c>
      <c r="O146" s="145">
        <f t="shared" si="64"/>
        <v>2837310.6079972312</v>
      </c>
      <c r="P146" s="145">
        <f t="shared" si="63"/>
        <v>7261547.5881483797</v>
      </c>
      <c r="Q146" s="145"/>
    </row>
    <row r="147" spans="2:17" s="8" customFormat="1" x14ac:dyDescent="0.2">
      <c r="B147" s="8" t="s">
        <v>253</v>
      </c>
      <c r="C147" s="8">
        <v>41</v>
      </c>
      <c r="D147" s="145">
        <f t="shared" ref="D147:O147" si="65">D116-D12</f>
        <v>582298.57071850728</v>
      </c>
      <c r="E147" s="145">
        <f t="shared" si="65"/>
        <v>97385.479062533006</v>
      </c>
      <c r="F147" s="145">
        <f t="shared" si="65"/>
        <v>-355432.22850781213</v>
      </c>
      <c r="G147" s="145">
        <f t="shared" si="65"/>
        <v>253602.74434799608</v>
      </c>
      <c r="H147" s="145">
        <f t="shared" si="65"/>
        <v>289384.39285888849</v>
      </c>
      <c r="I147" s="145">
        <f t="shared" si="65"/>
        <v>45188.047391816042</v>
      </c>
      <c r="J147" s="145">
        <f t="shared" si="65"/>
        <v>0</v>
      </c>
      <c r="K147" s="145">
        <f t="shared" si="65"/>
        <v>0</v>
      </c>
      <c r="L147" s="145">
        <f t="shared" si="65"/>
        <v>207381.2062454992</v>
      </c>
      <c r="M147" s="145">
        <f t="shared" si="65"/>
        <v>193625.96927512484</v>
      </c>
      <c r="N147" s="145">
        <f t="shared" si="65"/>
        <v>79993.213031247258</v>
      </c>
      <c r="O147" s="145">
        <f t="shared" si="65"/>
        <v>561863.62018212024</v>
      </c>
      <c r="P147" s="145">
        <f t="shared" si="63"/>
        <v>1955291.0146059203</v>
      </c>
      <c r="Q147" s="145"/>
    </row>
    <row r="148" spans="2:17" s="8" customFormat="1" x14ac:dyDescent="0.2">
      <c r="B148" s="7" t="s">
        <v>264</v>
      </c>
      <c r="C148" s="148" t="s">
        <v>75</v>
      </c>
      <c r="D148" s="145">
        <f t="shared" ref="D148:O148" si="66">D117-D23</f>
        <v>48072.489305066178</v>
      </c>
      <c r="E148" s="145">
        <f t="shared" si="66"/>
        <v>6726.5731967366301</v>
      </c>
      <c r="F148" s="145">
        <f t="shared" si="66"/>
        <v>-28862.445776456909</v>
      </c>
      <c r="G148" s="145">
        <f t="shared" si="66"/>
        <v>13905.929689110955</v>
      </c>
      <c r="H148" s="145">
        <f t="shared" si="66"/>
        <v>0</v>
      </c>
      <c r="I148" s="145">
        <f t="shared" si="66"/>
        <v>0</v>
      </c>
      <c r="J148" s="145">
        <f t="shared" si="66"/>
        <v>0</v>
      </c>
      <c r="K148" s="145">
        <f t="shared" si="66"/>
        <v>0</v>
      </c>
      <c r="L148" s="145">
        <f t="shared" si="66"/>
        <v>0</v>
      </c>
      <c r="M148" s="145">
        <f t="shared" si="66"/>
        <v>16708.192845750134</v>
      </c>
      <c r="N148" s="145">
        <f t="shared" si="66"/>
        <v>6016.6063015621621</v>
      </c>
      <c r="O148" s="145">
        <f t="shared" si="66"/>
        <v>45191.776572945528</v>
      </c>
      <c r="P148" s="145">
        <f t="shared" si="63"/>
        <v>107759.12213471468</v>
      </c>
      <c r="Q148" s="145"/>
    </row>
    <row r="149" spans="2:17" s="8" customFormat="1" x14ac:dyDescent="0.2">
      <c r="B149" s="7" t="s">
        <v>265</v>
      </c>
      <c r="C149" s="148" t="s">
        <v>124</v>
      </c>
      <c r="D149" s="145">
        <f t="shared" ref="D149:O149" si="67">D118-D24</f>
        <v>61174.667506666156</v>
      </c>
      <c r="E149" s="145">
        <f t="shared" si="67"/>
        <v>7127.1147295474075</v>
      </c>
      <c r="F149" s="145">
        <f t="shared" si="67"/>
        <v>-35722.976734791591</v>
      </c>
      <c r="G149" s="145">
        <f t="shared" si="67"/>
        <v>21950.290027332958</v>
      </c>
      <c r="H149" s="145">
        <f t="shared" si="67"/>
        <v>33550.950460444437</v>
      </c>
      <c r="I149" s="145">
        <f t="shared" si="67"/>
        <v>7498.4616385414265</v>
      </c>
      <c r="J149" s="145">
        <f t="shared" si="67"/>
        <v>0</v>
      </c>
      <c r="K149" s="145">
        <f t="shared" si="67"/>
        <v>0</v>
      </c>
      <c r="L149" s="145">
        <f t="shared" si="67"/>
        <v>0</v>
      </c>
      <c r="M149" s="145">
        <f t="shared" si="67"/>
        <v>21196.066499999957</v>
      </c>
      <c r="N149" s="145">
        <f t="shared" si="67"/>
        <v>7975.7854166664183</v>
      </c>
      <c r="O149" s="145">
        <f t="shared" si="67"/>
        <v>60372.734600110911</v>
      </c>
      <c r="P149" s="145">
        <f t="shared" si="63"/>
        <v>185123.09414451808</v>
      </c>
      <c r="Q149" s="145"/>
    </row>
    <row r="150" spans="2:17" s="8" customFormat="1" x14ac:dyDescent="0.2">
      <c r="B150" s="7" t="s">
        <v>266</v>
      </c>
      <c r="C150" s="148" t="s">
        <v>126</v>
      </c>
      <c r="D150" s="145">
        <f t="shared" ref="D150:O150" si="68">D119-D26</f>
        <v>126523.13823666563</v>
      </c>
      <c r="E150" s="145">
        <f t="shared" si="68"/>
        <v>21860.231308213435</v>
      </c>
      <c r="F150" s="145">
        <f t="shared" si="68"/>
        <v>-75443.402999166574</v>
      </c>
      <c r="G150" s="145">
        <f t="shared" si="68"/>
        <v>54175.283593332628</v>
      </c>
      <c r="H150" s="145">
        <f t="shared" si="68"/>
        <v>49952.126986666583</v>
      </c>
      <c r="I150" s="145">
        <f t="shared" si="68"/>
        <v>0</v>
      </c>
      <c r="J150" s="145">
        <f t="shared" si="68"/>
        <v>0</v>
      </c>
      <c r="K150" s="145">
        <f t="shared" si="68"/>
        <v>0</v>
      </c>
      <c r="L150" s="145">
        <f t="shared" si="68"/>
        <v>45290.827349999803</v>
      </c>
      <c r="M150" s="145">
        <f t="shared" si="68"/>
        <v>43840.072462500073</v>
      </c>
      <c r="N150" s="145">
        <f t="shared" si="68"/>
        <v>17473.066406249302</v>
      </c>
      <c r="O150" s="145">
        <f t="shared" si="68"/>
        <v>131887.89781916607</v>
      </c>
      <c r="P150" s="145">
        <f t="shared" si="63"/>
        <v>415559.24116362695</v>
      </c>
      <c r="Q150" s="145"/>
    </row>
    <row r="151" spans="2:17" s="8" customFormat="1" x14ac:dyDescent="0.2">
      <c r="B151" s="8" t="s">
        <v>255</v>
      </c>
      <c r="C151" s="8">
        <v>85</v>
      </c>
      <c r="D151" s="145">
        <f t="shared" ref="D151:O151" si="69">D120-D14</f>
        <v>117781.72002399946</v>
      </c>
      <c r="E151" s="145">
        <f t="shared" si="69"/>
        <v>19057.24965542811</v>
      </c>
      <c r="F151" s="145">
        <f t="shared" si="69"/>
        <v>-73966.251704166643</v>
      </c>
      <c r="G151" s="145">
        <f t="shared" si="69"/>
        <v>44031.198709332617</v>
      </c>
      <c r="H151" s="145">
        <f t="shared" si="69"/>
        <v>0</v>
      </c>
      <c r="I151" s="145">
        <f t="shared" si="69"/>
        <v>0</v>
      </c>
      <c r="J151" s="145">
        <f t="shared" si="69"/>
        <v>0</v>
      </c>
      <c r="K151" s="145">
        <f t="shared" si="69"/>
        <v>0</v>
      </c>
      <c r="L151" s="145">
        <f t="shared" si="69"/>
        <v>0</v>
      </c>
      <c r="M151" s="145">
        <f t="shared" si="69"/>
        <v>42581.676347999834</v>
      </c>
      <c r="N151" s="145">
        <f t="shared" si="69"/>
        <v>17546.36315104086</v>
      </c>
      <c r="O151" s="145">
        <f t="shared" si="69"/>
        <v>128703.08235069411</v>
      </c>
      <c r="P151" s="145">
        <f t="shared" si="63"/>
        <v>295735.03853432834</v>
      </c>
      <c r="Q151" s="145"/>
    </row>
    <row r="152" spans="2:17" s="8" customFormat="1" x14ac:dyDescent="0.2">
      <c r="B152" s="8" t="s">
        <v>256</v>
      </c>
      <c r="C152" s="8">
        <v>86</v>
      </c>
      <c r="D152" s="145">
        <f t="shared" ref="D152:O152" si="70">D121-D15</f>
        <v>77109.583599788137</v>
      </c>
      <c r="E152" s="145">
        <f t="shared" si="70"/>
        <v>12819.040599699714</v>
      </c>
      <c r="F152" s="145">
        <f t="shared" si="70"/>
        <v>-48176.834912974969</v>
      </c>
      <c r="G152" s="145">
        <f t="shared" si="70"/>
        <v>37434.809414732736</v>
      </c>
      <c r="H152" s="145">
        <f t="shared" si="70"/>
        <v>41804.401253333228</v>
      </c>
      <c r="I152" s="145">
        <f t="shared" si="70"/>
        <v>6626.8973267443362</v>
      </c>
      <c r="J152" s="145">
        <f t="shared" si="70"/>
        <v>0</v>
      </c>
      <c r="K152" s="145">
        <f t="shared" si="70"/>
        <v>0</v>
      </c>
      <c r="L152" s="145">
        <f t="shared" si="70"/>
        <v>30272.833641666541</v>
      </c>
      <c r="M152" s="145">
        <f t="shared" si="70"/>
        <v>27893.257658999995</v>
      </c>
      <c r="N152" s="145">
        <f t="shared" si="70"/>
        <v>10414.07563124958</v>
      </c>
      <c r="O152" s="145">
        <f t="shared" si="70"/>
        <v>70074.241184583167</v>
      </c>
      <c r="P152" s="145">
        <f t="shared" si="63"/>
        <v>266272.30539782246</v>
      </c>
      <c r="Q152" s="145"/>
    </row>
    <row r="153" spans="2:17" s="8" customFormat="1" x14ac:dyDescent="0.2">
      <c r="B153" s="8" t="s">
        <v>280</v>
      </c>
      <c r="C153" s="8">
        <v>87</v>
      </c>
      <c r="D153" s="145">
        <f t="shared" ref="D153:O153" si="71">D122-D16</f>
        <v>180475.70666110981</v>
      </c>
      <c r="E153" s="145">
        <f t="shared" si="71"/>
        <v>29950.929216071032</v>
      </c>
      <c r="F153" s="145">
        <f t="shared" si="71"/>
        <v>-117979.33471874997</v>
      </c>
      <c r="G153" s="145">
        <f t="shared" si="71"/>
        <v>93044.329655554146</v>
      </c>
      <c r="H153" s="145">
        <f t="shared" si="71"/>
        <v>93608.240266666282</v>
      </c>
      <c r="I153" s="145">
        <f t="shared" si="71"/>
        <v>15118.148723611142</v>
      </c>
      <c r="J153" s="145">
        <f t="shared" si="71"/>
        <v>0</v>
      </c>
      <c r="K153" s="145">
        <f t="shared" si="71"/>
        <v>0</v>
      </c>
      <c r="L153" s="145">
        <f t="shared" si="71"/>
        <v>64452.058416666347</v>
      </c>
      <c r="M153" s="145">
        <f t="shared" si="71"/>
        <v>66538.202962500043</v>
      </c>
      <c r="N153" s="145">
        <f t="shared" si="71"/>
        <v>26257.710156249348</v>
      </c>
      <c r="O153" s="145">
        <f t="shared" si="71"/>
        <v>186907.25175069395</v>
      </c>
      <c r="P153" s="145">
        <f t="shared" si="63"/>
        <v>638373.24309037207</v>
      </c>
      <c r="Q153" s="145"/>
    </row>
    <row r="154" spans="2:17" s="8" customFormat="1" x14ac:dyDescent="0.2">
      <c r="B154" s="8" t="s">
        <v>258</v>
      </c>
      <c r="C154" s="8">
        <v>31</v>
      </c>
      <c r="D154" s="145">
        <f t="shared" ref="D154:O154" si="72">D123-D17</f>
        <v>216776.10271327617</v>
      </c>
      <c r="E154" s="145">
        <f t="shared" si="72"/>
        <v>36261.63545511337</v>
      </c>
      <c r="F154" s="145">
        <f t="shared" si="72"/>
        <v>-121021.48769929772</v>
      </c>
      <c r="G154" s="145">
        <f t="shared" si="72"/>
        <v>72198.277367332252</v>
      </c>
      <c r="H154" s="145">
        <f t="shared" si="72"/>
        <v>58048.981074933195</v>
      </c>
      <c r="I154" s="145">
        <f t="shared" si="72"/>
        <v>0</v>
      </c>
      <c r="J154" s="145">
        <f t="shared" si="72"/>
        <v>0</v>
      </c>
      <c r="K154" s="145">
        <f t="shared" si="72"/>
        <v>0</v>
      </c>
      <c r="L154" s="145">
        <f t="shared" si="72"/>
        <v>49784.12211783306</v>
      </c>
      <c r="M154" s="145">
        <f t="shared" si="72"/>
        <v>57877.94459790003</v>
      </c>
      <c r="N154" s="145">
        <f t="shared" si="72"/>
        <v>28241.545630207052</v>
      </c>
      <c r="O154" s="145">
        <f t="shared" si="72"/>
        <v>212638.40212017996</v>
      </c>
      <c r="P154" s="145">
        <f t="shared" si="63"/>
        <v>610805.52337747742</v>
      </c>
      <c r="Q154" s="145"/>
    </row>
    <row r="155" spans="2:17" s="8" customFormat="1" x14ac:dyDescent="0.2">
      <c r="B155" s="8" t="s">
        <v>259</v>
      </c>
      <c r="C155" s="8">
        <v>41</v>
      </c>
      <c r="D155" s="145">
        <f t="shared" ref="D155:O155" si="73">D124-D18</f>
        <v>37804.105503999628</v>
      </c>
      <c r="E155" s="145">
        <f t="shared" si="73"/>
        <v>5452.9829236284131</v>
      </c>
      <c r="F155" s="145">
        <f t="shared" si="73"/>
        <v>-26562.192364250077</v>
      </c>
      <c r="G155" s="145">
        <f t="shared" si="73"/>
        <v>15372.279728310881</v>
      </c>
      <c r="H155" s="145">
        <f t="shared" si="73"/>
        <v>13879.676822844311</v>
      </c>
      <c r="I155" s="145">
        <f t="shared" si="73"/>
        <v>0</v>
      </c>
      <c r="J155" s="145">
        <f t="shared" si="73"/>
        <v>0</v>
      </c>
      <c r="K155" s="145">
        <f t="shared" si="73"/>
        <v>0</v>
      </c>
      <c r="L155" s="145">
        <f t="shared" si="73"/>
        <v>15619.84506089997</v>
      </c>
      <c r="M155" s="145">
        <f t="shared" si="73"/>
        <v>16792.518628124963</v>
      </c>
      <c r="N155" s="145">
        <f t="shared" si="73"/>
        <v>5439.481213541585</v>
      </c>
      <c r="O155" s="145">
        <f t="shared" si="73"/>
        <v>33431.6397013471</v>
      </c>
      <c r="P155" s="145">
        <f t="shared" si="63"/>
        <v>117230.33721844677</v>
      </c>
      <c r="Q155" s="145"/>
    </row>
    <row r="156" spans="2:17" s="63" customFormat="1" x14ac:dyDescent="0.2">
      <c r="B156" s="63" t="s">
        <v>271</v>
      </c>
      <c r="C156" s="240" t="s">
        <v>272</v>
      </c>
      <c r="D156" s="68">
        <f t="shared" ref="D156:O156" si="74">D125-D31</f>
        <v>330012.71816666424</v>
      </c>
      <c r="E156" s="68">
        <f t="shared" si="74"/>
        <v>59847.943634522147</v>
      </c>
      <c r="F156" s="68">
        <f t="shared" si="74"/>
        <v>-210191.95464861093</v>
      </c>
      <c r="G156" s="68">
        <f t="shared" si="74"/>
        <v>162656.77951110899</v>
      </c>
      <c r="H156" s="68">
        <f t="shared" si="74"/>
        <v>177664.76866666647</v>
      </c>
      <c r="I156" s="68">
        <f t="shared" si="74"/>
        <v>44150.769641665975</v>
      </c>
      <c r="J156" s="68">
        <f t="shared" si="74"/>
        <v>0</v>
      </c>
      <c r="K156" s="68">
        <f t="shared" si="74"/>
        <v>0</v>
      </c>
      <c r="L156" s="68">
        <f t="shared" si="74"/>
        <v>143828.70663333288</v>
      </c>
      <c r="M156" s="68">
        <f t="shared" si="74"/>
        <v>129158.89289999986</v>
      </c>
      <c r="N156" s="68">
        <f t="shared" si="74"/>
        <v>49541.50052083144</v>
      </c>
      <c r="O156" s="68">
        <f t="shared" si="74"/>
        <v>322186.62494166614</v>
      </c>
      <c r="P156" s="149">
        <f t="shared" si="63"/>
        <v>1208856.7499678473</v>
      </c>
      <c r="Q156" s="68"/>
    </row>
    <row r="157" spans="2:17" s="8" customFormat="1" x14ac:dyDescent="0.2">
      <c r="B157" s="8" t="s">
        <v>292</v>
      </c>
      <c r="C157" s="144"/>
      <c r="D157" s="150">
        <f t="shared" ref="D157:O157" si="75">SUM(D145:D156)</f>
        <v>15174406.370832719</v>
      </c>
      <c r="E157" s="150">
        <f t="shared" si="75"/>
        <v>2531352.7441448052</v>
      </c>
      <c r="F157" s="150">
        <f t="shared" si="75"/>
        <v>-8650409.4013596252</v>
      </c>
      <c r="G157" s="150">
        <f t="shared" si="75"/>
        <v>5717891.9610086046</v>
      </c>
      <c r="H157" s="150">
        <f t="shared" si="75"/>
        <v>5230917.2540011033</v>
      </c>
      <c r="I157" s="150">
        <f t="shared" si="75"/>
        <v>698860.89774967683</v>
      </c>
      <c r="J157" s="150">
        <f t="shared" si="75"/>
        <v>0</v>
      </c>
      <c r="K157" s="150">
        <f t="shared" si="75"/>
        <v>0</v>
      </c>
      <c r="L157" s="150">
        <f t="shared" si="75"/>
        <v>4063183.8017566809</v>
      </c>
      <c r="M157" s="150">
        <f t="shared" si="75"/>
        <v>4734958.8597396705</v>
      </c>
      <c r="N157" s="150">
        <f t="shared" si="75"/>
        <v>2173053.7863467992</v>
      </c>
      <c r="O157" s="150">
        <f t="shared" si="75"/>
        <v>15488342.027089283</v>
      </c>
      <c r="P157" s="145">
        <f t="shared" si="63"/>
        <v>47162558.30130972</v>
      </c>
      <c r="Q157" s="68"/>
    </row>
    <row r="158" spans="2:17" s="8" customFormat="1" x14ac:dyDescent="0.2">
      <c r="B158" s="8" t="s">
        <v>293</v>
      </c>
      <c r="C158" s="144"/>
      <c r="D158" s="60">
        <f t="shared" ref="D158:P158" si="76">IFERROR(D157/D32,0)</f>
        <v>9.9344849427547954E-2</v>
      </c>
      <c r="E158" s="60">
        <f t="shared" si="76"/>
        <v>1.5648137608783363E-2</v>
      </c>
      <c r="F158" s="60">
        <f t="shared" si="76"/>
        <v>-7.2618176201721743E-2</v>
      </c>
      <c r="G158" s="60">
        <f t="shared" si="76"/>
        <v>6.621309746239247E-2</v>
      </c>
      <c r="H158" s="60">
        <f t="shared" si="76"/>
        <v>8.7303199111780694E-2</v>
      </c>
      <c r="I158" s="60">
        <f t="shared" si="76"/>
        <v>1.2582645543518758E-2</v>
      </c>
      <c r="J158" s="60">
        <f t="shared" si="76"/>
        <v>0</v>
      </c>
      <c r="K158" s="60">
        <f t="shared" si="76"/>
        <v>0</v>
      </c>
      <c r="L158" s="60">
        <f t="shared" si="76"/>
        <v>8.8344212098987615E-2</v>
      </c>
      <c r="M158" s="60">
        <f t="shared" si="76"/>
        <v>5.8854745228900426E-2</v>
      </c>
      <c r="N158" s="60">
        <f t="shared" si="76"/>
        <v>1.7498400838505637E-2</v>
      </c>
      <c r="O158" s="60">
        <f t="shared" si="76"/>
        <v>0.10230476156455084</v>
      </c>
      <c r="P158" s="60">
        <f t="shared" si="76"/>
        <v>4.1999269026874349E-2</v>
      </c>
      <c r="Q158" s="158"/>
    </row>
    <row r="159" spans="2:17" s="8" customFormat="1" x14ac:dyDescent="0.2">
      <c r="C159" s="144"/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</row>
    <row r="160" spans="2:17" x14ac:dyDescent="0.2">
      <c r="B160" s="71" t="s">
        <v>298</v>
      </c>
      <c r="C160" s="148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2:17" x14ac:dyDescent="0.2">
      <c r="B161" s="117" t="s">
        <v>299</v>
      </c>
      <c r="C161" s="148"/>
      <c r="D161" s="118">
        <v>0</v>
      </c>
      <c r="E161" s="118">
        <v>0</v>
      </c>
      <c r="F161" s="118">
        <v>0</v>
      </c>
      <c r="G161" s="118">
        <v>0</v>
      </c>
      <c r="H161" s="118">
        <v>0</v>
      </c>
      <c r="I161" s="118">
        <v>0</v>
      </c>
      <c r="J161" s="118">
        <v>0</v>
      </c>
      <c r="K161" s="118">
        <v>0</v>
      </c>
      <c r="L161" s="118">
        <v>0</v>
      </c>
      <c r="M161" s="118">
        <v>0</v>
      </c>
      <c r="N161" s="118">
        <v>0</v>
      </c>
      <c r="O161" s="118">
        <v>0</v>
      </c>
      <c r="P161" s="151">
        <f t="shared" ref="P161:P175" si="77">SUM(D161:O161)</f>
        <v>0</v>
      </c>
      <c r="Q161" s="151"/>
    </row>
    <row r="162" spans="2:17" x14ac:dyDescent="0.2">
      <c r="B162" s="117" t="s">
        <v>300</v>
      </c>
      <c r="C162" s="148"/>
      <c r="D162" s="118">
        <f t="shared" ref="D162:O162" si="78">D145</f>
        <v>10590567.93005389</v>
      </c>
      <c r="E162" s="118">
        <f t="shared" si="78"/>
        <v>1777562.4965376109</v>
      </c>
      <c r="F162" s="118">
        <f t="shared" si="78"/>
        <v>-6012217.4632752687</v>
      </c>
      <c r="G162" s="118">
        <f t="shared" si="78"/>
        <v>4019770.1502292752</v>
      </c>
      <c r="H162" s="118">
        <f t="shared" si="78"/>
        <v>3745082.3723646626</v>
      </c>
      <c r="I162" s="118">
        <f t="shared" si="78"/>
        <v>580278.57302729785</v>
      </c>
      <c r="J162" s="118">
        <f t="shared" si="78"/>
        <v>0</v>
      </c>
      <c r="K162" s="118">
        <f t="shared" si="78"/>
        <v>0</v>
      </c>
      <c r="L162" s="118">
        <f t="shared" si="78"/>
        <v>3506554.2022907827</v>
      </c>
      <c r="M162" s="118">
        <f t="shared" si="78"/>
        <v>3438710.8828107715</v>
      </c>
      <c r="N162" s="118">
        <f t="shared" si="78"/>
        <v>1555921.7516186982</v>
      </c>
      <c r="O162" s="118">
        <f t="shared" si="78"/>
        <v>10897774.147868544</v>
      </c>
      <c r="P162" s="151">
        <f t="shared" si="77"/>
        <v>34100005.043526262</v>
      </c>
      <c r="Q162" s="151"/>
    </row>
    <row r="163" spans="2:17" x14ac:dyDescent="0.2">
      <c r="B163" s="121" t="s">
        <v>301</v>
      </c>
      <c r="C163" s="148"/>
      <c r="D163" s="118">
        <f t="shared" ref="D163:O163" si="79">D146+D154</f>
        <v>3022585.7410563645</v>
      </c>
      <c r="E163" s="118">
        <f t="shared" si="79"/>
        <v>493562.70328081446</v>
      </c>
      <c r="F163" s="118">
        <f t="shared" si="79"/>
        <v>-1665854.3157173782</v>
      </c>
      <c r="G163" s="118">
        <f t="shared" si="79"/>
        <v>1001948.1661025186</v>
      </c>
      <c r="H163" s="118">
        <f t="shared" si="79"/>
        <v>785990.32432093122</v>
      </c>
      <c r="I163" s="118">
        <f t="shared" si="79"/>
        <v>0</v>
      </c>
      <c r="J163" s="118">
        <f t="shared" si="79"/>
        <v>0</v>
      </c>
      <c r="K163" s="118">
        <f t="shared" si="79"/>
        <v>0</v>
      </c>
      <c r="L163" s="118">
        <f t="shared" si="79"/>
        <v>49784.12211783306</v>
      </c>
      <c r="M163" s="118">
        <f t="shared" si="79"/>
        <v>737913.12734789972</v>
      </c>
      <c r="N163" s="118">
        <f t="shared" si="79"/>
        <v>396474.23289946257</v>
      </c>
      <c r="O163" s="118">
        <f t="shared" si="79"/>
        <v>3049949.0101174111</v>
      </c>
      <c r="P163" s="151">
        <f t="shared" si="77"/>
        <v>7872353.1115258578</v>
      </c>
      <c r="Q163" s="151"/>
    </row>
    <row r="164" spans="2:17" x14ac:dyDescent="0.2">
      <c r="B164" s="117" t="s">
        <v>302</v>
      </c>
      <c r="C164" s="148"/>
      <c r="D164" s="118">
        <f t="shared" ref="D164:O164" si="80">D147+D155</f>
        <v>620102.67622250691</v>
      </c>
      <c r="E164" s="118">
        <f t="shared" si="80"/>
        <v>102838.46198616142</v>
      </c>
      <c r="F164" s="118">
        <f t="shared" si="80"/>
        <v>-381994.42087206221</v>
      </c>
      <c r="G164" s="118">
        <f t="shared" si="80"/>
        <v>268975.02407630696</v>
      </c>
      <c r="H164" s="118">
        <f t="shared" si="80"/>
        <v>303264.0696817328</v>
      </c>
      <c r="I164" s="118">
        <f t="shared" si="80"/>
        <v>45188.047391816042</v>
      </c>
      <c r="J164" s="118">
        <f t="shared" si="80"/>
        <v>0</v>
      </c>
      <c r="K164" s="118">
        <f t="shared" si="80"/>
        <v>0</v>
      </c>
      <c r="L164" s="118">
        <f t="shared" si="80"/>
        <v>223001.05130639917</v>
      </c>
      <c r="M164" s="118">
        <f t="shared" si="80"/>
        <v>210418.4879032498</v>
      </c>
      <c r="N164" s="118">
        <f t="shared" si="80"/>
        <v>85432.694244788843</v>
      </c>
      <c r="O164" s="118">
        <f t="shared" si="80"/>
        <v>595295.25988346734</v>
      </c>
      <c r="P164" s="151">
        <f t="shared" si="77"/>
        <v>2072521.3518243672</v>
      </c>
      <c r="Q164" s="151"/>
    </row>
    <row r="165" spans="2:17" x14ac:dyDescent="0.2">
      <c r="B165" s="117" t="s">
        <v>303</v>
      </c>
      <c r="C165" s="148"/>
      <c r="D165" s="118">
        <v>0</v>
      </c>
      <c r="E165" s="118">
        <v>0</v>
      </c>
      <c r="F165" s="118">
        <v>0</v>
      </c>
      <c r="G165" s="118">
        <v>0</v>
      </c>
      <c r="H165" s="118">
        <v>0</v>
      </c>
      <c r="I165" s="118">
        <v>0</v>
      </c>
      <c r="J165" s="118">
        <v>0</v>
      </c>
      <c r="K165" s="118">
        <v>0</v>
      </c>
      <c r="L165" s="118">
        <v>0</v>
      </c>
      <c r="M165" s="118">
        <v>0</v>
      </c>
      <c r="N165" s="118">
        <v>0</v>
      </c>
      <c r="O165" s="118">
        <v>0</v>
      </c>
      <c r="P165" s="151">
        <f t="shared" si="77"/>
        <v>0</v>
      </c>
      <c r="Q165" s="151"/>
    </row>
    <row r="166" spans="2:17" x14ac:dyDescent="0.2">
      <c r="B166" s="117" t="s">
        <v>304</v>
      </c>
      <c r="C166" s="148"/>
      <c r="D166" s="118">
        <v>0</v>
      </c>
      <c r="E166" s="118">
        <v>0</v>
      </c>
      <c r="F166" s="118">
        <v>0</v>
      </c>
      <c r="G166" s="118">
        <v>0</v>
      </c>
      <c r="H166" s="118">
        <v>0</v>
      </c>
      <c r="I166" s="118">
        <v>0</v>
      </c>
      <c r="J166" s="118">
        <v>0</v>
      </c>
      <c r="K166" s="118">
        <v>0</v>
      </c>
      <c r="L166" s="118">
        <v>0</v>
      </c>
      <c r="M166" s="118">
        <v>0</v>
      </c>
      <c r="N166" s="118">
        <v>0</v>
      </c>
      <c r="O166" s="118">
        <v>0</v>
      </c>
      <c r="P166" s="151">
        <f t="shared" si="77"/>
        <v>0</v>
      </c>
      <c r="Q166" s="151"/>
    </row>
    <row r="167" spans="2:17" x14ac:dyDescent="0.2">
      <c r="B167" s="117" t="s">
        <v>305</v>
      </c>
      <c r="C167" s="148"/>
      <c r="D167" s="118">
        <f t="shared" ref="D167:O167" si="81">D151</f>
        <v>117781.72002399946</v>
      </c>
      <c r="E167" s="118">
        <f t="shared" si="81"/>
        <v>19057.24965542811</v>
      </c>
      <c r="F167" s="118">
        <f t="shared" si="81"/>
        <v>-73966.251704166643</v>
      </c>
      <c r="G167" s="118">
        <f t="shared" si="81"/>
        <v>44031.198709332617</v>
      </c>
      <c r="H167" s="118">
        <f t="shared" si="81"/>
        <v>0</v>
      </c>
      <c r="I167" s="118">
        <f t="shared" si="81"/>
        <v>0</v>
      </c>
      <c r="J167" s="118">
        <f t="shared" si="81"/>
        <v>0</v>
      </c>
      <c r="K167" s="118">
        <f t="shared" si="81"/>
        <v>0</v>
      </c>
      <c r="L167" s="118">
        <f t="shared" si="81"/>
        <v>0</v>
      </c>
      <c r="M167" s="118">
        <f t="shared" si="81"/>
        <v>42581.676347999834</v>
      </c>
      <c r="N167" s="118">
        <f t="shared" si="81"/>
        <v>17546.36315104086</v>
      </c>
      <c r="O167" s="118">
        <f t="shared" si="81"/>
        <v>128703.08235069411</v>
      </c>
      <c r="P167" s="151">
        <f t="shared" si="77"/>
        <v>295735.03853432834</v>
      </c>
      <c r="Q167" s="151"/>
    </row>
    <row r="168" spans="2:17" x14ac:dyDescent="0.2">
      <c r="B168" s="117" t="s">
        <v>306</v>
      </c>
      <c r="C168" s="148"/>
      <c r="D168" s="118">
        <f t="shared" ref="D168:O168" si="82">D152</f>
        <v>77109.583599788137</v>
      </c>
      <c r="E168" s="118">
        <f t="shared" si="82"/>
        <v>12819.040599699714</v>
      </c>
      <c r="F168" s="118">
        <f t="shared" si="82"/>
        <v>-48176.834912974969</v>
      </c>
      <c r="G168" s="118">
        <f t="shared" si="82"/>
        <v>37434.809414732736</v>
      </c>
      <c r="H168" s="118">
        <f t="shared" si="82"/>
        <v>41804.401253333228</v>
      </c>
      <c r="I168" s="118">
        <f t="shared" si="82"/>
        <v>6626.8973267443362</v>
      </c>
      <c r="J168" s="118">
        <f t="shared" si="82"/>
        <v>0</v>
      </c>
      <c r="K168" s="118">
        <f t="shared" si="82"/>
        <v>0</v>
      </c>
      <c r="L168" s="118">
        <f t="shared" si="82"/>
        <v>30272.833641666541</v>
      </c>
      <c r="M168" s="118">
        <f t="shared" si="82"/>
        <v>27893.257658999995</v>
      </c>
      <c r="N168" s="118">
        <f t="shared" si="82"/>
        <v>10414.07563124958</v>
      </c>
      <c r="O168" s="118">
        <f t="shared" si="82"/>
        <v>70074.241184583167</v>
      </c>
      <c r="P168" s="151">
        <f t="shared" si="77"/>
        <v>266272.30539782246</v>
      </c>
      <c r="Q168" s="151"/>
    </row>
    <row r="169" spans="2:17" x14ac:dyDescent="0.2">
      <c r="B169" s="117" t="s">
        <v>307</v>
      </c>
      <c r="C169" s="148"/>
      <c r="D169" s="118">
        <f t="shared" ref="D169:O169" si="83">D153</f>
        <v>180475.70666110981</v>
      </c>
      <c r="E169" s="118">
        <f t="shared" si="83"/>
        <v>29950.929216071032</v>
      </c>
      <c r="F169" s="118">
        <f t="shared" si="83"/>
        <v>-117979.33471874997</v>
      </c>
      <c r="G169" s="118">
        <f t="shared" si="83"/>
        <v>93044.329655554146</v>
      </c>
      <c r="H169" s="118">
        <f t="shared" si="83"/>
        <v>93608.240266666282</v>
      </c>
      <c r="I169" s="118">
        <f t="shared" si="83"/>
        <v>15118.148723611142</v>
      </c>
      <c r="J169" s="118">
        <f t="shared" si="83"/>
        <v>0</v>
      </c>
      <c r="K169" s="118">
        <f t="shared" si="83"/>
        <v>0</v>
      </c>
      <c r="L169" s="118">
        <f t="shared" si="83"/>
        <v>64452.058416666347</v>
      </c>
      <c r="M169" s="118">
        <f t="shared" si="83"/>
        <v>66538.202962500043</v>
      </c>
      <c r="N169" s="118">
        <f t="shared" si="83"/>
        <v>26257.710156249348</v>
      </c>
      <c r="O169" s="118">
        <f t="shared" si="83"/>
        <v>186907.25175069395</v>
      </c>
      <c r="P169" s="151">
        <f t="shared" si="77"/>
        <v>638373.24309037207</v>
      </c>
      <c r="Q169" s="151"/>
    </row>
    <row r="170" spans="2:17" x14ac:dyDescent="0.2">
      <c r="B170" s="7" t="s">
        <v>308</v>
      </c>
      <c r="C170" s="148"/>
      <c r="D170" s="118">
        <v>0</v>
      </c>
      <c r="E170" s="118">
        <v>0</v>
      </c>
      <c r="F170" s="118">
        <v>0</v>
      </c>
      <c r="G170" s="118">
        <v>0</v>
      </c>
      <c r="H170" s="118">
        <v>0</v>
      </c>
      <c r="I170" s="118">
        <v>0</v>
      </c>
      <c r="J170" s="118">
        <v>0</v>
      </c>
      <c r="K170" s="118">
        <v>0</v>
      </c>
      <c r="L170" s="118">
        <v>0</v>
      </c>
      <c r="M170" s="118">
        <v>0</v>
      </c>
      <c r="N170" s="118">
        <v>0</v>
      </c>
      <c r="O170" s="118">
        <v>0</v>
      </c>
      <c r="P170" s="151">
        <f t="shared" si="77"/>
        <v>0</v>
      </c>
      <c r="Q170" s="151"/>
    </row>
    <row r="171" spans="2:17" x14ac:dyDescent="0.2">
      <c r="B171" s="7" t="s">
        <v>309</v>
      </c>
      <c r="C171" s="148"/>
      <c r="D171" s="118">
        <f t="shared" ref="D171:O171" si="84">D148</f>
        <v>48072.489305066178</v>
      </c>
      <c r="E171" s="118">
        <f t="shared" si="84"/>
        <v>6726.5731967366301</v>
      </c>
      <c r="F171" s="118">
        <f t="shared" si="84"/>
        <v>-28862.445776456909</v>
      </c>
      <c r="G171" s="118">
        <f t="shared" si="84"/>
        <v>13905.929689110955</v>
      </c>
      <c r="H171" s="118">
        <f t="shared" si="84"/>
        <v>0</v>
      </c>
      <c r="I171" s="118">
        <f t="shared" si="84"/>
        <v>0</v>
      </c>
      <c r="J171" s="118">
        <f t="shared" si="84"/>
        <v>0</v>
      </c>
      <c r="K171" s="118">
        <f t="shared" si="84"/>
        <v>0</v>
      </c>
      <c r="L171" s="118">
        <f t="shared" si="84"/>
        <v>0</v>
      </c>
      <c r="M171" s="118">
        <f t="shared" si="84"/>
        <v>16708.192845750134</v>
      </c>
      <c r="N171" s="118">
        <f t="shared" si="84"/>
        <v>6016.6063015621621</v>
      </c>
      <c r="O171" s="118">
        <f t="shared" si="84"/>
        <v>45191.776572945528</v>
      </c>
      <c r="P171" s="151">
        <f t="shared" si="77"/>
        <v>107759.12213471468</v>
      </c>
      <c r="Q171" s="151"/>
    </row>
    <row r="172" spans="2:17" x14ac:dyDescent="0.2">
      <c r="B172" s="7" t="s">
        <v>310</v>
      </c>
      <c r="C172" s="148"/>
      <c r="D172" s="118">
        <f t="shared" ref="D172:O172" si="85">D149</f>
        <v>61174.667506666156</v>
      </c>
      <c r="E172" s="118">
        <f t="shared" si="85"/>
        <v>7127.1147295474075</v>
      </c>
      <c r="F172" s="118">
        <f t="shared" si="85"/>
        <v>-35722.976734791591</v>
      </c>
      <c r="G172" s="118">
        <f t="shared" si="85"/>
        <v>21950.290027332958</v>
      </c>
      <c r="H172" s="118">
        <f t="shared" si="85"/>
        <v>33550.950460444437</v>
      </c>
      <c r="I172" s="118">
        <f t="shared" si="85"/>
        <v>7498.4616385414265</v>
      </c>
      <c r="J172" s="118">
        <f t="shared" si="85"/>
        <v>0</v>
      </c>
      <c r="K172" s="118">
        <f t="shared" si="85"/>
        <v>0</v>
      </c>
      <c r="L172" s="118">
        <f t="shared" si="85"/>
        <v>0</v>
      </c>
      <c r="M172" s="118">
        <f t="shared" si="85"/>
        <v>21196.066499999957</v>
      </c>
      <c r="N172" s="118">
        <f t="shared" si="85"/>
        <v>7975.7854166664183</v>
      </c>
      <c r="O172" s="118">
        <f t="shared" si="85"/>
        <v>60372.734600110911</v>
      </c>
      <c r="P172" s="151">
        <f t="shared" si="77"/>
        <v>185123.09414451808</v>
      </c>
      <c r="Q172" s="151"/>
    </row>
    <row r="173" spans="2:17" x14ac:dyDescent="0.2">
      <c r="B173" s="8" t="s">
        <v>311</v>
      </c>
      <c r="C173" s="148"/>
      <c r="D173" s="118">
        <v>0</v>
      </c>
      <c r="E173" s="118">
        <v>0</v>
      </c>
      <c r="F173" s="118">
        <v>0</v>
      </c>
      <c r="G173" s="118">
        <v>0</v>
      </c>
      <c r="H173" s="118">
        <v>0</v>
      </c>
      <c r="I173" s="118">
        <v>0</v>
      </c>
      <c r="J173" s="118">
        <v>0</v>
      </c>
      <c r="K173" s="118">
        <v>0</v>
      </c>
      <c r="L173" s="118">
        <v>0</v>
      </c>
      <c r="M173" s="118">
        <v>0</v>
      </c>
      <c r="N173" s="118">
        <v>0</v>
      </c>
      <c r="O173" s="118">
        <v>0</v>
      </c>
      <c r="P173" s="151">
        <f t="shared" si="77"/>
        <v>0</v>
      </c>
      <c r="Q173" s="151"/>
    </row>
    <row r="174" spans="2:17" x14ac:dyDescent="0.2">
      <c r="B174" s="7" t="s">
        <v>312</v>
      </c>
      <c r="C174" s="148"/>
      <c r="D174" s="118">
        <f t="shared" ref="D174:O174" si="86">D150</f>
        <v>126523.13823666563</v>
      </c>
      <c r="E174" s="118">
        <f t="shared" si="86"/>
        <v>21860.231308213435</v>
      </c>
      <c r="F174" s="118">
        <f t="shared" si="86"/>
        <v>-75443.402999166574</v>
      </c>
      <c r="G174" s="118">
        <f t="shared" si="86"/>
        <v>54175.283593332628</v>
      </c>
      <c r="H174" s="118">
        <f t="shared" si="86"/>
        <v>49952.126986666583</v>
      </c>
      <c r="I174" s="118">
        <f t="shared" si="86"/>
        <v>0</v>
      </c>
      <c r="J174" s="118">
        <f t="shared" si="86"/>
        <v>0</v>
      </c>
      <c r="K174" s="118">
        <f t="shared" si="86"/>
        <v>0</v>
      </c>
      <c r="L174" s="118">
        <f t="shared" si="86"/>
        <v>45290.827349999803</v>
      </c>
      <c r="M174" s="118">
        <f t="shared" si="86"/>
        <v>43840.072462500073</v>
      </c>
      <c r="N174" s="118">
        <f t="shared" si="86"/>
        <v>17473.066406249302</v>
      </c>
      <c r="O174" s="118">
        <f t="shared" si="86"/>
        <v>131887.89781916607</v>
      </c>
      <c r="P174" s="151">
        <f t="shared" si="77"/>
        <v>415559.24116362695</v>
      </c>
      <c r="Q174" s="151"/>
    </row>
    <row r="175" spans="2:17" s="57" customFormat="1" x14ac:dyDescent="0.2">
      <c r="B175" s="114" t="s">
        <v>127</v>
      </c>
      <c r="C175" s="159"/>
      <c r="D175" s="118">
        <f t="shared" ref="D175:O175" si="87">D156</f>
        <v>330012.71816666424</v>
      </c>
      <c r="E175" s="118">
        <f t="shared" si="87"/>
        <v>59847.943634522147</v>
      </c>
      <c r="F175" s="118">
        <f t="shared" si="87"/>
        <v>-210191.95464861093</v>
      </c>
      <c r="G175" s="118">
        <f t="shared" si="87"/>
        <v>162656.77951110899</v>
      </c>
      <c r="H175" s="118">
        <f t="shared" si="87"/>
        <v>177664.76866666647</v>
      </c>
      <c r="I175" s="118">
        <f t="shared" si="87"/>
        <v>44150.769641665975</v>
      </c>
      <c r="J175" s="118">
        <f t="shared" si="87"/>
        <v>0</v>
      </c>
      <c r="K175" s="118">
        <f t="shared" si="87"/>
        <v>0</v>
      </c>
      <c r="L175" s="118">
        <f t="shared" si="87"/>
        <v>143828.70663333288</v>
      </c>
      <c r="M175" s="118">
        <f t="shared" si="87"/>
        <v>129158.89289999986</v>
      </c>
      <c r="N175" s="118">
        <f t="shared" si="87"/>
        <v>49541.50052083144</v>
      </c>
      <c r="O175" s="118">
        <f t="shared" si="87"/>
        <v>322186.62494166614</v>
      </c>
      <c r="P175" s="118">
        <f t="shared" si="77"/>
        <v>1208856.7499678473</v>
      </c>
      <c r="Q175" s="118"/>
    </row>
    <row r="176" spans="2:17" x14ac:dyDescent="0.2">
      <c r="B176" s="117" t="s">
        <v>292</v>
      </c>
      <c r="C176" s="148"/>
      <c r="D176" s="157">
        <f t="shared" ref="D176:P176" si="88">SUM(D161:D175)</f>
        <v>15174406.370832721</v>
      </c>
      <c r="E176" s="157">
        <f t="shared" si="88"/>
        <v>2531352.7441448052</v>
      </c>
      <c r="F176" s="157">
        <f t="shared" si="88"/>
        <v>-8650409.401359627</v>
      </c>
      <c r="G176" s="157">
        <f t="shared" si="88"/>
        <v>5717891.9610086065</v>
      </c>
      <c r="H176" s="157">
        <f t="shared" si="88"/>
        <v>5230917.2540011033</v>
      </c>
      <c r="I176" s="157">
        <f t="shared" si="88"/>
        <v>698860.89774967683</v>
      </c>
      <c r="J176" s="157">
        <f t="shared" si="88"/>
        <v>0</v>
      </c>
      <c r="K176" s="157">
        <f t="shared" si="88"/>
        <v>0</v>
      </c>
      <c r="L176" s="157">
        <f t="shared" si="88"/>
        <v>4063183.8017566809</v>
      </c>
      <c r="M176" s="157">
        <f t="shared" si="88"/>
        <v>4734958.8597396705</v>
      </c>
      <c r="N176" s="157">
        <f t="shared" si="88"/>
        <v>2173053.7863467983</v>
      </c>
      <c r="O176" s="157">
        <f t="shared" si="88"/>
        <v>15488342.027089283</v>
      </c>
      <c r="P176" s="157">
        <f t="shared" si="88"/>
        <v>47162558.301309712</v>
      </c>
      <c r="Q176" s="118"/>
    </row>
    <row r="177" spans="2:17" x14ac:dyDescent="0.2">
      <c r="B177" s="160" t="s">
        <v>211</v>
      </c>
      <c r="C177" s="161"/>
      <c r="D177" s="162">
        <f t="shared" ref="D177:P177" si="89">D157-D176</f>
        <v>0</v>
      </c>
      <c r="E177" s="162">
        <f t="shared" si="89"/>
        <v>0</v>
      </c>
      <c r="F177" s="162">
        <f t="shared" si="89"/>
        <v>0</v>
      </c>
      <c r="G177" s="162">
        <f t="shared" si="89"/>
        <v>0</v>
      </c>
      <c r="H177" s="162">
        <f t="shared" si="89"/>
        <v>0</v>
      </c>
      <c r="I177" s="162">
        <f t="shared" si="89"/>
        <v>0</v>
      </c>
      <c r="J177" s="162">
        <f t="shared" si="89"/>
        <v>0</v>
      </c>
      <c r="K177" s="162">
        <f t="shared" si="89"/>
        <v>0</v>
      </c>
      <c r="L177" s="162">
        <f t="shared" si="89"/>
        <v>0</v>
      </c>
      <c r="M177" s="162">
        <f t="shared" si="89"/>
        <v>0</v>
      </c>
      <c r="N177" s="162">
        <f t="shared" si="89"/>
        <v>0</v>
      </c>
      <c r="O177" s="162">
        <f t="shared" si="89"/>
        <v>0</v>
      </c>
      <c r="P177" s="162">
        <f t="shared" si="89"/>
        <v>0</v>
      </c>
      <c r="Q177" s="118"/>
    </row>
    <row r="178" spans="2:17" x14ac:dyDescent="0.2">
      <c r="C178" s="14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</row>
    <row r="179" spans="2:17" x14ac:dyDescent="0.2">
      <c r="B179" s="71" t="s">
        <v>313</v>
      </c>
      <c r="C179" s="148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</row>
    <row r="180" spans="2:17" x14ac:dyDescent="0.2">
      <c r="B180" s="117" t="s">
        <v>299</v>
      </c>
      <c r="C180" s="148"/>
      <c r="D180" s="118">
        <f t="shared" ref="D180:O180" si="90">D128</f>
        <v>741</v>
      </c>
      <c r="E180" s="118">
        <f t="shared" si="90"/>
        <v>741</v>
      </c>
      <c r="F180" s="118">
        <f t="shared" si="90"/>
        <v>779</v>
      </c>
      <c r="G180" s="118">
        <f t="shared" si="90"/>
        <v>712.5</v>
      </c>
      <c r="H180" s="118">
        <f t="shared" si="90"/>
        <v>741</v>
      </c>
      <c r="I180" s="118">
        <f t="shared" si="90"/>
        <v>741</v>
      </c>
      <c r="J180" s="118">
        <f t="shared" si="90"/>
        <v>741</v>
      </c>
      <c r="K180" s="118">
        <f t="shared" si="90"/>
        <v>741</v>
      </c>
      <c r="L180" s="118">
        <f t="shared" si="90"/>
        <v>741</v>
      </c>
      <c r="M180" s="118">
        <f t="shared" si="90"/>
        <v>741</v>
      </c>
      <c r="N180" s="118">
        <f t="shared" si="90"/>
        <v>842.65050000000008</v>
      </c>
      <c r="O180" s="118">
        <f t="shared" si="90"/>
        <v>507.61649999999997</v>
      </c>
      <c r="P180" s="151">
        <f t="shared" ref="P180:P194" si="91">SUM(D180:O180)</f>
        <v>8769.7669999999998</v>
      </c>
      <c r="Q180" s="151"/>
    </row>
    <row r="181" spans="2:17" x14ac:dyDescent="0.2">
      <c r="B181" s="117" t="s">
        <v>300</v>
      </c>
      <c r="C181" s="148"/>
      <c r="D181" s="118">
        <f t="shared" ref="D181:O181" si="92">D114+D129</f>
        <v>98366656.218251988</v>
      </c>
      <c r="E181" s="118">
        <f t="shared" si="92"/>
        <v>83905290.089284554</v>
      </c>
      <c r="F181" s="118">
        <f t="shared" si="92"/>
        <v>74001608.003003284</v>
      </c>
      <c r="G181" s="118">
        <f t="shared" si="92"/>
        <v>51356910.23842974</v>
      </c>
      <c r="H181" s="118">
        <f t="shared" si="92"/>
        <v>31859358.209130302</v>
      </c>
      <c r="I181" s="118">
        <f t="shared" si="92"/>
        <v>22709777.726032794</v>
      </c>
      <c r="J181" s="118">
        <f t="shared" si="92"/>
        <v>15739605.101357549</v>
      </c>
      <c r="K181" s="118">
        <f t="shared" si="92"/>
        <v>13893499.841616524</v>
      </c>
      <c r="L181" s="118">
        <f t="shared" si="92"/>
        <v>19643196.599634934</v>
      </c>
      <c r="M181" s="118">
        <f t="shared" si="92"/>
        <v>44460000.226613015</v>
      </c>
      <c r="N181" s="118">
        <f t="shared" si="92"/>
        <v>73475533.161373511</v>
      </c>
      <c r="O181" s="118">
        <f t="shared" si="92"/>
        <v>97490054.505318642</v>
      </c>
      <c r="P181" s="151">
        <f t="shared" si="91"/>
        <v>626901489.92004681</v>
      </c>
      <c r="Q181" s="151"/>
    </row>
    <row r="182" spans="2:17" x14ac:dyDescent="0.2">
      <c r="B182" s="121" t="s">
        <v>301</v>
      </c>
      <c r="C182" s="148"/>
      <c r="D182" s="118">
        <f t="shared" ref="D182:O182" si="93">D115+D123</f>
        <v>35554315.117510766</v>
      </c>
      <c r="E182" s="118">
        <f t="shared" si="93"/>
        <v>29484220.652365305</v>
      </c>
      <c r="F182" s="118">
        <f t="shared" si="93"/>
        <v>25592403.484055266</v>
      </c>
      <c r="G182" s="118">
        <f t="shared" si="93"/>
        <v>16768718.416905139</v>
      </c>
      <c r="H182" s="118">
        <f t="shared" si="93"/>
        <v>10750093.157336337</v>
      </c>
      <c r="I182" s="118">
        <f t="shared" si="93"/>
        <v>9038759.645141134</v>
      </c>
      <c r="J182" s="118">
        <f t="shared" si="93"/>
        <v>7271062.9865503218</v>
      </c>
      <c r="K182" s="118">
        <f t="shared" si="93"/>
        <v>6433118.452956751</v>
      </c>
      <c r="L182" s="118">
        <f t="shared" si="93"/>
        <v>7614799.7642001845</v>
      </c>
      <c r="M182" s="118">
        <f t="shared" si="93"/>
        <v>14794269.046495996</v>
      </c>
      <c r="N182" s="118">
        <f t="shared" si="93"/>
        <v>24745818.880919915</v>
      </c>
      <c r="O182" s="118">
        <f t="shared" si="93"/>
        <v>33084961.583432212</v>
      </c>
      <c r="P182" s="151">
        <f t="shared" si="91"/>
        <v>221132541.18786937</v>
      </c>
      <c r="Q182" s="151"/>
    </row>
    <row r="183" spans="2:17" x14ac:dyDescent="0.2">
      <c r="B183" s="117" t="s">
        <v>302</v>
      </c>
      <c r="C183" s="148"/>
      <c r="D183" s="118">
        <f t="shared" ref="D183:O183" si="94">D116+D124</f>
        <v>8739074.6079213582</v>
      </c>
      <c r="E183" s="118">
        <f t="shared" si="94"/>
        <v>7720818.8228940461</v>
      </c>
      <c r="F183" s="118">
        <f t="shared" si="94"/>
        <v>6741132.9975421149</v>
      </c>
      <c r="G183" s="118">
        <f t="shared" si="94"/>
        <v>4653336.8634309974</v>
      </c>
      <c r="H183" s="118">
        <f t="shared" si="94"/>
        <v>3398691.9626039686</v>
      </c>
      <c r="I183" s="118">
        <f t="shared" si="94"/>
        <v>2944737.5592681514</v>
      </c>
      <c r="J183" s="118">
        <f t="shared" si="94"/>
        <v>2989280.9183105393</v>
      </c>
      <c r="K183" s="118">
        <f t="shared" si="94"/>
        <v>2228790.0150841475</v>
      </c>
      <c r="L183" s="118">
        <f t="shared" si="94"/>
        <v>2914509.2010542927</v>
      </c>
      <c r="M183" s="118">
        <f t="shared" si="94"/>
        <v>4829272.4172240999</v>
      </c>
      <c r="N183" s="118">
        <f t="shared" si="94"/>
        <v>6257215.6317046257</v>
      </c>
      <c r="O183" s="118">
        <f t="shared" si="94"/>
        <v>7952530.231849445</v>
      </c>
      <c r="P183" s="151">
        <f t="shared" si="91"/>
        <v>61369391.228887789</v>
      </c>
      <c r="Q183" s="151"/>
    </row>
    <row r="184" spans="2:17" x14ac:dyDescent="0.2">
      <c r="B184" s="117" t="s">
        <v>303</v>
      </c>
      <c r="C184" s="148"/>
      <c r="D184" s="118">
        <f t="shared" ref="D184:O184" si="95">D130</f>
        <v>0</v>
      </c>
      <c r="E184" s="118">
        <f t="shared" si="95"/>
        <v>0</v>
      </c>
      <c r="F184" s="118">
        <f t="shared" si="95"/>
        <v>0</v>
      </c>
      <c r="G184" s="118">
        <f t="shared" si="95"/>
        <v>0</v>
      </c>
      <c r="H184" s="118">
        <f t="shared" si="95"/>
        <v>0</v>
      </c>
      <c r="I184" s="118">
        <f t="shared" si="95"/>
        <v>0</v>
      </c>
      <c r="J184" s="118">
        <f t="shared" si="95"/>
        <v>0</v>
      </c>
      <c r="K184" s="118">
        <f t="shared" si="95"/>
        <v>0</v>
      </c>
      <c r="L184" s="118">
        <f t="shared" si="95"/>
        <v>0</v>
      </c>
      <c r="M184" s="118">
        <f t="shared" si="95"/>
        <v>0</v>
      </c>
      <c r="N184" s="118">
        <f t="shared" si="95"/>
        <v>0</v>
      </c>
      <c r="O184" s="118">
        <f t="shared" si="95"/>
        <v>0</v>
      </c>
      <c r="P184" s="151">
        <f t="shared" si="91"/>
        <v>0</v>
      </c>
      <c r="Q184" s="151"/>
    </row>
    <row r="185" spans="2:17" x14ac:dyDescent="0.2">
      <c r="B185" s="117" t="s">
        <v>304</v>
      </c>
      <c r="C185" s="148"/>
      <c r="D185" s="118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51">
        <f t="shared" si="91"/>
        <v>0</v>
      </c>
      <c r="Q185" s="151"/>
    </row>
    <row r="186" spans="2:17" x14ac:dyDescent="0.2">
      <c r="B186" s="117" t="s">
        <v>305</v>
      </c>
      <c r="C186" s="148"/>
      <c r="D186" s="118">
        <f t="shared" ref="D186:O186" si="96">D120+D133</f>
        <v>2633063.9389722133</v>
      </c>
      <c r="E186" s="118">
        <f t="shared" si="96"/>
        <v>625734.62227199704</v>
      </c>
      <c r="F186" s="118">
        <f t="shared" si="96"/>
        <v>1378541.4095612855</v>
      </c>
      <c r="G186" s="118">
        <f t="shared" si="96"/>
        <v>1343539.0962007409</v>
      </c>
      <c r="H186" s="118">
        <f t="shared" si="96"/>
        <v>1325697.31738464</v>
      </c>
      <c r="I186" s="118">
        <f t="shared" si="96"/>
        <v>1822128.7983665529</v>
      </c>
      <c r="J186" s="118">
        <f t="shared" si="96"/>
        <v>840435.16140095994</v>
      </c>
      <c r="K186" s="118">
        <f t="shared" si="96"/>
        <v>940905.24081478699</v>
      </c>
      <c r="L186" s="118">
        <f t="shared" si="96"/>
        <v>2642089.1478141597</v>
      </c>
      <c r="M186" s="118">
        <f t="shared" si="96"/>
        <v>-87551.69946936029</v>
      </c>
      <c r="N186" s="118">
        <f t="shared" si="96"/>
        <v>1768243.6780966744</v>
      </c>
      <c r="O186" s="118">
        <f t="shared" si="96"/>
        <v>2972249.3261782764</v>
      </c>
      <c r="P186" s="151">
        <f t="shared" si="91"/>
        <v>18205076.037592929</v>
      </c>
      <c r="Q186" s="151"/>
    </row>
    <row r="187" spans="2:17" x14ac:dyDescent="0.2">
      <c r="B187" s="117" t="s">
        <v>306</v>
      </c>
      <c r="C187" s="148"/>
      <c r="D187" s="118">
        <f t="shared" ref="D187:O187" si="97">D121+D134</f>
        <v>1025780.8184889563</v>
      </c>
      <c r="E187" s="118">
        <f t="shared" si="97"/>
        <v>586117.26541935885</v>
      </c>
      <c r="F187" s="118">
        <f t="shared" si="97"/>
        <v>774490.41219140624</v>
      </c>
      <c r="G187" s="118">
        <f t="shared" si="97"/>
        <v>560300.14762078819</v>
      </c>
      <c r="H187" s="118">
        <f t="shared" si="97"/>
        <v>236815.6990744058</v>
      </c>
      <c r="I187" s="118">
        <f t="shared" si="97"/>
        <v>291745.19946457754</v>
      </c>
      <c r="J187" s="118">
        <f t="shared" si="97"/>
        <v>202935.32800987101</v>
      </c>
      <c r="K187" s="118">
        <f t="shared" si="97"/>
        <v>127443.3485143358</v>
      </c>
      <c r="L187" s="118">
        <f t="shared" si="97"/>
        <v>198103.81038844204</v>
      </c>
      <c r="M187" s="118">
        <f t="shared" si="97"/>
        <v>412190.50945005682</v>
      </c>
      <c r="N187" s="118">
        <f t="shared" si="97"/>
        <v>642484.25547517592</v>
      </c>
      <c r="O187" s="118">
        <f t="shared" si="97"/>
        <v>746055.94391037966</v>
      </c>
      <c r="P187" s="151">
        <f t="shared" si="91"/>
        <v>5804462.7380077541</v>
      </c>
      <c r="Q187" s="151"/>
    </row>
    <row r="188" spans="2:17" x14ac:dyDescent="0.2">
      <c r="B188" s="117" t="s">
        <v>307</v>
      </c>
      <c r="C188" s="148"/>
      <c r="D188" s="118">
        <f t="shared" ref="D188:O188" si="98">D122+D135</f>
        <v>2671151.3526611095</v>
      </c>
      <c r="E188" s="118">
        <f t="shared" si="98"/>
        <v>3673567.2602160717</v>
      </c>
      <c r="F188" s="118">
        <f t="shared" si="98"/>
        <v>668974.77228124999</v>
      </c>
      <c r="G188" s="118">
        <f t="shared" si="98"/>
        <v>1168386.0981555542</v>
      </c>
      <c r="H188" s="118">
        <f t="shared" si="98"/>
        <v>1996995.3525166661</v>
      </c>
      <c r="I188" s="118">
        <f t="shared" si="98"/>
        <v>3403960.028473611</v>
      </c>
      <c r="J188" s="118">
        <f t="shared" si="98"/>
        <v>204785.59449999995</v>
      </c>
      <c r="K188" s="118">
        <f t="shared" si="98"/>
        <v>2315404.6089999997</v>
      </c>
      <c r="L188" s="118">
        <f t="shared" si="98"/>
        <v>1019812.6919166662</v>
      </c>
      <c r="M188" s="118">
        <f t="shared" si="98"/>
        <v>1343359.1449625001</v>
      </c>
      <c r="N188" s="118">
        <f t="shared" si="98"/>
        <v>4079371.0411562496</v>
      </c>
      <c r="O188" s="118">
        <f t="shared" si="98"/>
        <v>-114369.95524930644</v>
      </c>
      <c r="P188" s="151">
        <f t="shared" si="91"/>
        <v>22431397.990590375</v>
      </c>
      <c r="Q188" s="151"/>
    </row>
    <row r="189" spans="2:17" x14ac:dyDescent="0.2">
      <c r="B189" s="7" t="s">
        <v>308</v>
      </c>
      <c r="C189" s="148"/>
      <c r="D189" s="118">
        <f t="shared" ref="D189:O189" si="99">D131</f>
        <v>4061.8100000000009</v>
      </c>
      <c r="E189" s="118">
        <f t="shared" si="99"/>
        <v>7479.44</v>
      </c>
      <c r="F189" s="118">
        <f t="shared" si="99"/>
        <v>436.00999999999931</v>
      </c>
      <c r="G189" s="118">
        <f t="shared" si="99"/>
        <v>8197.6499999999978</v>
      </c>
      <c r="H189" s="118">
        <f t="shared" si="99"/>
        <v>2010.3100000000009</v>
      </c>
      <c r="I189" s="118">
        <f t="shared" si="99"/>
        <v>2026.2400000000048</v>
      </c>
      <c r="J189" s="118">
        <f t="shared" si="99"/>
        <v>1223.1899999999966</v>
      </c>
      <c r="K189" s="118">
        <f t="shared" si="99"/>
        <v>1417.5800000000008</v>
      </c>
      <c r="L189" s="118">
        <f t="shared" si="99"/>
        <v>621.72999999999911</v>
      </c>
      <c r="M189" s="118">
        <f t="shared" si="99"/>
        <v>4209.6500000000005</v>
      </c>
      <c r="N189" s="118">
        <f t="shared" si="99"/>
        <v>-91.069999999999709</v>
      </c>
      <c r="O189" s="118">
        <f t="shared" si="99"/>
        <v>10944.9</v>
      </c>
      <c r="P189" s="151">
        <f t="shared" si="91"/>
        <v>42537.440000000002</v>
      </c>
      <c r="Q189" s="151"/>
    </row>
    <row r="190" spans="2:17" x14ac:dyDescent="0.2">
      <c r="B190" s="7" t="s">
        <v>309</v>
      </c>
      <c r="C190" s="148"/>
      <c r="D190" s="118">
        <f t="shared" ref="D190:O190" si="100">D117+D136</f>
        <v>2116257.4493050659</v>
      </c>
      <c r="E190" s="118">
        <f t="shared" si="100"/>
        <v>3503168.5831967369</v>
      </c>
      <c r="F190" s="118">
        <f t="shared" si="100"/>
        <v>370197.40422354342</v>
      </c>
      <c r="G190" s="118">
        <f t="shared" si="100"/>
        <v>1578681.1496891107</v>
      </c>
      <c r="H190" s="118">
        <f t="shared" si="100"/>
        <v>1487493.37</v>
      </c>
      <c r="I190" s="118">
        <f t="shared" si="100"/>
        <v>1529480.7599999998</v>
      </c>
      <c r="J190" s="118">
        <f t="shared" si="100"/>
        <v>1488754.26</v>
      </c>
      <c r="K190" s="118">
        <f t="shared" si="100"/>
        <v>1566588.2999999998</v>
      </c>
      <c r="L190" s="118">
        <f t="shared" si="100"/>
        <v>1423425.45</v>
      </c>
      <c r="M190" s="118">
        <f t="shared" si="100"/>
        <v>1635236.1628457499</v>
      </c>
      <c r="N190" s="118">
        <f t="shared" si="100"/>
        <v>1450494.6963015625</v>
      </c>
      <c r="O190" s="118">
        <f t="shared" si="100"/>
        <v>2093788.0265729453</v>
      </c>
      <c r="P190" s="151">
        <f t="shared" si="91"/>
        <v>20243565.612134714</v>
      </c>
      <c r="Q190" s="151"/>
    </row>
    <row r="191" spans="2:17" x14ac:dyDescent="0.2">
      <c r="B191" s="7" t="s">
        <v>310</v>
      </c>
      <c r="C191" s="148"/>
      <c r="D191" s="118">
        <f t="shared" ref="D191:O191" si="101">D118+D137</f>
        <v>5636935.1575066661</v>
      </c>
      <c r="E191" s="118">
        <f t="shared" si="101"/>
        <v>10854424.084729547</v>
      </c>
      <c r="F191" s="118">
        <f t="shared" si="101"/>
        <v>989332.09326520772</v>
      </c>
      <c r="G191" s="118">
        <f t="shared" si="101"/>
        <v>5396033.4200273342</v>
      </c>
      <c r="H191" s="118">
        <f t="shared" si="101"/>
        <v>4950021.9804604445</v>
      </c>
      <c r="I191" s="118">
        <f t="shared" si="101"/>
        <v>5340360.0716385422</v>
      </c>
      <c r="J191" s="118">
        <f t="shared" si="101"/>
        <v>5486454.6199999992</v>
      </c>
      <c r="K191" s="118">
        <f t="shared" si="101"/>
        <v>5472741.21</v>
      </c>
      <c r="L191" s="118">
        <f t="shared" si="101"/>
        <v>5230804.8599999994</v>
      </c>
      <c r="M191" s="118">
        <f t="shared" si="101"/>
        <v>5652904.1765000001</v>
      </c>
      <c r="N191" s="118">
        <f t="shared" si="101"/>
        <v>4792585.345416666</v>
      </c>
      <c r="O191" s="118">
        <f t="shared" si="101"/>
        <v>7411321.7746001109</v>
      </c>
      <c r="P191" s="151">
        <f t="shared" si="91"/>
        <v>67213918.794144511</v>
      </c>
      <c r="Q191" s="151"/>
    </row>
    <row r="192" spans="2:17" x14ac:dyDescent="0.2">
      <c r="B192" s="8" t="s">
        <v>314</v>
      </c>
      <c r="C192" s="148"/>
      <c r="D192" s="118">
        <f t="shared" ref="D192:O192" si="102">D138+D132</f>
        <v>61613.149999999994</v>
      </c>
      <c r="E192" s="118">
        <f t="shared" si="102"/>
        <v>72270.049999999988</v>
      </c>
      <c r="F192" s="118">
        <f t="shared" si="102"/>
        <v>35239.780000000006</v>
      </c>
      <c r="G192" s="118">
        <f t="shared" si="102"/>
        <v>58890.58</v>
      </c>
      <c r="H192" s="118">
        <f t="shared" si="102"/>
        <v>61239.66</v>
      </c>
      <c r="I192" s="118">
        <f t="shared" si="102"/>
        <v>53852.4</v>
      </c>
      <c r="J192" s="118">
        <f t="shared" si="102"/>
        <v>45025.66</v>
      </c>
      <c r="K192" s="118">
        <f t="shared" si="102"/>
        <v>50411.61</v>
      </c>
      <c r="L192" s="118">
        <f t="shared" si="102"/>
        <v>52167.13</v>
      </c>
      <c r="M192" s="118">
        <f t="shared" si="102"/>
        <v>607645.32000000007</v>
      </c>
      <c r="N192" s="118">
        <f t="shared" si="102"/>
        <v>130077.13</v>
      </c>
      <c r="O192" s="118">
        <f t="shared" si="102"/>
        <v>43383.649999999994</v>
      </c>
      <c r="P192" s="151">
        <f t="shared" si="91"/>
        <v>1271816.1200000001</v>
      </c>
      <c r="Q192" s="151"/>
    </row>
    <row r="193" spans="2:17" x14ac:dyDescent="0.2">
      <c r="B193" s="7" t="s">
        <v>312</v>
      </c>
      <c r="C193" s="148"/>
      <c r="D193" s="118">
        <f t="shared" ref="D193:O193" si="103">D119+D139</f>
        <v>6908386.4182366673</v>
      </c>
      <c r="E193" s="118">
        <f t="shared" si="103"/>
        <v>16719102.09130821</v>
      </c>
      <c r="F193" s="118">
        <f t="shared" si="103"/>
        <v>333900.78700083337</v>
      </c>
      <c r="G193" s="118">
        <f t="shared" si="103"/>
        <v>7139668.2335933335</v>
      </c>
      <c r="H193" s="118">
        <f t="shared" si="103"/>
        <v>6448318.3869866664</v>
      </c>
      <c r="I193" s="118">
        <f t="shared" si="103"/>
        <v>7177075.3100000005</v>
      </c>
      <c r="J193" s="118">
        <f t="shared" si="103"/>
        <v>6468165.21</v>
      </c>
      <c r="K193" s="118">
        <f t="shared" si="103"/>
        <v>8374601.6000000006</v>
      </c>
      <c r="L193" s="118">
        <f t="shared" si="103"/>
        <v>7466576.9373499993</v>
      </c>
      <c r="M193" s="118">
        <f t="shared" si="103"/>
        <v>8793902.4524625018</v>
      </c>
      <c r="N193" s="118">
        <f t="shared" si="103"/>
        <v>6370032.6864062492</v>
      </c>
      <c r="O193" s="118">
        <f t="shared" si="103"/>
        <v>10686729.357819166</v>
      </c>
      <c r="P193" s="151">
        <f t="shared" si="91"/>
        <v>92886459.471163645</v>
      </c>
      <c r="Q193" s="151"/>
    </row>
    <row r="194" spans="2:17" s="57" customFormat="1" x14ac:dyDescent="0.2">
      <c r="B194" s="114" t="s">
        <v>127</v>
      </c>
      <c r="C194" s="159"/>
      <c r="D194" s="118">
        <f t="shared" ref="D194:O194" si="104">D125</f>
        <v>4201141.2881666645</v>
      </c>
      <c r="E194" s="118">
        <f t="shared" si="104"/>
        <v>7145448.6636345219</v>
      </c>
      <c r="F194" s="118">
        <f t="shared" si="104"/>
        <v>-415624.35464861104</v>
      </c>
      <c r="G194" s="118">
        <f t="shared" si="104"/>
        <v>2040422.6695111087</v>
      </c>
      <c r="H194" s="118">
        <f t="shared" si="104"/>
        <v>2630114.0886666668</v>
      </c>
      <c r="I194" s="118">
        <f t="shared" si="104"/>
        <v>1925866.3896416659</v>
      </c>
      <c r="J194" s="118">
        <f t="shared" si="104"/>
        <v>1644229.3199999998</v>
      </c>
      <c r="K194" s="118">
        <f t="shared" si="104"/>
        <v>1677138.95</v>
      </c>
      <c r="L194" s="118">
        <f t="shared" si="104"/>
        <v>1848978.4066333331</v>
      </c>
      <c r="M194" s="118">
        <f t="shared" si="104"/>
        <v>2740387.9028999996</v>
      </c>
      <c r="N194" s="118">
        <f t="shared" si="104"/>
        <v>2646295.9605208319</v>
      </c>
      <c r="O194" s="118">
        <f t="shared" si="104"/>
        <v>4504331.2449416667</v>
      </c>
      <c r="P194" s="151">
        <f t="shared" si="91"/>
        <v>32588730.529967844</v>
      </c>
      <c r="Q194" s="118"/>
    </row>
    <row r="195" spans="2:17" x14ac:dyDescent="0.2">
      <c r="B195" s="117" t="s">
        <v>315</v>
      </c>
      <c r="C195" s="148"/>
      <c r="D195" s="157">
        <f t="shared" ref="D195:P195" si="105">SUM(D180:D194)</f>
        <v>167919178.32702145</v>
      </c>
      <c r="E195" s="157">
        <f t="shared" si="105"/>
        <v>164298382.62532037</v>
      </c>
      <c r="F195" s="157">
        <f t="shared" si="105"/>
        <v>110471411.79847559</v>
      </c>
      <c r="G195" s="157">
        <f t="shared" si="105"/>
        <v>92073797.063563824</v>
      </c>
      <c r="H195" s="157">
        <f t="shared" si="105"/>
        <v>65147590.494160093</v>
      </c>
      <c r="I195" s="157">
        <f t="shared" si="105"/>
        <v>56240511.128027022</v>
      </c>
      <c r="J195" s="157">
        <f t="shared" si="105"/>
        <v>42382698.350129239</v>
      </c>
      <c r="K195" s="157">
        <f t="shared" si="105"/>
        <v>43082801.757986553</v>
      </c>
      <c r="L195" s="157">
        <f t="shared" si="105"/>
        <v>50055826.728992008</v>
      </c>
      <c r="M195" s="157">
        <f t="shared" si="105"/>
        <v>85186566.30998455</v>
      </c>
      <c r="N195" s="157">
        <f t="shared" si="105"/>
        <v>126358904.04787149</v>
      </c>
      <c r="O195" s="157">
        <f t="shared" si="105"/>
        <v>166882488.20587355</v>
      </c>
      <c r="P195" s="157">
        <f t="shared" si="105"/>
        <v>1170100156.8374057</v>
      </c>
      <c r="Q195" s="118"/>
    </row>
    <row r="196" spans="2:17" x14ac:dyDescent="0.2">
      <c r="B196" s="160" t="s">
        <v>211</v>
      </c>
      <c r="C196" s="161"/>
      <c r="D196" s="162">
        <f t="shared" ref="D196:P196" si="106">D195-D142</f>
        <v>0</v>
      </c>
      <c r="E196" s="162">
        <f t="shared" si="106"/>
        <v>0</v>
      </c>
      <c r="F196" s="162">
        <f t="shared" si="106"/>
        <v>0</v>
      </c>
      <c r="G196" s="162">
        <f t="shared" si="106"/>
        <v>0</v>
      </c>
      <c r="H196" s="162">
        <f t="shared" si="106"/>
        <v>0</v>
      </c>
      <c r="I196" s="162">
        <f t="shared" si="106"/>
        <v>0</v>
      </c>
      <c r="J196" s="162">
        <f t="shared" si="106"/>
        <v>0</v>
      </c>
      <c r="K196" s="162">
        <f t="shared" si="106"/>
        <v>0</v>
      </c>
      <c r="L196" s="162">
        <f t="shared" si="106"/>
        <v>0</v>
      </c>
      <c r="M196" s="162">
        <f t="shared" si="106"/>
        <v>0</v>
      </c>
      <c r="N196" s="162">
        <f t="shared" si="106"/>
        <v>0</v>
      </c>
      <c r="O196" s="162">
        <f t="shared" si="106"/>
        <v>0</v>
      </c>
      <c r="P196" s="162">
        <f t="shared" si="106"/>
        <v>0</v>
      </c>
      <c r="Q196" s="118"/>
    </row>
    <row r="197" spans="2:17" x14ac:dyDescent="0.2">
      <c r="C197" s="148"/>
      <c r="D197" s="118"/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18"/>
    </row>
    <row r="198" spans="2:17" x14ac:dyDescent="0.2">
      <c r="B198" s="71" t="s">
        <v>316</v>
      </c>
      <c r="C198" s="148"/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18"/>
    </row>
    <row r="199" spans="2:17" s="8" customFormat="1" x14ac:dyDescent="0.2">
      <c r="B199" s="114" t="s">
        <v>317</v>
      </c>
      <c r="C199" s="144"/>
      <c r="D199" s="68">
        <f t="shared" ref="D199:O199" si="107">SUM(D36:D38)</f>
        <v>788588</v>
      </c>
      <c r="E199" s="68">
        <f t="shared" si="107"/>
        <v>789215</v>
      </c>
      <c r="F199" s="68">
        <f t="shared" si="107"/>
        <v>789787</v>
      </c>
      <c r="G199" s="68">
        <f t="shared" si="107"/>
        <v>789767</v>
      </c>
      <c r="H199" s="68">
        <f t="shared" si="107"/>
        <v>789950</v>
      </c>
      <c r="I199" s="68">
        <f t="shared" si="107"/>
        <v>790441</v>
      </c>
      <c r="J199" s="68">
        <f t="shared" si="107"/>
        <v>790941</v>
      </c>
      <c r="K199" s="68">
        <f t="shared" si="107"/>
        <v>791864</v>
      </c>
      <c r="L199" s="68">
        <f t="shared" si="107"/>
        <v>792852</v>
      </c>
      <c r="M199" s="68">
        <f t="shared" si="107"/>
        <v>794196</v>
      </c>
      <c r="N199" s="68">
        <f t="shared" si="107"/>
        <v>795331</v>
      </c>
      <c r="O199" s="68">
        <f t="shared" si="107"/>
        <v>796408</v>
      </c>
      <c r="P199" s="68">
        <f t="shared" ref="P199:P212" si="108">SUM(D199:O199)</f>
        <v>9499340</v>
      </c>
      <c r="Q199" s="68"/>
    </row>
    <row r="200" spans="2:17" s="8" customFormat="1" x14ac:dyDescent="0.2">
      <c r="B200" s="121" t="s">
        <v>301</v>
      </c>
      <c r="C200" s="144"/>
      <c r="D200" s="68">
        <f t="shared" ref="D200:O200" si="109">SUM(D40,D47)</f>
        <v>57399</v>
      </c>
      <c r="E200" s="68">
        <f t="shared" si="109"/>
        <v>57432</v>
      </c>
      <c r="F200" s="68">
        <f t="shared" si="109"/>
        <v>57469</v>
      </c>
      <c r="G200" s="68">
        <f t="shared" si="109"/>
        <v>57337</v>
      </c>
      <c r="H200" s="68">
        <f t="shared" si="109"/>
        <v>57261</v>
      </c>
      <c r="I200" s="68">
        <f t="shared" si="109"/>
        <v>57177</v>
      </c>
      <c r="J200" s="68">
        <f t="shared" si="109"/>
        <v>57159</v>
      </c>
      <c r="K200" s="68">
        <f t="shared" si="109"/>
        <v>57126</v>
      </c>
      <c r="L200" s="68">
        <f t="shared" si="109"/>
        <v>57151</v>
      </c>
      <c r="M200" s="68">
        <f t="shared" si="109"/>
        <v>57212</v>
      </c>
      <c r="N200" s="68">
        <f t="shared" si="109"/>
        <v>57357</v>
      </c>
      <c r="O200" s="68">
        <f t="shared" si="109"/>
        <v>57452</v>
      </c>
      <c r="P200" s="68">
        <f t="shared" si="108"/>
        <v>687532</v>
      </c>
      <c r="Q200" s="68"/>
    </row>
    <row r="201" spans="2:17" x14ac:dyDescent="0.2">
      <c r="B201" s="114" t="s">
        <v>302</v>
      </c>
      <c r="C201" s="148"/>
      <c r="D201" s="118">
        <f t="shared" ref="D201:O201" si="110">D41+D48</f>
        <v>1333</v>
      </c>
      <c r="E201" s="118">
        <f t="shared" si="110"/>
        <v>1326</v>
      </c>
      <c r="F201" s="118">
        <f t="shared" si="110"/>
        <v>1322</v>
      </c>
      <c r="G201" s="118">
        <f t="shared" si="110"/>
        <v>1313</v>
      </c>
      <c r="H201" s="118">
        <f t="shared" si="110"/>
        <v>1306</v>
      </c>
      <c r="I201" s="118">
        <f t="shared" si="110"/>
        <v>1306</v>
      </c>
      <c r="J201" s="118">
        <f t="shared" si="110"/>
        <v>1290</v>
      </c>
      <c r="K201" s="118">
        <f t="shared" si="110"/>
        <v>1284</v>
      </c>
      <c r="L201" s="118">
        <f t="shared" si="110"/>
        <v>1284</v>
      </c>
      <c r="M201" s="118">
        <f t="shared" si="110"/>
        <v>1286</v>
      </c>
      <c r="N201" s="118">
        <f t="shared" si="110"/>
        <v>1286</v>
      </c>
      <c r="O201" s="118">
        <f t="shared" si="110"/>
        <v>1274</v>
      </c>
      <c r="P201" s="118">
        <f t="shared" si="108"/>
        <v>15610</v>
      </c>
      <c r="Q201" s="118"/>
    </row>
    <row r="202" spans="2:17" x14ac:dyDescent="0.2">
      <c r="B202" s="117" t="s">
        <v>303</v>
      </c>
      <c r="C202" s="148"/>
      <c r="D202" s="118">
        <f t="shared" ref="D202:O202" si="111">D42</f>
        <v>0</v>
      </c>
      <c r="E202" s="118">
        <f t="shared" si="111"/>
        <v>0</v>
      </c>
      <c r="F202" s="118">
        <f t="shared" si="111"/>
        <v>0</v>
      </c>
      <c r="G202" s="118">
        <f t="shared" si="111"/>
        <v>0</v>
      </c>
      <c r="H202" s="118">
        <f t="shared" si="111"/>
        <v>0</v>
      </c>
      <c r="I202" s="118">
        <f t="shared" si="111"/>
        <v>0</v>
      </c>
      <c r="J202" s="118">
        <f t="shared" si="111"/>
        <v>0</v>
      </c>
      <c r="K202" s="118">
        <f t="shared" si="111"/>
        <v>0</v>
      </c>
      <c r="L202" s="118">
        <f t="shared" si="111"/>
        <v>0</v>
      </c>
      <c r="M202" s="118">
        <f t="shared" si="111"/>
        <v>0</v>
      </c>
      <c r="N202" s="118">
        <f t="shared" si="111"/>
        <v>0</v>
      </c>
      <c r="O202" s="118">
        <f t="shared" si="111"/>
        <v>0</v>
      </c>
      <c r="P202" s="118">
        <f t="shared" si="108"/>
        <v>0</v>
      </c>
      <c r="Q202" s="118"/>
    </row>
    <row r="203" spans="2:17" x14ac:dyDescent="0.2">
      <c r="B203" s="114" t="s">
        <v>318</v>
      </c>
      <c r="C203" s="148"/>
      <c r="D203" s="118">
        <f t="shared" ref="D203:O203" si="112">SUM(D39,D43,D49)</f>
        <v>0</v>
      </c>
      <c r="E203" s="118">
        <f t="shared" si="112"/>
        <v>0</v>
      </c>
      <c r="F203" s="118">
        <f t="shared" si="112"/>
        <v>0</v>
      </c>
      <c r="G203" s="118">
        <f t="shared" si="112"/>
        <v>0</v>
      </c>
      <c r="H203" s="118">
        <f t="shared" si="112"/>
        <v>0</v>
      </c>
      <c r="I203" s="118">
        <f t="shared" si="112"/>
        <v>0</v>
      </c>
      <c r="J203" s="118">
        <f t="shared" si="112"/>
        <v>0</v>
      </c>
      <c r="K203" s="118">
        <f t="shared" si="112"/>
        <v>0</v>
      </c>
      <c r="L203" s="118">
        <f t="shared" si="112"/>
        <v>0</v>
      </c>
      <c r="M203" s="118">
        <f t="shared" si="112"/>
        <v>0</v>
      </c>
      <c r="N203" s="118">
        <f t="shared" si="112"/>
        <v>0</v>
      </c>
      <c r="O203" s="118">
        <f t="shared" si="112"/>
        <v>0</v>
      </c>
      <c r="P203" s="118">
        <f t="shared" si="108"/>
        <v>0</v>
      </c>
      <c r="Q203" s="118"/>
    </row>
    <row r="204" spans="2:17" x14ac:dyDescent="0.2">
      <c r="B204" s="114" t="s">
        <v>305</v>
      </c>
      <c r="C204" s="148"/>
      <c r="D204" s="118">
        <f t="shared" ref="D204:O204" si="113">D44+D50</f>
        <v>28</v>
      </c>
      <c r="E204" s="118">
        <f t="shared" si="113"/>
        <v>28</v>
      </c>
      <c r="F204" s="118">
        <f t="shared" si="113"/>
        <v>28</v>
      </c>
      <c r="G204" s="118">
        <f t="shared" si="113"/>
        <v>28</v>
      </c>
      <c r="H204" s="118">
        <f t="shared" si="113"/>
        <v>28</v>
      </c>
      <c r="I204" s="118">
        <f t="shared" si="113"/>
        <v>28</v>
      </c>
      <c r="J204" s="118">
        <f t="shared" si="113"/>
        <v>28</v>
      </c>
      <c r="K204" s="118">
        <f t="shared" si="113"/>
        <v>29</v>
      </c>
      <c r="L204" s="118">
        <f t="shared" si="113"/>
        <v>29</v>
      </c>
      <c r="M204" s="118">
        <f t="shared" si="113"/>
        <v>29</v>
      </c>
      <c r="N204" s="118">
        <f t="shared" si="113"/>
        <v>29</v>
      </c>
      <c r="O204" s="118">
        <f t="shared" si="113"/>
        <v>29</v>
      </c>
      <c r="P204" s="118">
        <f t="shared" si="108"/>
        <v>341</v>
      </c>
      <c r="Q204" s="118"/>
    </row>
    <row r="205" spans="2:17" x14ac:dyDescent="0.2">
      <c r="B205" s="114" t="s">
        <v>306</v>
      </c>
      <c r="C205" s="148"/>
      <c r="D205" s="118">
        <f t="shared" ref="D205:O205" si="114">D45+D51</f>
        <v>131</v>
      </c>
      <c r="E205" s="118">
        <f t="shared" si="114"/>
        <v>128</v>
      </c>
      <c r="F205" s="118">
        <f t="shared" si="114"/>
        <v>127</v>
      </c>
      <c r="G205" s="118">
        <f t="shared" si="114"/>
        <v>127</v>
      </c>
      <c r="H205" s="118">
        <f t="shared" si="114"/>
        <v>126</v>
      </c>
      <c r="I205" s="118">
        <f t="shared" si="114"/>
        <v>120</v>
      </c>
      <c r="J205" s="118">
        <f t="shared" si="114"/>
        <v>119</v>
      </c>
      <c r="K205" s="118">
        <f t="shared" si="114"/>
        <v>119</v>
      </c>
      <c r="L205" s="118">
        <f t="shared" si="114"/>
        <v>119</v>
      </c>
      <c r="M205" s="118">
        <f t="shared" si="114"/>
        <v>119</v>
      </c>
      <c r="N205" s="118">
        <f t="shared" si="114"/>
        <v>118</v>
      </c>
      <c r="O205" s="118">
        <f t="shared" si="114"/>
        <v>118</v>
      </c>
      <c r="P205" s="118">
        <f t="shared" si="108"/>
        <v>1471</v>
      </c>
      <c r="Q205" s="118"/>
    </row>
    <row r="206" spans="2:17" x14ac:dyDescent="0.2">
      <c r="B206" s="114" t="s">
        <v>307</v>
      </c>
      <c r="C206" s="148"/>
      <c r="D206" s="118">
        <f t="shared" ref="D206:O206" si="115">D46+D52</f>
        <v>5</v>
      </c>
      <c r="E206" s="118">
        <f t="shared" si="115"/>
        <v>5</v>
      </c>
      <c r="F206" s="118">
        <f t="shared" si="115"/>
        <v>5</v>
      </c>
      <c r="G206" s="118">
        <f t="shared" si="115"/>
        <v>5</v>
      </c>
      <c r="H206" s="118">
        <f t="shared" si="115"/>
        <v>5</v>
      </c>
      <c r="I206" s="118">
        <f t="shared" si="115"/>
        <v>5</v>
      </c>
      <c r="J206" s="118">
        <f t="shared" si="115"/>
        <v>5</v>
      </c>
      <c r="K206" s="118">
        <f t="shared" si="115"/>
        <v>5</v>
      </c>
      <c r="L206" s="118">
        <f t="shared" si="115"/>
        <v>5</v>
      </c>
      <c r="M206" s="118">
        <f t="shared" si="115"/>
        <v>5</v>
      </c>
      <c r="N206" s="118">
        <f t="shared" si="115"/>
        <v>5</v>
      </c>
      <c r="O206" s="118">
        <f t="shared" si="115"/>
        <v>5</v>
      </c>
      <c r="P206" s="118">
        <f t="shared" si="108"/>
        <v>60</v>
      </c>
      <c r="Q206" s="118"/>
    </row>
    <row r="207" spans="2:17" x14ac:dyDescent="0.2">
      <c r="B207" s="7" t="s">
        <v>308</v>
      </c>
      <c r="C207" s="148"/>
      <c r="D207" s="118">
        <f t="shared" ref="D207:O207" si="116">D53</f>
        <v>2</v>
      </c>
      <c r="E207" s="118">
        <f t="shared" si="116"/>
        <v>2</v>
      </c>
      <c r="F207" s="118">
        <f t="shared" si="116"/>
        <v>2</v>
      </c>
      <c r="G207" s="118">
        <f t="shared" si="116"/>
        <v>2</v>
      </c>
      <c r="H207" s="118">
        <f t="shared" si="116"/>
        <v>2</v>
      </c>
      <c r="I207" s="118">
        <f t="shared" si="116"/>
        <v>2</v>
      </c>
      <c r="J207" s="118">
        <f t="shared" si="116"/>
        <v>2</v>
      </c>
      <c r="K207" s="118">
        <f t="shared" si="116"/>
        <v>2</v>
      </c>
      <c r="L207" s="118">
        <f t="shared" si="116"/>
        <v>2</v>
      </c>
      <c r="M207" s="118">
        <f t="shared" si="116"/>
        <v>2</v>
      </c>
      <c r="N207" s="118">
        <f t="shared" si="116"/>
        <v>2</v>
      </c>
      <c r="O207" s="118">
        <f t="shared" si="116"/>
        <v>2</v>
      </c>
      <c r="P207" s="118">
        <f t="shared" si="108"/>
        <v>24</v>
      </c>
      <c r="Q207" s="118"/>
    </row>
    <row r="208" spans="2:17" x14ac:dyDescent="0.2">
      <c r="B208" s="7" t="s">
        <v>309</v>
      </c>
      <c r="C208" s="148"/>
      <c r="D208" s="118">
        <f t="shared" ref="D208:O208" si="117">D54+D59</f>
        <v>104</v>
      </c>
      <c r="E208" s="118">
        <f t="shared" si="117"/>
        <v>103</v>
      </c>
      <c r="F208" s="118">
        <f t="shared" si="117"/>
        <v>103</v>
      </c>
      <c r="G208" s="118">
        <f t="shared" si="117"/>
        <v>103</v>
      </c>
      <c r="H208" s="118">
        <f t="shared" si="117"/>
        <v>103</v>
      </c>
      <c r="I208" s="118">
        <f t="shared" si="117"/>
        <v>103</v>
      </c>
      <c r="J208" s="118">
        <f t="shared" si="117"/>
        <v>103</v>
      </c>
      <c r="K208" s="118">
        <f t="shared" si="117"/>
        <v>103</v>
      </c>
      <c r="L208" s="118">
        <f t="shared" si="117"/>
        <v>100</v>
      </c>
      <c r="M208" s="118">
        <f t="shared" si="117"/>
        <v>99</v>
      </c>
      <c r="N208" s="118">
        <f t="shared" si="117"/>
        <v>97</v>
      </c>
      <c r="O208" s="118">
        <f t="shared" si="117"/>
        <v>97</v>
      </c>
      <c r="P208" s="118">
        <f t="shared" si="108"/>
        <v>1218</v>
      </c>
      <c r="Q208" s="118"/>
    </row>
    <row r="209" spans="2:17" x14ac:dyDescent="0.2">
      <c r="B209" s="7" t="s">
        <v>310</v>
      </c>
      <c r="C209" s="148"/>
      <c r="D209" s="118">
        <f t="shared" ref="D209:O209" si="118">D55+D60</f>
        <v>96</v>
      </c>
      <c r="E209" s="118">
        <f t="shared" si="118"/>
        <v>96</v>
      </c>
      <c r="F209" s="118">
        <f t="shared" si="118"/>
        <v>96</v>
      </c>
      <c r="G209" s="118">
        <f t="shared" si="118"/>
        <v>97</v>
      </c>
      <c r="H209" s="118">
        <f t="shared" si="118"/>
        <v>96</v>
      </c>
      <c r="I209" s="118">
        <f t="shared" si="118"/>
        <v>96</v>
      </c>
      <c r="J209" s="118">
        <f t="shared" si="118"/>
        <v>96</v>
      </c>
      <c r="K209" s="118">
        <f t="shared" si="118"/>
        <v>96</v>
      </c>
      <c r="L209" s="118">
        <f t="shared" si="118"/>
        <v>95</v>
      </c>
      <c r="M209" s="118">
        <f t="shared" si="118"/>
        <v>94</v>
      </c>
      <c r="N209" s="118">
        <f t="shared" si="118"/>
        <v>94</v>
      </c>
      <c r="O209" s="118">
        <f t="shared" si="118"/>
        <v>93</v>
      </c>
      <c r="P209" s="118">
        <f t="shared" si="108"/>
        <v>1145</v>
      </c>
      <c r="Q209" s="118"/>
    </row>
    <row r="210" spans="2:17" x14ac:dyDescent="0.2">
      <c r="B210" s="8" t="s">
        <v>314</v>
      </c>
      <c r="C210" s="148"/>
      <c r="D210" s="118">
        <f t="shared" ref="D210:O210" si="119">D61+D56</f>
        <v>3</v>
      </c>
      <c r="E210" s="118">
        <f t="shared" si="119"/>
        <v>3</v>
      </c>
      <c r="F210" s="118">
        <f t="shared" si="119"/>
        <v>3</v>
      </c>
      <c r="G210" s="118">
        <f t="shared" si="119"/>
        <v>3</v>
      </c>
      <c r="H210" s="118">
        <f t="shared" si="119"/>
        <v>4</v>
      </c>
      <c r="I210" s="118">
        <f t="shared" si="119"/>
        <v>4</v>
      </c>
      <c r="J210" s="118">
        <f t="shared" si="119"/>
        <v>4</v>
      </c>
      <c r="K210" s="118">
        <f t="shared" si="119"/>
        <v>5</v>
      </c>
      <c r="L210" s="118">
        <f t="shared" si="119"/>
        <v>6</v>
      </c>
      <c r="M210" s="118">
        <f t="shared" si="119"/>
        <v>7</v>
      </c>
      <c r="N210" s="118">
        <f t="shared" si="119"/>
        <v>7</v>
      </c>
      <c r="O210" s="118">
        <f t="shared" si="119"/>
        <v>7</v>
      </c>
      <c r="P210" s="118">
        <f t="shared" si="108"/>
        <v>56</v>
      </c>
      <c r="Q210" s="118"/>
    </row>
    <row r="211" spans="2:17" x14ac:dyDescent="0.2">
      <c r="B211" s="7" t="s">
        <v>312</v>
      </c>
      <c r="C211" s="148"/>
      <c r="D211" s="118">
        <f t="shared" ref="D211:O211" si="120">D57+D62</f>
        <v>10</v>
      </c>
      <c r="E211" s="118">
        <f t="shared" si="120"/>
        <v>10</v>
      </c>
      <c r="F211" s="118">
        <f t="shared" si="120"/>
        <v>10</v>
      </c>
      <c r="G211" s="118">
        <f t="shared" si="120"/>
        <v>10</v>
      </c>
      <c r="H211" s="118">
        <f t="shared" si="120"/>
        <v>10</v>
      </c>
      <c r="I211" s="118">
        <f t="shared" si="120"/>
        <v>10</v>
      </c>
      <c r="J211" s="118">
        <f t="shared" si="120"/>
        <v>10</v>
      </c>
      <c r="K211" s="118">
        <f t="shared" si="120"/>
        <v>10</v>
      </c>
      <c r="L211" s="118">
        <f t="shared" si="120"/>
        <v>10</v>
      </c>
      <c r="M211" s="118">
        <f t="shared" si="120"/>
        <v>10</v>
      </c>
      <c r="N211" s="118">
        <f t="shared" si="120"/>
        <v>10</v>
      </c>
      <c r="O211" s="118">
        <f t="shared" si="120"/>
        <v>10</v>
      </c>
      <c r="P211" s="118">
        <f t="shared" si="108"/>
        <v>120</v>
      </c>
      <c r="Q211" s="118"/>
    </row>
    <row r="212" spans="2:17" s="57" customFormat="1" x14ac:dyDescent="0.2">
      <c r="B212" s="114" t="s">
        <v>127</v>
      </c>
      <c r="C212" s="159"/>
      <c r="D212" s="118">
        <f t="shared" ref="D212:O212" si="121">SUM(D63:D63)</f>
        <v>10</v>
      </c>
      <c r="E212" s="118">
        <f t="shared" si="121"/>
        <v>10</v>
      </c>
      <c r="F212" s="118">
        <f t="shared" si="121"/>
        <v>10</v>
      </c>
      <c r="G212" s="118">
        <f t="shared" si="121"/>
        <v>10</v>
      </c>
      <c r="H212" s="118">
        <f t="shared" si="121"/>
        <v>10</v>
      </c>
      <c r="I212" s="118">
        <f t="shared" si="121"/>
        <v>10</v>
      </c>
      <c r="J212" s="118">
        <f t="shared" si="121"/>
        <v>10</v>
      </c>
      <c r="K212" s="118">
        <f t="shared" si="121"/>
        <v>10</v>
      </c>
      <c r="L212" s="118">
        <f t="shared" si="121"/>
        <v>10</v>
      </c>
      <c r="M212" s="118">
        <f t="shared" si="121"/>
        <v>10</v>
      </c>
      <c r="N212" s="118">
        <f t="shared" si="121"/>
        <v>10</v>
      </c>
      <c r="O212" s="118">
        <f t="shared" si="121"/>
        <v>10</v>
      </c>
      <c r="P212" s="118">
        <f t="shared" si="108"/>
        <v>120</v>
      </c>
      <c r="Q212" s="118"/>
    </row>
    <row r="213" spans="2:17" x14ac:dyDescent="0.2">
      <c r="B213" s="8" t="s">
        <v>319</v>
      </c>
      <c r="C213" s="148"/>
      <c r="D213" s="157">
        <f t="shared" ref="D213:P213" si="122">SUM(D199:D212)</f>
        <v>847709</v>
      </c>
      <c r="E213" s="157">
        <f t="shared" si="122"/>
        <v>848358</v>
      </c>
      <c r="F213" s="157">
        <f t="shared" si="122"/>
        <v>848962</v>
      </c>
      <c r="G213" s="157">
        <f t="shared" si="122"/>
        <v>848802</v>
      </c>
      <c r="H213" s="157">
        <f t="shared" si="122"/>
        <v>848901</v>
      </c>
      <c r="I213" s="157">
        <f t="shared" si="122"/>
        <v>849302</v>
      </c>
      <c r="J213" s="157">
        <f t="shared" si="122"/>
        <v>849767</v>
      </c>
      <c r="K213" s="157">
        <f t="shared" si="122"/>
        <v>850653</v>
      </c>
      <c r="L213" s="157">
        <f t="shared" si="122"/>
        <v>851663</v>
      </c>
      <c r="M213" s="157">
        <f t="shared" si="122"/>
        <v>853069</v>
      </c>
      <c r="N213" s="157">
        <f t="shared" si="122"/>
        <v>854346</v>
      </c>
      <c r="O213" s="157">
        <f t="shared" si="122"/>
        <v>855505</v>
      </c>
      <c r="P213" s="157">
        <f t="shared" si="122"/>
        <v>10207037</v>
      </c>
      <c r="Q213" s="118"/>
    </row>
    <row r="214" spans="2:17" x14ac:dyDescent="0.2">
      <c r="B214" s="163" t="s">
        <v>211</v>
      </c>
      <c r="C214" s="161"/>
      <c r="D214" s="162">
        <f t="shared" ref="D214:P214" si="123">D213-D64</f>
        <v>0</v>
      </c>
      <c r="E214" s="162">
        <f t="shared" si="123"/>
        <v>0</v>
      </c>
      <c r="F214" s="162">
        <f t="shared" si="123"/>
        <v>0</v>
      </c>
      <c r="G214" s="162">
        <f t="shared" si="123"/>
        <v>0</v>
      </c>
      <c r="H214" s="162">
        <f t="shared" si="123"/>
        <v>0</v>
      </c>
      <c r="I214" s="162">
        <f t="shared" si="123"/>
        <v>0</v>
      </c>
      <c r="J214" s="162">
        <f t="shared" si="123"/>
        <v>0</v>
      </c>
      <c r="K214" s="162">
        <f t="shared" si="123"/>
        <v>0</v>
      </c>
      <c r="L214" s="162">
        <f t="shared" si="123"/>
        <v>0</v>
      </c>
      <c r="M214" s="162">
        <f t="shared" si="123"/>
        <v>0</v>
      </c>
      <c r="N214" s="162">
        <f t="shared" si="123"/>
        <v>0</v>
      </c>
      <c r="O214" s="162">
        <f t="shared" si="123"/>
        <v>0</v>
      </c>
      <c r="P214" s="164">
        <f t="shared" si="123"/>
        <v>0</v>
      </c>
      <c r="Q214" s="68"/>
    </row>
    <row r="215" spans="2:17" x14ac:dyDescent="0.2">
      <c r="C215" s="148"/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118"/>
    </row>
    <row r="216" spans="2:17" x14ac:dyDescent="0.2">
      <c r="B216" s="71" t="s">
        <v>320</v>
      </c>
      <c r="C216" s="148"/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</row>
    <row r="217" spans="2:17" x14ac:dyDescent="0.2">
      <c r="B217" s="114" t="s">
        <v>317</v>
      </c>
      <c r="C217" s="148"/>
      <c r="D217" s="118">
        <f t="shared" ref="D217:O217" si="124">SUM(D180:D181)</f>
        <v>98367397.218251988</v>
      </c>
      <c r="E217" s="118">
        <f t="shared" si="124"/>
        <v>83906031.089284554</v>
      </c>
      <c r="F217" s="118">
        <f t="shared" si="124"/>
        <v>74002387.003003284</v>
      </c>
      <c r="G217" s="118">
        <f t="shared" si="124"/>
        <v>51357622.73842974</v>
      </c>
      <c r="H217" s="118">
        <f t="shared" si="124"/>
        <v>31860099.209130302</v>
      </c>
      <c r="I217" s="118">
        <f t="shared" si="124"/>
        <v>22710518.726032794</v>
      </c>
      <c r="J217" s="118">
        <f t="shared" si="124"/>
        <v>15740346.101357549</v>
      </c>
      <c r="K217" s="118">
        <f t="shared" si="124"/>
        <v>13894240.841616524</v>
      </c>
      <c r="L217" s="118">
        <f t="shared" si="124"/>
        <v>19643937.599634934</v>
      </c>
      <c r="M217" s="118">
        <f t="shared" si="124"/>
        <v>44460741.226613015</v>
      </c>
      <c r="N217" s="118">
        <f t="shared" si="124"/>
        <v>73476375.81187351</v>
      </c>
      <c r="O217" s="118">
        <f t="shared" si="124"/>
        <v>97490562.121818647</v>
      </c>
      <c r="P217" s="118">
        <f t="shared" ref="P217:P229" si="125">SUM(D217:O217)</f>
        <v>626910259.68704677</v>
      </c>
      <c r="Q217" s="118"/>
    </row>
    <row r="218" spans="2:17" x14ac:dyDescent="0.2">
      <c r="B218" s="121" t="s">
        <v>301</v>
      </c>
      <c r="C218" s="148"/>
      <c r="D218" s="118">
        <f t="shared" ref="D218:O218" si="126">SUM(D182:D182,D185:D185)</f>
        <v>35554315.117510766</v>
      </c>
      <c r="E218" s="118">
        <f t="shared" si="126"/>
        <v>29484220.652365305</v>
      </c>
      <c r="F218" s="118">
        <f t="shared" si="126"/>
        <v>25592403.484055266</v>
      </c>
      <c r="G218" s="118">
        <f t="shared" si="126"/>
        <v>16768718.416905139</v>
      </c>
      <c r="H218" s="118">
        <f t="shared" si="126"/>
        <v>10750093.157336337</v>
      </c>
      <c r="I218" s="118">
        <f t="shared" si="126"/>
        <v>9038759.645141134</v>
      </c>
      <c r="J218" s="118">
        <f t="shared" si="126"/>
        <v>7271062.9865503218</v>
      </c>
      <c r="K218" s="118">
        <f t="shared" si="126"/>
        <v>6433118.452956751</v>
      </c>
      <c r="L218" s="118">
        <f t="shared" si="126"/>
        <v>7614799.7642001845</v>
      </c>
      <c r="M218" s="118">
        <f t="shared" si="126"/>
        <v>14794269.046495996</v>
      </c>
      <c r="N218" s="118">
        <f t="shared" si="126"/>
        <v>24745818.880919915</v>
      </c>
      <c r="O218" s="118">
        <f t="shared" si="126"/>
        <v>33084961.583432212</v>
      </c>
      <c r="P218" s="118">
        <f t="shared" si="125"/>
        <v>221132541.18786937</v>
      </c>
      <c r="Q218" s="118"/>
    </row>
    <row r="219" spans="2:17" x14ac:dyDescent="0.2">
      <c r="B219" s="114" t="s">
        <v>302</v>
      </c>
      <c r="C219" s="148"/>
      <c r="D219" s="118">
        <f t="shared" ref="D219:O219" si="127">D183</f>
        <v>8739074.6079213582</v>
      </c>
      <c r="E219" s="118">
        <f t="shared" si="127"/>
        <v>7720818.8228940461</v>
      </c>
      <c r="F219" s="118">
        <f t="shared" si="127"/>
        <v>6741132.9975421149</v>
      </c>
      <c r="G219" s="118">
        <f t="shared" si="127"/>
        <v>4653336.8634309974</v>
      </c>
      <c r="H219" s="118">
        <f t="shared" si="127"/>
        <v>3398691.9626039686</v>
      </c>
      <c r="I219" s="118">
        <f t="shared" si="127"/>
        <v>2944737.5592681514</v>
      </c>
      <c r="J219" s="118">
        <f t="shared" si="127"/>
        <v>2989280.9183105393</v>
      </c>
      <c r="K219" s="118">
        <f t="shared" si="127"/>
        <v>2228790.0150841475</v>
      </c>
      <c r="L219" s="118">
        <f t="shared" si="127"/>
        <v>2914509.2010542927</v>
      </c>
      <c r="M219" s="118">
        <f t="shared" si="127"/>
        <v>4829272.4172240999</v>
      </c>
      <c r="N219" s="118">
        <f t="shared" si="127"/>
        <v>6257215.6317046257</v>
      </c>
      <c r="O219" s="118">
        <f t="shared" si="127"/>
        <v>7952530.231849445</v>
      </c>
      <c r="P219" s="118">
        <f t="shared" si="125"/>
        <v>61369391.228887789</v>
      </c>
      <c r="Q219" s="118"/>
    </row>
    <row r="220" spans="2:17" x14ac:dyDescent="0.2">
      <c r="B220" s="117" t="s">
        <v>303</v>
      </c>
      <c r="C220" s="148"/>
      <c r="D220" s="118">
        <f t="shared" ref="D220:O220" si="128">D184</f>
        <v>0</v>
      </c>
      <c r="E220" s="118">
        <f t="shared" si="128"/>
        <v>0</v>
      </c>
      <c r="F220" s="118">
        <f t="shared" si="128"/>
        <v>0</v>
      </c>
      <c r="G220" s="118">
        <f t="shared" si="128"/>
        <v>0</v>
      </c>
      <c r="H220" s="118">
        <f t="shared" si="128"/>
        <v>0</v>
      </c>
      <c r="I220" s="118">
        <f t="shared" si="128"/>
        <v>0</v>
      </c>
      <c r="J220" s="118">
        <f t="shared" si="128"/>
        <v>0</v>
      </c>
      <c r="K220" s="118">
        <f t="shared" si="128"/>
        <v>0</v>
      </c>
      <c r="L220" s="118">
        <f t="shared" si="128"/>
        <v>0</v>
      </c>
      <c r="M220" s="118">
        <f t="shared" si="128"/>
        <v>0</v>
      </c>
      <c r="N220" s="118">
        <f t="shared" si="128"/>
        <v>0</v>
      </c>
      <c r="O220" s="118">
        <f t="shared" si="128"/>
        <v>0</v>
      </c>
      <c r="P220" s="118">
        <f t="shared" si="125"/>
        <v>0</v>
      </c>
      <c r="Q220" s="118"/>
    </row>
    <row r="221" spans="2:17" x14ac:dyDescent="0.2">
      <c r="B221" s="114" t="s">
        <v>305</v>
      </c>
      <c r="C221" s="148"/>
      <c r="D221" s="118">
        <f t="shared" ref="D221:O221" si="129">D186</f>
        <v>2633063.9389722133</v>
      </c>
      <c r="E221" s="118">
        <f t="shared" si="129"/>
        <v>625734.62227199704</v>
      </c>
      <c r="F221" s="118">
        <f t="shared" si="129"/>
        <v>1378541.4095612855</v>
      </c>
      <c r="G221" s="118">
        <f t="shared" si="129"/>
        <v>1343539.0962007409</v>
      </c>
      <c r="H221" s="118">
        <f t="shared" si="129"/>
        <v>1325697.31738464</v>
      </c>
      <c r="I221" s="118">
        <f t="shared" si="129"/>
        <v>1822128.7983665529</v>
      </c>
      <c r="J221" s="118">
        <f t="shared" si="129"/>
        <v>840435.16140095994</v>
      </c>
      <c r="K221" s="118">
        <f t="shared" si="129"/>
        <v>940905.24081478699</v>
      </c>
      <c r="L221" s="118">
        <f t="shared" si="129"/>
        <v>2642089.1478141597</v>
      </c>
      <c r="M221" s="118">
        <f t="shared" si="129"/>
        <v>-87551.69946936029</v>
      </c>
      <c r="N221" s="118">
        <f t="shared" si="129"/>
        <v>1768243.6780966744</v>
      </c>
      <c r="O221" s="118">
        <f t="shared" si="129"/>
        <v>2972249.3261782764</v>
      </c>
      <c r="P221" s="118">
        <f t="shared" si="125"/>
        <v>18205076.037592929</v>
      </c>
      <c r="Q221" s="118"/>
    </row>
    <row r="222" spans="2:17" x14ac:dyDescent="0.2">
      <c r="B222" s="114" t="s">
        <v>306</v>
      </c>
      <c r="C222" s="148"/>
      <c r="D222" s="118">
        <f t="shared" ref="D222:O222" si="130">D187</f>
        <v>1025780.8184889563</v>
      </c>
      <c r="E222" s="118">
        <f t="shared" si="130"/>
        <v>586117.26541935885</v>
      </c>
      <c r="F222" s="118">
        <f t="shared" si="130"/>
        <v>774490.41219140624</v>
      </c>
      <c r="G222" s="118">
        <f t="shared" si="130"/>
        <v>560300.14762078819</v>
      </c>
      <c r="H222" s="118">
        <f t="shared" si="130"/>
        <v>236815.6990744058</v>
      </c>
      <c r="I222" s="118">
        <f t="shared" si="130"/>
        <v>291745.19946457754</v>
      </c>
      <c r="J222" s="118">
        <f t="shared" si="130"/>
        <v>202935.32800987101</v>
      </c>
      <c r="K222" s="118">
        <f t="shared" si="130"/>
        <v>127443.3485143358</v>
      </c>
      <c r="L222" s="118">
        <f t="shared" si="130"/>
        <v>198103.81038844204</v>
      </c>
      <c r="M222" s="118">
        <f t="shared" si="130"/>
        <v>412190.50945005682</v>
      </c>
      <c r="N222" s="118">
        <f t="shared" si="130"/>
        <v>642484.25547517592</v>
      </c>
      <c r="O222" s="118">
        <f t="shared" si="130"/>
        <v>746055.94391037966</v>
      </c>
      <c r="P222" s="118">
        <f t="shared" si="125"/>
        <v>5804462.7380077541</v>
      </c>
      <c r="Q222" s="118"/>
    </row>
    <row r="223" spans="2:17" x14ac:dyDescent="0.2">
      <c r="B223" s="114" t="s">
        <v>307</v>
      </c>
      <c r="C223" s="148"/>
      <c r="D223" s="118">
        <f t="shared" ref="D223:O223" si="131">D188</f>
        <v>2671151.3526611095</v>
      </c>
      <c r="E223" s="118">
        <f t="shared" si="131"/>
        <v>3673567.2602160717</v>
      </c>
      <c r="F223" s="118">
        <f t="shared" si="131"/>
        <v>668974.77228124999</v>
      </c>
      <c r="G223" s="118">
        <f t="shared" si="131"/>
        <v>1168386.0981555542</v>
      </c>
      <c r="H223" s="118">
        <f t="shared" si="131"/>
        <v>1996995.3525166661</v>
      </c>
      <c r="I223" s="118">
        <f t="shared" si="131"/>
        <v>3403960.028473611</v>
      </c>
      <c r="J223" s="118">
        <f t="shared" si="131"/>
        <v>204785.59449999995</v>
      </c>
      <c r="K223" s="118">
        <f t="shared" si="131"/>
        <v>2315404.6089999997</v>
      </c>
      <c r="L223" s="118">
        <f t="shared" si="131"/>
        <v>1019812.6919166662</v>
      </c>
      <c r="M223" s="118">
        <f t="shared" si="131"/>
        <v>1343359.1449625001</v>
      </c>
      <c r="N223" s="118">
        <f t="shared" si="131"/>
        <v>4079371.0411562496</v>
      </c>
      <c r="O223" s="118">
        <f t="shared" si="131"/>
        <v>-114369.95524930644</v>
      </c>
      <c r="P223" s="118">
        <f t="shared" si="125"/>
        <v>22431397.990590375</v>
      </c>
      <c r="Q223" s="118"/>
    </row>
    <row r="224" spans="2:17" x14ac:dyDescent="0.2">
      <c r="B224" s="7" t="s">
        <v>308</v>
      </c>
      <c r="C224" s="148"/>
      <c r="D224" s="118">
        <f t="shared" ref="D224:O224" si="132">D189</f>
        <v>4061.8100000000009</v>
      </c>
      <c r="E224" s="118">
        <f t="shared" si="132"/>
        <v>7479.44</v>
      </c>
      <c r="F224" s="118">
        <f t="shared" si="132"/>
        <v>436.00999999999931</v>
      </c>
      <c r="G224" s="118">
        <f t="shared" si="132"/>
        <v>8197.6499999999978</v>
      </c>
      <c r="H224" s="118">
        <f t="shared" si="132"/>
        <v>2010.3100000000009</v>
      </c>
      <c r="I224" s="118">
        <f t="shared" si="132"/>
        <v>2026.2400000000048</v>
      </c>
      <c r="J224" s="118">
        <f t="shared" si="132"/>
        <v>1223.1899999999966</v>
      </c>
      <c r="K224" s="118">
        <f t="shared" si="132"/>
        <v>1417.5800000000008</v>
      </c>
      <c r="L224" s="118">
        <f t="shared" si="132"/>
        <v>621.72999999999911</v>
      </c>
      <c r="M224" s="118">
        <f t="shared" si="132"/>
        <v>4209.6500000000005</v>
      </c>
      <c r="N224" s="118">
        <f t="shared" si="132"/>
        <v>-91.069999999999709</v>
      </c>
      <c r="O224" s="118">
        <f t="shared" si="132"/>
        <v>10944.9</v>
      </c>
      <c r="P224" s="118">
        <f t="shared" si="125"/>
        <v>42537.440000000002</v>
      </c>
      <c r="Q224" s="118"/>
    </row>
    <row r="225" spans="2:18" x14ac:dyDescent="0.2">
      <c r="B225" s="7" t="s">
        <v>309</v>
      </c>
      <c r="C225" s="148"/>
      <c r="D225" s="118">
        <f t="shared" ref="D225:O225" si="133">D190</f>
        <v>2116257.4493050659</v>
      </c>
      <c r="E225" s="118">
        <f t="shared" si="133"/>
        <v>3503168.5831967369</v>
      </c>
      <c r="F225" s="118">
        <f t="shared" si="133"/>
        <v>370197.40422354342</v>
      </c>
      <c r="G225" s="118">
        <f t="shared" si="133"/>
        <v>1578681.1496891107</v>
      </c>
      <c r="H225" s="118">
        <f t="shared" si="133"/>
        <v>1487493.37</v>
      </c>
      <c r="I225" s="118">
        <f t="shared" si="133"/>
        <v>1529480.7599999998</v>
      </c>
      <c r="J225" s="118">
        <f t="shared" si="133"/>
        <v>1488754.26</v>
      </c>
      <c r="K225" s="118">
        <f t="shared" si="133"/>
        <v>1566588.2999999998</v>
      </c>
      <c r="L225" s="118">
        <f t="shared" si="133"/>
        <v>1423425.45</v>
      </c>
      <c r="M225" s="118">
        <f t="shared" si="133"/>
        <v>1635236.1628457499</v>
      </c>
      <c r="N225" s="118">
        <f t="shared" si="133"/>
        <v>1450494.6963015625</v>
      </c>
      <c r="O225" s="118">
        <f t="shared" si="133"/>
        <v>2093788.0265729453</v>
      </c>
      <c r="P225" s="118">
        <f t="shared" si="125"/>
        <v>20243565.612134714</v>
      </c>
      <c r="Q225" s="118"/>
    </row>
    <row r="226" spans="2:18" x14ac:dyDescent="0.2">
      <c r="B226" s="7" t="s">
        <v>310</v>
      </c>
      <c r="C226" s="148"/>
      <c r="D226" s="118">
        <f t="shared" ref="D226:O226" si="134">D191</f>
        <v>5636935.1575066661</v>
      </c>
      <c r="E226" s="118">
        <f t="shared" si="134"/>
        <v>10854424.084729547</v>
      </c>
      <c r="F226" s="118">
        <f t="shared" si="134"/>
        <v>989332.09326520772</v>
      </c>
      <c r="G226" s="118">
        <f t="shared" si="134"/>
        <v>5396033.4200273342</v>
      </c>
      <c r="H226" s="118">
        <f t="shared" si="134"/>
        <v>4950021.9804604445</v>
      </c>
      <c r="I226" s="118">
        <f t="shared" si="134"/>
        <v>5340360.0716385422</v>
      </c>
      <c r="J226" s="118">
        <f t="shared" si="134"/>
        <v>5486454.6199999992</v>
      </c>
      <c r="K226" s="118">
        <f t="shared" si="134"/>
        <v>5472741.21</v>
      </c>
      <c r="L226" s="118">
        <f t="shared" si="134"/>
        <v>5230804.8599999994</v>
      </c>
      <c r="M226" s="118">
        <f t="shared" si="134"/>
        <v>5652904.1765000001</v>
      </c>
      <c r="N226" s="118">
        <f t="shared" si="134"/>
        <v>4792585.345416666</v>
      </c>
      <c r="O226" s="118">
        <f t="shared" si="134"/>
        <v>7411321.7746001109</v>
      </c>
      <c r="P226" s="118">
        <f t="shared" si="125"/>
        <v>67213918.794144511</v>
      </c>
      <c r="Q226" s="118"/>
    </row>
    <row r="227" spans="2:18" x14ac:dyDescent="0.2">
      <c r="B227" s="8" t="s">
        <v>314</v>
      </c>
      <c r="C227" s="148"/>
      <c r="D227" s="118">
        <f t="shared" ref="D227:O227" si="135">D192</f>
        <v>61613.149999999994</v>
      </c>
      <c r="E227" s="118">
        <f t="shared" si="135"/>
        <v>72270.049999999988</v>
      </c>
      <c r="F227" s="118">
        <f t="shared" si="135"/>
        <v>35239.780000000006</v>
      </c>
      <c r="G227" s="118">
        <f t="shared" si="135"/>
        <v>58890.58</v>
      </c>
      <c r="H227" s="118">
        <f t="shared" si="135"/>
        <v>61239.66</v>
      </c>
      <c r="I227" s="118">
        <f t="shared" si="135"/>
        <v>53852.4</v>
      </c>
      <c r="J227" s="118">
        <f t="shared" si="135"/>
        <v>45025.66</v>
      </c>
      <c r="K227" s="118">
        <f t="shared" si="135"/>
        <v>50411.61</v>
      </c>
      <c r="L227" s="118">
        <f t="shared" si="135"/>
        <v>52167.13</v>
      </c>
      <c r="M227" s="118">
        <f t="shared" si="135"/>
        <v>607645.32000000007</v>
      </c>
      <c r="N227" s="118">
        <f t="shared" si="135"/>
        <v>130077.13</v>
      </c>
      <c r="O227" s="118">
        <f t="shared" si="135"/>
        <v>43383.649999999994</v>
      </c>
      <c r="P227" s="118">
        <f t="shared" si="125"/>
        <v>1271816.1200000001</v>
      </c>
      <c r="Q227" s="118"/>
    </row>
    <row r="228" spans="2:18" x14ac:dyDescent="0.2">
      <c r="B228" s="7" t="s">
        <v>312</v>
      </c>
      <c r="C228" s="148"/>
      <c r="D228" s="118">
        <f t="shared" ref="D228:O228" si="136">D193</f>
        <v>6908386.4182366673</v>
      </c>
      <c r="E228" s="118">
        <f t="shared" si="136"/>
        <v>16719102.09130821</v>
      </c>
      <c r="F228" s="118">
        <f t="shared" si="136"/>
        <v>333900.78700083337</v>
      </c>
      <c r="G228" s="118">
        <f t="shared" si="136"/>
        <v>7139668.2335933335</v>
      </c>
      <c r="H228" s="118">
        <f t="shared" si="136"/>
        <v>6448318.3869866664</v>
      </c>
      <c r="I228" s="118">
        <f t="shared" si="136"/>
        <v>7177075.3100000005</v>
      </c>
      <c r="J228" s="118">
        <f t="shared" si="136"/>
        <v>6468165.21</v>
      </c>
      <c r="K228" s="118">
        <f t="shared" si="136"/>
        <v>8374601.6000000006</v>
      </c>
      <c r="L228" s="118">
        <f t="shared" si="136"/>
        <v>7466576.9373499993</v>
      </c>
      <c r="M228" s="118">
        <f t="shared" si="136"/>
        <v>8793902.4524625018</v>
      </c>
      <c r="N228" s="118">
        <f t="shared" si="136"/>
        <v>6370032.6864062492</v>
      </c>
      <c r="O228" s="118">
        <f t="shared" si="136"/>
        <v>10686729.357819166</v>
      </c>
      <c r="P228" s="118">
        <f t="shared" si="125"/>
        <v>92886459.471163645</v>
      </c>
      <c r="Q228" s="118"/>
    </row>
    <row r="229" spans="2:18" s="57" customFormat="1" x14ac:dyDescent="0.2">
      <c r="B229" s="114" t="s">
        <v>127</v>
      </c>
      <c r="C229" s="159"/>
      <c r="D229" s="118">
        <f t="shared" ref="D229:O229" si="137">D194</f>
        <v>4201141.2881666645</v>
      </c>
      <c r="E229" s="118">
        <f t="shared" si="137"/>
        <v>7145448.6636345219</v>
      </c>
      <c r="F229" s="118">
        <f t="shared" si="137"/>
        <v>-415624.35464861104</v>
      </c>
      <c r="G229" s="118">
        <f t="shared" si="137"/>
        <v>2040422.6695111087</v>
      </c>
      <c r="H229" s="118">
        <f t="shared" si="137"/>
        <v>2630114.0886666668</v>
      </c>
      <c r="I229" s="118">
        <f t="shared" si="137"/>
        <v>1925866.3896416659</v>
      </c>
      <c r="J229" s="118">
        <f t="shared" si="137"/>
        <v>1644229.3199999998</v>
      </c>
      <c r="K229" s="118">
        <f t="shared" si="137"/>
        <v>1677138.95</v>
      </c>
      <c r="L229" s="118">
        <f t="shared" si="137"/>
        <v>1848978.4066333331</v>
      </c>
      <c r="M229" s="118">
        <f t="shared" si="137"/>
        <v>2740387.9028999996</v>
      </c>
      <c r="N229" s="118">
        <f t="shared" si="137"/>
        <v>2646295.9605208319</v>
      </c>
      <c r="O229" s="118">
        <f t="shared" si="137"/>
        <v>4504331.2449416667</v>
      </c>
      <c r="P229" s="118">
        <f t="shared" si="125"/>
        <v>32588730.529967844</v>
      </c>
      <c r="Q229" s="118"/>
    </row>
    <row r="230" spans="2:18" x14ac:dyDescent="0.2">
      <c r="B230" s="117" t="s">
        <v>315</v>
      </c>
      <c r="C230" s="148"/>
      <c r="D230" s="157">
        <f t="shared" ref="D230:P230" si="138">SUM(D217:D229)</f>
        <v>167919178.32702145</v>
      </c>
      <c r="E230" s="157">
        <f t="shared" si="138"/>
        <v>164298382.62532037</v>
      </c>
      <c r="F230" s="157">
        <f t="shared" si="138"/>
        <v>110471411.79847559</v>
      </c>
      <c r="G230" s="157">
        <f t="shared" si="138"/>
        <v>92073797.063563824</v>
      </c>
      <c r="H230" s="157">
        <f t="shared" si="138"/>
        <v>65147590.494160093</v>
      </c>
      <c r="I230" s="157">
        <f t="shared" si="138"/>
        <v>56240511.128027022</v>
      </c>
      <c r="J230" s="157">
        <f t="shared" si="138"/>
        <v>42382698.350129239</v>
      </c>
      <c r="K230" s="157">
        <f t="shared" si="138"/>
        <v>43082801.757986553</v>
      </c>
      <c r="L230" s="157">
        <f t="shared" si="138"/>
        <v>50055826.728992008</v>
      </c>
      <c r="M230" s="157">
        <f t="shared" si="138"/>
        <v>85186566.30998455</v>
      </c>
      <c r="N230" s="157">
        <f t="shared" si="138"/>
        <v>126358904.04787149</v>
      </c>
      <c r="O230" s="157">
        <f t="shared" si="138"/>
        <v>166882488.20587355</v>
      </c>
      <c r="P230" s="157">
        <f t="shared" si="138"/>
        <v>1170100156.8374057</v>
      </c>
      <c r="Q230" s="118"/>
    </row>
    <row r="231" spans="2:18" x14ac:dyDescent="0.2">
      <c r="B231" s="117" t="s">
        <v>211</v>
      </c>
      <c r="C231" s="148"/>
      <c r="D231" s="118">
        <f t="shared" ref="D231:P231" si="139">D230-D195</f>
        <v>0</v>
      </c>
      <c r="E231" s="118">
        <f t="shared" si="139"/>
        <v>0</v>
      </c>
      <c r="F231" s="118">
        <f t="shared" si="139"/>
        <v>0</v>
      </c>
      <c r="G231" s="118">
        <f t="shared" si="139"/>
        <v>0</v>
      </c>
      <c r="H231" s="118">
        <f t="shared" si="139"/>
        <v>0</v>
      </c>
      <c r="I231" s="118">
        <f t="shared" si="139"/>
        <v>0</v>
      </c>
      <c r="J231" s="118">
        <f t="shared" si="139"/>
        <v>0</v>
      </c>
      <c r="K231" s="118">
        <f t="shared" si="139"/>
        <v>0</v>
      </c>
      <c r="L231" s="118">
        <f t="shared" si="139"/>
        <v>0</v>
      </c>
      <c r="M231" s="118">
        <f t="shared" si="139"/>
        <v>0</v>
      </c>
      <c r="N231" s="118">
        <f t="shared" si="139"/>
        <v>0</v>
      </c>
      <c r="O231" s="118">
        <f t="shared" si="139"/>
        <v>0</v>
      </c>
      <c r="P231" s="118">
        <f t="shared" si="139"/>
        <v>0</v>
      </c>
      <c r="Q231" s="118"/>
    </row>
    <row r="232" spans="2:18" x14ac:dyDescent="0.2">
      <c r="B232" s="117"/>
      <c r="C232" s="148"/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</row>
    <row r="233" spans="2:18" x14ac:dyDescent="0.2">
      <c r="B233" s="117" t="s">
        <v>321</v>
      </c>
      <c r="C233" s="148"/>
      <c r="D233" s="118">
        <f t="shared" ref="D233:O233" si="140">SUM(D217:D223)</f>
        <v>148990783.05380636</v>
      </c>
      <c r="E233" s="118">
        <f t="shared" si="140"/>
        <v>125996489.71245135</v>
      </c>
      <c r="F233" s="118">
        <f t="shared" si="140"/>
        <v>109157930.0786346</v>
      </c>
      <c r="G233" s="118">
        <f t="shared" si="140"/>
        <v>75851903.360742941</v>
      </c>
      <c r="H233" s="118">
        <f t="shared" si="140"/>
        <v>49568392.698046319</v>
      </c>
      <c r="I233" s="118">
        <f t="shared" si="140"/>
        <v>40211849.956746817</v>
      </c>
      <c r="J233" s="118">
        <f t="shared" si="140"/>
        <v>27248846.090129241</v>
      </c>
      <c r="K233" s="118">
        <f t="shared" si="140"/>
        <v>25939902.507986549</v>
      </c>
      <c r="L233" s="118">
        <f t="shared" si="140"/>
        <v>34033252.215008676</v>
      </c>
      <c r="M233" s="118">
        <f t="shared" si="140"/>
        <v>65752280.645276308</v>
      </c>
      <c r="N233" s="118">
        <f t="shared" si="140"/>
        <v>110969509.29922616</v>
      </c>
      <c r="O233" s="118">
        <f t="shared" si="140"/>
        <v>142131989.25193965</v>
      </c>
      <c r="P233" s="118">
        <f>SUM(D233:O233)</f>
        <v>955853128.86999488</v>
      </c>
      <c r="Q233" s="118"/>
    </row>
    <row r="234" spans="2:18" x14ac:dyDescent="0.2">
      <c r="B234" s="117" t="s">
        <v>322</v>
      </c>
      <c r="C234" s="148"/>
      <c r="D234" s="118">
        <f t="shared" ref="D234:O234" si="141">SUM(D224:D229)</f>
        <v>18928395.273215063</v>
      </c>
      <c r="E234" s="118">
        <f t="shared" si="141"/>
        <v>38301892.912869014</v>
      </c>
      <c r="F234" s="118">
        <f t="shared" si="141"/>
        <v>1313481.7198409734</v>
      </c>
      <c r="G234" s="118">
        <f t="shared" si="141"/>
        <v>16221893.702820886</v>
      </c>
      <c r="H234" s="118">
        <f t="shared" si="141"/>
        <v>15579197.796113778</v>
      </c>
      <c r="I234" s="118">
        <f t="shared" si="141"/>
        <v>16028661.171280209</v>
      </c>
      <c r="J234" s="118">
        <f t="shared" si="141"/>
        <v>15133852.26</v>
      </c>
      <c r="K234" s="118">
        <f t="shared" si="141"/>
        <v>17142899.25</v>
      </c>
      <c r="L234" s="118">
        <f t="shared" si="141"/>
        <v>16022574.513983332</v>
      </c>
      <c r="M234" s="118">
        <f t="shared" si="141"/>
        <v>19434285.664708253</v>
      </c>
      <c r="N234" s="118">
        <f t="shared" si="141"/>
        <v>15389394.748645309</v>
      </c>
      <c r="O234" s="118">
        <f t="shared" si="141"/>
        <v>24750498.953933887</v>
      </c>
      <c r="P234" s="118">
        <f>SUM(D234:O234)</f>
        <v>214247027.96741071</v>
      </c>
      <c r="Q234" s="118"/>
    </row>
    <row r="235" spans="2:18" x14ac:dyDescent="0.2">
      <c r="B235" s="117" t="s">
        <v>72</v>
      </c>
      <c r="C235" s="148"/>
      <c r="D235" s="157">
        <f t="shared" ref="D235:P235" si="142">SUM(D233:D234)</f>
        <v>167919178.32702142</v>
      </c>
      <c r="E235" s="157">
        <f t="shared" si="142"/>
        <v>164298382.62532037</v>
      </c>
      <c r="F235" s="157">
        <f t="shared" si="142"/>
        <v>110471411.79847558</v>
      </c>
      <c r="G235" s="157">
        <f t="shared" si="142"/>
        <v>92073797.063563824</v>
      </c>
      <c r="H235" s="157">
        <f t="shared" si="142"/>
        <v>65147590.494160101</v>
      </c>
      <c r="I235" s="157">
        <f t="shared" si="142"/>
        <v>56240511.128027022</v>
      </c>
      <c r="J235" s="157">
        <f t="shared" si="142"/>
        <v>42382698.350129239</v>
      </c>
      <c r="K235" s="157">
        <f t="shared" si="142"/>
        <v>43082801.757986546</v>
      </c>
      <c r="L235" s="157">
        <f t="shared" si="142"/>
        <v>50055826.728992008</v>
      </c>
      <c r="M235" s="157">
        <f t="shared" si="142"/>
        <v>85186566.309984565</v>
      </c>
      <c r="N235" s="157">
        <f t="shared" si="142"/>
        <v>126358904.04787147</v>
      </c>
      <c r="O235" s="157">
        <f t="shared" si="142"/>
        <v>166882488.20587355</v>
      </c>
      <c r="P235" s="157">
        <f t="shared" si="142"/>
        <v>1170100156.8374057</v>
      </c>
      <c r="Q235" s="118"/>
    </row>
    <row r="236" spans="2:18" x14ac:dyDescent="0.2">
      <c r="B236" s="160" t="s">
        <v>211</v>
      </c>
      <c r="C236" s="161"/>
      <c r="D236" s="162">
        <f t="shared" ref="D236:P236" si="143">D235-D230</f>
        <v>0</v>
      </c>
      <c r="E236" s="162">
        <f t="shared" si="143"/>
        <v>0</v>
      </c>
      <c r="F236" s="162">
        <f t="shared" si="143"/>
        <v>0</v>
      </c>
      <c r="G236" s="162">
        <f t="shared" si="143"/>
        <v>0</v>
      </c>
      <c r="H236" s="162">
        <f t="shared" si="143"/>
        <v>0</v>
      </c>
      <c r="I236" s="162">
        <f t="shared" si="143"/>
        <v>0</v>
      </c>
      <c r="J236" s="162">
        <f t="shared" si="143"/>
        <v>0</v>
      </c>
      <c r="K236" s="162">
        <f t="shared" si="143"/>
        <v>0</v>
      </c>
      <c r="L236" s="162">
        <f t="shared" si="143"/>
        <v>0</v>
      </c>
      <c r="M236" s="162">
        <f t="shared" si="143"/>
        <v>0</v>
      </c>
      <c r="N236" s="162">
        <f t="shared" si="143"/>
        <v>0</v>
      </c>
      <c r="O236" s="162">
        <f t="shared" si="143"/>
        <v>0</v>
      </c>
      <c r="P236" s="162">
        <f t="shared" si="143"/>
        <v>0</v>
      </c>
      <c r="Q236" s="118"/>
    </row>
    <row r="237" spans="2:18" s="8" customFormat="1" x14ac:dyDescent="0.2">
      <c r="B237" s="117"/>
      <c r="C237" s="148"/>
      <c r="D237" s="118"/>
      <c r="E237" s="118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  <c r="Q237" s="118"/>
    </row>
    <row r="238" spans="2:18" s="8" customFormat="1" x14ac:dyDescent="0.2">
      <c r="B238" s="119" t="s">
        <v>323</v>
      </c>
      <c r="C238" s="148"/>
      <c r="D238" s="118"/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  <c r="Q238" s="118"/>
    </row>
    <row r="239" spans="2:18" s="8" customFormat="1" x14ac:dyDescent="0.2">
      <c r="B239" s="8" t="s">
        <v>324</v>
      </c>
      <c r="C239" s="144">
        <v>23</v>
      </c>
      <c r="D239" s="68">
        <f t="shared" ref="D239:N252" si="144">IFERROR(ROUND(SUMIF($C$114:$C$139,$C239,D$114:D$139),0)/ROUND(SUMIF($C$36:$C$63,$C239,D$36:D$63),0),0)</f>
        <v>124.73865241661615</v>
      </c>
      <c r="E239" s="68">
        <f t="shared" si="144"/>
        <v>106.31581281487263</v>
      </c>
      <c r="F239" s="68">
        <f t="shared" si="144"/>
        <v>93.698896276309512</v>
      </c>
      <c r="G239" s="68">
        <f t="shared" si="144"/>
        <v>65.02850232982172</v>
      </c>
      <c r="H239" s="68">
        <f t="shared" si="144"/>
        <v>40.331211239291946</v>
      </c>
      <c r="I239" s="68">
        <f t="shared" si="144"/>
        <v>28.730734342482304</v>
      </c>
      <c r="J239" s="68">
        <f t="shared" si="144"/>
        <v>19.899998103510402</v>
      </c>
      <c r="K239" s="68">
        <f t="shared" si="144"/>
        <v>17.545443753804342</v>
      </c>
      <c r="L239" s="68">
        <f t="shared" si="144"/>
        <v>24.775551620365114</v>
      </c>
      <c r="M239" s="68">
        <f t="shared" si="144"/>
        <v>55.981636612947298</v>
      </c>
      <c r="N239" s="68">
        <f t="shared" si="144"/>
        <v>92.384403086037892</v>
      </c>
      <c r="O239" s="68">
        <f t="shared" ref="O239:O252" si="145">IFERROR(ROUND(SUMIF($C$114:$C$139,$C239,O$114:O$139),0)/ROUND(SUMIF($C$36:$C$63,$C239,O$36:O$63),0),0)</f>
        <v>122.41312176513871</v>
      </c>
      <c r="P239" s="68">
        <f t="shared" ref="P239:P253" si="146">SUM(D239:O239)</f>
        <v>791.84396436119812</v>
      </c>
      <c r="Q239" s="68"/>
      <c r="R239" s="145"/>
    </row>
    <row r="240" spans="2:18" s="8" customFormat="1" x14ac:dyDescent="0.2">
      <c r="B240" s="8" t="s">
        <v>325</v>
      </c>
      <c r="C240" s="144">
        <v>31</v>
      </c>
      <c r="D240" s="68">
        <f t="shared" si="144"/>
        <v>619.42394466802557</v>
      </c>
      <c r="E240" s="68">
        <f t="shared" si="144"/>
        <v>513.37618400891495</v>
      </c>
      <c r="F240" s="68">
        <f t="shared" si="144"/>
        <v>445.32535801910598</v>
      </c>
      <c r="G240" s="68">
        <f t="shared" si="144"/>
        <v>292.45893576573593</v>
      </c>
      <c r="H240" s="68">
        <f t="shared" si="144"/>
        <v>187.73847819632908</v>
      </c>
      <c r="I240" s="68">
        <f t="shared" si="144"/>
        <v>158.08384490267065</v>
      </c>
      <c r="J240" s="68">
        <f t="shared" si="144"/>
        <v>127.20766633426057</v>
      </c>
      <c r="K240" s="68">
        <f t="shared" si="144"/>
        <v>112.61278577180268</v>
      </c>
      <c r="L240" s="68">
        <f t="shared" si="144"/>
        <v>133.24001329810503</v>
      </c>
      <c r="M240" s="68">
        <f t="shared" si="144"/>
        <v>258.58681745088444</v>
      </c>
      <c r="N240" s="68">
        <f t="shared" si="144"/>
        <v>431.43502972610145</v>
      </c>
      <c r="O240" s="68">
        <f t="shared" si="145"/>
        <v>575.87137088352017</v>
      </c>
      <c r="P240" s="68">
        <f t="shared" si="146"/>
        <v>3855.3604290254561</v>
      </c>
      <c r="Q240" s="68"/>
      <c r="R240" s="145"/>
    </row>
    <row r="241" spans="2:18" s="8" customFormat="1" x14ac:dyDescent="0.2">
      <c r="B241" s="8" t="s">
        <v>326</v>
      </c>
      <c r="C241" s="144">
        <v>41</v>
      </c>
      <c r="D241" s="68">
        <f t="shared" si="144"/>
        <v>6555.9452363090777</v>
      </c>
      <c r="E241" s="68">
        <f t="shared" si="144"/>
        <v>5822.6387631975867</v>
      </c>
      <c r="F241" s="68">
        <f t="shared" si="144"/>
        <v>5099.1928895612709</v>
      </c>
      <c r="G241" s="68">
        <f t="shared" si="144"/>
        <v>3544.0495049504952</v>
      </c>
      <c r="H241" s="68">
        <f t="shared" si="144"/>
        <v>2602.3675344563553</v>
      </c>
      <c r="I241" s="68">
        <f t="shared" si="144"/>
        <v>2254.7764165390504</v>
      </c>
      <c r="J241" s="68">
        <f t="shared" si="144"/>
        <v>2317.2720930232558</v>
      </c>
      <c r="K241" s="68">
        <f t="shared" si="144"/>
        <v>1735.8177570093458</v>
      </c>
      <c r="L241" s="68">
        <f t="shared" si="144"/>
        <v>2269.8668224299067</v>
      </c>
      <c r="M241" s="68">
        <f t="shared" si="144"/>
        <v>3755.2659409020216</v>
      </c>
      <c r="N241" s="68">
        <f t="shared" si="144"/>
        <v>4865.6423017107309</v>
      </c>
      <c r="O241" s="68">
        <f t="shared" si="145"/>
        <v>6242.1742543171113</v>
      </c>
      <c r="P241" s="68">
        <f t="shared" si="146"/>
        <v>47065.009514406214</v>
      </c>
      <c r="Q241" s="68"/>
      <c r="R241" s="145"/>
    </row>
    <row r="242" spans="2:18" s="8" customFormat="1" x14ac:dyDescent="0.2">
      <c r="B242" s="8" t="s">
        <v>251</v>
      </c>
      <c r="C242" s="144">
        <v>53</v>
      </c>
      <c r="D242" s="68">
        <f t="shared" si="144"/>
        <v>0</v>
      </c>
      <c r="E242" s="68">
        <f t="shared" si="144"/>
        <v>0</v>
      </c>
      <c r="F242" s="68">
        <f t="shared" si="144"/>
        <v>0</v>
      </c>
      <c r="G242" s="68">
        <f t="shared" si="144"/>
        <v>0</v>
      </c>
      <c r="H242" s="68">
        <f t="shared" si="144"/>
        <v>0</v>
      </c>
      <c r="I242" s="68">
        <f t="shared" si="144"/>
        <v>0</v>
      </c>
      <c r="J242" s="68">
        <f t="shared" si="144"/>
        <v>0</v>
      </c>
      <c r="K242" s="68">
        <f t="shared" si="144"/>
        <v>0</v>
      </c>
      <c r="L242" s="68">
        <f t="shared" si="144"/>
        <v>0</v>
      </c>
      <c r="M242" s="68">
        <f t="shared" si="144"/>
        <v>0</v>
      </c>
      <c r="N242" s="68">
        <f t="shared" si="144"/>
        <v>0</v>
      </c>
      <c r="O242" s="68">
        <f t="shared" si="145"/>
        <v>0</v>
      </c>
      <c r="P242" s="68">
        <f t="shared" si="146"/>
        <v>0</v>
      </c>
      <c r="Q242" s="68"/>
      <c r="R242" s="145"/>
    </row>
    <row r="243" spans="2:18" s="8" customFormat="1" x14ac:dyDescent="0.2">
      <c r="B243" s="8" t="s">
        <v>254</v>
      </c>
      <c r="C243" s="144">
        <v>50</v>
      </c>
      <c r="D243" s="68">
        <f t="shared" si="144"/>
        <v>0</v>
      </c>
      <c r="E243" s="68">
        <f t="shared" si="144"/>
        <v>0</v>
      </c>
      <c r="F243" s="68">
        <f t="shared" si="144"/>
        <v>0</v>
      </c>
      <c r="G243" s="68">
        <f t="shared" si="144"/>
        <v>0</v>
      </c>
      <c r="H243" s="68">
        <f t="shared" si="144"/>
        <v>0</v>
      </c>
      <c r="I243" s="68">
        <f t="shared" si="144"/>
        <v>0</v>
      </c>
      <c r="J243" s="68">
        <f t="shared" si="144"/>
        <v>0</v>
      </c>
      <c r="K243" s="68">
        <f t="shared" si="144"/>
        <v>0</v>
      </c>
      <c r="L243" s="68">
        <f t="shared" si="144"/>
        <v>0</v>
      </c>
      <c r="M243" s="68">
        <f t="shared" si="144"/>
        <v>0</v>
      </c>
      <c r="N243" s="68">
        <f t="shared" si="144"/>
        <v>0</v>
      </c>
      <c r="O243" s="68">
        <f t="shared" si="145"/>
        <v>0</v>
      </c>
      <c r="P243" s="68">
        <f t="shared" si="146"/>
        <v>0</v>
      </c>
      <c r="Q243" s="68"/>
      <c r="R243" s="145"/>
    </row>
    <row r="244" spans="2:18" s="8" customFormat="1" x14ac:dyDescent="0.2">
      <c r="B244" s="7" t="s">
        <v>308</v>
      </c>
      <c r="C244" s="144" t="s">
        <v>71</v>
      </c>
      <c r="D244" s="68">
        <f t="shared" si="144"/>
        <v>2031</v>
      </c>
      <c r="E244" s="68">
        <f t="shared" si="144"/>
        <v>3739.5</v>
      </c>
      <c r="F244" s="68">
        <f t="shared" si="144"/>
        <v>218</v>
      </c>
      <c r="G244" s="68">
        <f t="shared" si="144"/>
        <v>4099</v>
      </c>
      <c r="H244" s="68">
        <f t="shared" si="144"/>
        <v>1005</v>
      </c>
      <c r="I244" s="68">
        <f t="shared" si="144"/>
        <v>1013</v>
      </c>
      <c r="J244" s="68">
        <f t="shared" si="144"/>
        <v>611.5</v>
      </c>
      <c r="K244" s="68">
        <f t="shared" si="144"/>
        <v>709</v>
      </c>
      <c r="L244" s="68">
        <f t="shared" si="144"/>
        <v>311</v>
      </c>
      <c r="M244" s="68">
        <f t="shared" si="144"/>
        <v>2105</v>
      </c>
      <c r="N244" s="68">
        <f t="shared" si="144"/>
        <v>-45.5</v>
      </c>
      <c r="O244" s="68">
        <f t="shared" si="145"/>
        <v>5472.5</v>
      </c>
      <c r="P244" s="68">
        <f t="shared" si="146"/>
        <v>21269</v>
      </c>
      <c r="Q244" s="68"/>
      <c r="R244" s="145"/>
    </row>
    <row r="245" spans="2:18" s="8" customFormat="1" x14ac:dyDescent="0.2">
      <c r="B245" s="8" t="s">
        <v>309</v>
      </c>
      <c r="C245" s="144" t="s">
        <v>75</v>
      </c>
      <c r="D245" s="68">
        <f t="shared" si="144"/>
        <v>20348.625</v>
      </c>
      <c r="E245" s="68">
        <f t="shared" si="144"/>
        <v>34011.34951456311</v>
      </c>
      <c r="F245" s="68">
        <f t="shared" si="144"/>
        <v>3594.1456310679609</v>
      </c>
      <c r="G245" s="68">
        <f t="shared" si="144"/>
        <v>15327</v>
      </c>
      <c r="H245" s="68">
        <f t="shared" si="144"/>
        <v>14441.679611650485</v>
      </c>
      <c r="I245" s="68">
        <f t="shared" si="144"/>
        <v>14849.330097087379</v>
      </c>
      <c r="J245" s="68">
        <f t="shared" si="144"/>
        <v>14453.922330097088</v>
      </c>
      <c r="K245" s="68">
        <f t="shared" si="144"/>
        <v>15209.592233009709</v>
      </c>
      <c r="L245" s="68">
        <f t="shared" si="144"/>
        <v>14234.25</v>
      </c>
      <c r="M245" s="68">
        <f t="shared" si="144"/>
        <v>16517.535353535353</v>
      </c>
      <c r="N245" s="68">
        <f t="shared" si="144"/>
        <v>14953.556701030928</v>
      </c>
      <c r="O245" s="68">
        <f t="shared" si="145"/>
        <v>21585.443298969072</v>
      </c>
      <c r="P245" s="68">
        <f t="shared" si="146"/>
        <v>199526.42977101108</v>
      </c>
      <c r="Q245" s="68"/>
      <c r="R245" s="145"/>
    </row>
    <row r="246" spans="2:18" s="8" customFormat="1" x14ac:dyDescent="0.2">
      <c r="B246" s="8" t="s">
        <v>310</v>
      </c>
      <c r="C246" s="144" t="s">
        <v>124</v>
      </c>
      <c r="D246" s="68">
        <f t="shared" si="144"/>
        <v>58718.072916666664</v>
      </c>
      <c r="E246" s="68">
        <f t="shared" si="144"/>
        <v>113066.91666666667</v>
      </c>
      <c r="F246" s="68">
        <f t="shared" si="144"/>
        <v>10305.541666666666</v>
      </c>
      <c r="G246" s="68">
        <f t="shared" si="144"/>
        <v>55629.206185567011</v>
      </c>
      <c r="H246" s="68">
        <f t="shared" si="144"/>
        <v>51562.729166666664</v>
      </c>
      <c r="I246" s="68">
        <f t="shared" si="144"/>
        <v>55628.75</v>
      </c>
      <c r="J246" s="68">
        <f t="shared" si="144"/>
        <v>57150.572916666664</v>
      </c>
      <c r="K246" s="68">
        <f t="shared" si="144"/>
        <v>57007.71875</v>
      </c>
      <c r="L246" s="68">
        <f t="shared" si="144"/>
        <v>55061.105263157893</v>
      </c>
      <c r="M246" s="68">
        <f t="shared" si="144"/>
        <v>60137.276595744683</v>
      </c>
      <c r="N246" s="68">
        <f t="shared" si="144"/>
        <v>50984.946808510642</v>
      </c>
      <c r="O246" s="68">
        <f t="shared" si="145"/>
        <v>79691.634408602156</v>
      </c>
      <c r="P246" s="68">
        <f t="shared" si="146"/>
        <v>704944.4713449158</v>
      </c>
      <c r="Q246" s="68"/>
      <c r="R246" s="145"/>
    </row>
    <row r="247" spans="2:18" s="8" customFormat="1" x14ac:dyDescent="0.2">
      <c r="B247" s="8" t="s">
        <v>314</v>
      </c>
      <c r="C247" s="144" t="s">
        <v>78</v>
      </c>
      <c r="D247" s="68">
        <f t="shared" si="144"/>
        <v>20537.666666666668</v>
      </c>
      <c r="E247" s="68">
        <f t="shared" si="144"/>
        <v>24090</v>
      </c>
      <c r="F247" s="68">
        <f t="shared" si="144"/>
        <v>11746.666666666666</v>
      </c>
      <c r="G247" s="68">
        <f t="shared" si="144"/>
        <v>19630.333333333332</v>
      </c>
      <c r="H247" s="68">
        <f t="shared" si="144"/>
        <v>15310</v>
      </c>
      <c r="I247" s="68">
        <f t="shared" si="144"/>
        <v>13463</v>
      </c>
      <c r="J247" s="68">
        <f t="shared" si="144"/>
        <v>11256.5</v>
      </c>
      <c r="K247" s="68">
        <f t="shared" si="144"/>
        <v>10082.4</v>
      </c>
      <c r="L247" s="68">
        <f t="shared" si="144"/>
        <v>8694.5</v>
      </c>
      <c r="M247" s="68">
        <f t="shared" si="144"/>
        <v>86806.428571428565</v>
      </c>
      <c r="N247" s="68">
        <f t="shared" si="144"/>
        <v>18582.428571428572</v>
      </c>
      <c r="O247" s="68">
        <f t="shared" si="145"/>
        <v>6197.7142857142853</v>
      </c>
      <c r="P247" s="68">
        <f t="shared" si="146"/>
        <v>246397.6380952381</v>
      </c>
      <c r="Q247" s="68"/>
      <c r="R247" s="145"/>
    </row>
    <row r="248" spans="2:18" s="8" customFormat="1" x14ac:dyDescent="0.2">
      <c r="B248" s="8" t="s">
        <v>312</v>
      </c>
      <c r="C248" s="144" t="s">
        <v>126</v>
      </c>
      <c r="D248" s="68">
        <f t="shared" si="144"/>
        <v>690838.6</v>
      </c>
      <c r="E248" s="68">
        <f t="shared" si="144"/>
        <v>1671910.2</v>
      </c>
      <c r="F248" s="68">
        <f t="shared" si="144"/>
        <v>33390.1</v>
      </c>
      <c r="G248" s="68">
        <f t="shared" si="144"/>
        <v>713966.8</v>
      </c>
      <c r="H248" s="68">
        <f t="shared" si="144"/>
        <v>644831.80000000005</v>
      </c>
      <c r="I248" s="68">
        <f t="shared" si="144"/>
        <v>717707.5</v>
      </c>
      <c r="J248" s="68">
        <f t="shared" si="144"/>
        <v>646816.5</v>
      </c>
      <c r="K248" s="68">
        <f t="shared" si="144"/>
        <v>837460.2</v>
      </c>
      <c r="L248" s="68">
        <f t="shared" si="144"/>
        <v>746657.7</v>
      </c>
      <c r="M248" s="68">
        <f t="shared" si="144"/>
        <v>879390.2</v>
      </c>
      <c r="N248" s="68">
        <f t="shared" si="144"/>
        <v>637003.30000000005</v>
      </c>
      <c r="O248" s="68">
        <f t="shared" si="145"/>
        <v>1068672.8999999999</v>
      </c>
      <c r="P248" s="68">
        <f t="shared" si="146"/>
        <v>9288645.8000000007</v>
      </c>
      <c r="Q248" s="68"/>
      <c r="R248" s="145"/>
    </row>
    <row r="249" spans="2:18" s="8" customFormat="1" x14ac:dyDescent="0.2">
      <c r="B249" s="8" t="s">
        <v>327</v>
      </c>
      <c r="C249" s="8">
        <v>85</v>
      </c>
      <c r="D249" s="68">
        <f t="shared" si="144"/>
        <v>94038</v>
      </c>
      <c r="E249" s="68">
        <f t="shared" si="144"/>
        <v>22347.678571428572</v>
      </c>
      <c r="F249" s="68">
        <f t="shared" si="144"/>
        <v>49233.607142857145</v>
      </c>
      <c r="G249" s="68">
        <f t="shared" si="144"/>
        <v>47983.535714285717</v>
      </c>
      <c r="H249" s="68">
        <f t="shared" si="144"/>
        <v>47346.321428571428</v>
      </c>
      <c r="I249" s="68">
        <f t="shared" si="144"/>
        <v>65076.035714285717</v>
      </c>
      <c r="J249" s="68">
        <f t="shared" si="144"/>
        <v>30015.535714285714</v>
      </c>
      <c r="K249" s="68">
        <f t="shared" si="144"/>
        <v>32445</v>
      </c>
      <c r="L249" s="68">
        <f t="shared" si="144"/>
        <v>91106.517241379304</v>
      </c>
      <c r="M249" s="68">
        <f t="shared" si="144"/>
        <v>-3019.0344827586205</v>
      </c>
      <c r="N249" s="68">
        <f t="shared" si="144"/>
        <v>60973.931034482761</v>
      </c>
      <c r="O249" s="68">
        <f t="shared" si="145"/>
        <v>102491.3448275862</v>
      </c>
      <c r="P249" s="68">
        <f t="shared" si="146"/>
        <v>640038.47290640394</v>
      </c>
      <c r="Q249" s="68"/>
      <c r="R249" s="145"/>
    </row>
    <row r="250" spans="2:18" s="8" customFormat="1" x14ac:dyDescent="0.2">
      <c r="B250" s="8" t="s">
        <v>328</v>
      </c>
      <c r="C250" s="8">
        <v>86</v>
      </c>
      <c r="D250" s="68">
        <f t="shared" si="144"/>
        <v>7830.3893129770995</v>
      </c>
      <c r="E250" s="68">
        <f t="shared" si="144"/>
        <v>4579.0390625</v>
      </c>
      <c r="F250" s="68">
        <f t="shared" si="144"/>
        <v>6098.3464566929133</v>
      </c>
      <c r="G250" s="68">
        <f t="shared" si="144"/>
        <v>4411.8110236220473</v>
      </c>
      <c r="H250" s="68">
        <f t="shared" si="144"/>
        <v>1879.4920634920634</v>
      </c>
      <c r="I250" s="68">
        <f t="shared" si="144"/>
        <v>2431.2083333333335</v>
      </c>
      <c r="J250" s="68">
        <f t="shared" si="144"/>
        <v>1705.3361344537816</v>
      </c>
      <c r="K250" s="68">
        <f t="shared" si="144"/>
        <v>1070.9495798319329</v>
      </c>
      <c r="L250" s="68">
        <f t="shared" si="144"/>
        <v>1664.7394957983192</v>
      </c>
      <c r="M250" s="68">
        <f t="shared" si="144"/>
        <v>3463.7899159663866</v>
      </c>
      <c r="N250" s="68">
        <f t="shared" si="144"/>
        <v>5444.7796610169489</v>
      </c>
      <c r="O250" s="68">
        <f t="shared" si="145"/>
        <v>6322.5084745762715</v>
      </c>
      <c r="P250" s="68">
        <f t="shared" si="146"/>
        <v>46902.389514261093</v>
      </c>
      <c r="Q250" s="68"/>
      <c r="R250" s="145"/>
    </row>
    <row r="251" spans="2:18" s="8" customFormat="1" x14ac:dyDescent="0.2">
      <c r="B251" s="8" t="s">
        <v>329</v>
      </c>
      <c r="C251" s="8">
        <v>87</v>
      </c>
      <c r="D251" s="68">
        <f t="shared" si="144"/>
        <v>534230.19999999995</v>
      </c>
      <c r="E251" s="68">
        <f t="shared" si="144"/>
        <v>734713.4</v>
      </c>
      <c r="F251" s="68">
        <f t="shared" si="144"/>
        <v>133795</v>
      </c>
      <c r="G251" s="68">
        <f t="shared" si="144"/>
        <v>233677.2</v>
      </c>
      <c r="H251" s="68">
        <f t="shared" si="144"/>
        <v>399399</v>
      </c>
      <c r="I251" s="68">
        <f t="shared" si="144"/>
        <v>680792</v>
      </c>
      <c r="J251" s="68">
        <f t="shared" si="144"/>
        <v>40957.199999999997</v>
      </c>
      <c r="K251" s="68">
        <f t="shared" si="144"/>
        <v>463081</v>
      </c>
      <c r="L251" s="68">
        <f t="shared" si="144"/>
        <v>203962.6</v>
      </c>
      <c r="M251" s="68">
        <f t="shared" si="144"/>
        <v>268671.8</v>
      </c>
      <c r="N251" s="68">
        <f t="shared" si="144"/>
        <v>815874.2</v>
      </c>
      <c r="O251" s="68">
        <f t="shared" si="145"/>
        <v>-22874</v>
      </c>
      <c r="P251" s="68">
        <f t="shared" si="146"/>
        <v>4486279.5999999996</v>
      </c>
      <c r="Q251" s="68"/>
      <c r="R251" s="145"/>
    </row>
    <row r="252" spans="2:18" s="63" customFormat="1" x14ac:dyDescent="0.2">
      <c r="B252" s="121" t="s">
        <v>127</v>
      </c>
      <c r="C252" s="240" t="s">
        <v>272</v>
      </c>
      <c r="D252" s="68">
        <f t="shared" si="144"/>
        <v>420114.1</v>
      </c>
      <c r="E252" s="68">
        <f t="shared" si="144"/>
        <v>714544.9</v>
      </c>
      <c r="F252" s="68">
        <f t="shared" si="144"/>
        <v>-41562.400000000001</v>
      </c>
      <c r="G252" s="68">
        <f t="shared" si="144"/>
        <v>204042.3</v>
      </c>
      <c r="H252" s="68">
        <f t="shared" si="144"/>
        <v>263011.40000000002</v>
      </c>
      <c r="I252" s="68">
        <f t="shared" si="144"/>
        <v>192586.6</v>
      </c>
      <c r="J252" s="68">
        <f t="shared" si="144"/>
        <v>164422.9</v>
      </c>
      <c r="K252" s="68">
        <f t="shared" si="144"/>
        <v>167713.9</v>
      </c>
      <c r="L252" s="68">
        <f t="shared" si="144"/>
        <v>184897.8</v>
      </c>
      <c r="M252" s="68">
        <f t="shared" si="144"/>
        <v>274038.8</v>
      </c>
      <c r="N252" s="68">
        <f t="shared" si="144"/>
        <v>264629.59999999998</v>
      </c>
      <c r="O252" s="68">
        <f t="shared" si="145"/>
        <v>450433.1</v>
      </c>
      <c r="P252" s="68">
        <f t="shared" si="146"/>
        <v>3258873</v>
      </c>
      <c r="Q252" s="68"/>
      <c r="R252" s="145"/>
    </row>
    <row r="253" spans="2:18" x14ac:dyDescent="0.2">
      <c r="B253" s="8" t="s">
        <v>72</v>
      </c>
      <c r="C253" s="8"/>
      <c r="D253" s="68">
        <f t="shared" ref="D253:O253" si="147">IFERROR(ROUND(D142,0)/ROUND(D64,0),0)</f>
        <v>198.08587380811105</v>
      </c>
      <c r="E253" s="68">
        <f t="shared" si="147"/>
        <v>193.66633308108135</v>
      </c>
      <c r="F253" s="68">
        <f t="shared" si="147"/>
        <v>130.12527298041607</v>
      </c>
      <c r="G253" s="68">
        <f t="shared" si="147"/>
        <v>108.47500005890656</v>
      </c>
      <c r="H253" s="68">
        <f t="shared" si="147"/>
        <v>76.743448293735071</v>
      </c>
      <c r="I253" s="68">
        <f t="shared" si="147"/>
        <v>66.219685106122441</v>
      </c>
      <c r="J253" s="68">
        <f t="shared" si="147"/>
        <v>49.875669448213451</v>
      </c>
      <c r="K253" s="68">
        <f t="shared" si="147"/>
        <v>50.646740797951693</v>
      </c>
      <c r="L253" s="68">
        <f t="shared" si="147"/>
        <v>58.774218206027498</v>
      </c>
      <c r="M253" s="68">
        <f t="shared" si="147"/>
        <v>99.858939898179401</v>
      </c>
      <c r="N253" s="68">
        <f t="shared" si="147"/>
        <v>147.90132335142906</v>
      </c>
      <c r="O253" s="68">
        <f t="shared" si="147"/>
        <v>195.06898030987546</v>
      </c>
      <c r="P253" s="68">
        <f t="shared" si="146"/>
        <v>1375.441485340049</v>
      </c>
      <c r="Q253" s="68"/>
      <c r="R253" s="145"/>
    </row>
    <row r="254" spans="2:18" x14ac:dyDescent="0.2">
      <c r="B254" s="8"/>
      <c r="C254" s="144"/>
      <c r="D254" s="145"/>
      <c r="E254" s="145"/>
      <c r="F254" s="145"/>
      <c r="G254" s="145"/>
      <c r="H254" s="145"/>
      <c r="I254" s="145"/>
      <c r="J254" s="145"/>
      <c r="K254" s="145"/>
      <c r="L254" s="145"/>
      <c r="M254" s="145"/>
      <c r="N254" s="145"/>
      <c r="O254" s="145"/>
      <c r="P254" s="165"/>
      <c r="Q254" s="165"/>
    </row>
    <row r="255" spans="2:18" x14ac:dyDescent="0.2">
      <c r="B255" s="8"/>
      <c r="C255" s="144"/>
      <c r="D255" s="145"/>
      <c r="E255" s="145"/>
      <c r="F255" s="145"/>
      <c r="G255" s="145"/>
      <c r="H255" s="145"/>
      <c r="I255" s="145"/>
      <c r="J255" s="145"/>
      <c r="K255" s="145"/>
      <c r="L255" s="145"/>
      <c r="M255" s="145"/>
      <c r="N255" s="145"/>
      <c r="O255" s="145"/>
      <c r="P255" s="165"/>
      <c r="Q255" s="165"/>
    </row>
    <row r="256" spans="2:18" x14ac:dyDescent="0.2">
      <c r="D256" s="151"/>
      <c r="E256" s="151"/>
      <c r="F256" s="151"/>
      <c r="G256" s="151"/>
      <c r="H256" s="151"/>
      <c r="I256" s="151"/>
      <c r="J256" s="151"/>
      <c r="K256" s="151"/>
      <c r="L256" s="151"/>
      <c r="M256" s="151"/>
      <c r="N256" s="151"/>
      <c r="O256" s="151"/>
      <c r="P256" s="151"/>
      <c r="Q256" s="151"/>
    </row>
    <row r="257" spans="4:17" x14ac:dyDescent="0.2">
      <c r="D257" s="151"/>
      <c r="E257" s="151"/>
      <c r="F257" s="151"/>
      <c r="G257" s="151"/>
      <c r="H257" s="151"/>
      <c r="I257" s="151"/>
      <c r="J257" s="151"/>
      <c r="K257" s="151"/>
      <c r="L257" s="151"/>
      <c r="M257" s="151"/>
      <c r="N257" s="151"/>
      <c r="O257" s="151"/>
      <c r="P257" s="151"/>
      <c r="Q257" s="151"/>
    </row>
    <row r="258" spans="4:17" x14ac:dyDescent="0.2">
      <c r="D258" s="151"/>
      <c r="E258" s="151"/>
      <c r="F258" s="151"/>
      <c r="G258" s="151"/>
      <c r="H258" s="151"/>
      <c r="I258" s="151"/>
      <c r="J258" s="151"/>
      <c r="K258" s="151"/>
      <c r="L258" s="151"/>
      <c r="M258" s="151"/>
      <c r="N258" s="151"/>
      <c r="O258" s="151"/>
      <c r="P258" s="151"/>
      <c r="Q258" s="151"/>
    </row>
    <row r="259" spans="4:17" x14ac:dyDescent="0.2">
      <c r="D259" s="151"/>
      <c r="E259" s="151"/>
      <c r="F259" s="151"/>
      <c r="G259" s="151"/>
      <c r="H259" s="151"/>
      <c r="I259" s="151"/>
      <c r="J259" s="151"/>
      <c r="K259" s="151"/>
      <c r="L259" s="151"/>
      <c r="M259" s="151"/>
      <c r="N259" s="151"/>
      <c r="O259" s="151"/>
      <c r="P259" s="151"/>
      <c r="Q259" s="151"/>
    </row>
    <row r="260" spans="4:17" x14ac:dyDescent="0.2">
      <c r="D260" s="151"/>
      <c r="E260" s="151"/>
      <c r="F260" s="151"/>
      <c r="G260" s="151"/>
      <c r="H260" s="151"/>
      <c r="I260" s="151"/>
      <c r="J260" s="151"/>
      <c r="K260" s="151"/>
      <c r="L260" s="151"/>
      <c r="M260" s="151"/>
      <c r="N260" s="151"/>
      <c r="O260" s="151"/>
      <c r="P260" s="151"/>
      <c r="Q260" s="151"/>
    </row>
    <row r="261" spans="4:17" x14ac:dyDescent="0.2">
      <c r="D261" s="151"/>
      <c r="E261" s="151"/>
      <c r="F261" s="151"/>
      <c r="G261" s="151"/>
      <c r="H261" s="151"/>
      <c r="I261" s="151"/>
      <c r="J261" s="151"/>
      <c r="K261" s="151"/>
      <c r="L261" s="151"/>
      <c r="M261" s="151"/>
      <c r="N261" s="151"/>
      <c r="O261" s="151"/>
      <c r="P261" s="151"/>
      <c r="Q261" s="151"/>
    </row>
    <row r="262" spans="4:17" x14ac:dyDescent="0.2">
      <c r="D262" s="151"/>
      <c r="E262" s="151"/>
      <c r="F262" s="151"/>
      <c r="G262" s="151"/>
      <c r="H262" s="151"/>
      <c r="I262" s="151"/>
      <c r="J262" s="151"/>
      <c r="K262" s="151"/>
      <c r="L262" s="151"/>
      <c r="M262" s="151"/>
      <c r="N262" s="151"/>
      <c r="O262" s="151"/>
      <c r="P262" s="151"/>
      <c r="Q262" s="151"/>
    </row>
    <row r="263" spans="4:17" x14ac:dyDescent="0.2">
      <c r="D263" s="151"/>
      <c r="E263" s="151"/>
      <c r="F263" s="151"/>
      <c r="G263" s="151"/>
      <c r="H263" s="151"/>
      <c r="I263" s="151"/>
      <c r="J263" s="151"/>
      <c r="K263" s="151"/>
      <c r="L263" s="151"/>
      <c r="M263" s="151"/>
      <c r="N263" s="151"/>
      <c r="O263" s="151"/>
      <c r="P263" s="151"/>
      <c r="Q263" s="151"/>
    </row>
    <row r="264" spans="4:17" x14ac:dyDescent="0.2">
      <c r="D264" s="151"/>
      <c r="E264" s="151"/>
      <c r="F264" s="151"/>
      <c r="G264" s="151"/>
      <c r="H264" s="151"/>
      <c r="I264" s="151"/>
      <c r="J264" s="151"/>
      <c r="K264" s="151"/>
      <c r="L264" s="151"/>
      <c r="M264" s="151"/>
      <c r="N264" s="151"/>
      <c r="O264" s="151"/>
      <c r="P264" s="151"/>
      <c r="Q264" s="151"/>
    </row>
    <row r="265" spans="4:17" x14ac:dyDescent="0.2">
      <c r="D265" s="151"/>
      <c r="E265" s="151"/>
      <c r="F265" s="151"/>
      <c r="G265" s="151"/>
      <c r="H265" s="151"/>
      <c r="I265" s="151"/>
      <c r="J265" s="151"/>
      <c r="K265" s="151"/>
      <c r="L265" s="151"/>
      <c r="M265" s="151"/>
      <c r="N265" s="151"/>
      <c r="O265" s="151"/>
      <c r="P265" s="151"/>
      <c r="Q265" s="151"/>
    </row>
    <row r="266" spans="4:17" x14ac:dyDescent="0.2">
      <c r="D266" s="151"/>
      <c r="E266" s="151"/>
      <c r="F266" s="151"/>
      <c r="G266" s="151"/>
      <c r="H266" s="151"/>
      <c r="I266" s="151"/>
      <c r="J266" s="151"/>
      <c r="K266" s="151"/>
      <c r="L266" s="151"/>
      <c r="M266" s="151"/>
      <c r="N266" s="151"/>
      <c r="O266" s="151"/>
      <c r="P266" s="151"/>
      <c r="Q266" s="151"/>
    </row>
    <row r="267" spans="4:17" x14ac:dyDescent="0.2">
      <c r="D267" s="151"/>
      <c r="E267" s="151"/>
      <c r="F267" s="151"/>
      <c r="G267" s="151"/>
      <c r="H267" s="151"/>
      <c r="I267" s="151"/>
      <c r="J267" s="151"/>
      <c r="K267" s="151"/>
      <c r="L267" s="151"/>
      <c r="M267" s="151"/>
      <c r="N267" s="151"/>
      <c r="O267" s="151"/>
      <c r="P267" s="151"/>
      <c r="Q267" s="151"/>
    </row>
    <row r="268" spans="4:17" x14ac:dyDescent="0.2">
      <c r="D268" s="151"/>
      <c r="E268" s="151"/>
      <c r="F268" s="151"/>
      <c r="G268" s="151"/>
      <c r="H268" s="151"/>
      <c r="I268" s="151"/>
      <c r="J268" s="151"/>
      <c r="K268" s="151"/>
      <c r="L268" s="151"/>
      <c r="M268" s="151"/>
      <c r="N268" s="151"/>
      <c r="O268" s="151"/>
      <c r="P268" s="151"/>
      <c r="Q268" s="151"/>
    </row>
    <row r="269" spans="4:17" x14ac:dyDescent="0.2">
      <c r="D269" s="151"/>
      <c r="E269" s="151"/>
      <c r="F269" s="151"/>
      <c r="G269" s="151"/>
      <c r="H269" s="151"/>
      <c r="I269" s="151"/>
      <c r="J269" s="151"/>
      <c r="K269" s="151"/>
      <c r="L269" s="151"/>
      <c r="M269" s="151"/>
      <c r="N269" s="151"/>
      <c r="O269" s="151"/>
      <c r="P269" s="151"/>
      <c r="Q269" s="151"/>
    </row>
    <row r="270" spans="4:17" x14ac:dyDescent="0.2">
      <c r="D270" s="151"/>
      <c r="E270" s="151"/>
      <c r="F270" s="151"/>
      <c r="G270" s="151"/>
      <c r="H270" s="151"/>
      <c r="I270" s="151"/>
      <c r="J270" s="151"/>
      <c r="K270" s="151"/>
      <c r="L270" s="151"/>
      <c r="M270" s="151"/>
      <c r="N270" s="151"/>
      <c r="O270" s="151"/>
      <c r="P270" s="151"/>
      <c r="Q270" s="151"/>
    </row>
    <row r="271" spans="4:17" x14ac:dyDescent="0.2">
      <c r="D271" s="151"/>
      <c r="E271" s="151"/>
      <c r="F271" s="151"/>
      <c r="G271" s="151"/>
      <c r="H271" s="151"/>
      <c r="I271" s="151"/>
      <c r="J271" s="151"/>
      <c r="K271" s="151"/>
      <c r="L271" s="151"/>
      <c r="M271" s="151"/>
      <c r="N271" s="151"/>
      <c r="O271" s="151"/>
      <c r="P271" s="151"/>
      <c r="Q271" s="151"/>
    </row>
    <row r="272" spans="4:17" x14ac:dyDescent="0.2">
      <c r="D272" s="151"/>
      <c r="E272" s="151"/>
      <c r="F272" s="151"/>
      <c r="G272" s="151"/>
      <c r="H272" s="151"/>
      <c r="I272" s="151"/>
      <c r="J272" s="151"/>
      <c r="K272" s="151"/>
      <c r="L272" s="151"/>
      <c r="M272" s="151"/>
      <c r="N272" s="151"/>
      <c r="O272" s="151"/>
      <c r="P272" s="151"/>
      <c r="Q272" s="151"/>
    </row>
    <row r="273" spans="4:17" x14ac:dyDescent="0.2">
      <c r="D273" s="151"/>
      <c r="E273" s="151"/>
      <c r="F273" s="151"/>
      <c r="G273" s="151"/>
      <c r="H273" s="151"/>
      <c r="I273" s="151"/>
      <c r="J273" s="151"/>
      <c r="K273" s="151"/>
      <c r="L273" s="151"/>
      <c r="M273" s="151"/>
      <c r="N273" s="151"/>
      <c r="O273" s="151"/>
      <c r="P273" s="151"/>
      <c r="Q273" s="151"/>
    </row>
    <row r="274" spans="4:17" x14ac:dyDescent="0.2">
      <c r="D274" s="151"/>
      <c r="E274" s="151"/>
      <c r="F274" s="151"/>
      <c r="G274" s="151"/>
      <c r="H274" s="151"/>
      <c r="I274" s="151"/>
      <c r="J274" s="151"/>
      <c r="K274" s="151"/>
      <c r="L274" s="151"/>
      <c r="M274" s="151"/>
      <c r="N274" s="151"/>
      <c r="O274" s="151"/>
      <c r="P274" s="151"/>
      <c r="Q274" s="151"/>
    </row>
    <row r="275" spans="4:17" x14ac:dyDescent="0.2">
      <c r="D275" s="151"/>
      <c r="E275" s="151"/>
      <c r="F275" s="151"/>
      <c r="G275" s="151"/>
      <c r="H275" s="151"/>
      <c r="I275" s="151"/>
      <c r="J275" s="151"/>
      <c r="K275" s="151"/>
      <c r="L275" s="151"/>
      <c r="M275" s="151"/>
      <c r="N275" s="151"/>
      <c r="O275" s="151"/>
      <c r="P275" s="151"/>
      <c r="Q275" s="151"/>
    </row>
    <row r="276" spans="4:17" x14ac:dyDescent="0.2">
      <c r="D276" s="151"/>
      <c r="E276" s="151"/>
      <c r="F276" s="151"/>
      <c r="G276" s="151"/>
      <c r="H276" s="151"/>
      <c r="I276" s="151"/>
      <c r="J276" s="151"/>
      <c r="K276" s="151"/>
      <c r="L276" s="151"/>
      <c r="M276" s="151"/>
      <c r="N276" s="151"/>
      <c r="O276" s="151"/>
      <c r="P276" s="151"/>
      <c r="Q276" s="151"/>
    </row>
    <row r="277" spans="4:17" x14ac:dyDescent="0.2">
      <c r="D277" s="151"/>
      <c r="E277" s="151"/>
      <c r="F277" s="151"/>
      <c r="G277" s="151"/>
      <c r="H277" s="151"/>
      <c r="I277" s="151"/>
      <c r="J277" s="151"/>
      <c r="K277" s="151"/>
      <c r="L277" s="151"/>
      <c r="M277" s="151"/>
      <c r="N277" s="151"/>
      <c r="O277" s="151"/>
      <c r="P277" s="151"/>
      <c r="Q277" s="151"/>
    </row>
    <row r="278" spans="4:17" x14ac:dyDescent="0.2">
      <c r="D278" s="151"/>
      <c r="E278" s="151"/>
      <c r="F278" s="151"/>
      <c r="G278" s="151"/>
      <c r="H278" s="151"/>
      <c r="I278" s="151"/>
      <c r="J278" s="151"/>
      <c r="K278" s="151"/>
      <c r="L278" s="151"/>
      <c r="M278" s="151"/>
      <c r="N278" s="151"/>
      <c r="O278" s="151"/>
      <c r="P278" s="151"/>
      <c r="Q278" s="151"/>
    </row>
    <row r="279" spans="4:17" x14ac:dyDescent="0.2">
      <c r="D279" s="151"/>
      <c r="E279" s="151"/>
      <c r="F279" s="151"/>
      <c r="G279" s="151"/>
      <c r="H279" s="151"/>
      <c r="I279" s="151"/>
      <c r="J279" s="151"/>
      <c r="K279" s="151"/>
      <c r="L279" s="151"/>
      <c r="M279" s="151"/>
      <c r="N279" s="151"/>
      <c r="O279" s="151"/>
      <c r="P279" s="151"/>
      <c r="Q279" s="151"/>
    </row>
    <row r="280" spans="4:17" x14ac:dyDescent="0.2">
      <c r="D280" s="151"/>
      <c r="E280" s="151"/>
      <c r="F280" s="151"/>
      <c r="G280" s="151"/>
      <c r="H280" s="151"/>
      <c r="I280" s="151"/>
      <c r="J280" s="151"/>
      <c r="K280" s="151"/>
      <c r="L280" s="151"/>
      <c r="M280" s="151"/>
      <c r="N280" s="151"/>
      <c r="O280" s="151"/>
      <c r="P280" s="151"/>
      <c r="Q280" s="151"/>
    </row>
    <row r="281" spans="4:17" x14ac:dyDescent="0.2">
      <c r="D281" s="151"/>
      <c r="E281" s="151"/>
      <c r="F281" s="151"/>
      <c r="G281" s="151"/>
      <c r="H281" s="151"/>
      <c r="I281" s="151"/>
      <c r="J281" s="151"/>
      <c r="K281" s="151"/>
      <c r="L281" s="151"/>
      <c r="M281" s="151"/>
      <c r="N281" s="151"/>
      <c r="O281" s="151"/>
      <c r="P281" s="151"/>
      <c r="Q281" s="151"/>
    </row>
    <row r="282" spans="4:17" x14ac:dyDescent="0.2">
      <c r="D282" s="151"/>
      <c r="E282" s="151"/>
      <c r="F282" s="151"/>
      <c r="G282" s="151"/>
      <c r="H282" s="151"/>
      <c r="I282" s="151"/>
      <c r="J282" s="151"/>
      <c r="K282" s="151"/>
      <c r="L282" s="151"/>
      <c r="M282" s="151"/>
      <c r="N282" s="151"/>
      <c r="O282" s="151"/>
      <c r="P282" s="151"/>
      <c r="Q282" s="151"/>
    </row>
    <row r="283" spans="4:17" x14ac:dyDescent="0.2">
      <c r="D283" s="151"/>
      <c r="E283" s="151"/>
      <c r="F283" s="151"/>
      <c r="G283" s="151"/>
      <c r="H283" s="151"/>
      <c r="I283" s="151"/>
      <c r="J283" s="151"/>
      <c r="K283" s="151"/>
      <c r="L283" s="151"/>
      <c r="M283" s="151"/>
      <c r="N283" s="151"/>
      <c r="O283" s="151"/>
      <c r="P283" s="151"/>
      <c r="Q283" s="151"/>
    </row>
    <row r="284" spans="4:17" x14ac:dyDescent="0.2">
      <c r="D284" s="151"/>
      <c r="E284" s="151"/>
      <c r="F284" s="151"/>
      <c r="G284" s="151"/>
      <c r="H284" s="151"/>
      <c r="I284" s="151"/>
      <c r="J284" s="151"/>
      <c r="K284" s="151"/>
      <c r="L284" s="151"/>
      <c r="M284" s="151"/>
      <c r="N284" s="151"/>
      <c r="O284" s="151"/>
      <c r="P284" s="151"/>
      <c r="Q284" s="151"/>
    </row>
    <row r="285" spans="4:17" x14ac:dyDescent="0.2">
      <c r="D285" s="151"/>
      <c r="E285" s="151"/>
      <c r="F285" s="151"/>
      <c r="G285" s="151"/>
      <c r="H285" s="151"/>
      <c r="I285" s="151"/>
      <c r="J285" s="151"/>
      <c r="K285" s="151"/>
      <c r="L285" s="151"/>
      <c r="M285" s="151"/>
      <c r="N285" s="151"/>
      <c r="O285" s="151"/>
      <c r="P285" s="151"/>
      <c r="Q285" s="151"/>
    </row>
    <row r="286" spans="4:17" x14ac:dyDescent="0.2">
      <c r="D286" s="151"/>
      <c r="E286" s="151"/>
      <c r="F286" s="151"/>
      <c r="G286" s="151"/>
      <c r="H286" s="151"/>
      <c r="I286" s="151"/>
      <c r="J286" s="151"/>
      <c r="K286" s="151"/>
      <c r="L286" s="151"/>
      <c r="M286" s="151"/>
      <c r="N286" s="151"/>
      <c r="O286" s="151"/>
      <c r="P286" s="151"/>
      <c r="Q286" s="151"/>
    </row>
    <row r="287" spans="4:17" x14ac:dyDescent="0.2">
      <c r="D287" s="151"/>
      <c r="E287" s="151"/>
      <c r="F287" s="151"/>
      <c r="G287" s="151"/>
      <c r="H287" s="151"/>
      <c r="I287" s="151"/>
      <c r="J287" s="151"/>
      <c r="K287" s="151"/>
      <c r="L287" s="151"/>
      <c r="M287" s="151"/>
      <c r="N287" s="151"/>
      <c r="O287" s="151"/>
      <c r="P287" s="151"/>
      <c r="Q287" s="151"/>
    </row>
    <row r="288" spans="4:17" x14ac:dyDescent="0.2">
      <c r="D288" s="151"/>
      <c r="E288" s="151"/>
      <c r="F288" s="151"/>
      <c r="G288" s="151"/>
      <c r="H288" s="151"/>
      <c r="I288" s="151"/>
      <c r="J288" s="151"/>
      <c r="K288" s="151"/>
      <c r="L288" s="151"/>
      <c r="M288" s="151"/>
      <c r="N288" s="151"/>
      <c r="O288" s="151"/>
      <c r="P288" s="151"/>
      <c r="Q288" s="151"/>
    </row>
    <row r="289" spans="4:17" x14ac:dyDescent="0.2">
      <c r="D289" s="151"/>
      <c r="E289" s="151"/>
      <c r="F289" s="151"/>
      <c r="G289" s="151"/>
      <c r="H289" s="151"/>
      <c r="I289" s="151"/>
      <c r="J289" s="151"/>
      <c r="K289" s="151"/>
      <c r="L289" s="151"/>
      <c r="M289" s="151"/>
      <c r="N289" s="151"/>
      <c r="O289" s="151"/>
      <c r="P289" s="151"/>
      <c r="Q289" s="151"/>
    </row>
    <row r="290" spans="4:17" x14ac:dyDescent="0.2">
      <c r="D290" s="151"/>
      <c r="E290" s="151"/>
      <c r="F290" s="151"/>
      <c r="G290" s="151"/>
      <c r="H290" s="151"/>
      <c r="I290" s="151"/>
      <c r="J290" s="151"/>
      <c r="K290" s="151"/>
      <c r="L290" s="151"/>
      <c r="M290" s="151"/>
      <c r="N290" s="151"/>
      <c r="O290" s="151"/>
      <c r="P290" s="151"/>
      <c r="Q290" s="151"/>
    </row>
    <row r="291" spans="4:17" x14ac:dyDescent="0.2">
      <c r="D291" s="151"/>
      <c r="E291" s="151"/>
      <c r="F291" s="151"/>
      <c r="G291" s="151"/>
      <c r="H291" s="151"/>
      <c r="I291" s="151"/>
      <c r="J291" s="151"/>
      <c r="K291" s="151"/>
      <c r="L291" s="151"/>
      <c r="M291" s="151"/>
      <c r="N291" s="151"/>
      <c r="O291" s="151"/>
      <c r="P291" s="151"/>
      <c r="Q291" s="151"/>
    </row>
    <row r="292" spans="4:17" x14ac:dyDescent="0.2">
      <c r="D292" s="151"/>
      <c r="E292" s="151"/>
      <c r="F292" s="151"/>
      <c r="G292" s="151"/>
      <c r="H292" s="151"/>
      <c r="I292" s="151"/>
      <c r="J292" s="151"/>
      <c r="K292" s="151"/>
      <c r="L292" s="151"/>
      <c r="M292" s="151"/>
      <c r="N292" s="151"/>
      <c r="O292" s="151"/>
      <c r="P292" s="151"/>
      <c r="Q292" s="151"/>
    </row>
    <row r="293" spans="4:17" x14ac:dyDescent="0.2">
      <c r="D293" s="151"/>
      <c r="E293" s="151"/>
      <c r="F293" s="151"/>
      <c r="G293" s="151"/>
      <c r="H293" s="151"/>
      <c r="I293" s="151"/>
      <c r="J293" s="151"/>
      <c r="K293" s="151"/>
      <c r="L293" s="151"/>
      <c r="M293" s="151"/>
      <c r="N293" s="151"/>
      <c r="O293" s="151"/>
      <c r="P293" s="151"/>
      <c r="Q293" s="151"/>
    </row>
    <row r="294" spans="4:17" x14ac:dyDescent="0.2">
      <c r="D294" s="151"/>
      <c r="E294" s="151"/>
      <c r="F294" s="151"/>
      <c r="G294" s="151"/>
      <c r="H294" s="151"/>
      <c r="I294" s="151"/>
      <c r="J294" s="151"/>
      <c r="K294" s="151"/>
      <c r="L294" s="151"/>
      <c r="M294" s="151"/>
      <c r="N294" s="151"/>
      <c r="O294" s="151"/>
      <c r="P294" s="151"/>
      <c r="Q294" s="151"/>
    </row>
    <row r="295" spans="4:17" x14ac:dyDescent="0.2">
      <c r="D295" s="151"/>
      <c r="E295" s="151"/>
      <c r="F295" s="151"/>
      <c r="G295" s="151"/>
      <c r="H295" s="151"/>
      <c r="I295" s="151"/>
      <c r="J295" s="151"/>
      <c r="K295" s="151"/>
      <c r="L295" s="151"/>
      <c r="M295" s="151"/>
      <c r="N295" s="151"/>
      <c r="O295" s="151"/>
      <c r="P295" s="151"/>
      <c r="Q295" s="151"/>
    </row>
    <row r="296" spans="4:17" x14ac:dyDescent="0.2">
      <c r="D296" s="151"/>
      <c r="E296" s="151"/>
      <c r="F296" s="151"/>
      <c r="G296" s="151"/>
      <c r="H296" s="151"/>
      <c r="I296" s="151"/>
      <c r="J296" s="151"/>
      <c r="K296" s="151"/>
      <c r="L296" s="151"/>
      <c r="M296" s="151"/>
      <c r="N296" s="151"/>
      <c r="O296" s="151"/>
      <c r="P296" s="151"/>
      <c r="Q296" s="151"/>
    </row>
    <row r="297" spans="4:17" x14ac:dyDescent="0.2">
      <c r="D297" s="151"/>
      <c r="E297" s="151"/>
      <c r="F297" s="151"/>
      <c r="G297" s="151"/>
      <c r="H297" s="151"/>
      <c r="I297" s="151"/>
      <c r="J297" s="151"/>
      <c r="K297" s="151"/>
      <c r="L297" s="151"/>
      <c r="M297" s="151"/>
      <c r="N297" s="151"/>
      <c r="O297" s="151"/>
      <c r="P297" s="151"/>
      <c r="Q297" s="151"/>
    </row>
    <row r="298" spans="4:17" x14ac:dyDescent="0.2">
      <c r="D298" s="151"/>
      <c r="E298" s="151"/>
      <c r="F298" s="151"/>
      <c r="G298" s="151"/>
      <c r="H298" s="151"/>
      <c r="I298" s="151"/>
      <c r="J298" s="151"/>
      <c r="K298" s="151"/>
      <c r="L298" s="151"/>
      <c r="M298" s="151"/>
      <c r="N298" s="151"/>
      <c r="O298" s="151"/>
      <c r="P298" s="151"/>
      <c r="Q298" s="151"/>
    </row>
    <row r="299" spans="4:17" x14ac:dyDescent="0.2">
      <c r="D299" s="151"/>
      <c r="E299" s="151"/>
      <c r="F299" s="151"/>
      <c r="G299" s="151"/>
      <c r="H299" s="151"/>
      <c r="I299" s="151"/>
      <c r="J299" s="151"/>
      <c r="K299" s="151"/>
      <c r="L299" s="151"/>
      <c r="M299" s="151"/>
      <c r="N299" s="151"/>
      <c r="O299" s="151"/>
      <c r="P299" s="151"/>
      <c r="Q299" s="151"/>
    </row>
  </sheetData>
  <printOptions horizontalCentered="1"/>
  <pageMargins left="0.45" right="0.45" top="0.75" bottom="0.75" header="0.3" footer="0.3"/>
  <pageSetup scale="67" fitToHeight="20" orientation="landscape" blackAndWhite="1" r:id="rId1"/>
  <headerFooter>
    <oddFooter>&amp;R&amp;F
&amp;A</oddFooter>
  </headerFooter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L57"/>
  <sheetViews>
    <sheetView zoomScaleNormal="100" workbookViewId="0">
      <pane ySplit="8" topLeftCell="A18" activePane="bottomLeft" state="frozen"/>
      <selection activeCell="B35" sqref="B35"/>
      <selection pane="bottomLeft" activeCell="F25" sqref="F25"/>
    </sheetView>
  </sheetViews>
  <sheetFormatPr defaultColWidth="9.140625" defaultRowHeight="11.25" x14ac:dyDescent="0.2"/>
  <cols>
    <col min="1" max="1" width="5.5703125" style="8" bestFit="1" customWidth="1"/>
    <col min="2" max="2" width="3.28515625" style="8" customWidth="1"/>
    <col min="3" max="3" width="41.5703125" style="63" customWidth="1"/>
    <col min="4" max="4" width="6.5703125" style="63" bestFit="1" customWidth="1"/>
    <col min="5" max="5" width="16.140625" style="63" bestFit="1" customWidth="1"/>
    <col min="6" max="6" width="18" style="8" bestFit="1" customWidth="1"/>
    <col min="7" max="16384" width="9.140625" style="8"/>
  </cols>
  <sheetData>
    <row r="1" spans="1:12" x14ac:dyDescent="0.2">
      <c r="A1" s="392" t="s">
        <v>0</v>
      </c>
      <c r="B1" s="392"/>
      <c r="C1" s="392"/>
      <c r="D1" s="392"/>
      <c r="E1" s="392"/>
      <c r="F1" s="70"/>
      <c r="G1" s="70"/>
      <c r="H1" s="70"/>
      <c r="I1" s="70"/>
    </row>
    <row r="2" spans="1:12" x14ac:dyDescent="0.2">
      <c r="A2" s="394" t="str">
        <f>'Delivery Rate Change Calc'!A2:F2</f>
        <v>2021 Gas Decoupling Filing</v>
      </c>
      <c r="B2" s="394"/>
      <c r="C2" s="394"/>
      <c r="D2" s="394"/>
      <c r="E2" s="394"/>
      <c r="F2" s="70"/>
      <c r="G2" s="70"/>
      <c r="H2" s="70"/>
      <c r="I2" s="70"/>
    </row>
    <row r="3" spans="1:12" x14ac:dyDescent="0.2">
      <c r="A3" s="395" t="s">
        <v>332</v>
      </c>
      <c r="B3" s="395"/>
      <c r="C3" s="395"/>
      <c r="D3" s="395"/>
      <c r="E3" s="395"/>
      <c r="F3" s="70"/>
      <c r="G3" s="70"/>
      <c r="H3" s="70"/>
      <c r="I3" s="70"/>
    </row>
    <row r="4" spans="1:12" x14ac:dyDescent="0.2">
      <c r="A4" s="394" t="str">
        <f>'Delivery Rate Change Calc'!A4:F4</f>
        <v>Proposed Effective May 1, 2021</v>
      </c>
      <c r="B4" s="394"/>
      <c r="C4" s="394"/>
      <c r="D4" s="394"/>
      <c r="E4" s="394"/>
      <c r="F4" s="5"/>
      <c r="G4" s="5"/>
      <c r="H4" s="5"/>
      <c r="I4" s="5"/>
      <c r="J4" s="71"/>
      <c r="K4" s="71"/>
      <c r="L4" s="71"/>
    </row>
    <row r="5" spans="1:12" x14ac:dyDescent="0.2">
      <c r="B5" s="286"/>
      <c r="C5" s="286"/>
      <c r="D5" s="286"/>
      <c r="E5" s="5"/>
      <c r="F5" s="5"/>
      <c r="G5" s="5"/>
      <c r="H5" s="5"/>
      <c r="I5" s="5"/>
      <c r="J5" s="71"/>
      <c r="K5" s="71"/>
      <c r="L5" s="71"/>
    </row>
    <row r="6" spans="1:12" x14ac:dyDescent="0.2">
      <c r="A6" s="71"/>
      <c r="B6" s="72"/>
      <c r="C6" s="72"/>
      <c r="D6" s="72"/>
      <c r="E6" s="242" t="s">
        <v>113</v>
      </c>
      <c r="F6" s="5"/>
      <c r="G6" s="5"/>
      <c r="H6" s="5"/>
      <c r="I6" s="5"/>
      <c r="J6" s="71"/>
      <c r="K6" s="71"/>
      <c r="L6" s="71"/>
    </row>
    <row r="7" spans="1:12" x14ac:dyDescent="0.2">
      <c r="A7" s="285" t="s">
        <v>2</v>
      </c>
      <c r="B7" s="71"/>
      <c r="C7" s="242"/>
      <c r="D7" s="242"/>
      <c r="E7" s="242" t="s">
        <v>114</v>
      </c>
      <c r="F7" s="70"/>
      <c r="G7" s="70"/>
      <c r="H7" s="70"/>
      <c r="I7" s="70"/>
    </row>
    <row r="8" spans="1:12" x14ac:dyDescent="0.2">
      <c r="A8" s="53" t="s">
        <v>4</v>
      </c>
      <c r="B8" s="262"/>
      <c r="C8" s="241"/>
      <c r="D8" s="241" t="s">
        <v>94</v>
      </c>
      <c r="E8" s="241" t="s">
        <v>115</v>
      </c>
      <c r="F8" s="70"/>
      <c r="G8" s="70"/>
      <c r="H8" s="70"/>
      <c r="I8" s="70"/>
    </row>
    <row r="9" spans="1:12" x14ac:dyDescent="0.2">
      <c r="A9" s="56"/>
      <c r="B9" s="63"/>
      <c r="C9" s="73" t="s">
        <v>9</v>
      </c>
      <c r="D9" s="73" t="s">
        <v>10</v>
      </c>
      <c r="E9" s="42" t="s">
        <v>11</v>
      </c>
      <c r="F9" s="70"/>
      <c r="G9" s="70"/>
      <c r="H9" s="70"/>
      <c r="I9" s="70"/>
    </row>
    <row r="10" spans="1:12" x14ac:dyDescent="0.2">
      <c r="A10" s="42">
        <v>1</v>
      </c>
      <c r="B10" s="61" t="s">
        <v>116</v>
      </c>
      <c r="C10" s="8"/>
      <c r="D10" s="73"/>
      <c r="E10" s="42"/>
      <c r="F10" s="70"/>
      <c r="G10" s="70"/>
      <c r="H10" s="70"/>
      <c r="I10" s="70"/>
    </row>
    <row r="11" spans="1:12" x14ac:dyDescent="0.2">
      <c r="A11" s="42">
        <f t="shared" ref="A11:A22" si="0">A10+1</f>
        <v>2</v>
      </c>
      <c r="C11" s="63" t="s">
        <v>102</v>
      </c>
      <c r="D11" s="63" t="s">
        <v>48</v>
      </c>
      <c r="E11" s="74">
        <f>'Delivery Rate Change Calc'!D26</f>
        <v>2.2519999999999998E-2</v>
      </c>
      <c r="F11" s="391" t="s">
        <v>450</v>
      </c>
      <c r="G11" s="70"/>
      <c r="H11" s="70"/>
      <c r="I11" s="70"/>
    </row>
    <row r="12" spans="1:12" x14ac:dyDescent="0.2">
      <c r="A12" s="42">
        <f t="shared" si="0"/>
        <v>3</v>
      </c>
      <c r="C12" s="8"/>
      <c r="E12" s="74"/>
      <c r="F12" s="312"/>
      <c r="G12" s="70"/>
      <c r="H12" s="70"/>
      <c r="I12" s="70"/>
    </row>
    <row r="13" spans="1:12" x14ac:dyDescent="0.2">
      <c r="A13" s="42">
        <f t="shared" si="0"/>
        <v>4</v>
      </c>
      <c r="B13" s="61" t="s">
        <v>117</v>
      </c>
      <c r="C13" s="8"/>
      <c r="E13" s="74"/>
      <c r="F13" s="312"/>
      <c r="G13" s="70"/>
      <c r="H13" s="70"/>
      <c r="I13" s="70"/>
    </row>
    <row r="14" spans="1:12" x14ac:dyDescent="0.2">
      <c r="A14" s="42">
        <f t="shared" si="0"/>
        <v>5</v>
      </c>
      <c r="C14" s="63" t="s">
        <v>102</v>
      </c>
      <c r="D14" s="63" t="s">
        <v>48</v>
      </c>
      <c r="E14" s="74">
        <f>'Delivery Rate Change Calc'!D26</f>
        <v>2.2519999999999998E-2</v>
      </c>
      <c r="F14" s="391" t="s">
        <v>450</v>
      </c>
      <c r="G14" s="70"/>
      <c r="H14" s="70"/>
      <c r="I14" s="70"/>
    </row>
    <row r="15" spans="1:12" x14ac:dyDescent="0.2">
      <c r="A15" s="42">
        <f t="shared" si="0"/>
        <v>6</v>
      </c>
      <c r="C15" s="8"/>
      <c r="D15" s="73"/>
      <c r="E15" s="74"/>
      <c r="F15" s="312"/>
      <c r="G15" s="70"/>
      <c r="H15" s="70"/>
      <c r="I15" s="70"/>
    </row>
    <row r="16" spans="1:12" x14ac:dyDescent="0.2">
      <c r="A16" s="42">
        <f t="shared" si="0"/>
        <v>7</v>
      </c>
      <c r="B16" s="61" t="s">
        <v>101</v>
      </c>
      <c r="C16" s="8"/>
      <c r="D16" s="67"/>
      <c r="E16" s="74"/>
      <c r="F16" s="312"/>
    </row>
    <row r="17" spans="1:6" x14ac:dyDescent="0.2">
      <c r="A17" s="42">
        <f t="shared" si="0"/>
        <v>8</v>
      </c>
      <c r="C17" s="63" t="s">
        <v>102</v>
      </c>
      <c r="D17" s="63" t="s">
        <v>48</v>
      </c>
      <c r="E17" s="74">
        <f>'RateDev (31,31T,41,41T,86,86T)'!K12</f>
        <v>3.1170000000000031E-2</v>
      </c>
      <c r="F17" s="391" t="s">
        <v>450</v>
      </c>
    </row>
    <row r="18" spans="1:6" x14ac:dyDescent="0.2">
      <c r="A18" s="42">
        <f t="shared" si="0"/>
        <v>9</v>
      </c>
      <c r="E18" s="74"/>
      <c r="F18" s="312"/>
    </row>
    <row r="19" spans="1:6" x14ac:dyDescent="0.2">
      <c r="A19" s="42">
        <f t="shared" si="0"/>
        <v>10</v>
      </c>
      <c r="C19" s="63" t="s">
        <v>103</v>
      </c>
      <c r="D19" s="63" t="s">
        <v>48</v>
      </c>
      <c r="E19" s="74">
        <f>'RateDev (31,31T,41,41T,86,86T)'!$K$14</f>
        <v>1.1099999999999999E-3</v>
      </c>
      <c r="F19" s="391" t="s">
        <v>450</v>
      </c>
    </row>
    <row r="20" spans="1:6" x14ac:dyDescent="0.2">
      <c r="A20" s="42">
        <f t="shared" si="0"/>
        <v>11</v>
      </c>
      <c r="E20" s="74"/>
      <c r="F20" s="312"/>
    </row>
    <row r="21" spans="1:6" x14ac:dyDescent="0.2">
      <c r="A21" s="42">
        <f t="shared" si="0"/>
        <v>12</v>
      </c>
      <c r="B21" s="61" t="s">
        <v>104</v>
      </c>
      <c r="C21" s="8"/>
      <c r="D21" s="67"/>
      <c r="E21" s="74"/>
      <c r="F21" s="312"/>
    </row>
    <row r="22" spans="1:6" x14ac:dyDescent="0.2">
      <c r="A22" s="42">
        <f t="shared" si="0"/>
        <v>13</v>
      </c>
      <c r="B22" s="63"/>
      <c r="C22" s="63" t="s">
        <v>102</v>
      </c>
      <c r="D22" s="63" t="s">
        <v>48</v>
      </c>
      <c r="E22" s="74">
        <f>'RateDev (31,31T,41,41T,86,86T)'!K17</f>
        <v>3.1170000000000031E-2</v>
      </c>
      <c r="F22" s="391" t="s">
        <v>450</v>
      </c>
    </row>
    <row r="23" spans="1:6" x14ac:dyDescent="0.2">
      <c r="A23" s="42">
        <f t="shared" ref="A23:A25" si="1">A22+1</f>
        <v>14</v>
      </c>
      <c r="B23" s="63"/>
      <c r="E23" s="74"/>
      <c r="F23" s="312"/>
    </row>
    <row r="24" spans="1:6" x14ac:dyDescent="0.2">
      <c r="A24" s="42">
        <f t="shared" si="1"/>
        <v>15</v>
      </c>
      <c r="B24" s="61" t="s">
        <v>105</v>
      </c>
      <c r="C24" s="8"/>
      <c r="D24" s="67"/>
      <c r="E24" s="74"/>
      <c r="F24" s="312"/>
    </row>
    <row r="25" spans="1:6" x14ac:dyDescent="0.2">
      <c r="A25" s="42">
        <f t="shared" si="1"/>
        <v>16</v>
      </c>
      <c r="C25" s="63" t="s">
        <v>106</v>
      </c>
      <c r="D25" s="63" t="s">
        <v>48</v>
      </c>
      <c r="E25" s="201">
        <f>'RateDev (31,31T,41,41T,86,86T)'!K20</f>
        <v>-0.12999999999999989</v>
      </c>
      <c r="F25" s="391" t="s">
        <v>450</v>
      </c>
    </row>
    <row r="26" spans="1:6" x14ac:dyDescent="0.2">
      <c r="A26" s="42">
        <f t="shared" ref="A26:A56" si="2">A25+1</f>
        <v>17</v>
      </c>
      <c r="E26" s="74"/>
      <c r="F26" s="312"/>
    </row>
    <row r="27" spans="1:6" x14ac:dyDescent="0.2">
      <c r="A27" s="42">
        <f t="shared" si="2"/>
        <v>18</v>
      </c>
      <c r="C27" s="63" t="s">
        <v>107</v>
      </c>
      <c r="E27" s="74"/>
      <c r="F27" s="312"/>
    </row>
    <row r="28" spans="1:6" x14ac:dyDescent="0.2">
      <c r="A28" s="42">
        <f t="shared" si="2"/>
        <v>19</v>
      </c>
      <c r="C28" s="41" t="s">
        <v>397</v>
      </c>
      <c r="D28" s="63" t="s">
        <v>48</v>
      </c>
      <c r="E28" s="74">
        <f>'RateDev (31,31T,41,41T,86,86T)'!K23</f>
        <v>0</v>
      </c>
      <c r="F28" s="391" t="s">
        <v>450</v>
      </c>
    </row>
    <row r="29" spans="1:6" x14ac:dyDescent="0.2">
      <c r="A29" s="42">
        <f t="shared" si="2"/>
        <v>20</v>
      </c>
      <c r="C29" s="41" t="s">
        <v>143</v>
      </c>
      <c r="D29" s="63" t="s">
        <v>48</v>
      </c>
      <c r="E29" s="74">
        <f>'RateDev (31,31T,41,41T,86,86T)'!K24</f>
        <v>-1.4039999999999997E-2</v>
      </c>
      <c r="F29" s="391" t="s">
        <v>450</v>
      </c>
    </row>
    <row r="30" spans="1:6" x14ac:dyDescent="0.2">
      <c r="A30" s="42">
        <f t="shared" si="2"/>
        <v>21</v>
      </c>
      <c r="C30" s="41" t="s">
        <v>144</v>
      </c>
      <c r="D30" s="63" t="s">
        <v>48</v>
      </c>
      <c r="E30" s="74">
        <f>'RateDev (31,31T,41,41T,86,86T)'!K25</f>
        <v>-1.1300000000000004E-2</v>
      </c>
      <c r="F30" s="391" t="s">
        <v>450</v>
      </c>
    </row>
    <row r="31" spans="1:6" x14ac:dyDescent="0.2">
      <c r="A31" s="42">
        <f t="shared" si="2"/>
        <v>22</v>
      </c>
      <c r="E31" s="74"/>
      <c r="F31" s="312"/>
    </row>
    <row r="32" spans="1:6" x14ac:dyDescent="0.2">
      <c r="A32" s="42">
        <f t="shared" si="2"/>
        <v>23</v>
      </c>
      <c r="C32" s="63" t="s">
        <v>103</v>
      </c>
      <c r="D32" s="63" t="s">
        <v>48</v>
      </c>
      <c r="E32" s="74">
        <f>'RateDev (31,31T,41,41T,86,86T)'!K27</f>
        <v>-1.0200000000000001E-3</v>
      </c>
      <c r="F32" s="391" t="s">
        <v>450</v>
      </c>
    </row>
    <row r="33" spans="1:6" x14ac:dyDescent="0.2">
      <c r="A33" s="42">
        <f t="shared" si="2"/>
        <v>24</v>
      </c>
      <c r="C33" s="67"/>
      <c r="D33" s="67"/>
      <c r="E33" s="74"/>
      <c r="F33" s="312"/>
    </row>
    <row r="34" spans="1:6" x14ac:dyDescent="0.2">
      <c r="A34" s="42">
        <f t="shared" si="2"/>
        <v>25</v>
      </c>
      <c r="B34" s="61" t="s">
        <v>108</v>
      </c>
      <c r="C34" s="8"/>
      <c r="D34" s="67"/>
      <c r="E34" s="74"/>
      <c r="F34" s="312"/>
    </row>
    <row r="35" spans="1:6" x14ac:dyDescent="0.2">
      <c r="A35" s="42">
        <f t="shared" si="2"/>
        <v>26</v>
      </c>
      <c r="B35" s="63"/>
      <c r="C35" s="63" t="s">
        <v>106</v>
      </c>
      <c r="D35" s="63" t="s">
        <v>48</v>
      </c>
      <c r="E35" s="201">
        <f>'RateDev (31,31T,41,41T,86,86T)'!K30</f>
        <v>-0.12999999999999989</v>
      </c>
      <c r="F35" s="391" t="s">
        <v>451</v>
      </c>
    </row>
    <row r="36" spans="1:6" x14ac:dyDescent="0.2">
      <c r="A36" s="42">
        <f t="shared" si="2"/>
        <v>27</v>
      </c>
      <c r="B36" s="63"/>
      <c r="E36" s="74"/>
      <c r="F36" s="312"/>
    </row>
    <row r="37" spans="1:6" x14ac:dyDescent="0.2">
      <c r="A37" s="42">
        <f t="shared" si="2"/>
        <v>28</v>
      </c>
      <c r="B37" s="63"/>
      <c r="C37" s="63" t="s">
        <v>107</v>
      </c>
      <c r="E37" s="74"/>
      <c r="F37" s="312"/>
    </row>
    <row r="38" spans="1:6" x14ac:dyDescent="0.2">
      <c r="A38" s="42">
        <f t="shared" si="2"/>
        <v>29</v>
      </c>
      <c r="B38" s="63"/>
      <c r="C38" s="41" t="s">
        <v>397</v>
      </c>
      <c r="D38" s="63" t="s">
        <v>48</v>
      </c>
      <c r="E38" s="74">
        <f>'RateDev (31,31T,41,41T,86,86T)'!K33</f>
        <v>0</v>
      </c>
      <c r="F38" s="391" t="s">
        <v>451</v>
      </c>
    </row>
    <row r="39" spans="1:6" x14ac:dyDescent="0.2">
      <c r="A39" s="42">
        <f t="shared" si="2"/>
        <v>30</v>
      </c>
      <c r="B39" s="63"/>
      <c r="C39" s="41" t="s">
        <v>143</v>
      </c>
      <c r="D39" s="63" t="s">
        <v>48</v>
      </c>
      <c r="E39" s="74">
        <f>'RateDev (31,31T,41,41T,86,86T)'!K34</f>
        <v>-1.4039999999999997E-2</v>
      </c>
      <c r="F39" s="391" t="s">
        <v>451</v>
      </c>
    </row>
    <row r="40" spans="1:6" x14ac:dyDescent="0.2">
      <c r="A40" s="42">
        <f t="shared" si="2"/>
        <v>31</v>
      </c>
      <c r="B40" s="63"/>
      <c r="C40" s="41" t="s">
        <v>144</v>
      </c>
      <c r="D40" s="63" t="s">
        <v>48</v>
      </c>
      <c r="E40" s="74">
        <f>'RateDev (31,31T,41,41T,86,86T)'!K35</f>
        <v>-1.1300000000000004E-2</v>
      </c>
      <c r="F40" s="391" t="s">
        <v>451</v>
      </c>
    </row>
    <row r="41" spans="1:6" x14ac:dyDescent="0.2">
      <c r="A41" s="42">
        <f t="shared" si="2"/>
        <v>32</v>
      </c>
      <c r="B41" s="63"/>
      <c r="E41" s="74"/>
      <c r="F41" s="312"/>
    </row>
    <row r="42" spans="1:6" x14ac:dyDescent="0.2">
      <c r="A42" s="42">
        <f t="shared" si="2"/>
        <v>33</v>
      </c>
      <c r="B42" s="61" t="s">
        <v>109</v>
      </c>
      <c r="C42" s="8"/>
      <c r="D42" s="67"/>
      <c r="E42" s="74"/>
      <c r="F42" s="312"/>
    </row>
    <row r="43" spans="1:6" x14ac:dyDescent="0.2">
      <c r="A43" s="42">
        <f t="shared" si="2"/>
        <v>34</v>
      </c>
      <c r="C43" s="63" t="s">
        <v>106</v>
      </c>
      <c r="D43" s="63" t="s">
        <v>48</v>
      </c>
      <c r="E43" s="201">
        <f>'RateDev (31,31T,41,41T,86,86T)'!K38</f>
        <v>-0.14000000000000012</v>
      </c>
      <c r="F43" s="391" t="s">
        <v>451</v>
      </c>
    </row>
    <row r="44" spans="1:6" x14ac:dyDescent="0.2">
      <c r="A44" s="42">
        <f t="shared" si="2"/>
        <v>35</v>
      </c>
      <c r="E44" s="74"/>
      <c r="F44" s="312"/>
    </row>
    <row r="45" spans="1:6" x14ac:dyDescent="0.2">
      <c r="A45" s="42">
        <f t="shared" si="2"/>
        <v>36</v>
      </c>
      <c r="C45" s="63" t="s">
        <v>107</v>
      </c>
      <c r="E45" s="74"/>
      <c r="F45" s="312"/>
    </row>
    <row r="46" spans="1:6" x14ac:dyDescent="0.2">
      <c r="A46" s="42">
        <f t="shared" si="2"/>
        <v>37</v>
      </c>
      <c r="C46" s="63" t="s">
        <v>110</v>
      </c>
      <c r="D46" s="63" t="s">
        <v>48</v>
      </c>
      <c r="E46" s="74">
        <f>'RateDev (31,31T,41,41T,86,86T)'!K41</f>
        <v>-1.8470000000000014E-2</v>
      </c>
      <c r="F46" s="391" t="s">
        <v>451</v>
      </c>
    </row>
    <row r="47" spans="1:6" x14ac:dyDescent="0.2">
      <c r="A47" s="42">
        <f t="shared" si="2"/>
        <v>38</v>
      </c>
      <c r="C47" s="63" t="s">
        <v>111</v>
      </c>
      <c r="D47" s="63" t="s">
        <v>48</v>
      </c>
      <c r="E47" s="74">
        <f>'RateDev (31,31T,41,41T,86,86T)'!K42</f>
        <v>-1.3090000000000004E-2</v>
      </c>
      <c r="F47" s="391" t="s">
        <v>451</v>
      </c>
    </row>
    <row r="48" spans="1:6" x14ac:dyDescent="0.2">
      <c r="A48" s="42">
        <f t="shared" si="2"/>
        <v>39</v>
      </c>
      <c r="E48" s="74"/>
      <c r="F48" s="312"/>
    </row>
    <row r="49" spans="1:6" x14ac:dyDescent="0.2">
      <c r="A49" s="42">
        <f t="shared" si="2"/>
        <v>40</v>
      </c>
      <c r="C49" s="63" t="s">
        <v>103</v>
      </c>
      <c r="D49" s="63" t="s">
        <v>48</v>
      </c>
      <c r="E49" s="74">
        <f>'RateDev (31,31T,41,41T,86,86T)'!K44</f>
        <v>-1.2399999999999998E-3</v>
      </c>
      <c r="F49" s="391" t="s">
        <v>451</v>
      </c>
    </row>
    <row r="50" spans="1:6" x14ac:dyDescent="0.2">
      <c r="A50" s="42">
        <f t="shared" si="2"/>
        <v>41</v>
      </c>
      <c r="C50" s="67"/>
      <c r="D50" s="67"/>
      <c r="E50" s="74"/>
      <c r="F50" s="312"/>
    </row>
    <row r="51" spans="1:6" x14ac:dyDescent="0.2">
      <c r="A51" s="42">
        <f t="shared" si="2"/>
        <v>42</v>
      </c>
      <c r="B51" s="61" t="s">
        <v>112</v>
      </c>
      <c r="C51" s="8"/>
      <c r="D51" s="67"/>
      <c r="E51" s="74"/>
      <c r="F51" s="312"/>
    </row>
    <row r="52" spans="1:6" x14ac:dyDescent="0.2">
      <c r="A52" s="42">
        <f t="shared" si="2"/>
        <v>43</v>
      </c>
      <c r="B52" s="63"/>
      <c r="C52" s="63" t="s">
        <v>106</v>
      </c>
      <c r="D52" s="63" t="s">
        <v>48</v>
      </c>
      <c r="E52" s="201">
        <f>'RateDev (31,31T,41,41T,86,86T)'!K47</f>
        <v>-0.14000000000000012</v>
      </c>
      <c r="F52" s="391" t="s">
        <v>451</v>
      </c>
    </row>
    <row r="53" spans="1:6" x14ac:dyDescent="0.2">
      <c r="A53" s="42">
        <f t="shared" si="2"/>
        <v>44</v>
      </c>
      <c r="B53" s="63"/>
      <c r="E53" s="74"/>
      <c r="F53" s="312"/>
    </row>
    <row r="54" spans="1:6" x14ac:dyDescent="0.2">
      <c r="A54" s="42">
        <f t="shared" si="2"/>
        <v>45</v>
      </c>
      <c r="B54" s="63"/>
      <c r="C54" s="63" t="s">
        <v>107</v>
      </c>
      <c r="E54" s="74"/>
      <c r="F54" s="312"/>
    </row>
    <row r="55" spans="1:6" x14ac:dyDescent="0.2">
      <c r="A55" s="42">
        <f t="shared" si="2"/>
        <v>46</v>
      </c>
      <c r="B55" s="63"/>
      <c r="C55" s="63" t="s">
        <v>110</v>
      </c>
      <c r="D55" s="63" t="s">
        <v>48</v>
      </c>
      <c r="E55" s="74">
        <f>'RateDev (31,31T,41,41T,86,86T)'!K50</f>
        <v>-1.8470000000000014E-2</v>
      </c>
      <c r="F55" s="391" t="s">
        <v>451</v>
      </c>
    </row>
    <row r="56" spans="1:6" x14ac:dyDescent="0.2">
      <c r="A56" s="42">
        <f t="shared" si="2"/>
        <v>47</v>
      </c>
      <c r="B56" s="63"/>
      <c r="C56" s="63" t="s">
        <v>111</v>
      </c>
      <c r="D56" s="63" t="s">
        <v>48</v>
      </c>
      <c r="E56" s="74">
        <f>'RateDev (31,31T,41,41T,86,86T)'!K51</f>
        <v>-1.3090000000000004E-2</v>
      </c>
      <c r="F56" s="391" t="s">
        <v>451</v>
      </c>
    </row>
    <row r="57" spans="1:6" x14ac:dyDescent="0.2">
      <c r="A57" s="42"/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5" header="0.3" footer="0.3"/>
  <pageSetup scale="82" orientation="landscape" blackAndWhite="1" r:id="rId1"/>
  <headerFooter>
    <oddFooter>&amp;R&amp;F
&amp;A</oddFooter>
  </headerFooter>
  <customProperties>
    <customPr name="_pios_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6" tint="0.79998168889431442"/>
    <pageSetUpPr fitToPage="1"/>
  </sheetPr>
  <dimension ref="A1:D25"/>
  <sheetViews>
    <sheetView workbookViewId="0">
      <selection sqref="A1:XFD1048576"/>
    </sheetView>
  </sheetViews>
  <sheetFormatPr defaultColWidth="9.140625" defaultRowHeight="11.25" x14ac:dyDescent="0.2"/>
  <cols>
    <col min="1" max="1" width="5.5703125" style="41" bestFit="1" customWidth="1"/>
    <col min="2" max="2" width="35.85546875" style="41" customWidth="1"/>
    <col min="3" max="3" width="27.7109375" style="41" bestFit="1" customWidth="1"/>
    <col min="4" max="4" width="11.5703125" style="41" bestFit="1" customWidth="1"/>
    <col min="5" max="16384" width="9.140625" style="41"/>
  </cols>
  <sheetData>
    <row r="1" spans="1:4" x14ac:dyDescent="0.2">
      <c r="A1" s="392" t="s">
        <v>0</v>
      </c>
      <c r="B1" s="392"/>
      <c r="C1" s="392"/>
      <c r="D1" s="392"/>
    </row>
    <row r="2" spans="1:4" x14ac:dyDescent="0.2">
      <c r="A2" s="394" t="str">
        <f>'Delivery Rate Change Calc'!A2:F2</f>
        <v>2021 Gas Decoupling Filing</v>
      </c>
      <c r="B2" s="394"/>
      <c r="C2" s="394"/>
      <c r="D2" s="394"/>
    </row>
    <row r="3" spans="1:4" x14ac:dyDescent="0.2">
      <c r="A3" s="392" t="s">
        <v>330</v>
      </c>
      <c r="B3" s="392"/>
      <c r="C3" s="392"/>
      <c r="D3" s="392"/>
    </row>
    <row r="4" spans="1:4" x14ac:dyDescent="0.2">
      <c r="A4" s="394" t="str">
        <f>'Delivery Rate Change Calc'!A4:F4</f>
        <v>Proposed Effective May 1, 2021</v>
      </c>
      <c r="B4" s="394"/>
      <c r="C4" s="394"/>
      <c r="D4" s="394"/>
    </row>
    <row r="5" spans="1:4" x14ac:dyDescent="0.2">
      <c r="A5" s="392"/>
      <c r="B5" s="392"/>
      <c r="C5" s="392"/>
      <c r="D5" s="392"/>
    </row>
    <row r="6" spans="1:4" x14ac:dyDescent="0.2">
      <c r="D6" s="178"/>
    </row>
    <row r="7" spans="1:4" ht="22.5" x14ac:dyDescent="0.2">
      <c r="A7" s="53" t="s">
        <v>79</v>
      </c>
      <c r="B7" s="40"/>
      <c r="C7" s="53" t="s">
        <v>373</v>
      </c>
      <c r="D7" s="389" t="s">
        <v>438</v>
      </c>
    </row>
    <row r="8" spans="1:4" x14ac:dyDescent="0.2">
      <c r="B8" s="42" t="s">
        <v>9</v>
      </c>
      <c r="C8" s="42"/>
      <c r="D8" s="42" t="s">
        <v>10</v>
      </c>
    </row>
    <row r="9" spans="1:4" x14ac:dyDescent="0.2">
      <c r="A9" s="42"/>
      <c r="B9" s="43"/>
      <c r="C9" s="43"/>
    </row>
    <row r="10" spans="1:4" x14ac:dyDescent="0.2">
      <c r="A10" s="42">
        <v>1</v>
      </c>
      <c r="B10" s="179" t="s">
        <v>439</v>
      </c>
      <c r="C10" s="179"/>
    </row>
    <row r="11" spans="1:4" x14ac:dyDescent="0.2">
      <c r="A11" s="42">
        <v>2</v>
      </c>
      <c r="B11" s="41" t="s">
        <v>81</v>
      </c>
      <c r="C11" s="41" t="s">
        <v>374</v>
      </c>
      <c r="D11" s="180">
        <f>'Sch23&amp;53 Deferral Calc'!Q8</f>
        <v>791611.66666666663</v>
      </c>
    </row>
    <row r="12" spans="1:4" x14ac:dyDescent="0.2">
      <c r="A12" s="42">
        <v>3</v>
      </c>
      <c r="B12" s="41" t="s">
        <v>371</v>
      </c>
      <c r="C12" s="41" t="s">
        <v>374</v>
      </c>
      <c r="D12" s="180">
        <f>'Sch31&amp;31T Deferral Calc'!Q8</f>
        <v>57296.333333333336</v>
      </c>
    </row>
    <row r="13" spans="1:4" x14ac:dyDescent="0.2">
      <c r="A13" s="42">
        <v>4</v>
      </c>
      <c r="B13" s="41" t="s">
        <v>372</v>
      </c>
      <c r="C13" s="41" t="s">
        <v>374</v>
      </c>
      <c r="D13" s="180">
        <f>'Sch 41&amp;86 Deferral Calc'!Q8</f>
        <v>1529.5833333333333</v>
      </c>
    </row>
    <row r="14" spans="1:4" x14ac:dyDescent="0.2">
      <c r="A14" s="42">
        <v>5</v>
      </c>
      <c r="D14" s="180"/>
    </row>
    <row r="15" spans="1:4" x14ac:dyDescent="0.2">
      <c r="A15" s="42">
        <v>6</v>
      </c>
      <c r="B15" s="181" t="s">
        <v>82</v>
      </c>
      <c r="C15" s="181"/>
    </row>
    <row r="16" spans="1:4" x14ac:dyDescent="0.2">
      <c r="A16" s="42">
        <v>7</v>
      </c>
      <c r="B16" s="41" t="s">
        <v>81</v>
      </c>
      <c r="C16" s="41" t="s">
        <v>448</v>
      </c>
      <c r="D16" s="390">
        <v>478.43224898938564</v>
      </c>
    </row>
    <row r="17" spans="1:4" x14ac:dyDescent="0.2">
      <c r="A17" s="42">
        <v>8</v>
      </c>
      <c r="B17" s="41" t="s">
        <v>371</v>
      </c>
      <c r="C17" s="41" t="s">
        <v>448</v>
      </c>
      <c r="D17" s="390">
        <v>2080.8331701121856</v>
      </c>
    </row>
    <row r="18" spans="1:4" x14ac:dyDescent="0.2">
      <c r="A18" s="42">
        <v>9</v>
      </c>
      <c r="B18" s="41" t="s">
        <v>372</v>
      </c>
      <c r="C18" s="41" t="s">
        <v>448</v>
      </c>
      <c r="D18" s="390">
        <v>13923.107454329105</v>
      </c>
    </row>
    <row r="19" spans="1:4" x14ac:dyDescent="0.2">
      <c r="A19" s="42">
        <v>10</v>
      </c>
    </row>
    <row r="20" spans="1:4" x14ac:dyDescent="0.2">
      <c r="A20" s="42">
        <v>11</v>
      </c>
      <c r="B20" s="181" t="s">
        <v>83</v>
      </c>
      <c r="C20" s="181"/>
    </row>
    <row r="21" spans="1:4" x14ac:dyDescent="0.2">
      <c r="A21" s="42">
        <v>12</v>
      </c>
      <c r="B21" s="41" t="s">
        <v>81</v>
      </c>
      <c r="D21" s="50">
        <f>ROUND(D11*D16,0)</f>
        <v>378732550</v>
      </c>
    </row>
    <row r="22" spans="1:4" x14ac:dyDescent="0.2">
      <c r="A22" s="42">
        <v>13</v>
      </c>
      <c r="B22" s="41" t="s">
        <v>371</v>
      </c>
      <c r="D22" s="50">
        <f>ROUND(D12*D17,0)</f>
        <v>119224111</v>
      </c>
    </row>
    <row r="23" spans="1:4" x14ac:dyDescent="0.2">
      <c r="A23" s="42">
        <v>14</v>
      </c>
      <c r="B23" s="41" t="s">
        <v>372</v>
      </c>
      <c r="D23" s="50">
        <f>ROUND(D13*D18,0)</f>
        <v>21296553</v>
      </c>
    </row>
    <row r="24" spans="1:4" x14ac:dyDescent="0.2">
      <c r="A24" s="42"/>
      <c r="D24" s="50"/>
    </row>
    <row r="25" spans="1:4" x14ac:dyDescent="0.2">
      <c r="B25" s="41" t="s">
        <v>84</v>
      </c>
    </row>
  </sheetData>
  <mergeCells count="5">
    <mergeCell ref="A1:D1"/>
    <mergeCell ref="A2:D2"/>
    <mergeCell ref="A3:D3"/>
    <mergeCell ref="A4:D4"/>
    <mergeCell ref="A5:D5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2" tint="-9.9978637043366805E-2"/>
    <pageSetUpPr fitToPage="1"/>
  </sheetPr>
  <dimension ref="A1:Q22"/>
  <sheetViews>
    <sheetView zoomScaleNormal="100" workbookViewId="0">
      <pane ySplit="7" topLeftCell="A8" activePane="bottomLeft" state="frozen"/>
      <selection activeCell="O46" sqref="O46"/>
      <selection pane="bottomLeft" sqref="A1:XFD1048576"/>
    </sheetView>
  </sheetViews>
  <sheetFormatPr defaultColWidth="9.140625" defaultRowHeight="11.25" x14ac:dyDescent="0.2"/>
  <cols>
    <col min="1" max="1" width="5.28515625" style="41" customWidth="1"/>
    <col min="2" max="2" width="46.42578125" style="41" bestFit="1" customWidth="1"/>
    <col min="3" max="3" width="22.42578125" style="41" bestFit="1" customWidth="1"/>
    <col min="4" max="4" width="11.5703125" style="41" bestFit="1" customWidth="1"/>
    <col min="5" max="5" width="10.7109375" style="41" bestFit="1" customWidth="1"/>
    <col min="6" max="6" width="14.28515625" style="41" bestFit="1" customWidth="1"/>
    <col min="7" max="7" width="17.7109375" style="41" customWidth="1"/>
    <col min="8" max="8" width="14.5703125" style="41" bestFit="1" customWidth="1"/>
    <col min="9" max="9" width="9.140625" style="41"/>
    <col min="10" max="10" width="10.28515625" style="41" bestFit="1" customWidth="1"/>
    <col min="11" max="16384" width="9.140625" style="41"/>
  </cols>
  <sheetData>
    <row r="1" spans="1:17" x14ac:dyDescent="0.2">
      <c r="A1" s="392" t="s">
        <v>0</v>
      </c>
      <c r="B1" s="392"/>
      <c r="C1" s="392"/>
      <c r="D1" s="392"/>
      <c r="E1" s="392"/>
      <c r="F1" s="392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x14ac:dyDescent="0.2">
      <c r="A2" s="392" t="s">
        <v>1</v>
      </c>
      <c r="B2" s="392"/>
      <c r="C2" s="392"/>
      <c r="D2" s="392"/>
      <c r="E2" s="392"/>
      <c r="F2" s="392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x14ac:dyDescent="0.2">
      <c r="A3" s="392" t="s">
        <v>181</v>
      </c>
      <c r="B3" s="392"/>
      <c r="C3" s="392"/>
      <c r="D3" s="392"/>
      <c r="E3" s="392"/>
      <c r="F3" s="392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2">
      <c r="A4" s="5"/>
      <c r="B4" s="5"/>
      <c r="C4" s="5"/>
      <c r="D4" s="5"/>
      <c r="E4" s="5"/>
      <c r="F4" s="293"/>
      <c r="G4" s="293"/>
      <c r="H4" s="5"/>
      <c r="I4" s="5"/>
      <c r="J4" s="5"/>
      <c r="K4" s="5"/>
      <c r="L4" s="5"/>
      <c r="M4" s="5"/>
      <c r="N4" s="5"/>
      <c r="O4" s="5"/>
      <c r="P4" s="5"/>
      <c r="Q4" s="5"/>
    </row>
    <row r="6" spans="1:17" ht="12.75" customHeight="1" x14ac:dyDescent="0.2">
      <c r="A6" s="182" t="s">
        <v>2</v>
      </c>
      <c r="D6" s="38" t="s">
        <v>3</v>
      </c>
      <c r="E6" s="38" t="s">
        <v>3</v>
      </c>
      <c r="F6" s="38" t="s">
        <v>3</v>
      </c>
    </row>
    <row r="7" spans="1:17" x14ac:dyDescent="0.2">
      <c r="A7" s="183" t="s">
        <v>4</v>
      </c>
      <c r="B7" s="76"/>
      <c r="C7" s="184" t="s">
        <v>5</v>
      </c>
      <c r="D7" s="39" t="s">
        <v>6</v>
      </c>
      <c r="E7" s="39" t="s">
        <v>182</v>
      </c>
      <c r="F7" s="39" t="s">
        <v>183</v>
      </c>
    </row>
    <row r="8" spans="1:17" x14ac:dyDescent="0.2">
      <c r="B8" s="42" t="s">
        <v>9</v>
      </c>
      <c r="C8" s="42" t="s">
        <v>10</v>
      </c>
      <c r="D8" s="42" t="s">
        <v>11</v>
      </c>
      <c r="E8" s="42" t="s">
        <v>12</v>
      </c>
      <c r="F8" s="42" t="s">
        <v>13</v>
      </c>
    </row>
    <row r="9" spans="1:17" x14ac:dyDescent="0.2">
      <c r="A9" s="42"/>
      <c r="B9" s="43"/>
      <c r="C9" s="42"/>
      <c r="D9" s="42"/>
      <c r="E9" s="42"/>
      <c r="F9" s="42"/>
    </row>
    <row r="10" spans="1:17" x14ac:dyDescent="0.2">
      <c r="A10" s="42">
        <v>1</v>
      </c>
      <c r="B10" s="41" t="s">
        <v>184</v>
      </c>
      <c r="C10" s="41" t="s">
        <v>441</v>
      </c>
      <c r="D10" s="77">
        <v>261105550.43000001</v>
      </c>
      <c r="E10" s="77">
        <v>94517822.270000011</v>
      </c>
      <c r="F10" s="77">
        <v>18314305.758729607</v>
      </c>
      <c r="H10" s="50"/>
    </row>
    <row r="11" spans="1:17" x14ac:dyDescent="0.2">
      <c r="A11" s="42">
        <f>A10+1</f>
        <v>2</v>
      </c>
    </row>
    <row r="12" spans="1:17" x14ac:dyDescent="0.2">
      <c r="A12" s="42">
        <f t="shared" ref="A12:A14" si="0">A11+1</f>
        <v>3</v>
      </c>
      <c r="B12" s="41" t="s">
        <v>185</v>
      </c>
      <c r="C12" s="41" t="s">
        <v>442</v>
      </c>
      <c r="D12" s="185">
        <v>609248315.15931797</v>
      </c>
      <c r="E12" s="185">
        <v>234176518.05324444</v>
      </c>
      <c r="F12" s="185">
        <v>96077480.335465699</v>
      </c>
    </row>
    <row r="13" spans="1:17" x14ac:dyDescent="0.2">
      <c r="A13" s="42">
        <f t="shared" si="0"/>
        <v>4</v>
      </c>
      <c r="D13" s="186"/>
      <c r="E13" s="186"/>
      <c r="F13" s="186"/>
    </row>
    <row r="14" spans="1:17" x14ac:dyDescent="0.2">
      <c r="A14" s="42">
        <f t="shared" si="0"/>
        <v>5</v>
      </c>
      <c r="B14" s="41" t="s">
        <v>186</v>
      </c>
      <c r="C14" s="42" t="str">
        <f>"("&amp;A10&amp;") / ("&amp;A12&amp;")"</f>
        <v>(1) / (3)</v>
      </c>
      <c r="D14" s="187">
        <f>ROUND(D10/D12,5)</f>
        <v>0.42857000000000001</v>
      </c>
      <c r="E14" s="187">
        <f t="shared" ref="E14:F14" si="1">ROUND(E10/E12,5)</f>
        <v>0.40361999999999998</v>
      </c>
      <c r="F14" s="187">
        <f t="shared" si="1"/>
        <v>0.19062000000000001</v>
      </c>
    </row>
    <row r="15" spans="1:17" x14ac:dyDescent="0.2">
      <c r="D15" s="237"/>
      <c r="E15" s="237"/>
      <c r="F15" s="237"/>
      <c r="G15" s="237"/>
    </row>
    <row r="16" spans="1:17" x14ac:dyDescent="0.2">
      <c r="B16" s="41" t="s">
        <v>187</v>
      </c>
      <c r="D16" s="20"/>
      <c r="E16" s="185"/>
      <c r="F16" s="185"/>
      <c r="G16" s="20"/>
    </row>
    <row r="18" spans="4:7" x14ac:dyDescent="0.2">
      <c r="D18" s="237"/>
      <c r="E18" s="237"/>
      <c r="F18" s="237"/>
      <c r="G18" s="237"/>
    </row>
    <row r="19" spans="4:7" x14ac:dyDescent="0.2">
      <c r="D19" s="237"/>
      <c r="E19" s="237"/>
      <c r="F19" s="237"/>
      <c r="G19" s="237"/>
    </row>
    <row r="20" spans="4:7" x14ac:dyDescent="0.2">
      <c r="D20" s="237"/>
      <c r="E20" s="237"/>
      <c r="F20" s="237"/>
      <c r="G20" s="237"/>
    </row>
    <row r="21" spans="4:7" x14ac:dyDescent="0.2">
      <c r="D21" s="237"/>
      <c r="E21" s="237"/>
      <c r="F21" s="237"/>
      <c r="G21" s="237"/>
    </row>
    <row r="22" spans="4:7" x14ac:dyDescent="0.2">
      <c r="D22" s="237"/>
      <c r="E22" s="237"/>
      <c r="F22" s="237"/>
      <c r="G22" s="237"/>
    </row>
  </sheetData>
  <mergeCells count="3">
    <mergeCell ref="A1:F1"/>
    <mergeCell ref="A2:F2"/>
    <mergeCell ref="A3:F3"/>
  </mergeCells>
  <printOptions horizontalCentered="1"/>
  <pageMargins left="0.45" right="0.45" top="0.75" bottom="0.75" header="0.3" footer="0.3"/>
  <pageSetup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9" tint="0.79998168889431442"/>
    <pageSetUpPr fitToPage="1"/>
  </sheetPr>
  <dimension ref="A1:D22"/>
  <sheetViews>
    <sheetView workbookViewId="0">
      <selection activeCell="D18" sqref="D18"/>
    </sheetView>
  </sheetViews>
  <sheetFormatPr defaultColWidth="8.85546875" defaultRowHeight="11.25" x14ac:dyDescent="0.2"/>
  <cols>
    <col min="1" max="1" width="9" style="69" customWidth="1"/>
    <col min="2" max="2" width="53" style="69" customWidth="1"/>
    <col min="3" max="3" width="6.28515625" style="69" bestFit="1" customWidth="1"/>
    <col min="4" max="4" width="11" style="69" customWidth="1"/>
    <col min="5" max="16384" width="8.85546875" style="69"/>
  </cols>
  <sheetData>
    <row r="1" spans="1:4" x14ac:dyDescent="0.2">
      <c r="A1" s="208"/>
      <c r="B1" s="84"/>
      <c r="C1" s="84"/>
      <c r="D1" s="231"/>
    </row>
    <row r="2" spans="1:4" x14ac:dyDescent="0.2">
      <c r="A2" s="208"/>
      <c r="B2" s="84"/>
      <c r="C2" s="84"/>
      <c r="D2" s="231"/>
    </row>
    <row r="3" spans="1:4" x14ac:dyDescent="0.2">
      <c r="A3" s="232" t="s">
        <v>443</v>
      </c>
      <c r="B3" s="232"/>
      <c r="C3" s="232"/>
      <c r="D3" s="232"/>
    </row>
    <row r="4" spans="1:4" x14ac:dyDescent="0.2">
      <c r="A4" s="233" t="s">
        <v>225</v>
      </c>
      <c r="B4" s="232"/>
      <c r="C4" s="232"/>
      <c r="D4" s="232"/>
    </row>
    <row r="5" spans="1:4" x14ac:dyDescent="0.2">
      <c r="A5" s="234" t="s">
        <v>444</v>
      </c>
      <c r="B5" s="233"/>
      <c r="C5" s="233"/>
      <c r="D5" s="233"/>
    </row>
    <row r="6" spans="1:4" x14ac:dyDescent="0.2">
      <c r="A6" s="232" t="s">
        <v>445</v>
      </c>
      <c r="B6" s="235"/>
      <c r="C6" s="235"/>
      <c r="D6" s="235"/>
    </row>
    <row r="7" spans="1:4" x14ac:dyDescent="0.2">
      <c r="A7" s="236"/>
      <c r="B7" s="232"/>
      <c r="C7" s="232"/>
      <c r="D7" s="232"/>
    </row>
    <row r="8" spans="1:4" x14ac:dyDescent="0.2">
      <c r="A8" s="232"/>
      <c r="B8" s="232"/>
      <c r="C8" s="232"/>
      <c r="D8" s="232"/>
    </row>
    <row r="9" spans="1:4" x14ac:dyDescent="0.2">
      <c r="A9" s="209" t="s">
        <v>226</v>
      </c>
      <c r="B9" s="208"/>
      <c r="C9" s="208"/>
      <c r="D9" s="208"/>
    </row>
    <row r="10" spans="1:4" x14ac:dyDescent="0.2">
      <c r="A10" s="39" t="s">
        <v>227</v>
      </c>
      <c r="B10" s="210" t="s">
        <v>228</v>
      </c>
      <c r="C10" s="39" t="s">
        <v>229</v>
      </c>
      <c r="D10" s="39" t="s">
        <v>230</v>
      </c>
    </row>
    <row r="11" spans="1:4" x14ac:dyDescent="0.2">
      <c r="A11" s="84"/>
      <c r="B11" s="84"/>
      <c r="C11" s="84"/>
      <c r="D11" s="84"/>
    </row>
    <row r="12" spans="1:4" x14ac:dyDescent="0.2">
      <c r="A12" s="211">
        <v>1</v>
      </c>
      <c r="B12" s="212" t="s">
        <v>231</v>
      </c>
      <c r="C12" s="203"/>
      <c r="D12" s="303">
        <v>5.1240000000000001E-3</v>
      </c>
    </row>
    <row r="13" spans="1:4" x14ac:dyDescent="0.2">
      <c r="A13" s="211">
        <v>2</v>
      </c>
      <c r="B13" s="212" t="s">
        <v>232</v>
      </c>
      <c r="C13" s="203"/>
      <c r="D13" s="303">
        <v>2E-3</v>
      </c>
    </row>
    <row r="14" spans="1:4" x14ac:dyDescent="0.2">
      <c r="A14" s="211">
        <v>3</v>
      </c>
      <c r="B14" s="212" t="s">
        <v>446</v>
      </c>
      <c r="C14" s="305">
        <v>3.8519999999999999E-2</v>
      </c>
      <c r="D14" s="304">
        <v>3.8323000000000003E-2</v>
      </c>
    </row>
    <row r="15" spans="1:4" x14ac:dyDescent="0.2">
      <c r="A15" s="211">
        <v>4</v>
      </c>
      <c r="B15" s="212"/>
      <c r="C15" s="203"/>
      <c r="D15" s="203"/>
    </row>
    <row r="16" spans="1:4" x14ac:dyDescent="0.2">
      <c r="A16" s="211">
        <v>5</v>
      </c>
      <c r="B16" s="212" t="s">
        <v>233</v>
      </c>
      <c r="C16" s="203"/>
      <c r="D16" s="203">
        <f>SUM(D12:D15)</f>
        <v>4.5447000000000001E-2</v>
      </c>
    </row>
    <row r="17" spans="1:4" x14ac:dyDescent="0.2">
      <c r="A17" s="211">
        <v>6</v>
      </c>
      <c r="B17" s="213"/>
      <c r="C17" s="204"/>
      <c r="D17" s="204"/>
    </row>
    <row r="18" spans="1:4" x14ac:dyDescent="0.2">
      <c r="A18" s="211">
        <v>7</v>
      </c>
      <c r="B18" s="213" t="s">
        <v>234</v>
      </c>
      <c r="C18" s="205"/>
      <c r="D18" s="309">
        <f>ROUND(1-D16,6)</f>
        <v>0.95455299999999998</v>
      </c>
    </row>
    <row r="19" spans="1:4" x14ac:dyDescent="0.2">
      <c r="A19" s="211">
        <v>8</v>
      </c>
      <c r="B19" s="212" t="s">
        <v>235</v>
      </c>
      <c r="C19" s="306">
        <v>0.21</v>
      </c>
      <c r="D19" s="307">
        <f>ROUND(D18*C19,6)</f>
        <v>0.200456</v>
      </c>
    </row>
    <row r="20" spans="1:4" x14ac:dyDescent="0.2">
      <c r="A20" s="211">
        <v>9</v>
      </c>
      <c r="B20" s="214"/>
      <c r="C20" s="206"/>
      <c r="D20" s="207"/>
    </row>
    <row r="21" spans="1:4" ht="12" thickBot="1" x14ac:dyDescent="0.25">
      <c r="A21" s="211">
        <v>10</v>
      </c>
      <c r="B21" s="214" t="s">
        <v>225</v>
      </c>
      <c r="C21" s="206"/>
      <c r="D21" s="308">
        <f>D18-D19</f>
        <v>0.75409700000000002</v>
      </c>
    </row>
    <row r="22" spans="1:4" ht="12" thickTop="1" x14ac:dyDescent="0.2"/>
  </sheetData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K19"/>
  <sheetViews>
    <sheetView workbookViewId="0">
      <selection activeCell="E12" sqref="E12"/>
    </sheetView>
  </sheetViews>
  <sheetFormatPr defaultColWidth="7.85546875" defaultRowHeight="11.25" outlineLevelCol="1" x14ac:dyDescent="0.2"/>
  <cols>
    <col min="1" max="1" width="4.7109375" style="3" customWidth="1"/>
    <col min="2" max="2" width="41.85546875" style="3" bestFit="1" customWidth="1"/>
    <col min="3" max="3" width="40.140625" style="3" customWidth="1" outlineLevel="1"/>
    <col min="4" max="4" width="13.5703125" style="3" bestFit="1" customWidth="1"/>
    <col min="5" max="6" width="13.85546875" style="3" bestFit="1" customWidth="1"/>
    <col min="7" max="7" width="12.85546875" style="3" bestFit="1" customWidth="1"/>
    <col min="8" max="8" width="13.5703125" style="3" bestFit="1" customWidth="1"/>
    <col min="9" max="9" width="14.140625" style="3" bestFit="1" customWidth="1"/>
    <col min="10" max="10" width="3.140625" style="3" bestFit="1" customWidth="1"/>
    <col min="11" max="16384" width="7.85546875" style="3"/>
  </cols>
  <sheetData>
    <row r="1" spans="1:11" x14ac:dyDescent="0.2">
      <c r="A1" s="216" t="s">
        <v>453</v>
      </c>
      <c r="B1" s="217"/>
      <c r="C1" s="217"/>
      <c r="D1" s="217"/>
      <c r="E1" s="217"/>
      <c r="F1" s="217"/>
      <c r="G1" s="217"/>
      <c r="H1" s="217"/>
      <c r="I1" s="217"/>
    </row>
    <row r="2" spans="1:11" x14ac:dyDescent="0.2">
      <c r="A2" s="216" t="s">
        <v>454</v>
      </c>
      <c r="B2" s="217"/>
      <c r="C2" s="217"/>
      <c r="D2" s="217"/>
      <c r="E2" s="217"/>
      <c r="F2" s="217"/>
      <c r="G2" s="217"/>
      <c r="H2" s="217"/>
      <c r="I2" s="217"/>
    </row>
    <row r="3" spans="1:11" x14ac:dyDescent="0.2">
      <c r="A3" s="216" t="s">
        <v>455</v>
      </c>
      <c r="B3" s="217"/>
      <c r="C3" s="217"/>
      <c r="D3" s="217"/>
      <c r="E3" s="217"/>
      <c r="F3" s="217"/>
      <c r="G3" s="217"/>
      <c r="H3" s="217"/>
      <c r="I3" s="217"/>
    </row>
    <row r="4" spans="1:11" x14ac:dyDescent="0.2">
      <c r="A4" s="216" t="s">
        <v>456</v>
      </c>
      <c r="B4" s="217"/>
      <c r="C4" s="217"/>
      <c r="D4" s="217"/>
      <c r="E4" s="217"/>
      <c r="F4" s="217"/>
      <c r="G4" s="217"/>
      <c r="H4" s="217"/>
      <c r="I4" s="217"/>
    </row>
    <row r="5" spans="1:11" x14ac:dyDescent="0.2">
      <c r="B5" s="83"/>
      <c r="C5" s="83"/>
    </row>
    <row r="6" spans="1:11" x14ac:dyDescent="0.2">
      <c r="D6" s="272"/>
      <c r="E6" s="273" t="s">
        <v>402</v>
      </c>
      <c r="F6" s="274"/>
      <c r="G6" s="274"/>
      <c r="H6" s="275"/>
      <c r="I6" s="208"/>
    </row>
    <row r="7" spans="1:11" ht="49.5" customHeight="1" thickBot="1" x14ac:dyDescent="0.25">
      <c r="A7" s="85" t="s">
        <v>79</v>
      </c>
      <c r="B7" s="86" t="s">
        <v>331</v>
      </c>
      <c r="C7" s="87" t="s">
        <v>5</v>
      </c>
      <c r="D7" s="271" t="s">
        <v>457</v>
      </c>
      <c r="E7" s="276" t="s">
        <v>403</v>
      </c>
      <c r="F7" s="277" t="s">
        <v>404</v>
      </c>
      <c r="G7" s="277" t="s">
        <v>405</v>
      </c>
      <c r="H7" s="277" t="s">
        <v>406</v>
      </c>
      <c r="I7" s="270" t="s">
        <v>458</v>
      </c>
    </row>
    <row r="8" spans="1:11" ht="16.5" customHeight="1" x14ac:dyDescent="0.2">
      <c r="A8" s="88">
        <v>1</v>
      </c>
      <c r="B8" s="89" t="s">
        <v>459</v>
      </c>
      <c r="C8" s="266" t="s">
        <v>460</v>
      </c>
      <c r="D8" s="403">
        <v>0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</row>
    <row r="9" spans="1:11" x14ac:dyDescent="0.2">
      <c r="A9" s="92">
        <f t="shared" ref="A9:A19" si="0">+A8+1</f>
        <v>2</v>
      </c>
      <c r="B9" s="93" t="s">
        <v>461</v>
      </c>
      <c r="C9" s="267" t="s">
        <v>462</v>
      </c>
      <c r="D9" s="94">
        <v>2301107566.1432133</v>
      </c>
      <c r="E9" s="95">
        <v>2301107566.1432133</v>
      </c>
      <c r="F9" s="95">
        <v>2301107566.1432133</v>
      </c>
      <c r="G9" s="95">
        <v>2301107566.1432133</v>
      </c>
      <c r="H9" s="95">
        <v>2301107566.1432133</v>
      </c>
      <c r="I9" s="95">
        <v>2301107566.1432133</v>
      </c>
    </row>
    <row r="10" spans="1:11" x14ac:dyDescent="0.2">
      <c r="A10" s="92">
        <f t="shared" si="0"/>
        <v>3</v>
      </c>
      <c r="B10" s="93" t="s">
        <v>463</v>
      </c>
      <c r="C10" s="267" t="s">
        <v>464</v>
      </c>
      <c r="D10" s="278">
        <v>7.4649999999999994E-2</v>
      </c>
      <c r="E10" s="279">
        <v>7.4649999999999994E-2</v>
      </c>
      <c r="F10" s="279">
        <v>7.4649999999999994E-2</v>
      </c>
      <c r="G10" s="279">
        <v>7.4649999999999994E-2</v>
      </c>
      <c r="H10" s="279">
        <v>7.4649999999999994E-2</v>
      </c>
      <c r="I10" s="279">
        <v>7.4649999999999994E-2</v>
      </c>
    </row>
    <row r="11" spans="1:11" x14ac:dyDescent="0.2">
      <c r="A11" s="92">
        <f t="shared" si="0"/>
        <v>4</v>
      </c>
      <c r="B11" s="93" t="s">
        <v>465</v>
      </c>
      <c r="C11" s="268" t="s">
        <v>466</v>
      </c>
      <c r="D11" s="94">
        <v>171777680</v>
      </c>
      <c r="E11" s="95">
        <v>171777680</v>
      </c>
      <c r="F11" s="95">
        <v>171777680</v>
      </c>
      <c r="G11" s="95">
        <v>171777680</v>
      </c>
      <c r="H11" s="95">
        <v>171777680</v>
      </c>
      <c r="I11" s="95">
        <v>171777680</v>
      </c>
    </row>
    <row r="12" spans="1:11" x14ac:dyDescent="0.2">
      <c r="A12" s="92">
        <f t="shared" si="0"/>
        <v>5</v>
      </c>
      <c r="B12" s="93" t="s">
        <v>467</v>
      </c>
      <c r="C12" s="267" t="s">
        <v>460</v>
      </c>
      <c r="D12" s="90">
        <v>0</v>
      </c>
      <c r="E12" s="95">
        <v>-50010.028092253473</v>
      </c>
      <c r="F12" s="95">
        <v>161380.80420999997</v>
      </c>
      <c r="G12" s="95">
        <v>55031</v>
      </c>
      <c r="H12" s="95">
        <v>-184631.15422121563</v>
      </c>
      <c r="I12" s="95">
        <v>0</v>
      </c>
      <c r="J12" s="1"/>
    </row>
    <row r="13" spans="1:11" x14ac:dyDescent="0.2">
      <c r="A13" s="92">
        <f t="shared" si="0"/>
        <v>6</v>
      </c>
      <c r="B13" s="93" t="s">
        <v>468</v>
      </c>
      <c r="C13" s="267" t="s">
        <v>469</v>
      </c>
      <c r="D13" s="94">
        <v>146682587.0829891</v>
      </c>
      <c r="E13" s="95">
        <v>146632577.05489683</v>
      </c>
      <c r="F13" s="95">
        <v>146793957.85910684</v>
      </c>
      <c r="G13" s="95">
        <v>146848988.85910684</v>
      </c>
      <c r="H13" s="95">
        <v>146664357.70488563</v>
      </c>
      <c r="I13" s="95">
        <v>146664357.70488563</v>
      </c>
      <c r="J13" s="2"/>
      <c r="K13" s="1"/>
    </row>
    <row r="14" spans="1:11" x14ac:dyDescent="0.2">
      <c r="A14" s="92">
        <f t="shared" si="0"/>
        <v>7</v>
      </c>
      <c r="B14" s="93" t="s">
        <v>470</v>
      </c>
      <c r="C14" s="268" t="s">
        <v>471</v>
      </c>
      <c r="D14" s="96">
        <v>-25095093</v>
      </c>
      <c r="E14" s="97">
        <v>-25145103</v>
      </c>
      <c r="F14" s="97">
        <v>-24983722</v>
      </c>
      <c r="G14" s="97">
        <v>-24928691</v>
      </c>
      <c r="H14" s="97">
        <v>-25113322</v>
      </c>
      <c r="I14" s="97">
        <v>-25113322</v>
      </c>
    </row>
    <row r="15" spans="1:11" x14ac:dyDescent="0.2">
      <c r="A15" s="92">
        <f t="shared" si="0"/>
        <v>8</v>
      </c>
      <c r="B15" s="93" t="s">
        <v>472</v>
      </c>
      <c r="C15" s="268" t="s">
        <v>473</v>
      </c>
      <c r="D15" s="94">
        <v>0</v>
      </c>
      <c r="E15" s="95">
        <v>0</v>
      </c>
      <c r="F15" s="95">
        <v>0</v>
      </c>
      <c r="G15" s="95">
        <v>0</v>
      </c>
      <c r="H15" s="95">
        <v>0</v>
      </c>
      <c r="I15" s="95">
        <v>0</v>
      </c>
    </row>
    <row r="16" spans="1:11" x14ac:dyDescent="0.2">
      <c r="A16" s="92">
        <f t="shared" si="0"/>
        <v>9</v>
      </c>
      <c r="B16" s="93" t="s">
        <v>474</v>
      </c>
      <c r="C16" s="268" t="s">
        <v>475</v>
      </c>
      <c r="D16" s="280">
        <v>0.5</v>
      </c>
      <c r="E16" s="280">
        <v>0.5</v>
      </c>
      <c r="F16" s="280">
        <v>0.5</v>
      </c>
      <c r="G16" s="280">
        <v>0.5</v>
      </c>
      <c r="H16" s="280">
        <v>0.5</v>
      </c>
      <c r="I16" s="280">
        <v>0.5</v>
      </c>
    </row>
    <row r="17" spans="1:9" x14ac:dyDescent="0.2">
      <c r="A17" s="92">
        <f t="shared" si="0"/>
        <v>10</v>
      </c>
      <c r="B17" s="93" t="s">
        <v>476</v>
      </c>
      <c r="C17" s="268" t="s">
        <v>477</v>
      </c>
      <c r="D17" s="98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</row>
    <row r="18" spans="1:9" x14ac:dyDescent="0.2">
      <c r="A18" s="92">
        <f t="shared" si="0"/>
        <v>11</v>
      </c>
      <c r="B18" s="93" t="s">
        <v>170</v>
      </c>
      <c r="C18" s="267" t="s">
        <v>464</v>
      </c>
      <c r="D18" s="281">
        <v>0.75408799999999998</v>
      </c>
      <c r="E18" s="282">
        <v>0.75408799999999998</v>
      </c>
      <c r="F18" s="282">
        <v>0.75408799999999998</v>
      </c>
      <c r="G18" s="282">
        <v>0.75408799999999998</v>
      </c>
      <c r="H18" s="282">
        <v>0.75408799999999998</v>
      </c>
      <c r="I18" s="282">
        <v>0.75408799999999998</v>
      </c>
    </row>
    <row r="19" spans="1:9" x14ac:dyDescent="0.2">
      <c r="A19" s="100">
        <f t="shared" si="0"/>
        <v>12</v>
      </c>
      <c r="B19" s="101" t="s">
        <v>478</v>
      </c>
      <c r="C19" s="269" t="s">
        <v>479</v>
      </c>
      <c r="D19" s="102">
        <v>0</v>
      </c>
      <c r="E19" s="103">
        <v>0</v>
      </c>
      <c r="F19" s="103">
        <v>0</v>
      </c>
      <c r="G19" s="103">
        <v>0</v>
      </c>
      <c r="H19" s="103">
        <v>0</v>
      </c>
      <c r="I19" s="283">
        <v>0</v>
      </c>
    </row>
  </sheetData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X112"/>
  <sheetViews>
    <sheetView zoomScaleNormal="100" workbookViewId="0">
      <pane ySplit="8" topLeftCell="A9" activePane="bottomLeft" state="frozen"/>
      <selection pane="bottomLeft" activeCell="A3" sqref="A3:K3"/>
    </sheetView>
  </sheetViews>
  <sheetFormatPr defaultColWidth="9.140625" defaultRowHeight="11.25" x14ac:dyDescent="0.2"/>
  <cols>
    <col min="1" max="1" width="5.28515625" style="8" customWidth="1"/>
    <col min="2" max="2" width="3.28515625" style="8" customWidth="1"/>
    <col min="3" max="3" width="43" style="63" customWidth="1"/>
    <col min="4" max="4" width="6.5703125" style="63" bestFit="1" customWidth="1"/>
    <col min="5" max="5" width="15.140625" style="63" bestFit="1" customWidth="1"/>
    <col min="6" max="6" width="0.7109375" style="8" customWidth="1"/>
    <col min="7" max="7" width="11.28515625" style="8" bestFit="1" customWidth="1"/>
    <col min="8" max="8" width="0.7109375" style="8" customWidth="1"/>
    <col min="9" max="9" width="14.140625" style="8" bestFit="1" customWidth="1"/>
    <col min="10" max="10" width="0.7109375" style="8" customWidth="1"/>
    <col min="11" max="11" width="13.5703125" style="8" bestFit="1" customWidth="1"/>
    <col min="12" max="12" width="9.140625" style="8" customWidth="1"/>
    <col min="13" max="13" width="10.28515625" style="8" bestFit="1" customWidth="1"/>
    <col min="14" max="14" width="11.7109375" style="8" bestFit="1" customWidth="1"/>
    <col min="15" max="15" width="12.140625" style="8" bestFit="1" customWidth="1"/>
    <col min="16" max="16384" width="9.140625" style="8"/>
  </cols>
  <sheetData>
    <row r="1" spans="1:24" x14ac:dyDescent="0.2">
      <c r="A1" s="392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34"/>
      <c r="M1" s="70"/>
      <c r="N1" s="70"/>
      <c r="O1" s="333"/>
      <c r="P1" s="70"/>
      <c r="Q1" s="70"/>
      <c r="R1" s="70"/>
      <c r="S1" s="70"/>
      <c r="T1" s="70"/>
      <c r="U1" s="70"/>
    </row>
    <row r="2" spans="1:24" x14ac:dyDescent="0.2">
      <c r="A2" s="394" t="str">
        <f>'Delivery Rate Change Calc'!A2:F2</f>
        <v>2021 Gas Decoupling Filing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34"/>
      <c r="M2" s="70"/>
      <c r="N2" s="70"/>
      <c r="O2" s="333"/>
      <c r="P2" s="70"/>
      <c r="Q2" s="70"/>
      <c r="R2" s="70"/>
      <c r="S2" s="70"/>
      <c r="T2" s="70"/>
      <c r="U2" s="70"/>
    </row>
    <row r="3" spans="1:24" x14ac:dyDescent="0.2">
      <c r="A3" s="392" t="s">
        <v>452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34"/>
      <c r="M3" s="323"/>
      <c r="N3" s="70"/>
      <c r="O3" s="333"/>
      <c r="P3" s="70"/>
      <c r="Q3" s="70"/>
      <c r="R3" s="70"/>
      <c r="S3" s="70"/>
      <c r="T3" s="70"/>
      <c r="U3" s="70"/>
    </row>
    <row r="4" spans="1:24" x14ac:dyDescent="0.2">
      <c r="A4" s="394" t="str">
        <f>'Delivery Rate Change Calc'!A4:F4</f>
        <v>Proposed Effective May 1, 2021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34"/>
      <c r="M4" s="323"/>
      <c r="N4" s="70"/>
      <c r="O4" s="333"/>
      <c r="P4" s="70"/>
      <c r="Q4" s="70"/>
      <c r="R4" s="70"/>
      <c r="S4" s="70"/>
      <c r="T4" s="70"/>
      <c r="U4" s="70"/>
    </row>
    <row r="5" spans="1:24" x14ac:dyDescent="0.2">
      <c r="B5" s="9"/>
      <c r="C5" s="284"/>
      <c r="D5" s="284"/>
      <c r="E5" s="284"/>
      <c r="F5" s="284"/>
      <c r="G5" s="284"/>
      <c r="H5" s="284"/>
      <c r="I5" s="284"/>
      <c r="J5" s="284"/>
      <c r="K5" s="284"/>
      <c r="L5" s="332"/>
      <c r="M5" s="5"/>
      <c r="N5" s="5"/>
      <c r="O5" s="331"/>
      <c r="P5" s="5"/>
      <c r="Q5" s="5"/>
      <c r="R5" s="5"/>
      <c r="S5" s="5"/>
      <c r="T5" s="5"/>
      <c r="U5" s="5"/>
      <c r="V5" s="71"/>
      <c r="W5" s="71"/>
      <c r="X5" s="71"/>
    </row>
    <row r="6" spans="1:24" x14ac:dyDescent="0.2">
      <c r="B6" s="72"/>
      <c r="C6" s="72"/>
      <c r="D6" s="72"/>
      <c r="E6" s="72"/>
      <c r="F6" s="124"/>
      <c r="G6" s="124"/>
      <c r="H6" s="124"/>
      <c r="I6" s="124"/>
      <c r="J6" s="124"/>
      <c r="K6" s="332"/>
      <c r="L6" s="332"/>
      <c r="M6" s="5"/>
      <c r="N6" s="5"/>
      <c r="O6" s="331"/>
      <c r="P6" s="5"/>
      <c r="Q6" s="5"/>
      <c r="R6" s="5"/>
      <c r="S6" s="5"/>
      <c r="T6" s="5"/>
      <c r="U6" s="5"/>
      <c r="V6" s="71"/>
      <c r="W6" s="71"/>
      <c r="X6" s="71"/>
    </row>
    <row r="7" spans="1:24" x14ac:dyDescent="0.2">
      <c r="A7" s="285" t="s">
        <v>2</v>
      </c>
      <c r="B7" s="71"/>
      <c r="C7" s="242"/>
      <c r="D7" s="242"/>
      <c r="E7" s="330" t="s">
        <v>413</v>
      </c>
      <c r="F7" s="329"/>
      <c r="G7" s="325" t="s">
        <v>91</v>
      </c>
      <c r="H7" s="325"/>
      <c r="I7" s="72" t="s">
        <v>92</v>
      </c>
      <c r="J7" s="5"/>
      <c r="K7" s="242" t="s">
        <v>93</v>
      </c>
      <c r="L7" s="73"/>
      <c r="M7" s="70"/>
      <c r="N7" s="70"/>
      <c r="O7" s="70"/>
      <c r="P7" s="70"/>
      <c r="Q7" s="70"/>
      <c r="R7" s="70"/>
      <c r="S7" s="70"/>
      <c r="T7" s="70"/>
      <c r="U7" s="70"/>
    </row>
    <row r="8" spans="1:24" x14ac:dyDescent="0.2">
      <c r="A8" s="53" t="s">
        <v>4</v>
      </c>
      <c r="B8" s="262"/>
      <c r="C8" s="241"/>
      <c r="D8" s="241" t="s">
        <v>94</v>
      </c>
      <c r="E8" s="328" t="s">
        <v>423</v>
      </c>
      <c r="F8" s="327"/>
      <c r="G8" s="326" t="s">
        <v>96</v>
      </c>
      <c r="H8" s="325"/>
      <c r="I8" s="241" t="s">
        <v>97</v>
      </c>
      <c r="J8" s="5"/>
      <c r="K8" s="241" t="s">
        <v>98</v>
      </c>
      <c r="L8" s="73"/>
      <c r="M8" s="324"/>
      <c r="N8" s="324"/>
      <c r="O8" s="323"/>
      <c r="P8" s="70"/>
      <c r="Q8" s="70"/>
      <c r="R8" s="70"/>
      <c r="S8" s="70"/>
      <c r="T8" s="70"/>
      <c r="U8" s="70"/>
    </row>
    <row r="9" spans="1:24" x14ac:dyDescent="0.2">
      <c r="A9" s="56"/>
      <c r="B9" s="63"/>
      <c r="C9" s="73" t="s">
        <v>9</v>
      </c>
      <c r="D9" s="73" t="s">
        <v>10</v>
      </c>
      <c r="E9" s="73" t="s">
        <v>11</v>
      </c>
      <c r="F9" s="322"/>
      <c r="G9" s="321" t="s">
        <v>12</v>
      </c>
      <c r="H9" s="321"/>
      <c r="I9" s="58" t="s">
        <v>99</v>
      </c>
      <c r="J9" s="58"/>
      <c r="K9" s="58" t="s">
        <v>100</v>
      </c>
      <c r="L9" s="73"/>
      <c r="M9" s="70"/>
      <c r="N9" s="70"/>
      <c r="O9" s="70"/>
      <c r="P9" s="70"/>
      <c r="Q9" s="70"/>
      <c r="R9" s="70"/>
      <c r="S9" s="70"/>
      <c r="T9" s="70"/>
      <c r="U9" s="70"/>
    </row>
    <row r="10" spans="1:24" x14ac:dyDescent="0.2">
      <c r="A10" s="42"/>
      <c r="B10" s="63"/>
      <c r="E10" s="59"/>
      <c r="F10" s="320"/>
      <c r="G10" s="311"/>
      <c r="H10" s="320"/>
      <c r="I10" s="60"/>
      <c r="M10" s="312"/>
      <c r="N10" s="312"/>
      <c r="O10" s="312"/>
    </row>
    <row r="11" spans="1:24" x14ac:dyDescent="0.2">
      <c r="A11" s="42">
        <v>1</v>
      </c>
      <c r="B11" s="61" t="s">
        <v>101</v>
      </c>
      <c r="C11" s="8"/>
      <c r="D11" s="67"/>
      <c r="E11" s="62"/>
      <c r="F11" s="320"/>
      <c r="G11" s="311"/>
      <c r="H11" s="320"/>
      <c r="I11" s="63"/>
      <c r="M11" s="312"/>
      <c r="N11" s="312"/>
      <c r="O11" s="312"/>
    </row>
    <row r="12" spans="1:24" x14ac:dyDescent="0.2">
      <c r="A12" s="42">
        <f t="shared" ref="A12:A51" si="0">A11+1</f>
        <v>2</v>
      </c>
      <c r="C12" s="63" t="s">
        <v>102</v>
      </c>
      <c r="D12" s="63" t="s">
        <v>48</v>
      </c>
      <c r="E12" s="64">
        <v>0.38976</v>
      </c>
      <c r="F12" s="200"/>
      <c r="G12" s="319">
        <f>'Delivery Rate Change Calc'!E36</f>
        <v>7.9976350352318287E-2</v>
      </c>
      <c r="H12" s="200"/>
      <c r="I12" s="65">
        <f>ROUND(E12*(1+G12),5)</f>
        <v>0.42093000000000003</v>
      </c>
      <c r="J12" s="199"/>
      <c r="K12" s="315">
        <f>I12-E12</f>
        <v>3.1170000000000031E-2</v>
      </c>
      <c r="M12" s="312"/>
      <c r="N12" s="312"/>
      <c r="O12" s="312"/>
    </row>
    <row r="13" spans="1:24" x14ac:dyDescent="0.2">
      <c r="A13" s="42">
        <f t="shared" si="0"/>
        <v>3</v>
      </c>
      <c r="E13" s="64"/>
      <c r="F13" s="200"/>
      <c r="G13" s="314"/>
      <c r="H13" s="200"/>
      <c r="I13" s="65"/>
      <c r="J13" s="199"/>
      <c r="K13" s="199"/>
      <c r="M13" s="312"/>
      <c r="N13" s="312"/>
      <c r="O13" s="312"/>
    </row>
    <row r="14" spans="1:24" x14ac:dyDescent="0.2">
      <c r="A14" s="42">
        <f t="shared" si="0"/>
        <v>4</v>
      </c>
      <c r="C14" s="63" t="s">
        <v>103</v>
      </c>
      <c r="D14" s="63" t="s">
        <v>48</v>
      </c>
      <c r="E14" s="64">
        <v>1.3860000000000001E-2</v>
      </c>
      <c r="F14" s="200"/>
      <c r="G14" s="314">
        <f>$G$12</f>
        <v>7.9976350352318287E-2</v>
      </c>
      <c r="H14" s="200"/>
      <c r="I14" s="65">
        <f>ROUND(E14*(1+G14),5)</f>
        <v>1.4970000000000001E-2</v>
      </c>
      <c r="J14" s="199"/>
      <c r="K14" s="315">
        <f>I14-E14</f>
        <v>1.1099999999999999E-3</v>
      </c>
      <c r="M14" s="312"/>
      <c r="N14" s="312"/>
      <c r="O14" s="312"/>
    </row>
    <row r="15" spans="1:24" x14ac:dyDescent="0.2">
      <c r="A15" s="42">
        <f t="shared" si="0"/>
        <v>5</v>
      </c>
      <c r="C15" s="67"/>
      <c r="D15" s="67"/>
      <c r="E15" s="64"/>
      <c r="F15" s="200"/>
      <c r="G15" s="314"/>
      <c r="H15" s="200"/>
      <c r="I15" s="65"/>
      <c r="J15" s="199"/>
      <c r="K15" s="199"/>
      <c r="M15" s="312"/>
      <c r="N15" s="312"/>
      <c r="O15" s="312"/>
    </row>
    <row r="16" spans="1:24" x14ac:dyDescent="0.2">
      <c r="A16" s="42">
        <f t="shared" si="0"/>
        <v>6</v>
      </c>
      <c r="B16" s="61" t="s">
        <v>104</v>
      </c>
      <c r="C16" s="8"/>
      <c r="D16" s="67"/>
      <c r="E16" s="64"/>
      <c r="F16" s="200"/>
      <c r="G16" s="314"/>
      <c r="H16" s="200"/>
      <c r="I16" s="65"/>
      <c r="J16" s="199"/>
      <c r="K16" s="199"/>
      <c r="M16" s="312"/>
      <c r="N16" s="312"/>
      <c r="O16" s="312"/>
    </row>
    <row r="17" spans="1:15" x14ac:dyDescent="0.2">
      <c r="A17" s="42">
        <f t="shared" si="0"/>
        <v>7</v>
      </c>
      <c r="B17" s="63"/>
      <c r="C17" s="63" t="s">
        <v>102</v>
      </c>
      <c r="D17" s="63" t="s">
        <v>48</v>
      </c>
      <c r="E17" s="64">
        <v>0.38976</v>
      </c>
      <c r="F17" s="200"/>
      <c r="G17" s="314">
        <f>$G$12</f>
        <v>7.9976350352318287E-2</v>
      </c>
      <c r="H17" s="200"/>
      <c r="I17" s="65">
        <f>ROUND(E17*(1+G17),5)</f>
        <v>0.42093000000000003</v>
      </c>
      <c r="J17" s="199"/>
      <c r="K17" s="315">
        <f>I17-E17</f>
        <v>3.1170000000000031E-2</v>
      </c>
      <c r="M17" s="312"/>
      <c r="N17" s="312"/>
      <c r="O17" s="312"/>
    </row>
    <row r="18" spans="1:15" x14ac:dyDescent="0.2">
      <c r="A18" s="42">
        <f t="shared" si="0"/>
        <v>8</v>
      </c>
      <c r="B18" s="63"/>
      <c r="C18" s="67"/>
      <c r="D18" s="67"/>
      <c r="E18" s="65"/>
      <c r="F18" s="200"/>
      <c r="G18" s="314"/>
      <c r="H18" s="200"/>
      <c r="I18" s="65"/>
      <c r="J18" s="199"/>
      <c r="K18" s="199"/>
      <c r="M18" s="312"/>
      <c r="N18" s="312"/>
      <c r="O18" s="312"/>
    </row>
    <row r="19" spans="1:15" x14ac:dyDescent="0.2">
      <c r="A19" s="42">
        <f t="shared" si="0"/>
        <v>9</v>
      </c>
      <c r="B19" s="61" t="s">
        <v>105</v>
      </c>
      <c r="C19" s="8"/>
      <c r="D19" s="67"/>
      <c r="E19" s="64"/>
      <c r="F19" s="200"/>
      <c r="G19" s="314"/>
      <c r="H19" s="200"/>
      <c r="I19" s="65"/>
      <c r="J19" s="199"/>
      <c r="K19" s="199"/>
      <c r="M19" s="312"/>
      <c r="N19" s="312"/>
      <c r="O19" s="312"/>
    </row>
    <row r="20" spans="1:15" x14ac:dyDescent="0.2">
      <c r="A20" s="42">
        <f t="shared" si="0"/>
        <v>10</v>
      </c>
      <c r="C20" s="63" t="s">
        <v>106</v>
      </c>
      <c r="D20" s="63" t="s">
        <v>48</v>
      </c>
      <c r="E20" s="317">
        <v>1.25</v>
      </c>
      <c r="F20" s="200"/>
      <c r="G20" s="319">
        <f>'Delivery Rate Change Calc'!F36</f>
        <v>-0.10055457168917201</v>
      </c>
      <c r="H20" s="200"/>
      <c r="I20" s="66">
        <f>ROUND(E20*(1+G20),2)</f>
        <v>1.1200000000000001</v>
      </c>
      <c r="J20" s="202"/>
      <c r="K20" s="316">
        <f>I20-E20</f>
        <v>-0.12999999999999989</v>
      </c>
      <c r="M20" s="312"/>
      <c r="N20" s="312"/>
      <c r="O20" s="312"/>
    </row>
    <row r="21" spans="1:15" x14ac:dyDescent="0.2">
      <c r="A21" s="42">
        <f t="shared" si="0"/>
        <v>11</v>
      </c>
      <c r="E21" s="64"/>
      <c r="F21" s="200"/>
      <c r="G21" s="314"/>
      <c r="H21" s="200"/>
      <c r="I21" s="65"/>
      <c r="J21" s="199"/>
      <c r="K21" s="199"/>
      <c r="M21" s="312"/>
      <c r="N21" s="312"/>
      <c r="O21" s="312"/>
    </row>
    <row r="22" spans="1:15" x14ac:dyDescent="0.2">
      <c r="A22" s="42">
        <f t="shared" si="0"/>
        <v>12</v>
      </c>
      <c r="C22" s="63" t="s">
        <v>107</v>
      </c>
      <c r="E22" s="64"/>
      <c r="F22" s="200"/>
      <c r="G22" s="314"/>
      <c r="H22" s="200"/>
      <c r="I22" s="65"/>
      <c r="J22" s="199"/>
      <c r="K22" s="199"/>
      <c r="M22" s="312"/>
      <c r="N22" s="312"/>
      <c r="O22" s="312"/>
    </row>
    <row r="23" spans="1:15" x14ac:dyDescent="0.2">
      <c r="A23" s="42">
        <f t="shared" si="0"/>
        <v>13</v>
      </c>
      <c r="C23" s="41" t="s">
        <v>397</v>
      </c>
      <c r="D23" s="63" t="s">
        <v>48</v>
      </c>
      <c r="E23" s="318">
        <v>0</v>
      </c>
      <c r="F23" s="200"/>
      <c r="G23" s="314">
        <f>$G$20</f>
        <v>-0.10055457168917201</v>
      </c>
      <c r="H23" s="200"/>
      <c r="I23" s="65">
        <f>ROUND(E23*(1+G23),5)</f>
        <v>0</v>
      </c>
      <c r="J23" s="199"/>
      <c r="K23" s="315">
        <f>I23-E23</f>
        <v>0</v>
      </c>
      <c r="M23" s="312"/>
      <c r="N23" s="312"/>
      <c r="O23" s="312"/>
    </row>
    <row r="24" spans="1:15" x14ac:dyDescent="0.2">
      <c r="A24" s="42">
        <f t="shared" si="0"/>
        <v>14</v>
      </c>
      <c r="C24" s="41" t="s">
        <v>143</v>
      </c>
      <c r="D24" s="63" t="s">
        <v>48</v>
      </c>
      <c r="E24" s="64">
        <v>0.1396</v>
      </c>
      <c r="F24" s="200"/>
      <c r="G24" s="314">
        <f>$G$20</f>
        <v>-0.10055457168917201</v>
      </c>
      <c r="H24" s="200"/>
      <c r="I24" s="65">
        <f>ROUND(E24*(1+G24),5)</f>
        <v>0.12556</v>
      </c>
      <c r="J24" s="199"/>
      <c r="K24" s="315">
        <f>I24-E24</f>
        <v>-1.4039999999999997E-2</v>
      </c>
      <c r="M24" s="312"/>
      <c r="N24" s="312"/>
      <c r="O24" s="312"/>
    </row>
    <row r="25" spans="1:15" x14ac:dyDescent="0.2">
      <c r="A25" s="42">
        <f t="shared" si="0"/>
        <v>15</v>
      </c>
      <c r="C25" s="41" t="s">
        <v>144</v>
      </c>
      <c r="D25" s="63" t="s">
        <v>48</v>
      </c>
      <c r="E25" s="64">
        <v>0.11237</v>
      </c>
      <c r="F25" s="200"/>
      <c r="G25" s="314">
        <f>$G$20</f>
        <v>-0.10055457168917201</v>
      </c>
      <c r="H25" s="200"/>
      <c r="I25" s="65">
        <f>ROUND(E25*(1+G25),5)</f>
        <v>0.10106999999999999</v>
      </c>
      <c r="J25" s="199"/>
      <c r="K25" s="315">
        <f>I25-E25</f>
        <v>-1.1300000000000004E-2</v>
      </c>
      <c r="M25" s="312"/>
      <c r="N25" s="312"/>
      <c r="O25" s="312"/>
    </row>
    <row r="26" spans="1:15" x14ac:dyDescent="0.2">
      <c r="A26" s="42">
        <f t="shared" si="0"/>
        <v>16</v>
      </c>
      <c r="E26" s="64"/>
      <c r="F26" s="200"/>
      <c r="G26" s="314"/>
      <c r="H26" s="200"/>
      <c r="I26" s="65"/>
      <c r="J26" s="199"/>
      <c r="K26" s="315"/>
      <c r="M26" s="312"/>
      <c r="N26" s="312"/>
      <c r="O26" s="312"/>
    </row>
    <row r="27" spans="1:15" x14ac:dyDescent="0.2">
      <c r="A27" s="42">
        <f t="shared" si="0"/>
        <v>17</v>
      </c>
      <c r="C27" s="63" t="s">
        <v>103</v>
      </c>
      <c r="D27" s="63" t="s">
        <v>48</v>
      </c>
      <c r="E27" s="64">
        <v>1.0149999999999999E-2</v>
      </c>
      <c r="F27" s="200"/>
      <c r="G27" s="314">
        <f>$G$20</f>
        <v>-0.10055457168917201</v>
      </c>
      <c r="H27" s="200"/>
      <c r="I27" s="65">
        <f>ROUND(E27*(1+G27),5)</f>
        <v>9.1299999999999992E-3</v>
      </c>
      <c r="J27" s="199"/>
      <c r="K27" s="315">
        <f>I27-E27</f>
        <v>-1.0200000000000001E-3</v>
      </c>
      <c r="M27" s="312"/>
      <c r="N27" s="312"/>
      <c r="O27" s="312"/>
    </row>
    <row r="28" spans="1:15" x14ac:dyDescent="0.2">
      <c r="A28" s="42">
        <f t="shared" si="0"/>
        <v>18</v>
      </c>
      <c r="C28" s="67"/>
      <c r="D28" s="67"/>
      <c r="E28" s="64"/>
      <c r="F28" s="200"/>
      <c r="G28" s="314"/>
      <c r="H28" s="200"/>
      <c r="I28" s="65"/>
      <c r="J28" s="199"/>
      <c r="K28" s="199"/>
      <c r="M28" s="312"/>
      <c r="N28" s="312"/>
      <c r="O28" s="312"/>
    </row>
    <row r="29" spans="1:15" x14ac:dyDescent="0.2">
      <c r="A29" s="42">
        <f t="shared" si="0"/>
        <v>19</v>
      </c>
      <c r="B29" s="61" t="s">
        <v>108</v>
      </c>
      <c r="C29" s="8"/>
      <c r="D29" s="67"/>
      <c r="E29" s="64"/>
      <c r="F29" s="200"/>
      <c r="G29" s="314"/>
      <c r="H29" s="200"/>
      <c r="I29" s="65"/>
      <c r="J29" s="199"/>
      <c r="K29" s="199"/>
      <c r="M29" s="312"/>
      <c r="N29" s="312"/>
      <c r="O29" s="312"/>
    </row>
    <row r="30" spans="1:15" x14ac:dyDescent="0.2">
      <c r="A30" s="42">
        <f t="shared" si="0"/>
        <v>20</v>
      </c>
      <c r="B30" s="63"/>
      <c r="C30" s="63" t="s">
        <v>106</v>
      </c>
      <c r="D30" s="63" t="s">
        <v>48</v>
      </c>
      <c r="E30" s="317">
        <v>1.25</v>
      </c>
      <c r="F30" s="200"/>
      <c r="G30" s="314">
        <f>$G$20</f>
        <v>-0.10055457168917201</v>
      </c>
      <c r="H30" s="200"/>
      <c r="I30" s="66">
        <f>ROUND(E30*(1+G30),2)</f>
        <v>1.1200000000000001</v>
      </c>
      <c r="J30" s="202"/>
      <c r="K30" s="316">
        <f>I30-E30</f>
        <v>-0.12999999999999989</v>
      </c>
      <c r="M30" s="312"/>
      <c r="N30" s="312"/>
      <c r="O30" s="312"/>
    </row>
    <row r="31" spans="1:15" x14ac:dyDescent="0.2">
      <c r="A31" s="42">
        <f t="shared" si="0"/>
        <v>21</v>
      </c>
      <c r="B31" s="63"/>
      <c r="E31" s="64"/>
      <c r="F31" s="200"/>
      <c r="G31" s="314"/>
      <c r="H31" s="200"/>
      <c r="I31" s="65"/>
      <c r="J31" s="199"/>
      <c r="K31" s="199"/>
      <c r="M31" s="312"/>
      <c r="N31" s="312"/>
      <c r="O31" s="312"/>
    </row>
    <row r="32" spans="1:15" x14ac:dyDescent="0.2">
      <c r="A32" s="42">
        <f t="shared" si="0"/>
        <v>22</v>
      </c>
      <c r="B32" s="63"/>
      <c r="C32" s="63" t="s">
        <v>107</v>
      </c>
      <c r="E32" s="64"/>
      <c r="F32" s="200"/>
      <c r="G32" s="314"/>
      <c r="H32" s="200"/>
      <c r="I32" s="65"/>
      <c r="J32" s="199"/>
      <c r="K32" s="199"/>
      <c r="M32" s="312"/>
      <c r="N32" s="312"/>
      <c r="O32" s="312"/>
    </row>
    <row r="33" spans="1:15" x14ac:dyDescent="0.2">
      <c r="A33" s="42">
        <f t="shared" si="0"/>
        <v>23</v>
      </c>
      <c r="B33" s="63"/>
      <c r="C33" s="41" t="s">
        <v>397</v>
      </c>
      <c r="D33" s="63" t="s">
        <v>48</v>
      </c>
      <c r="E33" s="318">
        <v>0</v>
      </c>
      <c r="F33" s="200"/>
      <c r="G33" s="314">
        <f>$G$20</f>
        <v>-0.10055457168917201</v>
      </c>
      <c r="H33" s="200"/>
      <c r="I33" s="65">
        <f>ROUND(E33*(1+G33),5)</f>
        <v>0</v>
      </c>
      <c r="J33" s="199"/>
      <c r="K33" s="315">
        <f>I33-E33</f>
        <v>0</v>
      </c>
      <c r="M33" s="312"/>
      <c r="N33" s="312"/>
      <c r="O33" s="312"/>
    </row>
    <row r="34" spans="1:15" x14ac:dyDescent="0.2">
      <c r="A34" s="42">
        <f t="shared" si="0"/>
        <v>24</v>
      </c>
      <c r="B34" s="63"/>
      <c r="C34" s="41" t="s">
        <v>143</v>
      </c>
      <c r="D34" s="63" t="s">
        <v>48</v>
      </c>
      <c r="E34" s="64">
        <v>0.1396</v>
      </c>
      <c r="F34" s="200"/>
      <c r="G34" s="314">
        <f>$G$20</f>
        <v>-0.10055457168917201</v>
      </c>
      <c r="H34" s="200"/>
      <c r="I34" s="65">
        <f>ROUND(E34*(1+G34),5)</f>
        <v>0.12556</v>
      </c>
      <c r="J34" s="199"/>
      <c r="K34" s="315">
        <f>I34-E34</f>
        <v>-1.4039999999999997E-2</v>
      </c>
      <c r="M34" s="312"/>
      <c r="N34" s="312"/>
      <c r="O34" s="312"/>
    </row>
    <row r="35" spans="1:15" x14ac:dyDescent="0.2">
      <c r="A35" s="42">
        <f t="shared" si="0"/>
        <v>25</v>
      </c>
      <c r="B35" s="63"/>
      <c r="C35" s="41" t="s">
        <v>144</v>
      </c>
      <c r="D35" s="63" t="s">
        <v>48</v>
      </c>
      <c r="E35" s="64">
        <v>0.11237</v>
      </c>
      <c r="F35" s="200"/>
      <c r="G35" s="314">
        <f>$G$20</f>
        <v>-0.10055457168917201</v>
      </c>
      <c r="H35" s="200"/>
      <c r="I35" s="65">
        <f>ROUND(E35*(1+G35),5)</f>
        <v>0.10106999999999999</v>
      </c>
      <c r="J35" s="199"/>
      <c r="K35" s="315">
        <f>I35-E35</f>
        <v>-1.1300000000000004E-2</v>
      </c>
      <c r="M35" s="312"/>
      <c r="N35" s="312"/>
      <c r="O35" s="312"/>
    </row>
    <row r="36" spans="1:15" x14ac:dyDescent="0.2">
      <c r="A36" s="42">
        <f t="shared" si="0"/>
        <v>26</v>
      </c>
      <c r="B36" s="63"/>
      <c r="C36" s="67"/>
      <c r="D36" s="67"/>
      <c r="E36" s="64"/>
      <c r="F36" s="200"/>
      <c r="G36" s="314"/>
      <c r="H36" s="200"/>
      <c r="I36" s="65"/>
      <c r="J36" s="199"/>
      <c r="K36" s="199"/>
      <c r="M36" s="312"/>
      <c r="N36" s="312"/>
      <c r="O36" s="312"/>
    </row>
    <row r="37" spans="1:15" x14ac:dyDescent="0.2">
      <c r="A37" s="42">
        <f t="shared" si="0"/>
        <v>27</v>
      </c>
      <c r="B37" s="61" t="s">
        <v>109</v>
      </c>
      <c r="C37" s="8"/>
      <c r="D37" s="67"/>
      <c r="E37" s="64"/>
      <c r="F37" s="200"/>
      <c r="G37" s="314"/>
      <c r="H37" s="200"/>
      <c r="I37" s="65"/>
      <c r="J37" s="199"/>
      <c r="K37" s="199"/>
      <c r="M37" s="312"/>
      <c r="N37" s="312"/>
      <c r="O37" s="312"/>
    </row>
    <row r="38" spans="1:15" x14ac:dyDescent="0.2">
      <c r="A38" s="42">
        <f t="shared" si="0"/>
        <v>28</v>
      </c>
      <c r="C38" s="63" t="s">
        <v>106</v>
      </c>
      <c r="D38" s="63" t="s">
        <v>48</v>
      </c>
      <c r="E38" s="317">
        <v>1.35</v>
      </c>
      <c r="F38" s="200"/>
      <c r="G38" s="314">
        <f>$G$20</f>
        <v>-0.10055457168917201</v>
      </c>
      <c r="H38" s="200"/>
      <c r="I38" s="66">
        <f>ROUND(E38*(1+G38),2)</f>
        <v>1.21</v>
      </c>
      <c r="J38" s="202"/>
      <c r="K38" s="316">
        <f>I38-E38</f>
        <v>-0.14000000000000012</v>
      </c>
      <c r="M38" s="312"/>
      <c r="N38" s="312"/>
      <c r="O38" s="312"/>
    </row>
    <row r="39" spans="1:15" x14ac:dyDescent="0.2">
      <c r="A39" s="42">
        <f t="shared" si="0"/>
        <v>29</v>
      </c>
      <c r="E39" s="64"/>
      <c r="F39" s="200"/>
      <c r="G39" s="314"/>
      <c r="H39" s="200"/>
      <c r="I39" s="65"/>
      <c r="J39" s="199"/>
      <c r="K39" s="199"/>
      <c r="M39" s="312"/>
      <c r="N39" s="312"/>
      <c r="O39" s="312"/>
    </row>
    <row r="40" spans="1:15" x14ac:dyDescent="0.2">
      <c r="A40" s="42">
        <f t="shared" si="0"/>
        <v>30</v>
      </c>
      <c r="C40" s="63" t="s">
        <v>107</v>
      </c>
      <c r="E40" s="64"/>
      <c r="F40" s="200"/>
      <c r="G40" s="314"/>
      <c r="H40" s="200"/>
      <c r="I40" s="65"/>
      <c r="J40" s="199"/>
      <c r="K40" s="199"/>
      <c r="M40" s="312"/>
      <c r="N40" s="312"/>
      <c r="O40" s="312"/>
    </row>
    <row r="41" spans="1:15" x14ac:dyDescent="0.2">
      <c r="A41" s="42">
        <f t="shared" si="0"/>
        <v>31</v>
      </c>
      <c r="C41" s="63" t="s">
        <v>110</v>
      </c>
      <c r="D41" s="63" t="s">
        <v>48</v>
      </c>
      <c r="E41" s="64">
        <v>0.18365000000000001</v>
      </c>
      <c r="F41" s="200"/>
      <c r="G41" s="314">
        <f>$G$20</f>
        <v>-0.10055457168917201</v>
      </c>
      <c r="H41" s="200"/>
      <c r="I41" s="65">
        <f>ROUND(E41*(1+G41),5)</f>
        <v>0.16517999999999999</v>
      </c>
      <c r="J41" s="199"/>
      <c r="K41" s="315">
        <f>I41-E41</f>
        <v>-1.8470000000000014E-2</v>
      </c>
      <c r="M41" s="312"/>
      <c r="N41" s="312"/>
      <c r="O41" s="312"/>
    </row>
    <row r="42" spans="1:15" x14ac:dyDescent="0.2">
      <c r="A42" s="42">
        <f t="shared" si="0"/>
        <v>32</v>
      </c>
      <c r="C42" s="63" t="s">
        <v>111</v>
      </c>
      <c r="D42" s="63" t="s">
        <v>48</v>
      </c>
      <c r="E42" s="64">
        <v>0.13020000000000001</v>
      </c>
      <c r="F42" s="200"/>
      <c r="G42" s="314">
        <f>$G$20</f>
        <v>-0.10055457168917201</v>
      </c>
      <c r="H42" s="200"/>
      <c r="I42" s="65">
        <f>ROUND(E42*(1+G42),5)</f>
        <v>0.11711000000000001</v>
      </c>
      <c r="J42" s="199"/>
      <c r="K42" s="315">
        <f>I42-E42</f>
        <v>-1.3090000000000004E-2</v>
      </c>
      <c r="M42" s="312"/>
      <c r="N42" s="312"/>
      <c r="O42" s="312"/>
    </row>
    <row r="43" spans="1:15" x14ac:dyDescent="0.2">
      <c r="A43" s="42">
        <f t="shared" si="0"/>
        <v>33</v>
      </c>
      <c r="E43" s="64"/>
      <c r="F43" s="200"/>
      <c r="G43" s="314"/>
      <c r="H43" s="200"/>
      <c r="I43" s="65"/>
      <c r="J43" s="199"/>
      <c r="K43" s="315"/>
      <c r="M43" s="312"/>
      <c r="N43" s="312"/>
      <c r="O43" s="312"/>
    </row>
    <row r="44" spans="1:15" x14ac:dyDescent="0.2">
      <c r="A44" s="42">
        <f t="shared" si="0"/>
        <v>34</v>
      </c>
      <c r="C44" s="63" t="s">
        <v>103</v>
      </c>
      <c r="D44" s="63" t="s">
        <v>48</v>
      </c>
      <c r="E44" s="64">
        <v>1.235E-2</v>
      </c>
      <c r="F44" s="200"/>
      <c r="G44" s="314">
        <f>$G$20</f>
        <v>-0.10055457168917201</v>
      </c>
      <c r="H44" s="200"/>
      <c r="I44" s="65">
        <f>ROUND(E44*(1+G44),5)</f>
        <v>1.111E-2</v>
      </c>
      <c r="J44" s="199"/>
      <c r="K44" s="315">
        <f>I44-E44</f>
        <v>-1.2399999999999998E-3</v>
      </c>
      <c r="M44" s="312"/>
      <c r="N44" s="312"/>
      <c r="O44" s="312"/>
    </row>
    <row r="45" spans="1:15" x14ac:dyDescent="0.2">
      <c r="A45" s="42">
        <f t="shared" si="0"/>
        <v>35</v>
      </c>
      <c r="C45" s="67"/>
      <c r="D45" s="67"/>
      <c r="E45" s="64"/>
      <c r="F45" s="200"/>
      <c r="G45" s="314"/>
      <c r="H45" s="200"/>
      <c r="I45" s="65"/>
      <c r="J45" s="199"/>
      <c r="K45" s="199"/>
      <c r="M45" s="312"/>
      <c r="N45" s="312"/>
      <c r="O45" s="312"/>
    </row>
    <row r="46" spans="1:15" x14ac:dyDescent="0.2">
      <c r="A46" s="42">
        <f t="shared" si="0"/>
        <v>36</v>
      </c>
      <c r="B46" s="61" t="s">
        <v>112</v>
      </c>
      <c r="C46" s="8"/>
      <c r="D46" s="67"/>
      <c r="E46" s="64"/>
      <c r="F46" s="200"/>
      <c r="G46" s="314"/>
      <c r="H46" s="200"/>
      <c r="I46" s="65"/>
      <c r="J46" s="199"/>
      <c r="K46" s="199"/>
      <c r="M46" s="312"/>
      <c r="N46" s="312"/>
      <c r="O46" s="312"/>
    </row>
    <row r="47" spans="1:15" x14ac:dyDescent="0.2">
      <c r="A47" s="42">
        <f t="shared" si="0"/>
        <v>37</v>
      </c>
      <c r="B47" s="63"/>
      <c r="C47" s="63" t="s">
        <v>106</v>
      </c>
      <c r="D47" s="63" t="s">
        <v>48</v>
      </c>
      <c r="E47" s="317">
        <v>1.35</v>
      </c>
      <c r="F47" s="200"/>
      <c r="G47" s="314">
        <f>$G$20</f>
        <v>-0.10055457168917201</v>
      </c>
      <c r="H47" s="200"/>
      <c r="I47" s="66">
        <f>ROUND(E47*(1+G47),2)</f>
        <v>1.21</v>
      </c>
      <c r="J47" s="202"/>
      <c r="K47" s="316">
        <f>I47-E47</f>
        <v>-0.14000000000000012</v>
      </c>
      <c r="M47" s="312"/>
      <c r="N47" s="312"/>
      <c r="O47" s="312"/>
    </row>
    <row r="48" spans="1:15" x14ac:dyDescent="0.2">
      <c r="A48" s="42">
        <f t="shared" si="0"/>
        <v>38</v>
      </c>
      <c r="B48" s="63"/>
      <c r="E48" s="64"/>
      <c r="F48" s="200"/>
      <c r="G48" s="314"/>
      <c r="H48" s="200"/>
      <c r="I48" s="65"/>
      <c r="J48" s="199"/>
      <c r="K48" s="199"/>
      <c r="M48" s="312"/>
      <c r="N48" s="312"/>
      <c r="O48" s="312"/>
    </row>
    <row r="49" spans="1:20" x14ac:dyDescent="0.2">
      <c r="A49" s="42">
        <f t="shared" si="0"/>
        <v>39</v>
      </c>
      <c r="B49" s="63"/>
      <c r="C49" s="63" t="s">
        <v>107</v>
      </c>
      <c r="E49" s="64"/>
      <c r="F49" s="200"/>
      <c r="G49" s="314"/>
      <c r="H49" s="200"/>
      <c r="I49" s="65"/>
      <c r="J49" s="199"/>
      <c r="K49" s="199"/>
      <c r="M49" s="312"/>
      <c r="N49" s="312"/>
      <c r="O49" s="312"/>
    </row>
    <row r="50" spans="1:20" x14ac:dyDescent="0.2">
      <c r="A50" s="42">
        <f t="shared" si="0"/>
        <v>40</v>
      </c>
      <c r="B50" s="63"/>
      <c r="C50" s="63" t="s">
        <v>110</v>
      </c>
      <c r="D50" s="63" t="s">
        <v>48</v>
      </c>
      <c r="E50" s="64">
        <v>0.18365000000000001</v>
      </c>
      <c r="F50" s="200"/>
      <c r="G50" s="314">
        <f>$G$20</f>
        <v>-0.10055457168917201</v>
      </c>
      <c r="H50" s="200"/>
      <c r="I50" s="65">
        <f>ROUND(E50*(1+G50),5)</f>
        <v>0.16517999999999999</v>
      </c>
      <c r="J50" s="199"/>
      <c r="K50" s="315">
        <f>I50-E50</f>
        <v>-1.8470000000000014E-2</v>
      </c>
      <c r="M50" s="312"/>
      <c r="N50" s="312"/>
      <c r="O50" s="312"/>
    </row>
    <row r="51" spans="1:20" x14ac:dyDescent="0.2">
      <c r="A51" s="42">
        <f t="shared" si="0"/>
        <v>41</v>
      </c>
      <c r="B51" s="63"/>
      <c r="C51" s="63" t="s">
        <v>111</v>
      </c>
      <c r="D51" s="63" t="s">
        <v>48</v>
      </c>
      <c r="E51" s="64">
        <v>0.13020000000000001</v>
      </c>
      <c r="F51" s="200"/>
      <c r="G51" s="314">
        <f>$G$20</f>
        <v>-0.10055457168917201</v>
      </c>
      <c r="H51" s="200"/>
      <c r="I51" s="65">
        <f>ROUND(E51*(1+G51),5)</f>
        <v>0.11711000000000001</v>
      </c>
      <c r="J51" s="199"/>
      <c r="K51" s="315">
        <f>I51-E51</f>
        <v>-1.3090000000000004E-2</v>
      </c>
      <c r="M51" s="312"/>
      <c r="N51" s="312"/>
      <c r="O51" s="312"/>
    </row>
    <row r="52" spans="1:20" x14ac:dyDescent="0.2">
      <c r="A52" s="42"/>
      <c r="B52" s="63"/>
      <c r="C52" s="67"/>
      <c r="D52" s="67"/>
      <c r="E52" s="66"/>
      <c r="F52" s="313"/>
      <c r="G52" s="314"/>
      <c r="H52" s="313"/>
      <c r="I52" s="66"/>
      <c r="M52" s="312"/>
      <c r="N52" s="312"/>
      <c r="O52" s="312"/>
    </row>
    <row r="53" spans="1:20" x14ac:dyDescent="0.2">
      <c r="A53" s="42"/>
      <c r="B53" s="41"/>
      <c r="E53" s="131"/>
      <c r="F53" s="131"/>
      <c r="G53" s="311"/>
      <c r="H53" s="131"/>
      <c r="K53" s="131"/>
      <c r="L53" s="131"/>
      <c r="M53" s="312"/>
      <c r="N53" s="312"/>
      <c r="O53" s="312"/>
      <c r="P53" s="131"/>
      <c r="Q53" s="131"/>
      <c r="R53" s="131"/>
      <c r="S53" s="131"/>
      <c r="T53" s="131"/>
    </row>
    <row r="54" spans="1:20" x14ac:dyDescent="0.2">
      <c r="A54" s="42"/>
      <c r="G54" s="311"/>
      <c r="M54" s="312"/>
      <c r="N54" s="312"/>
      <c r="O54" s="312"/>
    </row>
    <row r="55" spans="1:20" x14ac:dyDescent="0.2">
      <c r="G55" s="311"/>
      <c r="M55" s="312"/>
      <c r="N55" s="312"/>
      <c r="O55" s="312"/>
    </row>
    <row r="56" spans="1:20" x14ac:dyDescent="0.2">
      <c r="G56" s="311"/>
      <c r="M56" s="312"/>
      <c r="N56" s="312"/>
      <c r="O56" s="312"/>
    </row>
    <row r="57" spans="1:20" x14ac:dyDescent="0.2">
      <c r="G57" s="311"/>
      <c r="M57" s="312"/>
      <c r="N57" s="312"/>
      <c r="O57" s="312"/>
    </row>
    <row r="58" spans="1:20" x14ac:dyDescent="0.2">
      <c r="G58" s="311"/>
      <c r="M58" s="312"/>
      <c r="N58" s="312"/>
      <c r="O58" s="312"/>
    </row>
    <row r="59" spans="1:20" x14ac:dyDescent="0.2">
      <c r="G59" s="311"/>
      <c r="M59" s="312"/>
      <c r="N59" s="312"/>
      <c r="O59" s="312"/>
    </row>
    <row r="60" spans="1:20" x14ac:dyDescent="0.2">
      <c r="C60" s="8"/>
      <c r="D60" s="8"/>
      <c r="E60" s="8"/>
      <c r="G60" s="311"/>
      <c r="M60" s="312"/>
      <c r="N60" s="312"/>
      <c r="O60" s="312"/>
    </row>
    <row r="61" spans="1:20" x14ac:dyDescent="0.2">
      <c r="C61" s="8"/>
      <c r="D61" s="8"/>
      <c r="E61" s="8"/>
      <c r="G61" s="311"/>
      <c r="M61" s="312"/>
      <c r="N61" s="312"/>
      <c r="O61" s="312"/>
    </row>
    <row r="62" spans="1:20" x14ac:dyDescent="0.2">
      <c r="C62" s="8"/>
      <c r="D62" s="8"/>
      <c r="E62" s="8"/>
      <c r="G62" s="311"/>
      <c r="M62" s="312"/>
      <c r="N62" s="312"/>
      <c r="O62" s="312"/>
    </row>
    <row r="63" spans="1:20" x14ac:dyDescent="0.2">
      <c r="C63" s="8"/>
      <c r="D63" s="8"/>
      <c r="E63" s="8"/>
      <c r="G63" s="311"/>
      <c r="M63" s="312"/>
      <c r="N63" s="312"/>
      <c r="O63" s="312"/>
    </row>
    <row r="64" spans="1:20" x14ac:dyDescent="0.2">
      <c r="C64" s="8"/>
      <c r="D64" s="8"/>
      <c r="E64" s="8"/>
      <c r="G64" s="311"/>
    </row>
    <row r="65" spans="3:7" x14ac:dyDescent="0.2">
      <c r="C65" s="8"/>
      <c r="D65" s="8"/>
      <c r="E65" s="8"/>
      <c r="G65" s="311"/>
    </row>
    <row r="66" spans="3:7" x14ac:dyDescent="0.2">
      <c r="C66" s="8"/>
      <c r="D66" s="8"/>
      <c r="E66" s="8"/>
      <c r="G66" s="311"/>
    </row>
    <row r="67" spans="3:7" x14ac:dyDescent="0.2">
      <c r="C67" s="8"/>
      <c r="D67" s="8"/>
      <c r="E67" s="8"/>
      <c r="G67" s="311"/>
    </row>
    <row r="68" spans="3:7" x14ac:dyDescent="0.2">
      <c r="C68" s="8"/>
      <c r="D68" s="8"/>
      <c r="E68" s="8"/>
      <c r="G68" s="311"/>
    </row>
    <row r="69" spans="3:7" x14ac:dyDescent="0.2">
      <c r="C69" s="8"/>
      <c r="D69" s="8"/>
      <c r="E69" s="8"/>
      <c r="G69" s="311"/>
    </row>
    <row r="70" spans="3:7" x14ac:dyDescent="0.2">
      <c r="C70" s="8"/>
      <c r="D70" s="8"/>
      <c r="E70" s="8"/>
      <c r="G70" s="311"/>
    </row>
    <row r="71" spans="3:7" x14ac:dyDescent="0.2">
      <c r="C71" s="8"/>
      <c r="D71" s="8"/>
      <c r="E71" s="8"/>
      <c r="G71" s="311"/>
    </row>
    <row r="72" spans="3:7" x14ac:dyDescent="0.2">
      <c r="C72" s="8"/>
      <c r="D72" s="8"/>
      <c r="E72" s="8"/>
      <c r="G72" s="311"/>
    </row>
    <row r="73" spans="3:7" x14ac:dyDescent="0.2">
      <c r="C73" s="8"/>
      <c r="D73" s="8"/>
      <c r="E73" s="8"/>
      <c r="G73" s="311"/>
    </row>
    <row r="74" spans="3:7" x14ac:dyDescent="0.2">
      <c r="C74" s="8"/>
      <c r="D74" s="8"/>
      <c r="E74" s="8"/>
      <c r="G74" s="311"/>
    </row>
    <row r="75" spans="3:7" x14ac:dyDescent="0.2">
      <c r="C75" s="8"/>
      <c r="D75" s="8"/>
      <c r="E75" s="8"/>
      <c r="G75" s="311"/>
    </row>
    <row r="76" spans="3:7" x14ac:dyDescent="0.2">
      <c r="C76" s="8"/>
      <c r="D76" s="8"/>
      <c r="E76" s="8"/>
      <c r="G76" s="311"/>
    </row>
    <row r="77" spans="3:7" x14ac:dyDescent="0.2">
      <c r="C77" s="8"/>
      <c r="D77" s="8"/>
      <c r="E77" s="8"/>
      <c r="G77" s="311"/>
    </row>
    <row r="78" spans="3:7" x14ac:dyDescent="0.2">
      <c r="C78" s="8"/>
      <c r="D78" s="8"/>
      <c r="E78" s="8"/>
      <c r="G78" s="311"/>
    </row>
    <row r="79" spans="3:7" x14ac:dyDescent="0.2">
      <c r="C79" s="8"/>
      <c r="D79" s="8"/>
      <c r="E79" s="8"/>
      <c r="G79" s="311"/>
    </row>
    <row r="80" spans="3:7" x14ac:dyDescent="0.2">
      <c r="C80" s="8"/>
      <c r="D80" s="8"/>
      <c r="E80" s="8"/>
      <c r="G80" s="311"/>
    </row>
    <row r="81" spans="3:7" x14ac:dyDescent="0.2">
      <c r="C81" s="8"/>
      <c r="D81" s="8"/>
      <c r="E81" s="8"/>
      <c r="G81" s="311"/>
    </row>
    <row r="82" spans="3:7" x14ac:dyDescent="0.2">
      <c r="C82" s="8"/>
      <c r="D82" s="8"/>
      <c r="E82" s="8"/>
      <c r="G82" s="311"/>
    </row>
    <row r="83" spans="3:7" x14ac:dyDescent="0.2">
      <c r="C83" s="8"/>
      <c r="D83" s="8"/>
      <c r="E83" s="8"/>
      <c r="G83" s="311"/>
    </row>
    <row r="84" spans="3:7" x14ac:dyDescent="0.2">
      <c r="C84" s="8"/>
      <c r="D84" s="8"/>
      <c r="E84" s="8"/>
      <c r="G84" s="311"/>
    </row>
    <row r="85" spans="3:7" x14ac:dyDescent="0.2">
      <c r="C85" s="8"/>
      <c r="D85" s="8"/>
      <c r="E85" s="8"/>
      <c r="G85" s="311"/>
    </row>
    <row r="86" spans="3:7" x14ac:dyDescent="0.2">
      <c r="C86" s="8"/>
      <c r="D86" s="8"/>
      <c r="E86" s="8"/>
      <c r="G86" s="311"/>
    </row>
    <row r="87" spans="3:7" x14ac:dyDescent="0.2">
      <c r="C87" s="8"/>
      <c r="D87" s="8"/>
      <c r="E87" s="8"/>
      <c r="G87" s="311"/>
    </row>
    <row r="88" spans="3:7" x14ac:dyDescent="0.2">
      <c r="C88" s="8"/>
      <c r="D88" s="8"/>
      <c r="E88" s="8"/>
      <c r="G88" s="311"/>
    </row>
    <row r="89" spans="3:7" x14ac:dyDescent="0.2">
      <c r="C89" s="8"/>
      <c r="D89" s="8"/>
      <c r="E89" s="8"/>
      <c r="G89" s="311"/>
    </row>
    <row r="90" spans="3:7" x14ac:dyDescent="0.2">
      <c r="C90" s="8"/>
      <c r="D90" s="8"/>
      <c r="E90" s="8"/>
      <c r="G90" s="311"/>
    </row>
    <row r="91" spans="3:7" x14ac:dyDescent="0.2">
      <c r="C91" s="8"/>
      <c r="D91" s="8"/>
      <c r="E91" s="8"/>
      <c r="G91" s="311"/>
    </row>
    <row r="92" spans="3:7" x14ac:dyDescent="0.2">
      <c r="C92" s="8"/>
      <c r="D92" s="8"/>
      <c r="E92" s="8"/>
      <c r="G92" s="311"/>
    </row>
    <row r="93" spans="3:7" x14ac:dyDescent="0.2">
      <c r="C93" s="8"/>
      <c r="D93" s="8"/>
      <c r="E93" s="8"/>
      <c r="G93" s="311"/>
    </row>
    <row r="94" spans="3:7" x14ac:dyDescent="0.2">
      <c r="C94" s="8"/>
      <c r="D94" s="8"/>
      <c r="E94" s="8"/>
      <c r="G94" s="311"/>
    </row>
    <row r="95" spans="3:7" x14ac:dyDescent="0.2">
      <c r="C95" s="8"/>
      <c r="D95" s="8"/>
      <c r="E95" s="8"/>
      <c r="G95" s="311"/>
    </row>
    <row r="96" spans="3:7" x14ac:dyDescent="0.2">
      <c r="C96" s="8"/>
      <c r="D96" s="8"/>
      <c r="E96" s="8"/>
      <c r="G96" s="311"/>
    </row>
    <row r="97" spans="3:7" x14ac:dyDescent="0.2">
      <c r="C97" s="8"/>
      <c r="D97" s="8"/>
      <c r="E97" s="8"/>
      <c r="G97" s="311"/>
    </row>
    <row r="98" spans="3:7" x14ac:dyDescent="0.2">
      <c r="C98" s="8"/>
      <c r="D98" s="8"/>
      <c r="E98" s="8"/>
      <c r="G98" s="311"/>
    </row>
    <row r="99" spans="3:7" x14ac:dyDescent="0.2">
      <c r="C99" s="8"/>
      <c r="D99" s="8"/>
      <c r="E99" s="8"/>
      <c r="G99" s="311"/>
    </row>
    <row r="100" spans="3:7" x14ac:dyDescent="0.2">
      <c r="C100" s="8"/>
      <c r="D100" s="8"/>
      <c r="E100" s="8"/>
      <c r="G100" s="311"/>
    </row>
    <row r="101" spans="3:7" x14ac:dyDescent="0.2">
      <c r="C101" s="8"/>
      <c r="D101" s="8"/>
      <c r="E101" s="8"/>
      <c r="G101" s="311"/>
    </row>
    <row r="102" spans="3:7" x14ac:dyDescent="0.2">
      <c r="C102" s="8"/>
      <c r="D102" s="8"/>
      <c r="E102" s="8"/>
      <c r="G102" s="311"/>
    </row>
    <row r="103" spans="3:7" x14ac:dyDescent="0.2">
      <c r="C103" s="8"/>
      <c r="D103" s="8"/>
      <c r="E103" s="8"/>
      <c r="G103" s="311"/>
    </row>
    <row r="104" spans="3:7" x14ac:dyDescent="0.2">
      <c r="C104" s="8"/>
      <c r="D104" s="8"/>
      <c r="E104" s="8"/>
      <c r="G104" s="311"/>
    </row>
    <row r="105" spans="3:7" x14ac:dyDescent="0.2">
      <c r="C105" s="8"/>
      <c r="D105" s="8"/>
      <c r="E105" s="8"/>
      <c r="G105" s="311"/>
    </row>
    <row r="106" spans="3:7" x14ac:dyDescent="0.2">
      <c r="C106" s="8"/>
      <c r="D106" s="8"/>
      <c r="E106" s="8"/>
      <c r="G106" s="311"/>
    </row>
    <row r="107" spans="3:7" x14ac:dyDescent="0.2">
      <c r="C107" s="8"/>
      <c r="D107" s="8"/>
      <c r="E107" s="8"/>
      <c r="G107" s="311"/>
    </row>
    <row r="108" spans="3:7" x14ac:dyDescent="0.2">
      <c r="C108" s="8"/>
      <c r="D108" s="8"/>
      <c r="E108" s="8"/>
      <c r="G108" s="311"/>
    </row>
    <row r="109" spans="3:7" x14ac:dyDescent="0.2">
      <c r="C109" s="8"/>
      <c r="D109" s="8"/>
      <c r="E109" s="8"/>
      <c r="G109" s="311"/>
    </row>
    <row r="110" spans="3:7" x14ac:dyDescent="0.2">
      <c r="C110" s="8"/>
      <c r="D110" s="8"/>
      <c r="E110" s="8"/>
      <c r="G110" s="311"/>
    </row>
    <row r="111" spans="3:7" x14ac:dyDescent="0.2">
      <c r="C111" s="8"/>
      <c r="D111" s="8"/>
      <c r="E111" s="8"/>
      <c r="G111" s="311"/>
    </row>
    <row r="112" spans="3:7" x14ac:dyDescent="0.2">
      <c r="C112" s="8"/>
      <c r="D112" s="8"/>
      <c r="E112" s="8"/>
      <c r="G112" s="311"/>
    </row>
  </sheetData>
  <mergeCells count="4">
    <mergeCell ref="A1:K1"/>
    <mergeCell ref="A2:K2"/>
    <mergeCell ref="A3:K3"/>
    <mergeCell ref="A4:K4"/>
  </mergeCells>
  <printOptions horizontalCentered="1"/>
  <pageMargins left="0.7" right="0.7" top="0.75" bottom="0.75" header="0.3" footer="0.3"/>
  <pageSetup scale="91" orientation="landscape" blackAndWhite="1" r:id="rId1"/>
  <headerFooter>
    <oddFooter>&amp;R&amp;F
&amp;A</oddFooter>
  </headerFooter>
  <rowBreaks count="1" manualBreakCount="1">
    <brk id="51" max="11" man="1"/>
  </rowBreaks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F29"/>
  <sheetViews>
    <sheetView zoomScaleNormal="100" workbookViewId="0">
      <pane ySplit="8" topLeftCell="A9" activePane="bottomLeft" state="frozen"/>
      <selection pane="bottomLeft" activeCell="F17" sqref="F17"/>
    </sheetView>
  </sheetViews>
  <sheetFormatPr defaultColWidth="8.85546875" defaultRowHeight="11.25" x14ac:dyDescent="0.2"/>
  <cols>
    <col min="1" max="1" width="5.28515625" style="75" customWidth="1"/>
    <col min="2" max="2" width="49.140625" style="75" bestFit="1" customWidth="1"/>
    <col min="3" max="3" width="9" style="75" bestFit="1" customWidth="1"/>
    <col min="4" max="5" width="11.5703125" style="75" bestFit="1" customWidth="1"/>
    <col min="6" max="6" width="13.7109375" style="75" bestFit="1" customWidth="1"/>
    <col min="7" max="16384" width="8.85546875" style="75"/>
  </cols>
  <sheetData>
    <row r="1" spans="1:6" x14ac:dyDescent="0.2">
      <c r="A1" s="392" t="s">
        <v>0</v>
      </c>
      <c r="B1" s="392"/>
      <c r="C1" s="392"/>
      <c r="D1" s="392"/>
      <c r="E1" s="392"/>
      <c r="F1" s="392"/>
    </row>
    <row r="2" spans="1:6" x14ac:dyDescent="0.2">
      <c r="A2" s="394" t="str">
        <f>'Delivery Rate Change Calc'!A2:F2</f>
        <v>2021 Gas Decoupling Filing</v>
      </c>
      <c r="B2" s="394"/>
      <c r="C2" s="394"/>
      <c r="D2" s="394"/>
      <c r="E2" s="394"/>
      <c r="F2" s="394"/>
    </row>
    <row r="3" spans="1:6" x14ac:dyDescent="0.2">
      <c r="A3" s="392" t="s">
        <v>247</v>
      </c>
      <c r="B3" s="392"/>
      <c r="C3" s="392"/>
      <c r="D3" s="392"/>
      <c r="E3" s="392"/>
      <c r="F3" s="392"/>
    </row>
    <row r="4" spans="1:6" x14ac:dyDescent="0.2">
      <c r="A4" s="394" t="str">
        <f>'Delivery Rate Change Calc'!A4:F4</f>
        <v>Proposed Effective May 1, 2021</v>
      </c>
      <c r="B4" s="394"/>
      <c r="C4" s="394"/>
      <c r="D4" s="394"/>
      <c r="E4" s="394"/>
      <c r="F4" s="394"/>
    </row>
    <row r="5" spans="1:6" x14ac:dyDescent="0.2">
      <c r="A5" s="285"/>
      <c r="B5" s="285"/>
      <c r="C5" s="285"/>
      <c r="D5" s="285"/>
      <c r="E5" s="285"/>
      <c r="F5" s="285"/>
    </row>
    <row r="6" spans="1:6" x14ac:dyDescent="0.2">
      <c r="A6" s="37"/>
      <c r="B6" s="37"/>
      <c r="C6" s="37"/>
      <c r="D6" s="37"/>
      <c r="E6" s="37"/>
    </row>
    <row r="7" spans="1:6" x14ac:dyDescent="0.2">
      <c r="A7" s="38" t="s">
        <v>2</v>
      </c>
      <c r="B7" s="37"/>
      <c r="C7" s="37"/>
      <c r="D7" s="38" t="s">
        <v>3</v>
      </c>
      <c r="E7" s="38" t="s">
        <v>3</v>
      </c>
      <c r="F7" s="38" t="s">
        <v>3</v>
      </c>
    </row>
    <row r="8" spans="1:6" x14ac:dyDescent="0.2">
      <c r="A8" s="39" t="s">
        <v>4</v>
      </c>
      <c r="B8" s="76"/>
      <c r="C8" s="39" t="s">
        <v>5</v>
      </c>
      <c r="D8" s="39" t="s">
        <v>6</v>
      </c>
      <c r="E8" s="39" t="s">
        <v>7</v>
      </c>
      <c r="F8" s="39" t="s">
        <v>8</v>
      </c>
    </row>
    <row r="9" spans="1:6" x14ac:dyDescent="0.2">
      <c r="A9" s="41"/>
      <c r="B9" s="42" t="s">
        <v>9</v>
      </c>
      <c r="C9" s="42" t="s">
        <v>10</v>
      </c>
      <c r="D9" s="42" t="s">
        <v>11</v>
      </c>
      <c r="E9" s="42" t="s">
        <v>12</v>
      </c>
      <c r="F9" s="42" t="s">
        <v>13</v>
      </c>
    </row>
    <row r="10" spans="1:6" x14ac:dyDescent="0.2">
      <c r="A10" s="42"/>
      <c r="B10" s="43"/>
      <c r="C10" s="42"/>
      <c r="D10" s="42"/>
      <c r="E10" s="42"/>
      <c r="F10" s="42"/>
    </row>
    <row r="11" spans="1:6" x14ac:dyDescent="0.2">
      <c r="A11" s="42">
        <v>1</v>
      </c>
      <c r="B11" s="41" t="s">
        <v>414</v>
      </c>
      <c r="C11" s="42" t="s">
        <v>14</v>
      </c>
      <c r="D11" s="77">
        <f>'Rate Sch Impacts Sch 142'!Y10</f>
        <v>688648609.69181359</v>
      </c>
      <c r="E11" s="77">
        <f>'Rate Sch Impacts Sch 142'!Y12+'Rate Sch Impacts Sch 142'!Y17</f>
        <v>214058300.64430144</v>
      </c>
      <c r="F11" s="77">
        <f>'Rate Sch Impacts Sch 142'!Y13+'Rate Sch Impacts Sch 142'!Y18+'Rate Sch Impacts Sch 142'!Y15+'Rate Sch Impacts Sch 142'!Y20</f>
        <v>48702492.214388728</v>
      </c>
    </row>
    <row r="12" spans="1:6" x14ac:dyDescent="0.2">
      <c r="A12" s="42">
        <f t="shared" ref="A12:A29" si="0">A11+1</f>
        <v>2</v>
      </c>
      <c r="B12" s="41"/>
      <c r="C12" s="42"/>
      <c r="D12" s="78"/>
      <c r="E12" s="78"/>
      <c r="F12" s="78"/>
    </row>
    <row r="13" spans="1:6" x14ac:dyDescent="0.2">
      <c r="A13" s="42">
        <f t="shared" si="0"/>
        <v>3</v>
      </c>
      <c r="B13" s="41" t="s">
        <v>415</v>
      </c>
      <c r="C13" s="42" t="s">
        <v>14</v>
      </c>
      <c r="D13" s="188">
        <f>'2020 Weather Adj'!$P$181</f>
        <v>626901489.92004681</v>
      </c>
      <c r="E13" s="188">
        <f>'2020 Weather Adj'!$P$182+'2020 Weather Adj'!$P$189</f>
        <v>221175078.62786937</v>
      </c>
      <c r="F13" s="188">
        <f>'2020 Weather Adj'!$P$183+'2020 Weather Adj'!$P$190+'2020 Weather Adj'!$P$187+'2020 Weather Adj'!$P$192</f>
        <v>88689235.699030265</v>
      </c>
    </row>
    <row r="14" spans="1:6" x14ac:dyDescent="0.2">
      <c r="A14" s="42">
        <f t="shared" si="0"/>
        <v>4</v>
      </c>
      <c r="B14" s="41"/>
      <c r="C14" s="42"/>
      <c r="D14" s="41"/>
      <c r="E14" s="41"/>
      <c r="F14" s="41"/>
    </row>
    <row r="15" spans="1:6" x14ac:dyDescent="0.2">
      <c r="A15" s="42">
        <f t="shared" si="0"/>
        <v>5</v>
      </c>
      <c r="B15" s="41" t="s">
        <v>26</v>
      </c>
      <c r="C15" s="42" t="str">
        <f>"("&amp;A11&amp;") / ("&amp;A13&amp;")"</f>
        <v>(1) / (3)</v>
      </c>
      <c r="D15" s="49">
        <f>ROUND(D11/D13,5)</f>
        <v>1.0985</v>
      </c>
      <c r="E15" s="49">
        <f>ROUND(E11/E13,5)</f>
        <v>0.96782000000000001</v>
      </c>
      <c r="F15" s="49">
        <f>ROUND(F11/F13,5)</f>
        <v>0.54913999999999996</v>
      </c>
    </row>
    <row r="16" spans="1:6" x14ac:dyDescent="0.2">
      <c r="A16" s="42">
        <f t="shared" si="0"/>
        <v>6</v>
      </c>
      <c r="B16" s="41"/>
      <c r="C16" s="42"/>
      <c r="D16" s="49"/>
      <c r="E16" s="49"/>
      <c r="F16" s="49"/>
    </row>
    <row r="17" spans="1:6" x14ac:dyDescent="0.2">
      <c r="A17" s="42">
        <f t="shared" si="0"/>
        <v>7</v>
      </c>
      <c r="B17" s="41" t="s">
        <v>27</v>
      </c>
      <c r="C17" s="36" t="s">
        <v>416</v>
      </c>
      <c r="D17" s="198">
        <v>1.2319999999999999E-2</v>
      </c>
      <c r="E17" s="198">
        <v>-7.3899999999999999E-3</v>
      </c>
      <c r="F17" s="198">
        <v>-1.282E-2</v>
      </c>
    </row>
    <row r="18" spans="1:6" x14ac:dyDescent="0.2">
      <c r="A18" s="42">
        <f t="shared" si="0"/>
        <v>8</v>
      </c>
      <c r="B18" s="41"/>
      <c r="C18" s="42"/>
      <c r="D18" s="49"/>
      <c r="E18" s="49"/>
      <c r="F18" s="49"/>
    </row>
    <row r="19" spans="1:6" x14ac:dyDescent="0.2">
      <c r="A19" s="42">
        <f t="shared" si="0"/>
        <v>9</v>
      </c>
      <c r="B19" s="41" t="s">
        <v>28</v>
      </c>
      <c r="C19" s="42" t="s">
        <v>14</v>
      </c>
      <c r="D19" s="79">
        <f>'Delivery Rate Change Calc'!D24</f>
        <v>2.2519999999999998E-2</v>
      </c>
      <c r="E19" s="79">
        <f>'Delivery Rate Change Calc'!E24</f>
        <v>3.2280000000000003E-2</v>
      </c>
      <c r="F19" s="79">
        <f>'Delivery Rate Change Calc'!F24</f>
        <v>-1.917E-2</v>
      </c>
    </row>
    <row r="20" spans="1:6" x14ac:dyDescent="0.2">
      <c r="A20" s="42">
        <f t="shared" si="0"/>
        <v>10</v>
      </c>
      <c r="B20" s="41"/>
      <c r="C20" s="42"/>
      <c r="D20" s="49"/>
      <c r="E20" s="49"/>
      <c r="F20" s="49"/>
    </row>
    <row r="21" spans="1:6" x14ac:dyDescent="0.2">
      <c r="A21" s="42">
        <f t="shared" si="0"/>
        <v>11</v>
      </c>
      <c r="B21" s="41" t="s">
        <v>29</v>
      </c>
      <c r="C21" s="42" t="str">
        <f>"("&amp;A19&amp;") - ("&amp;A17&amp;")"</f>
        <v>(9) - (7)</v>
      </c>
      <c r="D21" s="49">
        <f>D19-D17</f>
        <v>1.0199999999999999E-2</v>
      </c>
      <c r="E21" s="49">
        <f>E19-E17</f>
        <v>3.9670000000000004E-2</v>
      </c>
      <c r="F21" s="49">
        <f>F19-F17</f>
        <v>-6.3499999999999997E-3</v>
      </c>
    </row>
    <row r="22" spans="1:6" x14ac:dyDescent="0.2">
      <c r="A22" s="42">
        <f t="shared" si="0"/>
        <v>12</v>
      </c>
      <c r="B22" s="41"/>
      <c r="C22" s="42"/>
      <c r="D22" s="41"/>
      <c r="E22" s="41"/>
      <c r="F22" s="41"/>
    </row>
    <row r="23" spans="1:6" x14ac:dyDescent="0.2">
      <c r="A23" s="42">
        <f t="shared" si="0"/>
        <v>13</v>
      </c>
      <c r="B23" s="41" t="s">
        <v>30</v>
      </c>
      <c r="C23" s="42" t="str">
        <f>"("&amp;A21&amp;") / ("&amp;A15&amp;")"</f>
        <v>(11) / (5)</v>
      </c>
      <c r="D23" s="51">
        <f>D21/D15</f>
        <v>9.2853891670459706E-3</v>
      </c>
      <c r="E23" s="51">
        <f>E21/E15</f>
        <v>4.0989026885164599E-2</v>
      </c>
      <c r="F23" s="51">
        <f>F21/F15</f>
        <v>-1.1563535710383509E-2</v>
      </c>
    </row>
    <row r="24" spans="1:6" x14ac:dyDescent="0.2">
      <c r="A24" s="42">
        <f t="shared" si="0"/>
        <v>14</v>
      </c>
      <c r="B24" s="41"/>
      <c r="C24" s="42"/>
      <c r="D24" s="41"/>
      <c r="E24" s="41"/>
      <c r="F24" s="41"/>
    </row>
    <row r="25" spans="1:6" x14ac:dyDescent="0.2">
      <c r="A25" s="42">
        <f t="shared" si="0"/>
        <v>15</v>
      </c>
      <c r="B25" s="41" t="s">
        <v>31</v>
      </c>
      <c r="C25" s="42" t="s">
        <v>20</v>
      </c>
      <c r="D25" s="80">
        <f>IF(D23&gt;5%,D23-5%,0)</f>
        <v>0</v>
      </c>
      <c r="E25" s="80">
        <f>IF(E23&gt;5%,E23-5%,0)</f>
        <v>0</v>
      </c>
      <c r="F25" s="80">
        <f>IF(F23&gt;5%,F23-5%,0)</f>
        <v>0</v>
      </c>
    </row>
    <row r="26" spans="1:6" x14ac:dyDescent="0.2">
      <c r="A26" s="42">
        <f t="shared" si="0"/>
        <v>16</v>
      </c>
      <c r="B26" s="41"/>
      <c r="C26" s="42"/>
      <c r="D26" s="41"/>
      <c r="E26" s="41"/>
      <c r="F26" s="41"/>
    </row>
    <row r="27" spans="1:6" x14ac:dyDescent="0.2">
      <c r="A27" s="42">
        <f t="shared" si="0"/>
        <v>17</v>
      </c>
      <c r="B27" s="41" t="s">
        <v>32</v>
      </c>
      <c r="C27" s="42" t="str">
        <f>"("&amp;A25&amp;") x ("&amp;A15&amp;")"</f>
        <v>(15) x (5)</v>
      </c>
      <c r="D27" s="81">
        <f>ROUND(D25*D15,5)</f>
        <v>0</v>
      </c>
      <c r="E27" s="81">
        <f>ROUND(E25*E15,5)</f>
        <v>0</v>
      </c>
      <c r="F27" s="81">
        <f>ROUND(F25*F15,5)</f>
        <v>0</v>
      </c>
    </row>
    <row r="28" spans="1:6" x14ac:dyDescent="0.2">
      <c r="A28" s="42">
        <f t="shared" si="0"/>
        <v>18</v>
      </c>
      <c r="B28" s="37"/>
      <c r="C28" s="37"/>
      <c r="D28" s="82"/>
      <c r="E28" s="82"/>
      <c r="F28" s="82"/>
    </row>
    <row r="29" spans="1:6" x14ac:dyDescent="0.2">
      <c r="A29" s="42">
        <f t="shared" si="0"/>
        <v>19</v>
      </c>
      <c r="B29" s="41" t="s">
        <v>33</v>
      </c>
      <c r="C29" s="42" t="str">
        <f>"("&amp;A19&amp;") - ("&amp;A27&amp;")"</f>
        <v>(9) - (17)</v>
      </c>
      <c r="D29" s="49">
        <f>D19-D27</f>
        <v>2.2519999999999998E-2</v>
      </c>
      <c r="E29" s="49">
        <f>E19-E27</f>
        <v>3.2280000000000003E-2</v>
      </c>
      <c r="F29" s="49">
        <f>F19-F27</f>
        <v>-1.917E-2</v>
      </c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9389629810485"/>
    <pageSetUpPr fitToPage="1"/>
  </sheetPr>
  <dimension ref="A1:M34"/>
  <sheetViews>
    <sheetView workbookViewId="0">
      <selection activeCell="I39" sqref="I39"/>
    </sheetView>
  </sheetViews>
  <sheetFormatPr defaultColWidth="9.140625" defaultRowHeight="12.75" customHeight="1" x14ac:dyDescent="0.2"/>
  <cols>
    <col min="1" max="1" width="5.28515625" style="69" customWidth="1"/>
    <col min="2" max="2" width="20.28515625" style="69" bestFit="1" customWidth="1"/>
    <col min="3" max="3" width="9" style="69" bestFit="1" customWidth="1"/>
    <col min="4" max="6" width="11.5703125" style="69" bestFit="1" customWidth="1"/>
    <col min="7" max="7" width="13.7109375" style="69" bestFit="1" customWidth="1"/>
    <col min="8" max="16384" width="9.140625" style="69"/>
  </cols>
  <sheetData>
    <row r="1" spans="1:13" s="41" customFormat="1" ht="12.75" customHeight="1" x14ac:dyDescent="0.2">
      <c r="A1" s="396" t="s">
        <v>0</v>
      </c>
      <c r="B1" s="396"/>
      <c r="C1" s="396"/>
      <c r="D1" s="396"/>
      <c r="E1" s="396"/>
      <c r="F1" s="396"/>
      <c r="G1" s="396"/>
      <c r="H1" s="5"/>
      <c r="I1" s="5"/>
      <c r="J1" s="5"/>
      <c r="K1" s="5"/>
      <c r="L1" s="5"/>
      <c r="M1" s="5"/>
    </row>
    <row r="2" spans="1:13" s="41" customFormat="1" ht="12.75" customHeight="1" x14ac:dyDescent="0.25">
      <c r="A2" s="397" t="str">
        <f>'Delivery Rate Change Calc'!A2:F2</f>
        <v>2021 Gas Decoupling Filing</v>
      </c>
      <c r="B2" s="397"/>
      <c r="C2" s="397"/>
      <c r="D2" s="397"/>
      <c r="E2" s="397"/>
      <c r="F2" s="397"/>
      <c r="G2" s="398"/>
      <c r="H2" s="5"/>
      <c r="I2" s="5"/>
      <c r="J2" s="5"/>
      <c r="K2" s="5"/>
      <c r="L2" s="5"/>
      <c r="M2" s="5"/>
    </row>
    <row r="3" spans="1:13" s="41" customFormat="1" ht="12.75" customHeight="1" x14ac:dyDescent="0.25">
      <c r="A3" s="396" t="s">
        <v>426</v>
      </c>
      <c r="B3" s="396"/>
      <c r="C3" s="396"/>
      <c r="D3" s="396"/>
      <c r="E3" s="396"/>
      <c r="F3" s="396"/>
      <c r="G3" s="398"/>
      <c r="H3" s="5"/>
      <c r="I3" s="5"/>
      <c r="J3" s="5"/>
      <c r="K3" s="5"/>
      <c r="L3" s="5"/>
      <c r="M3" s="5"/>
    </row>
    <row r="4" spans="1:13" s="41" customFormat="1" ht="12.75" customHeight="1" x14ac:dyDescent="0.25">
      <c r="A4" s="399" t="str">
        <f>'Delivery Rate Change Calc'!A4:F4</f>
        <v>Proposed Effective May 1, 2021</v>
      </c>
      <c r="B4" s="399"/>
      <c r="C4" s="399"/>
      <c r="D4" s="399"/>
      <c r="E4" s="399"/>
      <c r="F4" s="399"/>
      <c r="G4" s="398"/>
      <c r="H4" s="5"/>
      <c r="I4" s="5"/>
      <c r="J4" s="5"/>
      <c r="K4" s="5"/>
      <c r="L4" s="5"/>
      <c r="M4" s="5"/>
    </row>
    <row r="5" spans="1:13" s="41" customFormat="1" ht="12.75" customHeight="1" x14ac:dyDescent="0.2"/>
    <row r="6" spans="1:13" s="41" customFormat="1" ht="12.75" customHeight="1" x14ac:dyDescent="0.2"/>
    <row r="7" spans="1:13" s="41" customFormat="1" ht="12.75" customHeight="1" x14ac:dyDescent="0.2">
      <c r="A7" s="38" t="s">
        <v>2</v>
      </c>
      <c r="E7" s="38" t="s">
        <v>3</v>
      </c>
      <c r="F7" s="38" t="s">
        <v>3</v>
      </c>
      <c r="G7" s="38" t="s">
        <v>3</v>
      </c>
    </row>
    <row r="8" spans="1:13" s="41" customFormat="1" ht="12.75" customHeight="1" x14ac:dyDescent="0.2">
      <c r="A8" s="39" t="s">
        <v>4</v>
      </c>
      <c r="B8" s="104"/>
      <c r="C8" s="39" t="s">
        <v>5</v>
      </c>
      <c r="D8" s="39" t="s">
        <v>72</v>
      </c>
      <c r="E8" s="39" t="s">
        <v>6</v>
      </c>
      <c r="F8" s="39" t="s">
        <v>7</v>
      </c>
      <c r="G8" s="39" t="s">
        <v>8</v>
      </c>
    </row>
    <row r="9" spans="1:13" s="41" customFormat="1" ht="12.75" customHeight="1" x14ac:dyDescent="0.2">
      <c r="B9" s="42" t="s">
        <v>9</v>
      </c>
      <c r="C9" s="42" t="s">
        <v>10</v>
      </c>
      <c r="D9" s="42" t="s">
        <v>11</v>
      </c>
      <c r="E9" s="42" t="s">
        <v>12</v>
      </c>
      <c r="F9" s="42" t="s">
        <v>13</v>
      </c>
    </row>
    <row r="10" spans="1:13" s="41" customFormat="1" ht="12.75" customHeight="1" x14ac:dyDescent="0.2">
      <c r="A10" s="42">
        <v>1</v>
      </c>
      <c r="B10" s="43"/>
      <c r="C10" s="42"/>
      <c r="D10" s="42"/>
      <c r="E10" s="42"/>
      <c r="F10" s="42"/>
    </row>
    <row r="11" spans="1:13" s="41" customFormat="1" ht="12.75" customHeight="1" x14ac:dyDescent="0.2">
      <c r="A11" s="42">
        <f t="shared" ref="A11:A17" si="0">A10+1</f>
        <v>2</v>
      </c>
      <c r="B11" s="41" t="s">
        <v>85</v>
      </c>
      <c r="C11" s="105" t="s">
        <v>14</v>
      </c>
      <c r="D11" s="106">
        <f>SUM(E11:G11)</f>
        <v>519253214</v>
      </c>
      <c r="E11" s="77">
        <f>'2020 Gas Margin Calc'!D21</f>
        <v>378732550</v>
      </c>
      <c r="F11" s="77">
        <f>'2020 Gas Margin Calc'!D22</f>
        <v>119224111</v>
      </c>
      <c r="G11" s="77">
        <f>'2020 Gas Margin Calc'!D23</f>
        <v>21296553</v>
      </c>
    </row>
    <row r="12" spans="1:13" s="41" customFormat="1" ht="12.75" customHeight="1" x14ac:dyDescent="0.2">
      <c r="A12" s="42">
        <f t="shared" si="0"/>
        <v>3</v>
      </c>
      <c r="C12" s="42"/>
      <c r="D12" s="42"/>
    </row>
    <row r="13" spans="1:13" s="41" customFormat="1" ht="12.75" customHeight="1" x14ac:dyDescent="0.2">
      <c r="A13" s="42">
        <f t="shared" si="0"/>
        <v>4</v>
      </c>
      <c r="B13" s="41" t="s">
        <v>86</v>
      </c>
      <c r="C13" s="105" t="s">
        <v>87</v>
      </c>
      <c r="D13" s="107">
        <f>SUM(E13:G13)</f>
        <v>1</v>
      </c>
      <c r="E13" s="108">
        <f>ROUND(E11/$D$11,4)</f>
        <v>0.72940000000000005</v>
      </c>
      <c r="F13" s="108">
        <f>ROUND(F11/$D$11,4)</f>
        <v>0.2296</v>
      </c>
      <c r="G13" s="108">
        <f>ROUND(G11/$D$11,4)</f>
        <v>4.1000000000000002E-2</v>
      </c>
    </row>
    <row r="14" spans="1:13" s="41" customFormat="1" ht="12.75" customHeight="1" x14ac:dyDescent="0.2">
      <c r="A14" s="42">
        <f t="shared" si="0"/>
        <v>5</v>
      </c>
      <c r="C14" s="105"/>
      <c r="D14" s="105"/>
      <c r="E14" s="50"/>
      <c r="F14" s="50"/>
    </row>
    <row r="15" spans="1:13" s="41" customFormat="1" ht="12.75" customHeight="1" x14ac:dyDescent="0.2">
      <c r="A15" s="42">
        <f t="shared" si="0"/>
        <v>6</v>
      </c>
      <c r="B15" s="41" t="s">
        <v>88</v>
      </c>
      <c r="C15" s="42" t="s">
        <v>14</v>
      </c>
      <c r="D15" s="109">
        <f>'2020 Gas Earnings Test'!I19</f>
        <v>0</v>
      </c>
      <c r="E15" s="50"/>
      <c r="F15" s="50"/>
    </row>
    <row r="16" spans="1:13" s="41" customFormat="1" ht="12.75" customHeight="1" x14ac:dyDescent="0.2">
      <c r="A16" s="42">
        <f t="shared" si="0"/>
        <v>7</v>
      </c>
      <c r="C16" s="105"/>
      <c r="D16" s="105"/>
    </row>
    <row r="17" spans="1:7" s="41" customFormat="1" ht="12.75" customHeight="1" x14ac:dyDescent="0.2">
      <c r="A17" s="42">
        <f t="shared" si="0"/>
        <v>8</v>
      </c>
      <c r="B17" s="41" t="s">
        <v>89</v>
      </c>
      <c r="C17" s="105" t="s">
        <v>90</v>
      </c>
      <c r="D17" s="106">
        <f>SUM(E17:G17)</f>
        <v>0</v>
      </c>
      <c r="E17" s="106">
        <f>IF($D$15&gt;0,$D$15*E13,0)</f>
        <v>0</v>
      </c>
      <c r="F17" s="106">
        <f>IF($D$15&gt;0,$D$15*F13,0)</f>
        <v>0</v>
      </c>
      <c r="G17" s="106">
        <f>IF($D$15&gt;0,$D$15*G13,0)</f>
        <v>0</v>
      </c>
    </row>
    <row r="18" spans="1:7" s="41" customFormat="1" ht="12.75" customHeight="1" x14ac:dyDescent="0.2">
      <c r="A18" s="42"/>
      <c r="C18" s="105"/>
      <c r="E18" s="50"/>
      <c r="F18" s="50"/>
    </row>
    <row r="19" spans="1:7" s="41" customFormat="1" ht="12.75" customHeight="1" x14ac:dyDescent="0.2">
      <c r="A19" s="42"/>
      <c r="E19" s="50"/>
      <c r="F19" s="50"/>
    </row>
    <row r="20" spans="1:7" ht="12.75" customHeight="1" x14ac:dyDescent="0.2">
      <c r="A20" s="42"/>
      <c r="B20" s="41"/>
      <c r="C20" s="41"/>
      <c r="D20" s="41"/>
      <c r="E20" s="50"/>
      <c r="F20" s="50"/>
      <c r="G20" s="41"/>
    </row>
    <row r="21" spans="1:7" ht="12.75" customHeight="1" x14ac:dyDescent="0.2">
      <c r="A21" s="41"/>
      <c r="B21" s="41"/>
      <c r="C21" s="41"/>
      <c r="D21" s="41"/>
      <c r="E21" s="41"/>
      <c r="F21" s="41"/>
      <c r="G21" s="41"/>
    </row>
    <row r="22" spans="1:7" ht="12.75" customHeight="1" x14ac:dyDescent="0.2">
      <c r="A22" s="41"/>
      <c r="B22" s="41"/>
      <c r="C22" s="41"/>
      <c r="D22" s="41"/>
      <c r="E22" s="41"/>
      <c r="F22" s="41"/>
      <c r="G22" s="41"/>
    </row>
    <row r="23" spans="1:7" ht="12.75" customHeight="1" x14ac:dyDescent="0.2">
      <c r="A23" s="41"/>
      <c r="B23" s="41"/>
      <c r="C23" s="41"/>
      <c r="D23" s="41"/>
      <c r="E23" s="41"/>
      <c r="F23" s="41"/>
      <c r="G23" s="41"/>
    </row>
    <row r="24" spans="1:7" ht="12.75" customHeight="1" x14ac:dyDescent="0.2">
      <c r="A24" s="41"/>
      <c r="B24" s="41"/>
      <c r="C24" s="41"/>
      <c r="D24" s="41"/>
      <c r="E24" s="41"/>
      <c r="F24" s="41"/>
      <c r="G24" s="41"/>
    </row>
    <row r="25" spans="1:7" ht="12.75" customHeight="1" x14ac:dyDescent="0.2">
      <c r="A25" s="41"/>
      <c r="B25" s="41"/>
      <c r="C25" s="41"/>
      <c r="D25" s="41"/>
      <c r="E25" s="41"/>
      <c r="F25" s="41"/>
      <c r="G25" s="41"/>
    </row>
    <row r="26" spans="1:7" ht="12.75" customHeight="1" x14ac:dyDescent="0.2">
      <c r="A26" s="41"/>
      <c r="B26" s="41"/>
      <c r="C26" s="41"/>
      <c r="D26" s="41"/>
      <c r="E26" s="41"/>
      <c r="F26" s="41"/>
      <c r="G26" s="41"/>
    </row>
    <row r="27" spans="1:7" ht="12.75" customHeight="1" x14ac:dyDescent="0.2">
      <c r="A27" s="41"/>
      <c r="B27" s="41"/>
      <c r="C27" s="41"/>
      <c r="D27" s="41"/>
      <c r="E27" s="41"/>
      <c r="F27" s="41"/>
      <c r="G27" s="41"/>
    </row>
    <row r="28" spans="1:7" ht="12.75" customHeight="1" x14ac:dyDescent="0.2">
      <c r="A28" s="41"/>
      <c r="B28" s="41"/>
      <c r="C28" s="41"/>
      <c r="D28" s="41"/>
      <c r="E28" s="41"/>
      <c r="F28" s="41"/>
      <c r="G28" s="41"/>
    </row>
    <row r="29" spans="1:7" ht="12.75" customHeight="1" x14ac:dyDescent="0.2">
      <c r="A29" s="41"/>
      <c r="B29" s="41"/>
      <c r="C29" s="41"/>
      <c r="D29" s="41"/>
      <c r="E29" s="41"/>
      <c r="F29" s="41"/>
      <c r="G29" s="41"/>
    </row>
    <row r="30" spans="1:7" ht="12.75" customHeight="1" x14ac:dyDescent="0.2">
      <c r="A30" s="41"/>
      <c r="B30" s="41"/>
      <c r="C30" s="41"/>
      <c r="D30" s="41"/>
      <c r="E30" s="41"/>
      <c r="F30" s="41"/>
      <c r="G30" s="41"/>
    </row>
    <row r="31" spans="1:7" ht="12.75" customHeight="1" x14ac:dyDescent="0.2">
      <c r="A31" s="41"/>
      <c r="B31" s="41"/>
      <c r="C31" s="41"/>
      <c r="D31" s="41"/>
      <c r="E31" s="41"/>
      <c r="F31" s="41"/>
      <c r="G31" s="41"/>
    </row>
    <row r="32" spans="1:7" ht="12.75" customHeight="1" x14ac:dyDescent="0.2">
      <c r="A32" s="41"/>
      <c r="B32" s="41"/>
      <c r="C32" s="41"/>
      <c r="D32" s="41"/>
      <c r="E32" s="41"/>
      <c r="F32" s="41"/>
      <c r="G32" s="41"/>
    </row>
    <row r="33" spans="1:7" ht="12.75" customHeight="1" x14ac:dyDescent="0.2">
      <c r="A33" s="41"/>
      <c r="B33" s="41"/>
      <c r="C33" s="41"/>
      <c r="D33" s="41"/>
      <c r="E33" s="41"/>
      <c r="F33" s="41"/>
      <c r="G33" s="41"/>
    </row>
    <row r="34" spans="1:7" ht="12.75" customHeight="1" x14ac:dyDescent="0.2">
      <c r="A34" s="41"/>
      <c r="B34" s="41"/>
      <c r="C34" s="41"/>
      <c r="D34" s="41"/>
      <c r="E34" s="41"/>
      <c r="F34" s="41"/>
      <c r="G34" s="41"/>
    </row>
  </sheetData>
  <mergeCells count="4">
    <mergeCell ref="A1:G1"/>
    <mergeCell ref="A2:G2"/>
    <mergeCell ref="A3:G3"/>
    <mergeCell ref="A4:G4"/>
  </mergeCells>
  <printOptions horizontalCentered="1"/>
  <pageMargins left="0.7" right="0.7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59999389629810485"/>
  </sheetPr>
  <dimension ref="A1"/>
  <sheetViews>
    <sheetView workbookViewId="0">
      <selection activeCell="C33" sqref="C33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B1:Y37"/>
  <sheetViews>
    <sheetView zoomScaleNormal="100" workbookViewId="0">
      <pane xSplit="3" ySplit="8" topLeftCell="L9" activePane="bottomRight" state="frozenSplit"/>
      <selection activeCell="O55" sqref="O55"/>
      <selection pane="topRight" activeCell="O55" sqref="O55"/>
      <selection pane="bottomLeft" activeCell="O55" sqref="O55"/>
      <selection pane="bottomRight" activeCell="T10" sqref="T10"/>
    </sheetView>
  </sheetViews>
  <sheetFormatPr defaultRowHeight="11.25" x14ac:dyDescent="0.2"/>
  <cols>
    <col min="1" max="1" width="2.85546875" style="41" customWidth="1"/>
    <col min="2" max="2" width="38.7109375" style="41" customWidth="1"/>
    <col min="3" max="3" width="8.28515625" style="41" bestFit="1" customWidth="1"/>
    <col min="4" max="4" width="12" style="41" bestFit="1" customWidth="1"/>
    <col min="5" max="5" width="12.85546875" style="41" bestFit="1" customWidth="1"/>
    <col min="6" max="6" width="10.28515625" style="41" bestFit="1" customWidth="1"/>
    <col min="7" max="7" width="14.85546875" style="41" customWidth="1"/>
    <col min="8" max="8" width="12.85546875" style="41" bestFit="1" customWidth="1"/>
    <col min="9" max="9" width="11.5703125" style="41" bestFit="1" customWidth="1"/>
    <col min="10" max="11" width="10.7109375" style="41" bestFit="1" customWidth="1"/>
    <col min="12" max="12" width="9.85546875" style="41" bestFit="1" customWidth="1"/>
    <col min="13" max="13" width="10.7109375" style="41" bestFit="1" customWidth="1"/>
    <col min="14" max="16" width="11.28515625" style="41" bestFit="1" customWidth="1"/>
    <col min="17" max="18" width="10.7109375" style="41" bestFit="1" customWidth="1"/>
    <col min="19" max="19" width="14" style="41" customWidth="1"/>
    <col min="20" max="20" width="10.42578125" style="41" bestFit="1" customWidth="1"/>
    <col min="21" max="21" width="7.140625" style="41" bestFit="1" customWidth="1"/>
    <col min="22" max="22" width="1.85546875" style="41" customWidth="1"/>
    <col min="23" max="23" width="14.5703125" style="41" customWidth="1"/>
    <col min="24" max="24" width="12.28515625" style="41" customWidth="1"/>
    <col min="25" max="25" width="13.85546875" style="41" bestFit="1" customWidth="1"/>
    <col min="26" max="16384" width="9.140625" style="41"/>
  </cols>
  <sheetData>
    <row r="1" spans="2:25" s="335" customFormat="1" x14ac:dyDescent="0.2">
      <c r="B1" s="392" t="s">
        <v>0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</row>
    <row r="2" spans="2:25" s="335" customFormat="1" x14ac:dyDescent="0.2">
      <c r="B2" s="394" t="s">
        <v>480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</row>
    <row r="3" spans="2:25" s="335" customFormat="1" x14ac:dyDescent="0.2">
      <c r="B3" s="395" t="s">
        <v>356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</row>
    <row r="4" spans="2:25" s="335" customFormat="1" x14ac:dyDescent="0.2">
      <c r="B4" s="394" t="s">
        <v>481</v>
      </c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</row>
    <row r="5" spans="2:25" s="335" customFormat="1" x14ac:dyDescent="0.2">
      <c r="F5" s="287"/>
      <c r="R5" s="287"/>
    </row>
    <row r="6" spans="2:25" s="335" customFormat="1" x14ac:dyDescent="0.2">
      <c r="B6" s="336"/>
      <c r="C6" s="336"/>
      <c r="D6" s="337" t="s">
        <v>482</v>
      </c>
      <c r="E6" s="338" t="s">
        <v>482</v>
      </c>
      <c r="F6" s="336"/>
      <c r="G6" s="336" t="s">
        <v>118</v>
      </c>
      <c r="H6" s="287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8" t="s">
        <v>483</v>
      </c>
      <c r="T6" s="338" t="s">
        <v>484</v>
      </c>
      <c r="U6" s="336"/>
    </row>
    <row r="7" spans="2:25" s="335" customFormat="1" x14ac:dyDescent="0.2">
      <c r="B7" s="336"/>
      <c r="C7" s="336" t="s">
        <v>35</v>
      </c>
      <c r="D7" s="336" t="s">
        <v>36</v>
      </c>
      <c r="E7" s="336" t="s">
        <v>37</v>
      </c>
      <c r="F7" s="336" t="s">
        <v>38</v>
      </c>
      <c r="G7" s="336" t="s">
        <v>119</v>
      </c>
      <c r="H7" s="287" t="s">
        <v>118</v>
      </c>
      <c r="I7" s="336" t="s">
        <v>39</v>
      </c>
      <c r="J7" s="336" t="s">
        <v>40</v>
      </c>
      <c r="K7" s="336" t="s">
        <v>41</v>
      </c>
      <c r="L7" s="336" t="s">
        <v>42</v>
      </c>
      <c r="M7" s="336" t="s">
        <v>43</v>
      </c>
      <c r="N7" s="336" t="s">
        <v>385</v>
      </c>
      <c r="O7" s="336" t="s">
        <v>386</v>
      </c>
      <c r="P7" s="336" t="s">
        <v>418</v>
      </c>
      <c r="Q7" s="336" t="s">
        <v>34</v>
      </c>
      <c r="R7" s="336" t="s">
        <v>45</v>
      </c>
      <c r="S7" s="336" t="s">
        <v>357</v>
      </c>
      <c r="T7" s="336" t="s">
        <v>50</v>
      </c>
      <c r="U7" s="336" t="s">
        <v>137</v>
      </c>
    </row>
    <row r="8" spans="2:25" s="335" customFormat="1" ht="34.5" x14ac:dyDescent="0.25">
      <c r="B8" s="339" t="s">
        <v>46</v>
      </c>
      <c r="C8" s="339" t="s">
        <v>47</v>
      </c>
      <c r="D8" s="339" t="s">
        <v>398</v>
      </c>
      <c r="E8" s="339" t="s">
        <v>399</v>
      </c>
      <c r="F8" s="339" t="s">
        <v>48</v>
      </c>
      <c r="G8" s="261" t="s">
        <v>417</v>
      </c>
      <c r="H8" s="340" t="s">
        <v>49</v>
      </c>
      <c r="I8" s="339" t="s">
        <v>50</v>
      </c>
      <c r="J8" s="339" t="s">
        <v>50</v>
      </c>
      <c r="K8" s="339" t="s">
        <v>50</v>
      </c>
      <c r="L8" s="339" t="s">
        <v>50</v>
      </c>
      <c r="M8" s="339" t="s">
        <v>50</v>
      </c>
      <c r="N8" s="339" t="s">
        <v>50</v>
      </c>
      <c r="O8" s="339" t="s">
        <v>50</v>
      </c>
      <c r="P8" s="339" t="s">
        <v>50</v>
      </c>
      <c r="Q8" s="339" t="s">
        <v>50</v>
      </c>
      <c r="R8" s="339" t="s">
        <v>50</v>
      </c>
      <c r="S8" s="339" t="s">
        <v>424</v>
      </c>
      <c r="T8" s="339" t="s">
        <v>138</v>
      </c>
      <c r="U8" s="339" t="s">
        <v>138</v>
      </c>
      <c r="W8" s="290" t="s">
        <v>420</v>
      </c>
      <c r="X8" s="252" t="s">
        <v>421</v>
      </c>
      <c r="Y8" s="357" t="s">
        <v>422</v>
      </c>
    </row>
    <row r="9" spans="2:25" x14ac:dyDescent="0.2">
      <c r="B9" s="123" t="s">
        <v>51</v>
      </c>
      <c r="C9" s="123" t="s">
        <v>52</v>
      </c>
      <c r="D9" s="341" t="s">
        <v>53</v>
      </c>
      <c r="E9" s="342" t="s">
        <v>54</v>
      </c>
      <c r="F9" s="123" t="s">
        <v>55</v>
      </c>
      <c r="G9" s="123" t="s">
        <v>56</v>
      </c>
      <c r="H9" s="123" t="s">
        <v>57</v>
      </c>
      <c r="I9" s="123" t="s">
        <v>58</v>
      </c>
      <c r="J9" s="123" t="s">
        <v>59</v>
      </c>
      <c r="K9" s="123" t="s">
        <v>60</v>
      </c>
      <c r="L9" s="342" t="s">
        <v>61</v>
      </c>
      <c r="M9" s="123" t="s">
        <v>62</v>
      </c>
      <c r="N9" s="342" t="s">
        <v>63</v>
      </c>
      <c r="O9" s="342" t="s">
        <v>64</v>
      </c>
      <c r="P9" s="123" t="s">
        <v>65</v>
      </c>
      <c r="Q9" s="342" t="s">
        <v>387</v>
      </c>
      <c r="R9" s="123" t="s">
        <v>66</v>
      </c>
      <c r="S9" s="342" t="s">
        <v>419</v>
      </c>
      <c r="T9" s="123" t="s">
        <v>388</v>
      </c>
      <c r="U9" s="123" t="s">
        <v>358</v>
      </c>
      <c r="W9" s="288"/>
      <c r="X9" s="253"/>
      <c r="Y9" s="358"/>
    </row>
    <row r="10" spans="2:25" x14ac:dyDescent="0.2">
      <c r="B10" s="41" t="s">
        <v>67</v>
      </c>
      <c r="C10" s="15" t="s">
        <v>68</v>
      </c>
      <c r="D10" s="180">
        <v>609248315.15931809</v>
      </c>
      <c r="E10" s="343">
        <v>369409021.81868041</v>
      </c>
      <c r="F10" s="49">
        <f t="shared" ref="F10:F15" si="0">(E10)/D10</f>
        <v>0.60633572982812456</v>
      </c>
      <c r="G10" s="180">
        <v>626377148</v>
      </c>
      <c r="H10" s="344">
        <f>F10*G10</f>
        <v>379794845.1802392</v>
      </c>
      <c r="I10" s="343">
        <v>238831342.75999999</v>
      </c>
      <c r="J10" s="343">
        <v>30235224.93</v>
      </c>
      <c r="K10" s="343">
        <v>13648758.054920001</v>
      </c>
      <c r="L10" s="343">
        <v>4390903.80748</v>
      </c>
      <c r="M10" s="343">
        <v>12345893.587080002</v>
      </c>
      <c r="N10" s="343">
        <v>-8694114.8142399993</v>
      </c>
      <c r="O10" s="343">
        <v>-425936.46064</v>
      </c>
      <c r="P10" s="343">
        <v>-858136.69275999989</v>
      </c>
      <c r="Q10" s="343">
        <v>7716966.46</v>
      </c>
      <c r="R10" s="343">
        <v>11086875.5196</v>
      </c>
      <c r="S10" s="345">
        <f t="shared" ref="S10:S22" si="1">SUM(H10:R10)</f>
        <v>688072622.33167922</v>
      </c>
      <c r="T10" s="343">
        <f>'Sch 142 Revenue Impacts'!H11</f>
        <v>6389046.9100000001</v>
      </c>
      <c r="U10" s="51">
        <f>T10/S10</f>
        <v>9.2854252627424232E-3</v>
      </c>
      <c r="W10" s="289">
        <f t="shared" ref="W10:W22" si="2">S10/G10</f>
        <v>1.0984957298149696</v>
      </c>
      <c r="X10" s="254">
        <f>'2020 Weather Adj'!$P$181</f>
        <v>626901489.92004681</v>
      </c>
      <c r="Y10" s="359">
        <f>W10*X10</f>
        <v>688648609.69181359</v>
      </c>
    </row>
    <row r="11" spans="2:25" x14ac:dyDescent="0.2">
      <c r="B11" s="41" t="s">
        <v>120</v>
      </c>
      <c r="C11" s="15">
        <v>16</v>
      </c>
      <c r="D11" s="180">
        <v>9386</v>
      </c>
      <c r="E11" s="343">
        <v>5636.54</v>
      </c>
      <c r="F11" s="49">
        <f t="shared" si="0"/>
        <v>0.60052631578947369</v>
      </c>
      <c r="G11" s="180">
        <v>8999</v>
      </c>
      <c r="H11" s="344">
        <f t="shared" ref="H11:H22" si="3">F11*G11</f>
        <v>5404.1363157894739</v>
      </c>
      <c r="I11" s="343">
        <v>3431.23</v>
      </c>
      <c r="J11" s="343">
        <v>434.38</v>
      </c>
      <c r="K11" s="343">
        <v>196.08821</v>
      </c>
      <c r="L11" s="343">
        <v>0</v>
      </c>
      <c r="M11" s="343">
        <v>177.37029000000001</v>
      </c>
      <c r="N11" s="343">
        <v>-124.90612</v>
      </c>
      <c r="O11" s="343">
        <v>-6.1193200000000001</v>
      </c>
      <c r="P11" s="343">
        <v>-12.328629999999999</v>
      </c>
      <c r="Q11" s="343">
        <v>0</v>
      </c>
      <c r="R11" s="343">
        <v>159.28229999999999</v>
      </c>
      <c r="S11" s="345">
        <f t="shared" si="1"/>
        <v>9659.1330457894746</v>
      </c>
      <c r="T11" s="343"/>
      <c r="U11" s="51">
        <f t="shared" ref="U11:U23" si="4">T11/S11</f>
        <v>0</v>
      </c>
      <c r="W11" s="289">
        <f t="shared" si="2"/>
        <v>1.0733562668951522</v>
      </c>
      <c r="X11" s="254">
        <f>'2020 Weather Adj'!$P$180</f>
        <v>8769.7669999999998</v>
      </c>
      <c r="Y11" s="359">
        <f t="shared" ref="Y11:Y22" si="5">W11*X11</f>
        <v>9413.0843686602984</v>
      </c>
    </row>
    <row r="12" spans="2:25" x14ac:dyDescent="0.2">
      <c r="B12" s="41" t="s">
        <v>69</v>
      </c>
      <c r="C12" s="15">
        <v>31</v>
      </c>
      <c r="D12" s="180">
        <v>234140158.08963937</v>
      </c>
      <c r="E12" s="343">
        <v>117941137.18000001</v>
      </c>
      <c r="F12" s="49">
        <f t="shared" si="0"/>
        <v>0.50372024236375057</v>
      </c>
      <c r="G12" s="180">
        <v>232667656</v>
      </c>
      <c r="H12" s="344">
        <f t="shared" si="3"/>
        <v>117199408.07052575</v>
      </c>
      <c r="I12" s="343">
        <v>86819935.840000004</v>
      </c>
      <c r="J12" s="343">
        <v>11195967.609999999</v>
      </c>
      <c r="K12" s="343">
        <v>5069828.2242400004</v>
      </c>
      <c r="L12" s="343">
        <v>1293632.1673599998</v>
      </c>
      <c r="M12" s="343">
        <v>4944187.6900000004</v>
      </c>
      <c r="N12" s="343">
        <v>-3478381.4572000001</v>
      </c>
      <c r="O12" s="343">
        <v>-167520.71232000002</v>
      </c>
      <c r="P12" s="343">
        <v>-342021.45431999996</v>
      </c>
      <c r="Q12" s="343">
        <v>-1717087.3</v>
      </c>
      <c r="R12" s="343">
        <v>4374151.9328000005</v>
      </c>
      <c r="S12" s="345">
        <f t="shared" si="1"/>
        <v>225192100.61108574</v>
      </c>
      <c r="T12" s="343">
        <f>'Sch 142 Revenue Impacts'!H16</f>
        <v>9227599.2400000002</v>
      </c>
      <c r="U12" s="51">
        <f t="shared" si="4"/>
        <v>4.0976567184016689E-2</v>
      </c>
      <c r="W12" s="289">
        <f t="shared" si="2"/>
        <v>0.96787024239882202</v>
      </c>
      <c r="X12" s="254">
        <f>'2020 Weather Adj'!$P$182</f>
        <v>221132541.18786937</v>
      </c>
      <c r="Y12" s="359">
        <f t="shared" si="5"/>
        <v>214027606.24177063</v>
      </c>
    </row>
    <row r="13" spans="2:25" x14ac:dyDescent="0.2">
      <c r="B13" s="41" t="s">
        <v>73</v>
      </c>
      <c r="C13" s="15">
        <v>41</v>
      </c>
      <c r="D13" s="180">
        <v>65836657.463465497</v>
      </c>
      <c r="E13" s="343">
        <v>16769592.583254175</v>
      </c>
      <c r="F13" s="49">
        <f t="shared" si="0"/>
        <v>0.25471512724594297</v>
      </c>
      <c r="G13" s="180">
        <v>64505965</v>
      </c>
      <c r="H13" s="344">
        <f t="shared" si="3"/>
        <v>16430645.083097344</v>
      </c>
      <c r="I13" s="343">
        <v>21690930.699999999</v>
      </c>
      <c r="J13" s="343">
        <v>3063388.28</v>
      </c>
      <c r="K13" s="343">
        <v>1405584.9773500001</v>
      </c>
      <c r="L13" s="343">
        <v>196743.19325000001</v>
      </c>
      <c r="M13" s="343">
        <v>487020.03575000004</v>
      </c>
      <c r="N13" s="343">
        <v>-367684.00050000002</v>
      </c>
      <c r="O13" s="343">
        <v>-18706.72985</v>
      </c>
      <c r="P13" s="343">
        <v>-36123.340399999994</v>
      </c>
      <c r="Q13" s="343">
        <v>-886729.88000000012</v>
      </c>
      <c r="R13" s="343">
        <v>597970.29555000004</v>
      </c>
      <c r="S13" s="345">
        <f t="shared" si="1"/>
        <v>42563038.614247337</v>
      </c>
      <c r="T13" s="343">
        <f>'Sch 142 Revenue Impacts'!H30</f>
        <v>-419782.61</v>
      </c>
      <c r="U13" s="51">
        <f t="shared" si="4"/>
        <v>-9.8626090539382701E-3</v>
      </c>
      <c r="W13" s="289">
        <f t="shared" si="2"/>
        <v>0.65983104995402109</v>
      </c>
      <c r="X13" s="254">
        <f>'2020 Weather Adj'!$P$183</f>
        <v>61369391.228887789</v>
      </c>
      <c r="Y13" s="359">
        <f t="shared" si="5"/>
        <v>40493429.84959612</v>
      </c>
    </row>
    <row r="14" spans="2:25" x14ac:dyDescent="0.2">
      <c r="B14" s="41" t="s">
        <v>121</v>
      </c>
      <c r="C14" s="15">
        <v>85</v>
      </c>
      <c r="D14" s="180">
        <v>16184434.068649083</v>
      </c>
      <c r="E14" s="343">
        <v>1712016.4100000001</v>
      </c>
      <c r="F14" s="49">
        <f t="shared" si="0"/>
        <v>0.10578166667664657</v>
      </c>
      <c r="G14" s="180">
        <v>9717323</v>
      </c>
      <c r="H14" s="344">
        <f t="shared" si="3"/>
        <v>1027914.6225753112</v>
      </c>
      <c r="I14" s="343">
        <v>3012149.54</v>
      </c>
      <c r="J14" s="343">
        <v>457200.05</v>
      </c>
      <c r="K14" s="343">
        <v>177827.01089999999</v>
      </c>
      <c r="L14" s="343">
        <v>13796.355827199839</v>
      </c>
      <c r="M14" s="343">
        <v>42561.874739999999</v>
      </c>
      <c r="N14" s="343">
        <v>-26236.772100000002</v>
      </c>
      <c r="O14" s="343">
        <v>-1554.7716800000001</v>
      </c>
      <c r="P14" s="343">
        <v>-2623.6772099999998</v>
      </c>
      <c r="Q14" s="343">
        <v>0</v>
      </c>
      <c r="R14" s="343">
        <v>48100.748850000004</v>
      </c>
      <c r="S14" s="345">
        <f t="shared" si="1"/>
        <v>4749134.9819025109</v>
      </c>
      <c r="T14" s="343"/>
      <c r="U14" s="51">
        <f t="shared" si="4"/>
        <v>0</v>
      </c>
      <c r="W14" s="289">
        <f t="shared" si="2"/>
        <v>0.48872873546577705</v>
      </c>
      <c r="X14" s="254">
        <f>'2020 Weather Adj'!$P$186</f>
        <v>18205076.037592929</v>
      </c>
      <c r="Y14" s="359">
        <f t="shared" si="5"/>
        <v>8897343.790911112</v>
      </c>
    </row>
    <row r="15" spans="2:25" x14ac:dyDescent="0.2">
      <c r="B15" s="41" t="s">
        <v>76</v>
      </c>
      <c r="C15" s="15">
        <v>86</v>
      </c>
      <c r="D15" s="180">
        <v>9397200.2729263548</v>
      </c>
      <c r="E15" s="343">
        <v>1992002.78</v>
      </c>
      <c r="F15" s="49">
        <f t="shared" si="0"/>
        <v>0.21197832568696295</v>
      </c>
      <c r="G15" s="180">
        <v>4551465</v>
      </c>
      <c r="H15" s="344">
        <f t="shared" si="3"/>
        <v>964811.93012281286</v>
      </c>
      <c r="I15" s="343">
        <v>1515772.4100000001</v>
      </c>
      <c r="J15" s="343">
        <v>215056.72</v>
      </c>
      <c r="K15" s="343">
        <v>83291.809500000003</v>
      </c>
      <c r="L15" s="343">
        <v>13472.3364</v>
      </c>
      <c r="M15" s="343">
        <v>35911.058850000009</v>
      </c>
      <c r="N15" s="343">
        <v>-15383.951700000001</v>
      </c>
      <c r="O15" s="343">
        <v>-1456.4688000000001</v>
      </c>
      <c r="P15" s="343">
        <v>-1501.9834499999999</v>
      </c>
      <c r="Q15" s="343">
        <v>-61554.38</v>
      </c>
      <c r="R15" s="343">
        <v>40143.921300000002</v>
      </c>
      <c r="S15" s="345">
        <f t="shared" si="1"/>
        <v>2788563.4022228131</v>
      </c>
      <c r="T15" s="343">
        <f>'Sch 142 Revenue Impacts'!H49</f>
        <v>-20557.199999999997</v>
      </c>
      <c r="U15" s="51">
        <f t="shared" si="4"/>
        <v>-7.3719679400559767E-3</v>
      </c>
      <c r="W15" s="289">
        <f t="shared" si="2"/>
        <v>0.61267380991017462</v>
      </c>
      <c r="X15" s="254">
        <f>'2020 Weather Adj'!$P$187</f>
        <v>5804462.7380077541</v>
      </c>
      <c r="Y15" s="359">
        <f t="shared" si="5"/>
        <v>3556242.3001768542</v>
      </c>
    </row>
    <row r="16" spans="2:25" x14ac:dyDescent="0.2">
      <c r="B16" s="41" t="s">
        <v>122</v>
      </c>
      <c r="C16" s="15">
        <v>87</v>
      </c>
      <c r="D16" s="180">
        <v>23337042.118500695</v>
      </c>
      <c r="E16" s="343">
        <v>1405341.91</v>
      </c>
      <c r="F16" s="49">
        <f>(E16)/D16</f>
        <v>6.0219367255882859E-2</v>
      </c>
      <c r="G16" s="180">
        <v>14248694</v>
      </c>
      <c r="H16" s="344">
        <f t="shared" si="3"/>
        <v>858047.33690269454</v>
      </c>
      <c r="I16" s="343">
        <v>4443312.74</v>
      </c>
      <c r="J16" s="343">
        <v>670828.51</v>
      </c>
      <c r="K16" s="343">
        <v>260751.10020000002</v>
      </c>
      <c r="L16" s="343">
        <v>8325.450629642135</v>
      </c>
      <c r="M16" s="343">
        <v>32914.483139999997</v>
      </c>
      <c r="N16" s="343">
        <v>-20233.145479999999</v>
      </c>
      <c r="O16" s="343">
        <v>-1139.89552</v>
      </c>
      <c r="P16" s="343">
        <v>-1994.8171599999998</v>
      </c>
      <c r="Q16" s="343">
        <v>0</v>
      </c>
      <c r="R16" s="343">
        <v>41321.212599999999</v>
      </c>
      <c r="S16" s="345">
        <f t="shared" si="1"/>
        <v>6292132.9753123373</v>
      </c>
      <c r="T16" s="343"/>
      <c r="U16" s="51">
        <f t="shared" si="4"/>
        <v>0</v>
      </c>
      <c r="W16" s="289">
        <f t="shared" si="2"/>
        <v>0.4415936629218325</v>
      </c>
      <c r="X16" s="254">
        <f>'2020 Weather Adj'!$P$188</f>
        <v>22431397.990590375</v>
      </c>
      <c r="Y16" s="359">
        <f t="shared" si="5"/>
        <v>9905563.2031222377</v>
      </c>
    </row>
    <row r="17" spans="2:25" x14ac:dyDescent="0.2">
      <c r="B17" s="41" t="s">
        <v>70</v>
      </c>
      <c r="C17" s="15" t="s">
        <v>71</v>
      </c>
      <c r="D17" s="180">
        <v>36359.963605097219</v>
      </c>
      <c r="E17" s="343">
        <v>25456.9</v>
      </c>
      <c r="F17" s="49">
        <f>(E17)/D17</f>
        <v>0.70013546428388773</v>
      </c>
      <c r="G17" s="180">
        <v>22610</v>
      </c>
      <c r="H17" s="344">
        <f t="shared" si="3"/>
        <v>15830.062847458701</v>
      </c>
      <c r="I17" s="343">
        <v>0</v>
      </c>
      <c r="J17" s="343">
        <v>0</v>
      </c>
      <c r="K17" s="343">
        <v>0</v>
      </c>
      <c r="L17" s="343">
        <v>125.71159999999999</v>
      </c>
      <c r="M17" s="343">
        <v>480.46250000000003</v>
      </c>
      <c r="N17" s="343">
        <v>-338.01949999999999</v>
      </c>
      <c r="O17" s="343">
        <v>-16.279199999999999</v>
      </c>
      <c r="P17" s="343">
        <v>-33.236699999999999</v>
      </c>
      <c r="Q17" s="343">
        <v>-158.72</v>
      </c>
      <c r="R17" s="343">
        <v>425.06800000000004</v>
      </c>
      <c r="S17" s="345">
        <f t="shared" si="1"/>
        <v>16315.049547458702</v>
      </c>
      <c r="T17" s="343">
        <f>'Sch 142 Revenue Impacts'!H21</f>
        <v>863.48</v>
      </c>
      <c r="U17" s="51">
        <f t="shared" si="4"/>
        <v>5.2925367924150687E-2</v>
      </c>
      <c r="W17" s="289">
        <f t="shared" si="2"/>
        <v>0.72158556158596654</v>
      </c>
      <c r="X17" s="254">
        <f>'2020 Weather Adj'!$P$189</f>
        <v>42537.440000000002</v>
      </c>
      <c r="Y17" s="359">
        <f t="shared" si="5"/>
        <v>30694.402530829357</v>
      </c>
    </row>
    <row r="18" spans="2:25" x14ac:dyDescent="0.2">
      <c r="B18" s="41" t="s">
        <v>74</v>
      </c>
      <c r="C18" s="41" t="s">
        <v>75</v>
      </c>
      <c r="D18" s="180">
        <v>20492334.449073859</v>
      </c>
      <c r="E18" s="343">
        <v>4419777.9054754293</v>
      </c>
      <c r="F18" s="49">
        <f t="shared" ref="F18:F21" si="6">(E18)/D18</f>
        <v>0.21567957113227668</v>
      </c>
      <c r="G18" s="180">
        <v>24168312</v>
      </c>
      <c r="H18" s="344">
        <f>F18*G18</f>
        <v>5212611.1671510562</v>
      </c>
      <c r="I18" s="343">
        <v>0</v>
      </c>
      <c r="J18" s="343">
        <v>0</v>
      </c>
      <c r="K18" s="343">
        <v>0</v>
      </c>
      <c r="L18" s="343">
        <v>73713.351600000009</v>
      </c>
      <c r="M18" s="343">
        <v>182470.7556</v>
      </c>
      <c r="N18" s="343">
        <v>-137759.37840000002</v>
      </c>
      <c r="O18" s="343">
        <v>-7008.8104800000001</v>
      </c>
      <c r="P18" s="343">
        <v>-13534.254719999999</v>
      </c>
      <c r="Q18" s="343">
        <v>-284726.82999999996</v>
      </c>
      <c r="R18" s="343">
        <v>224040.25224</v>
      </c>
      <c r="S18" s="345">
        <f t="shared" si="1"/>
        <v>5249806.2529910561</v>
      </c>
      <c r="T18" s="343">
        <f>'Sch 142 Revenue Impacts'!H39</f>
        <v>-138057.72999999998</v>
      </c>
      <c r="U18" s="51">
        <f t="shared" si="4"/>
        <v>-2.6297680970862904E-2</v>
      </c>
      <c r="W18" s="289">
        <f t="shared" si="2"/>
        <v>0.21721857335303582</v>
      </c>
      <c r="X18" s="254">
        <f>'2020 Weather Adj'!$P$190</f>
        <v>20243565.612134714</v>
      </c>
      <c r="Y18" s="359">
        <f t="shared" si="5"/>
        <v>4397278.4418464778</v>
      </c>
    </row>
    <row r="19" spans="2:25" x14ac:dyDescent="0.2">
      <c r="B19" s="41" t="s">
        <v>123</v>
      </c>
      <c r="C19" s="41" t="s">
        <v>124</v>
      </c>
      <c r="D19" s="180">
        <v>74773537.134971082</v>
      </c>
      <c r="E19" s="343">
        <v>7547127.8200000003</v>
      </c>
      <c r="F19" s="49">
        <f t="shared" si="6"/>
        <v>0.10093313903790516</v>
      </c>
      <c r="G19" s="180">
        <v>72016415</v>
      </c>
      <c r="H19" s="344">
        <f t="shared" si="3"/>
        <v>7268842.8282064786</v>
      </c>
      <c r="I19" s="343">
        <v>0</v>
      </c>
      <c r="J19" s="343">
        <v>0</v>
      </c>
      <c r="K19" s="343">
        <v>0</v>
      </c>
      <c r="L19" s="343">
        <v>93741.149655008965</v>
      </c>
      <c r="M19" s="343">
        <v>315431.89770000003</v>
      </c>
      <c r="N19" s="343">
        <v>-194444.3205</v>
      </c>
      <c r="O19" s="343">
        <v>-11522.626400000001</v>
      </c>
      <c r="P19" s="343">
        <v>-19444.432049999999</v>
      </c>
      <c r="Q19" s="343">
        <v>0</v>
      </c>
      <c r="R19" s="343">
        <v>356481.25425000006</v>
      </c>
      <c r="S19" s="345">
        <f t="shared" si="1"/>
        <v>7809085.7508614864</v>
      </c>
      <c r="T19" s="343"/>
      <c r="U19" s="51">
        <f t="shared" si="4"/>
        <v>0</v>
      </c>
      <c r="W19" s="289">
        <f t="shared" si="2"/>
        <v>0.10843480268854658</v>
      </c>
      <c r="X19" s="254">
        <f>'2020 Weather Adj'!$P$191</f>
        <v>67213918.794144511</v>
      </c>
      <c r="Y19" s="359">
        <f t="shared" si="5"/>
        <v>7288328.0223670527</v>
      </c>
    </row>
    <row r="20" spans="2:25" x14ac:dyDescent="0.2">
      <c r="B20" s="41" t="s">
        <v>77</v>
      </c>
      <c r="C20" s="41" t="s">
        <v>78</v>
      </c>
      <c r="D20" s="180">
        <v>351288.14999999997</v>
      </c>
      <c r="E20" s="343">
        <v>70216.179999999993</v>
      </c>
      <c r="F20" s="49">
        <f t="shared" si="6"/>
        <v>0.19988200569817113</v>
      </c>
      <c r="G20" s="180">
        <v>200424</v>
      </c>
      <c r="H20" s="344">
        <f t="shared" si="3"/>
        <v>40061.151110050254</v>
      </c>
      <c r="I20" s="343">
        <v>0</v>
      </c>
      <c r="J20" s="343">
        <v>0</v>
      </c>
      <c r="K20" s="343">
        <v>0</v>
      </c>
      <c r="L20" s="343">
        <v>593.25504000000001</v>
      </c>
      <c r="M20" s="343">
        <v>1581.3453600000003</v>
      </c>
      <c r="N20" s="343">
        <v>-677.43312000000003</v>
      </c>
      <c r="O20" s="343">
        <v>-64.135680000000008</v>
      </c>
      <c r="P20" s="343">
        <v>-66.139920000000004</v>
      </c>
      <c r="Q20" s="343">
        <v>-2925.2799999999997</v>
      </c>
      <c r="R20" s="343">
        <v>1767.7396799999999</v>
      </c>
      <c r="S20" s="345">
        <f t="shared" si="1"/>
        <v>40270.502470050254</v>
      </c>
      <c r="T20" s="343">
        <f>'Sch 142 Revenue Impacts'!H56</f>
        <v>-1133.9000000000001</v>
      </c>
      <c r="U20" s="51">
        <f t="shared" si="4"/>
        <v>-2.815708596740996E-2</v>
      </c>
      <c r="W20" s="289">
        <f t="shared" si="2"/>
        <v>0.20092654806834637</v>
      </c>
      <c r="X20" s="254">
        <f>'2020 Weather Adj'!$P$192</f>
        <v>1271816.1200000001</v>
      </c>
      <c r="Y20" s="359">
        <f t="shared" si="5"/>
        <v>255541.6227692778</v>
      </c>
    </row>
    <row r="21" spans="2:25" x14ac:dyDescent="0.2">
      <c r="B21" s="41" t="s">
        <v>125</v>
      </c>
      <c r="C21" s="41" t="s">
        <v>126</v>
      </c>
      <c r="D21" s="180">
        <v>100441128.37470125</v>
      </c>
      <c r="E21" s="343">
        <v>4429994.87</v>
      </c>
      <c r="F21" s="49">
        <f t="shared" si="6"/>
        <v>4.4105387321751864E-2</v>
      </c>
      <c r="G21" s="180">
        <v>92087076</v>
      </c>
      <c r="H21" s="344">
        <f t="shared" si="3"/>
        <v>4061536.1543076006</v>
      </c>
      <c r="I21" s="343">
        <v>0</v>
      </c>
      <c r="J21" s="343">
        <v>0</v>
      </c>
      <c r="K21" s="343">
        <v>0</v>
      </c>
      <c r="L21" s="343">
        <v>44056.353049085774</v>
      </c>
      <c r="M21" s="343">
        <v>212721.14556</v>
      </c>
      <c r="N21" s="343">
        <v>-130763.64792</v>
      </c>
      <c r="O21" s="343">
        <v>-7366.9660800000011</v>
      </c>
      <c r="P21" s="343">
        <v>-12892.190639999999</v>
      </c>
      <c r="Q21" s="343">
        <v>0</v>
      </c>
      <c r="R21" s="343">
        <v>267052.52039999998</v>
      </c>
      <c r="S21" s="345">
        <f t="shared" si="1"/>
        <v>4434343.3686766867</v>
      </c>
      <c r="T21" s="343"/>
      <c r="U21" s="51">
        <f t="shared" si="4"/>
        <v>0</v>
      </c>
      <c r="W21" s="289">
        <f t="shared" si="2"/>
        <v>4.8153807909773208E-2</v>
      </c>
      <c r="X21" s="254">
        <f>'2020 Weather Adj'!$P$193</f>
        <v>92886459.471163645</v>
      </c>
      <c r="Y21" s="359">
        <f t="shared" si="5"/>
        <v>4472836.7267933488</v>
      </c>
    </row>
    <row r="22" spans="2:25" x14ac:dyDescent="0.2">
      <c r="B22" s="41" t="s">
        <v>127</v>
      </c>
      <c r="D22" s="180">
        <v>37056427.854413897</v>
      </c>
      <c r="E22" s="343">
        <v>1757519.5213237838</v>
      </c>
      <c r="F22" s="346">
        <f>(E22)/D22</f>
        <v>4.7428195945617584E-2</v>
      </c>
      <c r="G22" s="180">
        <v>32440860</v>
      </c>
      <c r="H22" s="344">
        <f t="shared" si="3"/>
        <v>1538611.4647243477</v>
      </c>
      <c r="I22" s="343">
        <v>0</v>
      </c>
      <c r="J22" s="343">
        <v>0</v>
      </c>
      <c r="K22" s="343">
        <v>0</v>
      </c>
      <c r="L22" s="343">
        <v>0</v>
      </c>
      <c r="M22" s="343">
        <v>94402.902600000001</v>
      </c>
      <c r="N22" s="343">
        <v>-24006.236399999998</v>
      </c>
      <c r="O22" s="343">
        <v>-3568.4946</v>
      </c>
      <c r="P22" s="343">
        <v>-2270.8601999999996</v>
      </c>
      <c r="Q22" s="343">
        <v>0</v>
      </c>
      <c r="R22" s="343">
        <v>22384.1934</v>
      </c>
      <c r="S22" s="345">
        <f t="shared" si="1"/>
        <v>1625552.9695243475</v>
      </c>
      <c r="T22" s="343"/>
      <c r="U22" s="51">
        <f t="shared" si="4"/>
        <v>0</v>
      </c>
      <c r="W22" s="289">
        <f t="shared" si="2"/>
        <v>5.0108195945617579E-2</v>
      </c>
      <c r="X22" s="254">
        <f>'2020 Weather Adj'!$P$194</f>
        <v>32588730.529967844</v>
      </c>
      <c r="Y22" s="359">
        <f t="shared" si="5"/>
        <v>1632962.4950145585</v>
      </c>
    </row>
    <row r="23" spans="2:25" x14ac:dyDescent="0.2">
      <c r="B23" s="41" t="s">
        <v>72</v>
      </c>
      <c r="D23" s="347">
        <f>SUM(D10:D22)</f>
        <v>1191304269.0992641</v>
      </c>
      <c r="E23" s="348">
        <f>SUM(E10:E22)</f>
        <v>527484842.41873384</v>
      </c>
      <c r="F23" s="49">
        <f>(E23)/D23</f>
        <v>0.44277927654667182</v>
      </c>
      <c r="G23" s="347">
        <f>SUM(G10:G22)</f>
        <v>1173012947</v>
      </c>
      <c r="H23" s="348">
        <f>SUM(H10:H22)</f>
        <v>534418569.18812579</v>
      </c>
      <c r="I23" s="348">
        <f t="shared" ref="I23:K23" si="7">SUM(I10:I22)</f>
        <v>356316875.22000003</v>
      </c>
      <c r="J23" s="348">
        <f t="shared" si="7"/>
        <v>45838100.479999997</v>
      </c>
      <c r="K23" s="348">
        <f t="shared" si="7"/>
        <v>20646237.265320003</v>
      </c>
      <c r="L23" s="348">
        <f>SUM(L10:L22)</f>
        <v>6129103.1318909377</v>
      </c>
      <c r="M23" s="348">
        <f>SUM(M10:M22)</f>
        <v>18695754.609170008</v>
      </c>
      <c r="N23" s="348">
        <f>SUM(N10:N22)</f>
        <v>-13090148.083179997</v>
      </c>
      <c r="O23" s="348">
        <f>SUM(O10:O22)</f>
        <v>-645868.47057</v>
      </c>
      <c r="P23" s="348">
        <f>SUM(P10:P22)</f>
        <v>-1290655.4081600001</v>
      </c>
      <c r="Q23" s="348">
        <f t="shared" ref="Q23:S23" si="8">SUM(Q10:Q22)</f>
        <v>4763784.07</v>
      </c>
      <c r="R23" s="348">
        <f t="shared" si="8"/>
        <v>17060873.940969996</v>
      </c>
      <c r="S23" s="349">
        <f t="shared" si="8"/>
        <v>988842625.94356692</v>
      </c>
      <c r="T23" s="348">
        <f>SUM(T10:T22)</f>
        <v>15037978.190000001</v>
      </c>
      <c r="U23" s="350">
        <f t="shared" si="4"/>
        <v>1.5207655693089243E-2</v>
      </c>
      <c r="V23" s="344"/>
    </row>
    <row r="24" spans="2:25" s="8" customFormat="1" x14ac:dyDescent="0.2">
      <c r="B24" s="121"/>
      <c r="C24" s="68"/>
      <c r="D24" s="255"/>
      <c r="E24" s="256"/>
      <c r="F24" s="256"/>
      <c r="G24" s="257"/>
      <c r="H24" s="351"/>
      <c r="I24" s="257"/>
      <c r="J24" s="257"/>
      <c r="K24" s="257"/>
      <c r="L24" s="256"/>
      <c r="M24" s="256"/>
      <c r="N24" s="256"/>
      <c r="O24" s="256"/>
      <c r="P24" s="257"/>
      <c r="Q24" s="256"/>
      <c r="R24" s="256"/>
      <c r="S24" s="256"/>
      <c r="T24" s="147"/>
      <c r="U24" s="352"/>
    </row>
    <row r="25" spans="2:25" s="8" customFormat="1" x14ac:dyDescent="0.2">
      <c r="B25" s="353" t="s">
        <v>128</v>
      </c>
      <c r="C25" s="353"/>
      <c r="D25" s="68"/>
      <c r="E25" s="255"/>
      <c r="T25" s="345"/>
      <c r="U25" s="352"/>
    </row>
    <row r="26" spans="2:25" s="8" customFormat="1" x14ac:dyDescent="0.2">
      <c r="B26" s="130" t="s">
        <v>129</v>
      </c>
      <c r="C26" s="130"/>
      <c r="D26" s="120">
        <f>D10+D11</f>
        <v>609257701.15931809</v>
      </c>
      <c r="E26" s="225">
        <f>E10+E11</f>
        <v>369414658.35868043</v>
      </c>
      <c r="H26" s="225">
        <f>H10+H11</f>
        <v>379800249.31655496</v>
      </c>
      <c r="L26" s="225"/>
      <c r="N26" s="225"/>
      <c r="O26" s="225"/>
      <c r="P26" s="225"/>
      <c r="Q26" s="225"/>
      <c r="S26" s="225">
        <f>S10+S11</f>
        <v>688082281.46472502</v>
      </c>
      <c r="T26" s="344">
        <f>SUM(T10:T11)</f>
        <v>6389046.9100000001</v>
      </c>
      <c r="U26" s="51">
        <f t="shared" ref="U26:U33" si="9">T26/S26</f>
        <v>9.2852949161829831E-3</v>
      </c>
      <c r="V26" s="258"/>
    </row>
    <row r="27" spans="2:25" s="8" customFormat="1" x14ac:dyDescent="0.2">
      <c r="B27" s="121" t="s">
        <v>130</v>
      </c>
      <c r="C27" s="121"/>
      <c r="D27" s="120">
        <f>D12+D17</f>
        <v>234176518.05324447</v>
      </c>
      <c r="E27" s="225">
        <f>E12+E17</f>
        <v>117966594.08000001</v>
      </c>
      <c r="F27" s="63"/>
      <c r="H27" s="225">
        <f>H12+H17</f>
        <v>117215238.13337322</v>
      </c>
      <c r="I27" s="63"/>
      <c r="J27" s="63"/>
      <c r="K27" s="63"/>
      <c r="L27" s="225"/>
      <c r="N27" s="225"/>
      <c r="O27" s="225"/>
      <c r="P27" s="225"/>
      <c r="Q27" s="225"/>
      <c r="R27" s="63"/>
      <c r="S27" s="225">
        <f>S12+S17</f>
        <v>225208415.66063321</v>
      </c>
      <c r="T27" s="344">
        <f>SUM(T12,T17)</f>
        <v>9228462.7200000007</v>
      </c>
      <c r="U27" s="51">
        <f t="shared" si="9"/>
        <v>4.0977432805647813E-2</v>
      </c>
    </row>
    <row r="28" spans="2:25" s="8" customFormat="1" x14ac:dyDescent="0.2">
      <c r="B28" s="130" t="s">
        <v>131</v>
      </c>
      <c r="C28" s="130"/>
      <c r="D28" s="120">
        <f t="shared" ref="D28:E31" si="10">D13+D18</f>
        <v>86328991.912539363</v>
      </c>
      <c r="E28" s="225">
        <f t="shared" si="10"/>
        <v>21189370.488729604</v>
      </c>
      <c r="F28" s="63"/>
      <c r="H28" s="225">
        <f>H13+H18</f>
        <v>21643256.250248402</v>
      </c>
      <c r="I28" s="63"/>
      <c r="J28" s="63"/>
      <c r="K28" s="63"/>
      <c r="L28" s="225"/>
      <c r="N28" s="225"/>
      <c r="O28" s="225"/>
      <c r="P28" s="225"/>
      <c r="Q28" s="225"/>
      <c r="R28" s="63"/>
      <c r="S28" s="225">
        <f>S13+S18</f>
        <v>47812844.867238395</v>
      </c>
      <c r="T28" s="344">
        <f>SUM(T13,T18)</f>
        <v>-557840.34</v>
      </c>
      <c r="U28" s="51">
        <f t="shared" si="9"/>
        <v>-1.1667164786972026E-2</v>
      </c>
    </row>
    <row r="29" spans="2:25" s="8" customFormat="1" x14ac:dyDescent="0.2">
      <c r="B29" s="130" t="s">
        <v>132</v>
      </c>
      <c r="C29" s="130"/>
      <c r="D29" s="120">
        <f t="shared" si="10"/>
        <v>90957971.203620166</v>
      </c>
      <c r="E29" s="225">
        <f t="shared" si="10"/>
        <v>9259144.2300000004</v>
      </c>
      <c r="F29" s="63"/>
      <c r="H29" s="225">
        <f>H14+H19</f>
        <v>8296757.4507817896</v>
      </c>
      <c r="I29" s="63"/>
      <c r="J29" s="63"/>
      <c r="K29" s="63"/>
      <c r="L29" s="225"/>
      <c r="N29" s="225"/>
      <c r="O29" s="225"/>
      <c r="P29" s="225"/>
      <c r="Q29" s="225"/>
      <c r="R29" s="63"/>
      <c r="S29" s="225">
        <f>S14+S19</f>
        <v>12558220.732763998</v>
      </c>
      <c r="T29" s="344">
        <f>SUM(T14,T19)</f>
        <v>0</v>
      </c>
      <c r="U29" s="51">
        <f t="shared" si="9"/>
        <v>0</v>
      </c>
    </row>
    <row r="30" spans="2:25" s="8" customFormat="1" x14ac:dyDescent="0.2">
      <c r="B30" s="130" t="s">
        <v>133</v>
      </c>
      <c r="C30" s="130"/>
      <c r="D30" s="120">
        <f t="shared" si="10"/>
        <v>9748488.4229263552</v>
      </c>
      <c r="E30" s="225">
        <f t="shared" si="10"/>
        <v>2062218.96</v>
      </c>
      <c r="F30" s="63"/>
      <c r="H30" s="225">
        <f>H15+H20</f>
        <v>1004873.0812328631</v>
      </c>
      <c r="I30" s="63"/>
      <c r="J30" s="63"/>
      <c r="K30" s="63"/>
      <c r="L30" s="259"/>
      <c r="N30" s="259"/>
      <c r="O30" s="259"/>
      <c r="P30" s="259"/>
      <c r="Q30" s="259"/>
      <c r="R30" s="63"/>
      <c r="S30" s="225">
        <f>S15+S20</f>
        <v>2828833.9046928636</v>
      </c>
      <c r="T30" s="344">
        <f>SUM(T15,T20)</f>
        <v>-21691.1</v>
      </c>
      <c r="U30" s="51">
        <f t="shared" si="9"/>
        <v>-7.6678591712351094E-3</v>
      </c>
    </row>
    <row r="31" spans="2:25" s="8" customFormat="1" x14ac:dyDescent="0.2">
      <c r="B31" s="121" t="s">
        <v>134</v>
      </c>
      <c r="C31" s="121"/>
      <c r="D31" s="120">
        <f t="shared" si="10"/>
        <v>123778170.49320194</v>
      </c>
      <c r="E31" s="225">
        <f t="shared" si="10"/>
        <v>5835336.7800000003</v>
      </c>
      <c r="F31" s="63"/>
      <c r="H31" s="225">
        <f>H16+H21</f>
        <v>4919583.4912102949</v>
      </c>
      <c r="I31" s="63"/>
      <c r="J31" s="63"/>
      <c r="K31" s="63"/>
      <c r="L31" s="259"/>
      <c r="N31" s="259"/>
      <c r="O31" s="259"/>
      <c r="P31" s="259"/>
      <c r="Q31" s="259"/>
      <c r="R31" s="63"/>
      <c r="S31" s="225">
        <f>S16+S21</f>
        <v>10726476.343989024</v>
      </c>
      <c r="T31" s="344">
        <f>SUM(T16,T21)</f>
        <v>0</v>
      </c>
      <c r="U31" s="51">
        <f t="shared" si="9"/>
        <v>0</v>
      </c>
    </row>
    <row r="32" spans="2:25" s="8" customFormat="1" x14ac:dyDescent="0.2">
      <c r="B32" s="354" t="s">
        <v>127</v>
      </c>
      <c r="C32" s="121"/>
      <c r="D32" s="120">
        <f>D22</f>
        <v>37056427.854413897</v>
      </c>
      <c r="E32" s="225">
        <f>E22</f>
        <v>1757519.5213237838</v>
      </c>
      <c r="F32" s="63"/>
      <c r="H32" s="225">
        <f>H22</f>
        <v>1538611.4647243477</v>
      </c>
      <c r="I32" s="63"/>
      <c r="J32" s="63"/>
      <c r="K32" s="63"/>
      <c r="L32" s="259"/>
      <c r="N32" s="259"/>
      <c r="O32" s="259"/>
      <c r="P32" s="259"/>
      <c r="Q32" s="259"/>
      <c r="R32" s="63"/>
      <c r="S32" s="225">
        <f>S22</f>
        <v>1625552.9695243475</v>
      </c>
      <c r="T32" s="344">
        <f>T22</f>
        <v>0</v>
      </c>
      <c r="U32" s="51">
        <f t="shared" si="9"/>
        <v>0</v>
      </c>
    </row>
    <row r="33" spans="2:21" s="8" customFormat="1" x14ac:dyDescent="0.2">
      <c r="B33" s="355" t="s">
        <v>135</v>
      </c>
      <c r="C33" s="355"/>
      <c r="D33" s="122">
        <f>SUM(D26:D32)</f>
        <v>1191304269.0992644</v>
      </c>
      <c r="E33" s="260">
        <f>SUM(E26:E32)</f>
        <v>527484842.41873378</v>
      </c>
      <c r="H33" s="260">
        <f>SUM(H26:H32)</f>
        <v>534418569.18812585</v>
      </c>
      <c r="K33" s="63"/>
      <c r="L33" s="259"/>
      <c r="N33" s="259"/>
      <c r="O33" s="259"/>
      <c r="P33" s="259"/>
      <c r="Q33" s="259"/>
      <c r="R33" s="63"/>
      <c r="S33" s="260">
        <f>SUM(S26:S32)</f>
        <v>988842625.94356692</v>
      </c>
      <c r="T33" s="260">
        <f>SUM(T26:T32)</f>
        <v>15037978.190000001</v>
      </c>
      <c r="U33" s="350">
        <f t="shared" si="9"/>
        <v>1.5207655693089243E-2</v>
      </c>
    </row>
    <row r="34" spans="2:21" s="8" customFormat="1" x14ac:dyDescent="0.2">
      <c r="B34" s="121"/>
      <c r="C34" s="121"/>
      <c r="D34" s="120"/>
      <c r="E34" s="225"/>
      <c r="H34" s="225"/>
      <c r="K34" s="63"/>
      <c r="L34" s="259"/>
      <c r="N34" s="259"/>
      <c r="O34" s="259"/>
      <c r="P34" s="259"/>
      <c r="Q34" s="259"/>
      <c r="R34" s="63"/>
      <c r="S34" s="225"/>
      <c r="T34" s="225"/>
      <c r="U34" s="51"/>
    </row>
    <row r="35" spans="2:21" s="8" customFormat="1" x14ac:dyDescent="0.2">
      <c r="I35" s="63"/>
      <c r="T35" s="17"/>
    </row>
    <row r="36" spans="2:21" x14ac:dyDescent="0.2">
      <c r="B36" s="78" t="s">
        <v>485</v>
      </c>
      <c r="D36" s="356"/>
      <c r="E36" s="356"/>
      <c r="H36" s="50"/>
      <c r="L36" s="356"/>
      <c r="N36" s="356"/>
      <c r="O36" s="356"/>
      <c r="P36" s="356"/>
      <c r="Q36" s="356"/>
      <c r="S36" s="356"/>
    </row>
    <row r="37" spans="2:21" x14ac:dyDescent="0.2">
      <c r="B37" s="78" t="s">
        <v>486</v>
      </c>
      <c r="D37" s="356"/>
      <c r="E37" s="356"/>
      <c r="L37" s="356"/>
      <c r="N37" s="356"/>
      <c r="O37" s="356"/>
      <c r="P37" s="356"/>
      <c r="Q37" s="356"/>
      <c r="S37" s="356"/>
    </row>
  </sheetData>
  <mergeCells count="4">
    <mergeCell ref="B1:U1"/>
    <mergeCell ref="B2:U2"/>
    <mergeCell ref="B3:U3"/>
    <mergeCell ref="B4:U4"/>
  </mergeCells>
  <printOptions horizontalCentered="1"/>
  <pageMargins left="0.45" right="0.45" top="0.75" bottom="0.75" header="0.3" footer="0.3"/>
  <pageSetup paperSize="5" scale="48" orientation="landscape" blackAndWhite="1" r:id="rId1"/>
  <headerFooter>
    <oddFooter>&amp;L&amp;F 
&amp;A&amp;C&amp;P&amp;R&amp;D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M100"/>
  <sheetViews>
    <sheetView zoomScaleNormal="100" workbookViewId="0">
      <pane ySplit="9" topLeftCell="A10" activePane="bottomLeft" state="frozen"/>
      <selection pane="bottomLeft" activeCell="D17" sqref="D17"/>
    </sheetView>
  </sheetViews>
  <sheetFormatPr defaultColWidth="9.140625" defaultRowHeight="11.25" x14ac:dyDescent="0.2"/>
  <cols>
    <col min="1" max="1" width="2.5703125" style="41" customWidth="1"/>
    <col min="2" max="2" width="22.7109375" style="41" customWidth="1"/>
    <col min="3" max="3" width="7.42578125" style="41" bestFit="1" customWidth="1"/>
    <col min="4" max="4" width="15.28515625" style="41" bestFit="1" customWidth="1"/>
    <col min="5" max="6" width="17" style="41" bestFit="1" customWidth="1"/>
    <col min="7" max="7" width="11" style="41" customWidth="1"/>
    <col min="8" max="8" width="12.5703125" style="41" customWidth="1"/>
    <col min="9" max="9" width="15.5703125" style="41" customWidth="1"/>
    <col min="10" max="11" width="9.140625" style="41"/>
    <col min="12" max="13" width="11.28515625" style="41" bestFit="1" customWidth="1"/>
    <col min="14" max="14" width="9.7109375" style="41" bestFit="1" customWidth="1"/>
    <col min="15" max="16384" width="9.140625" style="41"/>
  </cols>
  <sheetData>
    <row r="1" spans="1:13" x14ac:dyDescent="0.2">
      <c r="A1" s="395" t="s">
        <v>0</v>
      </c>
      <c r="B1" s="395"/>
      <c r="C1" s="395"/>
      <c r="D1" s="395"/>
      <c r="E1" s="395"/>
      <c r="F1" s="395"/>
      <c r="G1" s="395"/>
      <c r="H1" s="395"/>
      <c r="I1" s="375"/>
    </row>
    <row r="2" spans="1:13" x14ac:dyDescent="0.2">
      <c r="A2" s="394" t="str">
        <f>'Delivery Rate Change Calc'!A2:F2</f>
        <v>2021 Gas Decoupling Filing</v>
      </c>
      <c r="B2" s="394"/>
      <c r="C2" s="394"/>
      <c r="D2" s="394"/>
      <c r="E2" s="394"/>
      <c r="F2" s="394"/>
      <c r="G2" s="394"/>
      <c r="H2" s="394"/>
      <c r="I2" s="375"/>
    </row>
    <row r="3" spans="1:13" x14ac:dyDescent="0.2">
      <c r="A3" s="395" t="s">
        <v>367</v>
      </c>
      <c r="B3" s="395"/>
      <c r="C3" s="395"/>
      <c r="D3" s="395"/>
      <c r="E3" s="395"/>
      <c r="F3" s="395"/>
      <c r="G3" s="395"/>
      <c r="H3" s="395"/>
      <c r="I3" s="375"/>
    </row>
    <row r="4" spans="1:13" x14ac:dyDescent="0.2">
      <c r="A4" s="394" t="str">
        <f>'Delivery Rate Change Calc'!A4:F4</f>
        <v>Proposed Effective May 1, 2021</v>
      </c>
      <c r="B4" s="394"/>
      <c r="C4" s="394"/>
      <c r="D4" s="394"/>
      <c r="E4" s="394"/>
      <c r="F4" s="394"/>
      <c r="G4" s="394"/>
      <c r="H4" s="394"/>
      <c r="I4" s="375"/>
    </row>
    <row r="5" spans="1:13" x14ac:dyDescent="0.2">
      <c r="A5" s="376"/>
      <c r="B5" s="376"/>
      <c r="C5" s="376"/>
      <c r="D5" s="376"/>
      <c r="E5" s="376"/>
      <c r="F5" s="376"/>
      <c r="G5" s="376"/>
      <c r="H5" s="376"/>
      <c r="I5" s="375"/>
    </row>
    <row r="6" spans="1:13" x14ac:dyDescent="0.2">
      <c r="A6" s="42"/>
      <c r="B6" s="42"/>
      <c r="C6" s="42"/>
      <c r="D6" s="42"/>
      <c r="E6" s="42"/>
      <c r="F6" s="42"/>
      <c r="G6" s="42"/>
      <c r="H6" s="375"/>
    </row>
    <row r="7" spans="1:13" s="335" customFormat="1" ht="15" customHeight="1" x14ac:dyDescent="0.2">
      <c r="C7" s="287"/>
      <c r="D7" s="336" t="s">
        <v>118</v>
      </c>
      <c r="E7" s="374" t="s">
        <v>427</v>
      </c>
      <c r="F7" s="374" t="s">
        <v>92</v>
      </c>
      <c r="G7" s="336"/>
      <c r="H7" s="287" t="s">
        <v>136</v>
      </c>
    </row>
    <row r="8" spans="1:13" s="335" customFormat="1" ht="15" customHeight="1" x14ac:dyDescent="0.2">
      <c r="C8" s="287" t="s">
        <v>35</v>
      </c>
      <c r="D8" s="336" t="s">
        <v>119</v>
      </c>
      <c r="E8" s="287" t="s">
        <v>136</v>
      </c>
      <c r="F8" s="287" t="s">
        <v>136</v>
      </c>
      <c r="G8" s="336" t="s">
        <v>118</v>
      </c>
      <c r="H8" s="287" t="s">
        <v>44</v>
      </c>
    </row>
    <row r="9" spans="1:13" s="335" customFormat="1" ht="22.5" x14ac:dyDescent="0.2">
      <c r="A9" s="373" t="s">
        <v>362</v>
      </c>
      <c r="B9" s="373"/>
      <c r="C9" s="339" t="s">
        <v>47</v>
      </c>
      <c r="D9" s="372" t="str">
        <f>'Rate Sch Impacts Sch 142'!$G$8</f>
        <v>May 2021 - April 2022</v>
      </c>
      <c r="E9" s="371" t="s">
        <v>428</v>
      </c>
      <c r="F9" s="371" t="s">
        <v>429</v>
      </c>
      <c r="G9" s="340" t="s">
        <v>363</v>
      </c>
      <c r="H9" s="340" t="s">
        <v>364</v>
      </c>
    </row>
    <row r="10" spans="1:13" x14ac:dyDescent="0.2">
      <c r="A10" s="123"/>
      <c r="B10" s="123"/>
      <c r="C10" s="123"/>
      <c r="D10" s="370"/>
      <c r="E10" s="123"/>
      <c r="F10" s="123"/>
      <c r="G10" s="123"/>
      <c r="H10" s="178"/>
    </row>
    <row r="11" spans="1:13" x14ac:dyDescent="0.2">
      <c r="A11" s="41" t="s">
        <v>67</v>
      </c>
      <c r="C11" s="42" t="s">
        <v>140</v>
      </c>
      <c r="D11" s="180">
        <v>626377148</v>
      </c>
      <c r="E11" s="368">
        <v>1.2319999999999999E-2</v>
      </c>
      <c r="F11" s="368">
        <f>'Summary of Rates'!E11</f>
        <v>2.2519999999999998E-2</v>
      </c>
      <c r="G11" s="50">
        <f>ROUND(E11*D11,2)</f>
        <v>7716966.46</v>
      </c>
      <c r="H11" s="50">
        <f>ROUND((F11-E11)*D11,2)</f>
        <v>6389046.9100000001</v>
      </c>
      <c r="K11" s="50"/>
      <c r="L11" s="50"/>
      <c r="M11" s="50"/>
    </row>
    <row r="12" spans="1:13" x14ac:dyDescent="0.2">
      <c r="C12" s="42"/>
      <c r="D12" s="78"/>
      <c r="E12" s="365"/>
      <c r="F12" s="368"/>
      <c r="G12" s="50"/>
      <c r="H12" s="50"/>
      <c r="K12" s="50"/>
      <c r="L12" s="50"/>
      <c r="M12" s="50"/>
    </row>
    <row r="13" spans="1:13" x14ac:dyDescent="0.2">
      <c r="A13" s="41" t="s">
        <v>141</v>
      </c>
      <c r="C13" s="42">
        <v>31</v>
      </c>
      <c r="F13" s="78"/>
      <c r="K13" s="50"/>
      <c r="L13" s="50"/>
      <c r="M13" s="50"/>
    </row>
    <row r="14" spans="1:13" x14ac:dyDescent="0.2">
      <c r="B14" s="41" t="s">
        <v>107</v>
      </c>
      <c r="C14" s="42"/>
      <c r="D14" s="180">
        <v>232667656</v>
      </c>
      <c r="E14" s="368">
        <v>-7.1700000000000097E-3</v>
      </c>
      <c r="F14" s="368">
        <f>'Summary of Rates'!E17</f>
        <v>3.1170000000000031E-2</v>
      </c>
      <c r="G14" s="50">
        <f>ROUND(E14*D14,2)</f>
        <v>-1668227.09</v>
      </c>
      <c r="H14" s="50">
        <f>ROUND((F14-E14)*D14,2)</f>
        <v>8920477.9299999997</v>
      </c>
      <c r="K14" s="50"/>
      <c r="L14" s="50"/>
      <c r="M14" s="50"/>
    </row>
    <row r="15" spans="1:13" x14ac:dyDescent="0.2">
      <c r="B15" s="41" t="s">
        <v>103</v>
      </c>
      <c r="C15" s="42"/>
      <c r="D15" s="145">
        <f>D14</f>
        <v>232667656</v>
      </c>
      <c r="E15" s="368">
        <v>-2.1000000000000012E-4</v>
      </c>
      <c r="F15" s="368">
        <f>'Summary of Rates'!E19</f>
        <v>1.1099999999999999E-3</v>
      </c>
      <c r="G15" s="50">
        <f>ROUND(E15*D15,2)</f>
        <v>-48860.21</v>
      </c>
      <c r="H15" s="50">
        <f>ROUND((F15-E15)*D15,2)</f>
        <v>307121.31</v>
      </c>
      <c r="K15" s="50"/>
      <c r="L15" s="50"/>
      <c r="M15" s="50"/>
    </row>
    <row r="16" spans="1:13" x14ac:dyDescent="0.2">
      <c r="B16" s="41" t="s">
        <v>72</v>
      </c>
      <c r="C16" s="42"/>
      <c r="D16" s="180"/>
      <c r="E16" s="365"/>
      <c r="F16" s="368"/>
      <c r="G16" s="366">
        <f>SUM(G14:G15)</f>
        <v>-1717087.3</v>
      </c>
      <c r="H16" s="366">
        <f>SUM(H14:H15)</f>
        <v>9227599.2400000002</v>
      </c>
      <c r="K16" s="50"/>
      <c r="L16" s="50"/>
      <c r="M16" s="50"/>
    </row>
    <row r="17" spans="1:13" x14ac:dyDescent="0.2">
      <c r="C17" s="42"/>
      <c r="D17" s="78"/>
      <c r="E17" s="365"/>
      <c r="F17" s="368"/>
      <c r="G17" s="50"/>
      <c r="H17" s="50"/>
      <c r="K17" s="50"/>
      <c r="L17" s="50"/>
      <c r="M17" s="50"/>
    </row>
    <row r="18" spans="1:13" x14ac:dyDescent="0.2">
      <c r="A18" s="41" t="s">
        <v>365</v>
      </c>
      <c r="C18" s="42" t="s">
        <v>71</v>
      </c>
      <c r="D18" s="78"/>
      <c r="E18" s="365"/>
      <c r="F18" s="368"/>
      <c r="G18" s="50"/>
      <c r="H18" s="50"/>
      <c r="K18" s="50"/>
      <c r="L18" s="50"/>
      <c r="M18" s="50"/>
    </row>
    <row r="19" spans="1:13" x14ac:dyDescent="0.2">
      <c r="B19" s="41" t="s">
        <v>107</v>
      </c>
      <c r="C19" s="42"/>
      <c r="D19" s="180">
        <v>22610</v>
      </c>
      <c r="E19" s="368">
        <v>-7.0200000000000262E-3</v>
      </c>
      <c r="F19" s="368">
        <f>'Summary of Rates'!E22</f>
        <v>3.1170000000000031E-2</v>
      </c>
      <c r="G19" s="50">
        <f>ROUND(E19*D19,2)</f>
        <v>-158.72</v>
      </c>
      <c r="H19" s="50">
        <f>ROUND((F19-E19)*D19,2)</f>
        <v>863.48</v>
      </c>
      <c r="K19" s="50"/>
      <c r="L19" s="50"/>
      <c r="M19" s="50"/>
    </row>
    <row r="20" spans="1:13" x14ac:dyDescent="0.2">
      <c r="B20" s="41" t="s">
        <v>366</v>
      </c>
      <c r="C20" s="42"/>
      <c r="D20" s="145">
        <f>D19</f>
        <v>22610</v>
      </c>
      <c r="E20" s="368">
        <v>0</v>
      </c>
      <c r="F20" s="365">
        <v>0</v>
      </c>
      <c r="G20" s="50">
        <f>ROUND(E20*D20,2)</f>
        <v>0</v>
      </c>
      <c r="H20" s="50">
        <f>ROUND((F20-E20)*D20,2)</f>
        <v>0</v>
      </c>
      <c r="K20" s="50"/>
      <c r="L20" s="50"/>
      <c r="M20" s="50"/>
    </row>
    <row r="21" spans="1:13" x14ac:dyDescent="0.2">
      <c r="B21" s="41" t="s">
        <v>72</v>
      </c>
      <c r="C21" s="42"/>
      <c r="D21" s="180"/>
      <c r="E21" s="365"/>
      <c r="F21" s="368"/>
      <c r="G21" s="366">
        <f>SUM(G19:G20)</f>
        <v>-158.72</v>
      </c>
      <c r="H21" s="366">
        <f>SUM(H19:H20)</f>
        <v>863.48</v>
      </c>
      <c r="K21" s="50"/>
      <c r="L21" s="50"/>
      <c r="M21" s="50"/>
    </row>
    <row r="22" spans="1:13" x14ac:dyDescent="0.2">
      <c r="C22" s="42"/>
      <c r="D22" s="78"/>
      <c r="E22" s="365"/>
      <c r="F22" s="368"/>
      <c r="G22" s="50"/>
      <c r="H22" s="50"/>
      <c r="K22" s="50"/>
      <c r="L22" s="50"/>
      <c r="M22" s="50"/>
    </row>
    <row r="23" spans="1:13" x14ac:dyDescent="0.2">
      <c r="A23" s="41" t="s">
        <v>142</v>
      </c>
      <c r="C23" s="42">
        <v>41</v>
      </c>
      <c r="D23" s="180"/>
      <c r="E23" s="365"/>
      <c r="F23" s="368"/>
      <c r="G23" s="50"/>
      <c r="H23" s="50"/>
      <c r="K23" s="50"/>
      <c r="L23" s="50"/>
      <c r="M23" s="50"/>
    </row>
    <row r="24" spans="1:13" x14ac:dyDescent="0.2">
      <c r="B24" s="41" t="s">
        <v>106</v>
      </c>
      <c r="C24" s="42"/>
      <c r="D24" s="180">
        <v>4466417.6739999996</v>
      </c>
      <c r="E24" s="369">
        <v>-9.000000000000008E-2</v>
      </c>
      <c r="F24" s="369">
        <f>'Summary of Rates'!E25</f>
        <v>-0.12999999999999989</v>
      </c>
      <c r="G24" s="50">
        <f>ROUND(E24*D24,2)</f>
        <v>-401977.59</v>
      </c>
      <c r="H24" s="50">
        <f>ROUND((F24-E24)*D24,2)</f>
        <v>-178656.71</v>
      </c>
      <c r="K24" s="50"/>
      <c r="L24" s="50"/>
      <c r="M24" s="50"/>
    </row>
    <row r="25" spans="1:13" x14ac:dyDescent="0.2">
      <c r="B25" s="41" t="s">
        <v>103</v>
      </c>
      <c r="C25" s="42"/>
      <c r="D25" s="68">
        <f>SUM(D27:D29)</f>
        <v>64505965.000000015</v>
      </c>
      <c r="E25" s="368">
        <v>-4.6000000000000034E-4</v>
      </c>
      <c r="F25" s="368">
        <f>'Summary of Rates'!E32</f>
        <v>-1.0200000000000001E-3</v>
      </c>
      <c r="G25" s="50">
        <f>ROUND(E25*D25,2)</f>
        <v>-29672.74</v>
      </c>
      <c r="H25" s="50">
        <f>ROUND((F25-E25)*D25,2)</f>
        <v>-36123.339999999997</v>
      </c>
      <c r="K25" s="50"/>
      <c r="L25" s="50"/>
      <c r="M25" s="50"/>
    </row>
    <row r="26" spans="1:13" x14ac:dyDescent="0.2">
      <c r="B26" s="41" t="s">
        <v>107</v>
      </c>
      <c r="C26" s="42"/>
      <c r="D26" s="180"/>
      <c r="E26" s="365"/>
      <c r="F26" s="368"/>
      <c r="G26" s="50"/>
      <c r="H26" s="50"/>
      <c r="K26" s="50"/>
      <c r="L26" s="50"/>
      <c r="M26" s="50"/>
    </row>
    <row r="27" spans="1:13" x14ac:dyDescent="0.2">
      <c r="B27" s="41" t="s">
        <v>397</v>
      </c>
      <c r="C27" s="42"/>
      <c r="D27" s="180">
        <v>13117258.142135821</v>
      </c>
      <c r="E27" s="365">
        <v>0</v>
      </c>
      <c r="F27" s="368">
        <f>'Summary of Rates'!E28</f>
        <v>0</v>
      </c>
      <c r="G27" s="50">
        <f>ROUND(E27*D27,2)</f>
        <v>0</v>
      </c>
      <c r="H27" s="50">
        <f>ROUND((F27-E27)*D27,2)</f>
        <v>0</v>
      </c>
      <c r="K27" s="50"/>
      <c r="L27" s="50"/>
      <c r="M27" s="50"/>
    </row>
    <row r="28" spans="1:13" x14ac:dyDescent="0.2">
      <c r="B28" s="41" t="s">
        <v>143</v>
      </c>
      <c r="C28" s="42"/>
      <c r="D28" s="180">
        <v>28974351.92017258</v>
      </c>
      <c r="E28" s="368">
        <v>-9.6799999999999942E-3</v>
      </c>
      <c r="F28" s="368">
        <f>'Summary of Rates'!E29</f>
        <v>-1.4039999999999997E-2</v>
      </c>
      <c r="G28" s="50">
        <f>ROUND(E28*D28,2)</f>
        <v>-280471.73</v>
      </c>
      <c r="H28" s="50">
        <f>ROUND((F28-E28)*D28,2)</f>
        <v>-126328.17</v>
      </c>
      <c r="K28" s="50"/>
      <c r="L28" s="50"/>
      <c r="M28" s="50"/>
    </row>
    <row r="29" spans="1:13" x14ac:dyDescent="0.2">
      <c r="B29" s="41" t="s">
        <v>144</v>
      </c>
      <c r="C29" s="42"/>
      <c r="D29" s="180">
        <v>22414354.937691618</v>
      </c>
      <c r="E29" s="368">
        <v>-7.7900000000000053E-3</v>
      </c>
      <c r="F29" s="368">
        <f>'Summary of Rates'!E30</f>
        <v>-1.1300000000000004E-2</v>
      </c>
      <c r="G29" s="367">
        <f>ROUND(E29*D29,2)</f>
        <v>-174607.82</v>
      </c>
      <c r="H29" s="50">
        <f>ROUND((F29-E29)*D29,2)</f>
        <v>-78674.39</v>
      </c>
      <c r="K29" s="50"/>
      <c r="L29" s="50"/>
      <c r="M29" s="50"/>
    </row>
    <row r="30" spans="1:13" x14ac:dyDescent="0.2">
      <c r="B30" s="41" t="s">
        <v>72</v>
      </c>
      <c r="C30" s="42"/>
      <c r="D30" s="180"/>
      <c r="E30" s="368"/>
      <c r="F30" s="368"/>
      <c r="G30" s="50">
        <f>SUM(G24:G29)</f>
        <v>-886729.88000000012</v>
      </c>
      <c r="H30" s="366">
        <f>SUM(H24:H29)</f>
        <v>-419782.61</v>
      </c>
      <c r="K30" s="50"/>
      <c r="L30" s="50"/>
      <c r="M30" s="50"/>
    </row>
    <row r="31" spans="1:13" x14ac:dyDescent="0.2">
      <c r="C31" s="42"/>
      <c r="D31" s="78"/>
      <c r="E31" s="368"/>
      <c r="F31" s="368"/>
      <c r="G31" s="50"/>
      <c r="H31" s="50"/>
      <c r="K31" s="50"/>
      <c r="L31" s="50"/>
      <c r="M31" s="50"/>
    </row>
    <row r="32" spans="1:13" x14ac:dyDescent="0.2">
      <c r="A32" s="41" t="s">
        <v>145</v>
      </c>
      <c r="C32" s="42" t="s">
        <v>75</v>
      </c>
      <c r="D32" s="180"/>
      <c r="E32" s="368"/>
      <c r="F32" s="368"/>
      <c r="G32" s="50"/>
      <c r="H32" s="50"/>
      <c r="K32" s="50"/>
      <c r="L32" s="50"/>
      <c r="M32" s="50"/>
    </row>
    <row r="33" spans="1:13" x14ac:dyDescent="0.2">
      <c r="B33" s="41" t="s">
        <v>106</v>
      </c>
      <c r="C33" s="42"/>
      <c r="D33" s="180">
        <v>1160980.7009999999</v>
      </c>
      <c r="E33" s="369">
        <v>-8.9999999999999858E-2</v>
      </c>
      <c r="F33" s="369">
        <f>'Summary of Rates'!E35</f>
        <v>-0.12999999999999989</v>
      </c>
      <c r="G33" s="50">
        <f>ROUND(E33*D33,2)</f>
        <v>-104488.26</v>
      </c>
      <c r="H33" s="50">
        <f>ROUND((F33-E33)*D33,2)</f>
        <v>-46439.23</v>
      </c>
      <c r="K33" s="50"/>
      <c r="L33" s="50"/>
      <c r="M33" s="50"/>
    </row>
    <row r="34" spans="1:13" x14ac:dyDescent="0.2">
      <c r="B34" s="41" t="s">
        <v>366</v>
      </c>
      <c r="C34" s="42"/>
      <c r="D34" s="68">
        <f>SUM(D36:D38)</f>
        <v>24168312.000000004</v>
      </c>
      <c r="E34" s="368">
        <v>0</v>
      </c>
      <c r="F34" s="365">
        <v>0</v>
      </c>
      <c r="G34" s="50">
        <f>ROUND(E34*D34,2)</f>
        <v>0</v>
      </c>
      <c r="H34" s="50">
        <f>ROUND((F34-E34)*D34,2)</f>
        <v>0</v>
      </c>
      <c r="K34" s="50"/>
      <c r="L34" s="50"/>
      <c r="M34" s="50"/>
    </row>
    <row r="35" spans="1:13" x14ac:dyDescent="0.2">
      <c r="B35" s="41" t="s">
        <v>107</v>
      </c>
      <c r="C35" s="42"/>
      <c r="D35" s="180"/>
      <c r="E35" s="368"/>
      <c r="F35" s="368"/>
      <c r="G35" s="50"/>
      <c r="H35" s="50"/>
      <c r="K35" s="50"/>
      <c r="L35" s="50"/>
      <c r="M35" s="50"/>
    </row>
    <row r="36" spans="1:13" x14ac:dyDescent="0.2">
      <c r="B36" s="41" t="s">
        <v>397</v>
      </c>
      <c r="C36" s="42"/>
      <c r="D36" s="180">
        <v>1332439.802187864</v>
      </c>
      <c r="E36" s="365">
        <v>0</v>
      </c>
      <c r="F36" s="368">
        <f>'Summary of Rates'!E38</f>
        <v>0</v>
      </c>
      <c r="G36" s="50">
        <f>ROUND(E36*D36,2)</f>
        <v>0</v>
      </c>
      <c r="H36" s="50">
        <f>ROUND((F36-E36)*D36,2)</f>
        <v>0</v>
      </c>
      <c r="K36" s="50"/>
      <c r="L36" s="50"/>
      <c r="M36" s="50"/>
    </row>
    <row r="37" spans="1:13" x14ac:dyDescent="0.2">
      <c r="B37" s="41" t="s">
        <v>143</v>
      </c>
      <c r="C37" s="42"/>
      <c r="D37" s="180">
        <v>5040776.7479386693</v>
      </c>
      <c r="E37" s="368">
        <v>-9.3500000000000111E-3</v>
      </c>
      <c r="F37" s="368">
        <f>'Summary of Rates'!E39</f>
        <v>-1.4039999999999997E-2</v>
      </c>
      <c r="G37" s="50">
        <f>ROUND(E37*D37,2)</f>
        <v>-47131.26</v>
      </c>
      <c r="H37" s="50">
        <f>ROUND((F37-E37)*D37,2)</f>
        <v>-23641.24</v>
      </c>
      <c r="K37" s="50"/>
      <c r="L37" s="50"/>
      <c r="M37" s="50"/>
    </row>
    <row r="38" spans="1:13" x14ac:dyDescent="0.2">
      <c r="B38" s="41" t="s">
        <v>144</v>
      </c>
      <c r="C38" s="42"/>
      <c r="D38" s="218">
        <v>17795095.44987347</v>
      </c>
      <c r="E38" s="368">
        <v>-7.4800000000000005E-3</v>
      </c>
      <c r="F38" s="368">
        <f>'Summary of Rates'!E40</f>
        <v>-1.1300000000000004E-2</v>
      </c>
      <c r="G38" s="367">
        <f>ROUND(E38*D38,2)</f>
        <v>-133107.31</v>
      </c>
      <c r="H38" s="50">
        <f>ROUND((F38-E38)*D38,2)</f>
        <v>-67977.259999999995</v>
      </c>
      <c r="K38" s="50"/>
      <c r="L38" s="50"/>
      <c r="M38" s="50"/>
    </row>
    <row r="39" spans="1:13" x14ac:dyDescent="0.2">
      <c r="B39" s="41" t="s">
        <v>72</v>
      </c>
      <c r="C39" s="42"/>
      <c r="D39" s="180"/>
      <c r="E39" s="365"/>
      <c r="F39" s="368"/>
      <c r="G39" s="50">
        <f>SUM(G33:G38)</f>
        <v>-284726.82999999996</v>
      </c>
      <c r="H39" s="366">
        <f>SUM(H33:H38)</f>
        <v>-138057.72999999998</v>
      </c>
      <c r="K39" s="50"/>
      <c r="L39" s="50"/>
      <c r="M39" s="50"/>
    </row>
    <row r="40" spans="1:13" x14ac:dyDescent="0.2">
      <c r="C40" s="42"/>
      <c r="D40" s="180"/>
      <c r="E40" s="365"/>
      <c r="F40" s="368"/>
      <c r="G40" s="50"/>
      <c r="H40" s="50"/>
      <c r="K40" s="50"/>
      <c r="L40" s="50"/>
      <c r="M40" s="50"/>
    </row>
    <row r="41" spans="1:13" x14ac:dyDescent="0.2">
      <c r="B41" s="41" t="s">
        <v>146</v>
      </c>
      <c r="C41" s="42" t="s">
        <v>147</v>
      </c>
      <c r="D41" s="180"/>
      <c r="E41" s="365"/>
      <c r="F41" s="368"/>
      <c r="G41" s="50">
        <f>G30+G39</f>
        <v>-1171456.71</v>
      </c>
      <c r="H41" s="50">
        <f>H30+H39</f>
        <v>-557840.34</v>
      </c>
      <c r="K41" s="50"/>
      <c r="L41" s="50"/>
      <c r="M41" s="50"/>
    </row>
    <row r="42" spans="1:13" x14ac:dyDescent="0.2">
      <c r="C42" s="42"/>
      <c r="D42" s="78"/>
      <c r="E42" s="365"/>
      <c r="F42" s="368"/>
      <c r="G42" s="50"/>
      <c r="H42" s="50"/>
      <c r="K42" s="50"/>
      <c r="L42" s="50"/>
      <c r="M42" s="50"/>
    </row>
    <row r="43" spans="1:13" x14ac:dyDescent="0.2">
      <c r="A43" s="41" t="s">
        <v>76</v>
      </c>
      <c r="C43" s="42">
        <v>86</v>
      </c>
      <c r="D43" s="78"/>
      <c r="E43" s="365"/>
      <c r="F43" s="368"/>
      <c r="G43" s="50"/>
      <c r="H43" s="50"/>
      <c r="K43" s="50"/>
      <c r="L43" s="50"/>
      <c r="M43" s="50"/>
    </row>
    <row r="44" spans="1:13" x14ac:dyDescent="0.2">
      <c r="B44" s="41" t="s">
        <v>106</v>
      </c>
      <c r="C44" s="42"/>
      <c r="D44" s="180">
        <v>82401.308999999994</v>
      </c>
      <c r="E44" s="369">
        <v>-9.000000000000008E-2</v>
      </c>
      <c r="F44" s="369">
        <f>'Summary of Rates'!E43</f>
        <v>-0.14000000000000012</v>
      </c>
      <c r="G44" s="50">
        <f>ROUND(E44*D44,2)</f>
        <v>-7416.12</v>
      </c>
      <c r="H44" s="50">
        <f>ROUND((F44-E44)*D44,2)</f>
        <v>-4120.07</v>
      </c>
      <c r="K44" s="50"/>
      <c r="L44" s="50"/>
      <c r="M44" s="50"/>
    </row>
    <row r="45" spans="1:13" x14ac:dyDescent="0.2">
      <c r="B45" s="41" t="s">
        <v>103</v>
      </c>
      <c r="C45" s="42"/>
      <c r="D45" s="145">
        <f>SUM(D47:D48)</f>
        <v>4551465</v>
      </c>
      <c r="E45" s="368">
        <v>-6.8000000000000005E-4</v>
      </c>
      <c r="F45" s="368">
        <f>'Summary of Rates'!E49</f>
        <v>-1.2399999999999998E-3</v>
      </c>
      <c r="G45" s="50">
        <f>ROUND(E45*D45,2)</f>
        <v>-3095</v>
      </c>
      <c r="H45" s="50">
        <f>ROUND((F45-E45)*D45,2)</f>
        <v>-2548.8200000000002</v>
      </c>
      <c r="K45" s="50"/>
      <c r="L45" s="50"/>
      <c r="M45" s="50"/>
    </row>
    <row r="46" spans="1:13" x14ac:dyDescent="0.2">
      <c r="B46" s="41" t="s">
        <v>107</v>
      </c>
      <c r="C46" s="42"/>
      <c r="D46" s="78"/>
      <c r="E46" s="368"/>
      <c r="F46" s="368"/>
      <c r="G46" s="50"/>
      <c r="H46" s="50"/>
      <c r="K46" s="50"/>
      <c r="L46" s="50"/>
      <c r="M46" s="50"/>
    </row>
    <row r="47" spans="1:13" x14ac:dyDescent="0.2">
      <c r="B47" s="41" t="s">
        <v>110</v>
      </c>
      <c r="C47" s="42"/>
      <c r="D47" s="180">
        <v>994961.52805143374</v>
      </c>
      <c r="E47" s="368">
        <v>-1.4520000000000005E-2</v>
      </c>
      <c r="F47" s="368">
        <f>'Summary of Rates'!E46</f>
        <v>-1.8470000000000014E-2</v>
      </c>
      <c r="G47" s="50">
        <f>ROUND(E47*D47,2)</f>
        <v>-14446.84</v>
      </c>
      <c r="H47" s="50">
        <f>ROUND((F47-E47)*D47,2)</f>
        <v>-3930.1</v>
      </c>
      <c r="K47" s="50"/>
      <c r="L47" s="50"/>
      <c r="M47" s="50"/>
    </row>
    <row r="48" spans="1:13" x14ac:dyDescent="0.2">
      <c r="B48" s="41" t="s">
        <v>148</v>
      </c>
      <c r="C48" s="42"/>
      <c r="D48" s="218">
        <v>3556503.4719485659</v>
      </c>
      <c r="E48" s="368">
        <v>-1.0290000000000021E-2</v>
      </c>
      <c r="F48" s="368">
        <f>'Summary of Rates'!E47</f>
        <v>-1.3090000000000004E-2</v>
      </c>
      <c r="G48" s="367">
        <f>ROUND(E48*D48,2)</f>
        <v>-36596.42</v>
      </c>
      <c r="H48" s="50">
        <f>ROUND((F48-E48)*D48,2)</f>
        <v>-9958.2099999999991</v>
      </c>
      <c r="K48" s="50"/>
      <c r="L48" s="50"/>
      <c r="M48" s="50"/>
    </row>
    <row r="49" spans="1:13" x14ac:dyDescent="0.2">
      <c r="B49" s="41" t="s">
        <v>72</v>
      </c>
      <c r="C49" s="42"/>
      <c r="D49" s="180"/>
      <c r="E49" s="365"/>
      <c r="F49" s="368"/>
      <c r="G49" s="50">
        <f>SUM(G44:G48)</f>
        <v>-61554.38</v>
      </c>
      <c r="H49" s="366">
        <f>SUM(H44:H48)</f>
        <v>-20557.199999999997</v>
      </c>
      <c r="K49" s="50"/>
      <c r="L49" s="50"/>
      <c r="M49" s="50"/>
    </row>
    <row r="50" spans="1:13" x14ac:dyDescent="0.2">
      <c r="C50" s="42"/>
      <c r="D50" s="180"/>
      <c r="E50" s="365"/>
      <c r="F50" s="368"/>
      <c r="G50" s="50"/>
      <c r="H50" s="50"/>
      <c r="K50" s="50"/>
      <c r="L50" s="50"/>
      <c r="M50" s="50"/>
    </row>
    <row r="51" spans="1:13" x14ac:dyDescent="0.2">
      <c r="A51" s="41" t="s">
        <v>149</v>
      </c>
      <c r="C51" s="42" t="s">
        <v>78</v>
      </c>
      <c r="D51" s="78"/>
      <c r="E51" s="365"/>
      <c r="F51" s="368"/>
      <c r="G51" s="50"/>
      <c r="H51" s="50"/>
      <c r="K51" s="50"/>
      <c r="L51" s="50"/>
      <c r="M51" s="50"/>
    </row>
    <row r="52" spans="1:13" x14ac:dyDescent="0.2">
      <c r="B52" s="41" t="s">
        <v>106</v>
      </c>
      <c r="C52" s="42"/>
      <c r="D52" s="180">
        <v>9750</v>
      </c>
      <c r="E52" s="369">
        <v>-9.000000000000008E-2</v>
      </c>
      <c r="F52" s="369">
        <f>'Summary of Rates'!E52</f>
        <v>-0.14000000000000012</v>
      </c>
      <c r="G52" s="50">
        <f>ROUND(E52*D52,2)</f>
        <v>-877.5</v>
      </c>
      <c r="H52" s="50">
        <f>ROUND((F52-E52)*D52,2)</f>
        <v>-487.5</v>
      </c>
      <c r="K52" s="50"/>
      <c r="L52" s="50"/>
      <c r="M52" s="50"/>
    </row>
    <row r="53" spans="1:13" x14ac:dyDescent="0.2">
      <c r="B53" s="41" t="s">
        <v>107</v>
      </c>
      <c r="C53" s="42"/>
      <c r="D53" s="78"/>
      <c r="E53" s="368"/>
      <c r="F53" s="368"/>
      <c r="G53" s="50"/>
      <c r="H53" s="50"/>
      <c r="K53" s="50"/>
      <c r="L53" s="50"/>
      <c r="M53" s="50"/>
    </row>
    <row r="54" spans="1:13" x14ac:dyDescent="0.2">
      <c r="B54" s="41" t="s">
        <v>110</v>
      </c>
      <c r="C54" s="42"/>
      <c r="D54" s="180">
        <v>13129.121997881228</v>
      </c>
      <c r="E54" s="368">
        <v>-1.4030000000000015E-2</v>
      </c>
      <c r="F54" s="368">
        <f>'Summary of Rates'!E55</f>
        <v>-1.8470000000000014E-2</v>
      </c>
      <c r="G54" s="50">
        <f>ROUND(E54*D54,2)</f>
        <v>-184.2</v>
      </c>
      <c r="H54" s="50">
        <f>ROUND((F54-E54)*D54,2)</f>
        <v>-58.29</v>
      </c>
      <c r="K54" s="50"/>
      <c r="L54" s="50"/>
      <c r="M54" s="50"/>
    </row>
    <row r="55" spans="1:13" x14ac:dyDescent="0.2">
      <c r="B55" s="41" t="s">
        <v>148</v>
      </c>
      <c r="C55" s="42"/>
      <c r="D55" s="180">
        <v>187294.87800211878</v>
      </c>
      <c r="E55" s="368">
        <v>-9.9500000000000144E-3</v>
      </c>
      <c r="F55" s="368">
        <f>'Summary of Rates'!E56</f>
        <v>-1.3090000000000004E-2</v>
      </c>
      <c r="G55" s="367">
        <f>ROUND(E55*D55,2)</f>
        <v>-1863.58</v>
      </c>
      <c r="H55" s="50">
        <f>ROUND((F55-E55)*D55,2)</f>
        <v>-588.11</v>
      </c>
      <c r="K55" s="50"/>
      <c r="L55" s="50"/>
      <c r="M55" s="50"/>
    </row>
    <row r="56" spans="1:13" x14ac:dyDescent="0.2">
      <c r="B56" s="41" t="s">
        <v>72</v>
      </c>
      <c r="C56" s="42"/>
      <c r="D56" s="180"/>
      <c r="E56" s="365"/>
      <c r="F56" s="365"/>
      <c r="G56" s="50">
        <f>SUM(G52:G55)</f>
        <v>-2925.2799999999997</v>
      </c>
      <c r="H56" s="366">
        <f>SUM(H52:H55)</f>
        <v>-1133.9000000000001</v>
      </c>
      <c r="K56" s="50"/>
      <c r="L56" s="50"/>
      <c r="M56" s="50"/>
    </row>
    <row r="57" spans="1:13" x14ac:dyDescent="0.2">
      <c r="C57" s="42"/>
      <c r="D57" s="180"/>
      <c r="E57" s="365"/>
      <c r="F57" s="365"/>
      <c r="G57" s="50"/>
      <c r="K57" s="50"/>
      <c r="L57" s="50"/>
      <c r="M57" s="50"/>
    </row>
    <row r="58" spans="1:13" x14ac:dyDescent="0.2">
      <c r="B58" s="41" t="s">
        <v>150</v>
      </c>
      <c r="C58" s="42" t="s">
        <v>151</v>
      </c>
      <c r="D58" s="180"/>
      <c r="E58" s="365"/>
      <c r="F58" s="365"/>
      <c r="G58" s="50">
        <f>G49+G56</f>
        <v>-64479.659999999996</v>
      </c>
      <c r="H58" s="50">
        <f>H49+H56</f>
        <v>-21691.1</v>
      </c>
      <c r="K58" s="50"/>
      <c r="L58" s="50"/>
      <c r="M58" s="50"/>
    </row>
    <row r="59" spans="1:13" x14ac:dyDescent="0.2">
      <c r="C59" s="42"/>
      <c r="D59" s="180"/>
      <c r="E59" s="248"/>
      <c r="F59" s="248"/>
      <c r="G59" s="50"/>
      <c r="H59" s="50"/>
      <c r="K59" s="50"/>
      <c r="L59" s="50"/>
      <c r="M59" s="50"/>
    </row>
    <row r="60" spans="1:13" x14ac:dyDescent="0.2">
      <c r="B60" s="335" t="s">
        <v>72</v>
      </c>
      <c r="C60" s="362" t="s">
        <v>237</v>
      </c>
      <c r="D60" s="361">
        <f>SUM(D11,D14,D19,D27:D29,D36:D38,D47:D48,D54:D55)</f>
        <v>952493580</v>
      </c>
      <c r="E60" s="364"/>
      <c r="F60" s="364"/>
      <c r="G60" s="363">
        <f>G11+G16+G21+G30+G39+G49+G56</f>
        <v>4763784.07</v>
      </c>
      <c r="H60" s="363">
        <f>H11+H16+H21+H30+H39+H49+H56</f>
        <v>15037978.190000001</v>
      </c>
      <c r="K60" s="50"/>
      <c r="L60" s="50"/>
      <c r="M60" s="50"/>
    </row>
    <row r="61" spans="1:13" x14ac:dyDescent="0.2">
      <c r="B61" s="335"/>
      <c r="C61" s="362" t="s">
        <v>391</v>
      </c>
      <c r="D61" s="361">
        <f>SUM(D24,D33,D44,D52)</f>
        <v>5719549.6840000004</v>
      </c>
      <c r="E61" s="335"/>
      <c r="F61" s="335"/>
      <c r="G61" s="335"/>
      <c r="H61" s="335"/>
      <c r="M61" s="50"/>
    </row>
    <row r="62" spans="1:13" x14ac:dyDescent="0.2">
      <c r="A62" s="229"/>
      <c r="C62" s="230"/>
      <c r="G62" s="50"/>
      <c r="H62" s="50"/>
      <c r="M62" s="50"/>
    </row>
    <row r="63" spans="1:13" ht="12.75" customHeight="1" x14ac:dyDescent="0.2">
      <c r="A63" s="229"/>
      <c r="B63" s="230"/>
      <c r="C63" s="230"/>
      <c r="D63" s="360"/>
      <c r="E63" s="230"/>
      <c r="F63" s="230"/>
      <c r="G63" s="230"/>
      <c r="H63" s="230"/>
      <c r="M63" s="50"/>
    </row>
    <row r="64" spans="1:13" x14ac:dyDescent="0.2">
      <c r="D64" s="356"/>
      <c r="M64" s="50"/>
    </row>
    <row r="65" spans="13:13" x14ac:dyDescent="0.2">
      <c r="M65" s="50"/>
    </row>
    <row r="66" spans="13:13" x14ac:dyDescent="0.2">
      <c r="M66" s="50"/>
    </row>
    <row r="67" spans="13:13" x14ac:dyDescent="0.2">
      <c r="M67" s="50"/>
    </row>
    <row r="68" spans="13:13" x14ac:dyDescent="0.2">
      <c r="M68" s="50"/>
    </row>
    <row r="69" spans="13:13" x14ac:dyDescent="0.2">
      <c r="M69" s="50"/>
    </row>
    <row r="70" spans="13:13" x14ac:dyDescent="0.2">
      <c r="M70" s="50"/>
    </row>
    <row r="71" spans="13:13" x14ac:dyDescent="0.2">
      <c r="M71" s="50"/>
    </row>
    <row r="72" spans="13:13" x14ac:dyDescent="0.2">
      <c r="M72" s="50"/>
    </row>
    <row r="73" spans="13:13" x14ac:dyDescent="0.2">
      <c r="M73" s="50"/>
    </row>
    <row r="74" spans="13:13" x14ac:dyDescent="0.2">
      <c r="M74" s="50"/>
    </row>
    <row r="75" spans="13:13" x14ac:dyDescent="0.2">
      <c r="M75" s="50"/>
    </row>
    <row r="76" spans="13:13" x14ac:dyDescent="0.2">
      <c r="M76" s="50"/>
    </row>
    <row r="77" spans="13:13" x14ac:dyDescent="0.2">
      <c r="M77" s="50"/>
    </row>
    <row r="78" spans="13:13" x14ac:dyDescent="0.2">
      <c r="M78" s="50"/>
    </row>
    <row r="79" spans="13:13" x14ac:dyDescent="0.2">
      <c r="M79" s="50"/>
    </row>
    <row r="80" spans="13:13" x14ac:dyDescent="0.2">
      <c r="M80" s="50"/>
    </row>
    <row r="81" spans="13:13" x14ac:dyDescent="0.2">
      <c r="M81" s="50"/>
    </row>
    <row r="82" spans="13:13" x14ac:dyDescent="0.2">
      <c r="M82" s="50"/>
    </row>
    <row r="83" spans="13:13" x14ac:dyDescent="0.2">
      <c r="M83" s="50"/>
    </row>
    <row r="84" spans="13:13" x14ac:dyDescent="0.2">
      <c r="M84" s="50"/>
    </row>
    <row r="85" spans="13:13" x14ac:dyDescent="0.2">
      <c r="M85" s="50"/>
    </row>
    <row r="86" spans="13:13" x14ac:dyDescent="0.2">
      <c r="M86" s="50"/>
    </row>
    <row r="87" spans="13:13" x14ac:dyDescent="0.2">
      <c r="M87" s="50"/>
    </row>
    <row r="88" spans="13:13" x14ac:dyDescent="0.2">
      <c r="M88" s="50"/>
    </row>
    <row r="89" spans="13:13" x14ac:dyDescent="0.2">
      <c r="M89" s="50"/>
    </row>
    <row r="90" spans="13:13" x14ac:dyDescent="0.2">
      <c r="M90" s="50"/>
    </row>
    <row r="91" spans="13:13" x14ac:dyDescent="0.2">
      <c r="M91" s="50"/>
    </row>
    <row r="92" spans="13:13" x14ac:dyDescent="0.2">
      <c r="M92" s="50"/>
    </row>
    <row r="93" spans="13:13" x14ac:dyDescent="0.2">
      <c r="M93" s="50"/>
    </row>
    <row r="94" spans="13:13" x14ac:dyDescent="0.2">
      <c r="M94" s="50"/>
    </row>
    <row r="95" spans="13:13" x14ac:dyDescent="0.2">
      <c r="M95" s="50"/>
    </row>
    <row r="96" spans="13:13" x14ac:dyDescent="0.2">
      <c r="M96" s="50"/>
    </row>
    <row r="97" spans="13:13" x14ac:dyDescent="0.2">
      <c r="M97" s="50"/>
    </row>
    <row r="98" spans="13:13" x14ac:dyDescent="0.2">
      <c r="M98" s="50"/>
    </row>
    <row r="99" spans="13:13" x14ac:dyDescent="0.2">
      <c r="M99" s="50"/>
    </row>
    <row r="100" spans="13:13" x14ac:dyDescent="0.2">
      <c r="M100" s="50"/>
    </row>
  </sheetData>
  <mergeCells count="4">
    <mergeCell ref="A1:H1"/>
    <mergeCell ref="A3:H3"/>
    <mergeCell ref="A4:H4"/>
    <mergeCell ref="A2:H2"/>
  </mergeCells>
  <printOptions horizontalCentered="1"/>
  <pageMargins left="0.7" right="0.7" top="0.5" bottom="0.5" header="0.3" footer="0.3"/>
  <pageSetup scale="83" orientation="landscape" blackAndWhite="1" r:id="rId1"/>
  <headerFooter>
    <oddFooter>&amp;L&amp;F
&amp;A&amp;C&amp;P&amp;R&amp;D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H51"/>
  <sheetViews>
    <sheetView zoomScaleNormal="100" workbookViewId="0">
      <pane ySplit="7" topLeftCell="A17" activePane="bottomLeft" state="frozen"/>
      <selection pane="bottomLeft" activeCell="H41" sqref="H41"/>
    </sheetView>
  </sheetViews>
  <sheetFormatPr defaultColWidth="9.140625" defaultRowHeight="11.25" x14ac:dyDescent="0.2"/>
  <cols>
    <col min="1" max="1" width="2.140625" style="7" customWidth="1"/>
    <col min="2" max="2" width="2.42578125" style="7" customWidth="1"/>
    <col min="3" max="3" width="43" style="7" bestFit="1" customWidth="1"/>
    <col min="4" max="5" width="11.85546875" style="7" customWidth="1"/>
    <col min="6" max="6" width="2.7109375" style="7" customWidth="1"/>
    <col min="7" max="8" width="11.85546875" style="7" customWidth="1"/>
    <col min="9" max="16384" width="9.140625" style="7"/>
  </cols>
  <sheetData>
    <row r="1" spans="1:8" s="8" customFormat="1" ht="12.75" customHeight="1" x14ac:dyDescent="0.25">
      <c r="A1" s="397" t="str">
        <f>'Delivery Rate Change Calc'!A1:F1</f>
        <v>Puget Sound Energy</v>
      </c>
      <c r="B1" s="400"/>
      <c r="C1" s="400"/>
      <c r="D1" s="400"/>
      <c r="E1" s="400"/>
      <c r="F1" s="400"/>
      <c r="G1" s="400"/>
      <c r="H1" s="400"/>
    </row>
    <row r="2" spans="1:8" s="8" customFormat="1" ht="12.75" customHeight="1" x14ac:dyDescent="0.25">
      <c r="A2" s="397" t="str">
        <f>'Delivery Rate Change Calc'!A2:F2</f>
        <v>2021 Gas Decoupling Filing</v>
      </c>
      <c r="B2" s="400"/>
      <c r="C2" s="400"/>
      <c r="D2" s="400"/>
      <c r="E2" s="400"/>
      <c r="F2" s="400"/>
      <c r="G2" s="400"/>
      <c r="H2" s="400"/>
    </row>
    <row r="3" spans="1:8" s="8" customFormat="1" ht="12.75" customHeight="1" x14ac:dyDescent="0.25">
      <c r="A3" s="396" t="s">
        <v>359</v>
      </c>
      <c r="B3" s="401"/>
      <c r="C3" s="401"/>
      <c r="D3" s="401"/>
      <c r="E3" s="401"/>
      <c r="F3" s="401"/>
      <c r="G3" s="401"/>
      <c r="H3" s="401"/>
    </row>
    <row r="4" spans="1:8" s="8" customFormat="1" ht="12.75" customHeight="1" x14ac:dyDescent="0.25">
      <c r="A4" s="397" t="str">
        <f>'Delivery Rate Change Calc'!A4:F4</f>
        <v>Proposed Effective May 1, 2021</v>
      </c>
      <c r="B4" s="400"/>
      <c r="C4" s="400"/>
      <c r="D4" s="400"/>
      <c r="E4" s="400"/>
      <c r="F4" s="400"/>
      <c r="G4" s="400"/>
      <c r="H4" s="400"/>
    </row>
    <row r="5" spans="1:8" s="8" customFormat="1" x14ac:dyDescent="0.2"/>
    <row r="6" spans="1:8" x14ac:dyDescent="0.2">
      <c r="D6" s="244" t="s">
        <v>139</v>
      </c>
      <c r="E6" s="244"/>
      <c r="G6" s="244" t="s">
        <v>360</v>
      </c>
      <c r="H6" s="244"/>
    </row>
    <row r="7" spans="1:8" x14ac:dyDescent="0.2">
      <c r="D7" s="54" t="s">
        <v>394</v>
      </c>
      <c r="E7" s="54" t="s">
        <v>152</v>
      </c>
      <c r="G7" s="54" t="s">
        <v>95</v>
      </c>
      <c r="H7" s="54" t="s">
        <v>152</v>
      </c>
    </row>
    <row r="8" spans="1:8" x14ac:dyDescent="0.2">
      <c r="B8" s="7" t="s">
        <v>153</v>
      </c>
      <c r="D8" s="189">
        <v>64</v>
      </c>
      <c r="E8" s="377"/>
      <c r="F8" s="8"/>
      <c r="G8" s="189">
        <v>64</v>
      </c>
      <c r="H8" s="377"/>
    </row>
    <row r="9" spans="1:8" x14ac:dyDescent="0.2">
      <c r="D9" s="189"/>
      <c r="E9" s="377"/>
      <c r="F9" s="8"/>
      <c r="G9" s="189"/>
      <c r="H9" s="377"/>
    </row>
    <row r="10" spans="1:8" x14ac:dyDescent="0.2">
      <c r="B10" s="7" t="s">
        <v>154</v>
      </c>
      <c r="D10" s="189"/>
      <c r="E10" s="377"/>
      <c r="F10" s="8"/>
      <c r="G10" s="189"/>
      <c r="H10" s="377"/>
    </row>
    <row r="11" spans="1:8" x14ac:dyDescent="0.2">
      <c r="C11" s="7" t="s">
        <v>155</v>
      </c>
      <c r="D11" s="378">
        <v>11.52</v>
      </c>
      <c r="E11" s="377">
        <f>D11</f>
        <v>11.52</v>
      </c>
      <c r="F11" s="8"/>
      <c r="G11" s="17">
        <f>$D$11</f>
        <v>11.52</v>
      </c>
      <c r="H11" s="377">
        <f>G11</f>
        <v>11.52</v>
      </c>
    </row>
    <row r="12" spans="1:8" x14ac:dyDescent="0.2">
      <c r="C12" s="7" t="s">
        <v>393</v>
      </c>
      <c r="D12" s="379">
        <v>0</v>
      </c>
      <c r="E12" s="380">
        <f>D12</f>
        <v>0</v>
      </c>
      <c r="F12" s="8"/>
      <c r="G12" s="27">
        <f>$D$12</f>
        <v>0</v>
      </c>
      <c r="H12" s="380">
        <f>G12</f>
        <v>0</v>
      </c>
    </row>
    <row r="13" spans="1:8" x14ac:dyDescent="0.2">
      <c r="C13" s="7" t="s">
        <v>389</v>
      </c>
      <c r="D13" s="379">
        <v>0</v>
      </c>
      <c r="E13" s="380">
        <f>D13</f>
        <v>0</v>
      </c>
      <c r="F13" s="8"/>
      <c r="G13" s="27">
        <f>$D$13</f>
        <v>0</v>
      </c>
      <c r="H13" s="380">
        <f>G13</f>
        <v>0</v>
      </c>
    </row>
    <row r="14" spans="1:8" x14ac:dyDescent="0.2">
      <c r="C14" s="7" t="s">
        <v>135</v>
      </c>
      <c r="D14" s="381">
        <f>SUM(D11:D13)</f>
        <v>11.52</v>
      </c>
      <c r="E14" s="381">
        <f>SUM(E11:E13)</f>
        <v>11.52</v>
      </c>
      <c r="F14" s="8"/>
      <c r="G14" s="381">
        <f>SUM(G11:G13)</f>
        <v>11.52</v>
      </c>
      <c r="H14" s="381">
        <f>SUM(H11:H13)</f>
        <v>11.52</v>
      </c>
    </row>
    <row r="15" spans="1:8" x14ac:dyDescent="0.2">
      <c r="D15" s="378"/>
      <c r="E15" s="377"/>
      <c r="F15" s="8"/>
      <c r="G15" s="17"/>
      <c r="H15" s="377"/>
    </row>
    <row r="16" spans="1:8" x14ac:dyDescent="0.2">
      <c r="B16" s="7" t="s">
        <v>156</v>
      </c>
      <c r="D16" s="8"/>
      <c r="E16" s="377"/>
      <c r="F16" s="8"/>
      <c r="G16" s="8"/>
      <c r="H16" s="377"/>
    </row>
    <row r="17" spans="3:8" x14ac:dyDescent="0.2">
      <c r="C17" s="7" t="s">
        <v>157</v>
      </c>
      <c r="D17" s="382">
        <v>0.42857000000000001</v>
      </c>
      <c r="E17" s="377"/>
      <c r="F17" s="8"/>
      <c r="G17" s="257">
        <f>$D$17</f>
        <v>0.42857000000000001</v>
      </c>
      <c r="H17" s="377"/>
    </row>
    <row r="18" spans="3:8" x14ac:dyDescent="0.2">
      <c r="C18" s="7" t="s">
        <v>160</v>
      </c>
      <c r="D18" s="382">
        <v>7.0099999999999997E-3</v>
      </c>
      <c r="E18" s="377"/>
      <c r="F18" s="8"/>
      <c r="G18" s="257">
        <f>$D$18</f>
        <v>7.0099999999999997E-3</v>
      </c>
      <c r="H18" s="377"/>
    </row>
    <row r="19" spans="3:8" x14ac:dyDescent="0.2">
      <c r="C19" s="7" t="s">
        <v>158</v>
      </c>
      <c r="D19" s="382">
        <v>1.9709999999999998E-2</v>
      </c>
      <c r="E19" s="377"/>
      <c r="F19" s="8"/>
      <c r="G19" s="248">
        <f>$D$19</f>
        <v>1.9709999999999998E-2</v>
      </c>
      <c r="H19" s="377"/>
    </row>
    <row r="20" spans="3:8" x14ac:dyDescent="0.2">
      <c r="C20" s="7" t="s">
        <v>393</v>
      </c>
      <c r="D20" s="382">
        <v>0</v>
      </c>
      <c r="E20" s="377"/>
      <c r="F20" s="8"/>
      <c r="G20" s="257">
        <f>$D$20</f>
        <v>0</v>
      </c>
      <c r="H20" s="377"/>
    </row>
    <row r="21" spans="3:8" x14ac:dyDescent="0.2">
      <c r="C21" s="7" t="s">
        <v>389</v>
      </c>
      <c r="D21" s="382">
        <v>-1.388E-2</v>
      </c>
      <c r="E21" s="377"/>
      <c r="F21" s="8"/>
      <c r="G21" s="257">
        <f>$D$21</f>
        <v>-1.388E-2</v>
      </c>
      <c r="H21" s="377"/>
    </row>
    <row r="22" spans="3:8" x14ac:dyDescent="0.2">
      <c r="C22" s="7" t="s">
        <v>390</v>
      </c>
      <c r="D22" s="382">
        <v>-6.8000000000000005E-4</v>
      </c>
      <c r="E22" s="377"/>
      <c r="F22" s="8"/>
      <c r="G22" s="248">
        <f>$D$22</f>
        <v>-6.8000000000000005E-4</v>
      </c>
      <c r="H22" s="377"/>
    </row>
    <row r="23" spans="3:8" x14ac:dyDescent="0.2">
      <c r="C23" s="7" t="s">
        <v>430</v>
      </c>
      <c r="D23" s="382">
        <v>-1.3699999999999999E-3</v>
      </c>
      <c r="E23" s="377"/>
      <c r="F23" s="8"/>
      <c r="G23" s="248">
        <f>$D$23</f>
        <v>-1.3699999999999999E-3</v>
      </c>
      <c r="H23" s="377"/>
    </row>
    <row r="24" spans="3:8" x14ac:dyDescent="0.2">
      <c r="C24" s="7" t="s">
        <v>159</v>
      </c>
      <c r="D24" s="291">
        <f>'Sch 142 Revenue Impacts'!E11</f>
        <v>1.2319999999999999E-2</v>
      </c>
      <c r="E24" s="245"/>
      <c r="G24" s="384">
        <f>'Sch 142 Revenue Impacts'!$F$11</f>
        <v>2.2519999999999998E-2</v>
      </c>
      <c r="H24" s="245"/>
    </row>
    <row r="25" spans="3:8" x14ac:dyDescent="0.2">
      <c r="C25" s="7" t="s">
        <v>361</v>
      </c>
      <c r="D25" s="382">
        <v>1.77E-2</v>
      </c>
      <c r="E25" s="245"/>
      <c r="G25" s="228">
        <f>$D$25</f>
        <v>1.77E-2</v>
      </c>
      <c r="H25" s="245"/>
    </row>
    <row r="26" spans="3:8" x14ac:dyDescent="0.2">
      <c r="C26" s="7" t="s">
        <v>135</v>
      </c>
      <c r="D26" s="383">
        <f>SUM(D17:D25)</f>
        <v>0.46938000000000002</v>
      </c>
      <c r="E26" s="245">
        <f>ROUND(D26*D$8,2)</f>
        <v>30.04</v>
      </c>
      <c r="G26" s="247">
        <f>SUM(G17:G25)</f>
        <v>0.47958000000000001</v>
      </c>
      <c r="H26" s="245">
        <f>ROUND(G26*G$8,2)</f>
        <v>30.69</v>
      </c>
    </row>
    <row r="27" spans="3:8" x14ac:dyDescent="0.2">
      <c r="D27" s="8"/>
    </row>
    <row r="28" spans="3:8" x14ac:dyDescent="0.2">
      <c r="C28" s="7" t="s">
        <v>161</v>
      </c>
      <c r="D28" s="382">
        <v>2.179E-2</v>
      </c>
      <c r="E28" s="245">
        <f>ROUND(D28*D$8,2)</f>
        <v>1.39</v>
      </c>
      <c r="G28" s="248">
        <f>$D$28</f>
        <v>2.179E-2</v>
      </c>
      <c r="H28" s="245">
        <f>ROUND(G28*G$8,2)</f>
        <v>1.39</v>
      </c>
    </row>
    <row r="29" spans="3:8" x14ac:dyDescent="0.2">
      <c r="D29" s="257"/>
      <c r="E29" s="245"/>
      <c r="G29" s="246"/>
      <c r="H29" s="245"/>
    </row>
    <row r="30" spans="3:8" x14ac:dyDescent="0.2">
      <c r="C30" s="7" t="s">
        <v>162</v>
      </c>
      <c r="D30" s="382">
        <v>0</v>
      </c>
      <c r="E30" s="245">
        <f>ROUND(D30*D$8,2)</f>
        <v>0</v>
      </c>
      <c r="G30" s="228">
        <f>$D$30</f>
        <v>0</v>
      </c>
      <c r="H30" s="245">
        <f>ROUND(G30*G$8,2)</f>
        <v>0</v>
      </c>
    </row>
    <row r="31" spans="3:8" x14ac:dyDescent="0.2">
      <c r="D31" s="257"/>
      <c r="E31" s="245"/>
      <c r="G31" s="246"/>
      <c r="H31" s="245"/>
    </row>
    <row r="32" spans="3:8" x14ac:dyDescent="0.2">
      <c r="C32" s="7" t="s">
        <v>163</v>
      </c>
      <c r="D32" s="382">
        <v>0.38129000000000002</v>
      </c>
      <c r="E32" s="245"/>
      <c r="G32" s="246">
        <f>$D$32</f>
        <v>0.38129000000000002</v>
      </c>
      <c r="H32" s="245"/>
    </row>
    <row r="33" spans="2:8" x14ac:dyDescent="0.2">
      <c r="C33" s="7" t="s">
        <v>164</v>
      </c>
      <c r="D33" s="382">
        <v>2.332E-2</v>
      </c>
      <c r="E33" s="245"/>
      <c r="G33" s="228">
        <f>$D$33</f>
        <v>2.332E-2</v>
      </c>
      <c r="H33" s="245"/>
    </row>
    <row r="34" spans="2:8" x14ac:dyDescent="0.2">
      <c r="C34" s="7" t="s">
        <v>395</v>
      </c>
      <c r="D34" s="382">
        <v>0</v>
      </c>
      <c r="E34" s="245"/>
      <c r="G34" s="228">
        <f>$D$34</f>
        <v>0</v>
      </c>
      <c r="H34" s="245"/>
    </row>
    <row r="35" spans="2:8" x14ac:dyDescent="0.2">
      <c r="C35" s="7" t="s">
        <v>396</v>
      </c>
      <c r="D35" s="382">
        <v>2.495E-2</v>
      </c>
      <c r="E35" s="245"/>
      <c r="G35" s="228">
        <f>$D$35</f>
        <v>2.495E-2</v>
      </c>
      <c r="H35" s="245"/>
    </row>
    <row r="36" spans="2:8" x14ac:dyDescent="0.2">
      <c r="C36" s="7" t="s">
        <v>135</v>
      </c>
      <c r="D36" s="383">
        <f>SUM(D32:D35)</f>
        <v>0.42956000000000005</v>
      </c>
      <c r="E36" s="245">
        <f>ROUND(D36*D$8,2)</f>
        <v>27.49</v>
      </c>
      <c r="G36" s="247">
        <f>SUM(G32:G35)</f>
        <v>0.42956000000000005</v>
      </c>
      <c r="H36" s="245">
        <f>ROUND(G36*G$8,2)</f>
        <v>27.49</v>
      </c>
    </row>
    <row r="37" spans="2:8" x14ac:dyDescent="0.2">
      <c r="C37" s="7" t="s">
        <v>165</v>
      </c>
      <c r="D37" s="383">
        <f>D26+D28+D30+D36</f>
        <v>0.92073000000000005</v>
      </c>
      <c r="E37" s="249">
        <f>SUM(E26,E28,E30,E36)</f>
        <v>58.92</v>
      </c>
      <c r="G37" s="247">
        <f>G26+G28+G30+G36</f>
        <v>0.93093000000000004</v>
      </c>
      <c r="H37" s="249">
        <f>SUM(H26,H28,H30,H36)</f>
        <v>59.569999999999993</v>
      </c>
    </row>
    <row r="38" spans="2:8" x14ac:dyDescent="0.2">
      <c r="E38" s="245"/>
      <c r="H38" s="245"/>
    </row>
    <row r="39" spans="2:8" x14ac:dyDescent="0.2">
      <c r="B39" s="7" t="s">
        <v>166</v>
      </c>
      <c r="D39" s="32"/>
      <c r="E39" s="245">
        <f>E14+E37</f>
        <v>70.44</v>
      </c>
      <c r="G39" s="32"/>
      <c r="H39" s="245">
        <f>H14+H37</f>
        <v>71.089999999999989</v>
      </c>
    </row>
    <row r="40" spans="2:8" x14ac:dyDescent="0.2">
      <c r="B40" s="7" t="s">
        <v>167</v>
      </c>
      <c r="D40" s="32"/>
      <c r="E40" s="245"/>
      <c r="G40" s="32"/>
      <c r="H40" s="245">
        <f>H39-$E39</f>
        <v>0.64999999999999147</v>
      </c>
    </row>
    <row r="41" spans="2:8" x14ac:dyDescent="0.2">
      <c r="B41" s="7" t="s">
        <v>168</v>
      </c>
      <c r="D41" s="250"/>
      <c r="E41" s="250"/>
      <c r="G41" s="250"/>
      <c r="H41" s="251">
        <f>H40/$E39</f>
        <v>9.2277115275410486E-3</v>
      </c>
    </row>
    <row r="42" spans="2:8" x14ac:dyDescent="0.2">
      <c r="E42" s="245"/>
    </row>
    <row r="43" spans="2:8" x14ac:dyDescent="0.2">
      <c r="B43" s="7" t="s">
        <v>169</v>
      </c>
      <c r="D43" s="246">
        <f>D26+D28+D30</f>
        <v>0.49117</v>
      </c>
      <c r="E43" s="245"/>
      <c r="G43" s="246">
        <f>G26+G28+G30</f>
        <v>0.50136999999999998</v>
      </c>
    </row>
    <row r="45" spans="2:8" x14ac:dyDescent="0.2">
      <c r="B45" s="70" t="s">
        <v>400</v>
      </c>
    </row>
    <row r="46" spans="2:8" x14ac:dyDescent="0.2">
      <c r="C46" s="70"/>
      <c r="D46" s="70"/>
      <c r="E46" s="70"/>
    </row>
    <row r="51" ht="14.25" customHeight="1" x14ac:dyDescent="0.2"/>
  </sheetData>
  <mergeCells count="4">
    <mergeCell ref="A1:H1"/>
    <mergeCell ref="A2:H2"/>
    <mergeCell ref="A3:H3"/>
    <mergeCell ref="A4:H4"/>
  </mergeCells>
  <printOptions horizontalCentered="1"/>
  <pageMargins left="0.5" right="0.5" top="1" bottom="1" header="0.5" footer="0.5"/>
  <pageSetup scale="56" orientation="landscape" blackAndWhite="1" r:id="rId1"/>
  <headerFooter alignWithMargins="0">
    <oddFooter>&amp;L&amp;F  
&amp;A&amp;C&amp;P&amp;R&amp;D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30FE8A7D63AD94F880437B89EAF31AB" ma:contentTypeVersion="44" ma:contentTypeDescription="" ma:contentTypeScope="" ma:versionID="066bffa8f2be841ebe65e74325dcb40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19AAC4C-6414-4946-A7C7-1F4E7E398AF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E0B15E05-3CC0-4CBD-86D6-7066FDCC7515}"/>
</file>

<file path=customXml/itemProps3.xml><?xml version="1.0" encoding="utf-8"?>
<ds:datastoreItem xmlns:ds="http://schemas.openxmlformats.org/officeDocument/2006/customXml" ds:itemID="{C7C32BEE-4333-4FC1-A4C7-106F55ACDCC8}"/>
</file>

<file path=customXml/itemProps4.xml><?xml version="1.0" encoding="utf-8"?>
<ds:datastoreItem xmlns:ds="http://schemas.openxmlformats.org/officeDocument/2006/customXml" ds:itemID="{BE6101B3-4614-4E9C-B639-98ED422081AE}"/>
</file>

<file path=customXml/itemProps5.xml><?xml version="1.0" encoding="utf-8"?>
<ds:datastoreItem xmlns:ds="http://schemas.openxmlformats.org/officeDocument/2006/customXml" ds:itemID="{9E641A5B-6512-4582-BE71-2B56B0CEEC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Delivery Rate Change Calc</vt:lpstr>
      <vt:lpstr>Summary of Rates</vt:lpstr>
      <vt:lpstr>RateDev (31,31T,41,41T,86,86T)</vt:lpstr>
      <vt:lpstr>Rate Test</vt:lpstr>
      <vt:lpstr>Earnings Test Alloc</vt:lpstr>
      <vt:lpstr>Rate Impacts--&gt;</vt:lpstr>
      <vt:lpstr>Rate Sch Impacts Sch 142</vt:lpstr>
      <vt:lpstr>Sch 142 Revenue Impacts</vt:lpstr>
      <vt:lpstr>Typical Res Bill SCH 142</vt:lpstr>
      <vt:lpstr>Balances -&gt;</vt:lpstr>
      <vt:lpstr>Deferral Balance</vt:lpstr>
      <vt:lpstr>Historic Account Balances</vt:lpstr>
      <vt:lpstr>Amort Estimate</vt:lpstr>
      <vt:lpstr>Work Papers--&gt;</vt:lpstr>
      <vt:lpstr>Sch23&amp;53 Deferral Calc</vt:lpstr>
      <vt:lpstr>Sch31&amp;31T Deferral Calc</vt:lpstr>
      <vt:lpstr>Sch 41&amp;86 Deferral Calc</vt:lpstr>
      <vt:lpstr>F2020 Forecast</vt:lpstr>
      <vt:lpstr>2020 Weather Adj</vt:lpstr>
      <vt:lpstr>2020 Gas Margin Calc</vt:lpstr>
      <vt:lpstr>2019 GRC Volumetric DeliveryRev</vt:lpstr>
      <vt:lpstr>2019 GRC Conversion Factor</vt:lpstr>
      <vt:lpstr>2020 Gas Earnings Test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Puget Sound Energy</cp:lastModifiedBy>
  <cp:lastPrinted>2021-03-09T21:29:23Z</cp:lastPrinted>
  <dcterms:created xsi:type="dcterms:W3CDTF">2018-03-12T16:56:24Z</dcterms:created>
  <dcterms:modified xsi:type="dcterms:W3CDTF">2021-03-26T16:02:38Z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0x0101006E56B4D1795A2E4DB2F0B01679ED314A00230FE8A7D63AD94F880437B89EAF31AB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