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0-XX Electric Schedule 139 - Voluntary Long Term Renewable Energy (UE-20xxxx) (Eff. 1-1-21)\Workpapers\"/>
    </mc:Choice>
  </mc:AlternateContent>
  <bookViews>
    <workbookView xWindow="0" yWindow="0" windowWidth="25200" windowHeight="10860"/>
  </bookViews>
  <sheets>
    <sheet name="Sch 139 Impacts" sheetId="8" r:id="rId1"/>
    <sheet name="Tariff_RateImpacts" sheetId="6" r:id="rId2"/>
    <sheet name="Schedule_RateImpacts" sheetId="7" r:id="rId3"/>
    <sheet name="Sch 139 Eff 10-15-2020" sheetId="4" r:id="rId4"/>
    <sheet name="Sch 139 Eff 12-1-2021" sheetId="1" r:id="rId5"/>
    <sheet name="Sch 139 Credit Calculation" sheetId="3" r:id="rId6"/>
    <sheet name="UE-190529 Proposed Unit Cost" sheetId="2" r:id="rId7"/>
  </sheets>
  <externalReferences>
    <externalReference r:id="rId8"/>
    <externalReference r:id="rId9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'Sch 139 Impacts'!$A$1:$N$22</definedName>
    <definedName name="_xlnm.Print_Area" localSheetId="2">Schedule_RateImpacts!$A$1:$N$39</definedName>
    <definedName name="_xlnm.Print_Area" localSheetId="1">Tariff_RateImpacts!$A$1:$N$34</definedName>
    <definedName name="_xlnm.Print_Titles" localSheetId="0">'Sch 139 Impacts'!$A:$B</definedName>
    <definedName name="_xlnm.Print_Titles" localSheetId="2">Schedule_RateImpacts!$A:$B</definedName>
    <definedName name="_xlnm.Print_Titles" localSheetId="1">Tariff_RateImpacts!$A:$B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8" l="1"/>
  <c r="J22" i="8"/>
  <c r="I22" i="8"/>
  <c r="H22" i="8"/>
  <c r="G22" i="8"/>
  <c r="E22" i="8"/>
  <c r="C22" i="8"/>
  <c r="A11" i="8"/>
  <c r="A12" i="8"/>
  <c r="A13" i="8"/>
  <c r="A14" i="8"/>
  <c r="A15" i="8" s="1"/>
  <c r="A16" i="8" s="1"/>
  <c r="A17" i="8" s="1"/>
  <c r="A18" i="8" s="1"/>
  <c r="A19" i="8" s="1"/>
  <c r="A20" i="8" s="1"/>
  <c r="A21" i="8" s="1"/>
  <c r="A22" i="8" s="1"/>
  <c r="H19" i="8"/>
  <c r="G19" i="8"/>
  <c r="E19" i="8"/>
  <c r="D19" i="8"/>
  <c r="C19" i="8"/>
  <c r="H18" i="8"/>
  <c r="G18" i="8"/>
  <c r="E18" i="8"/>
  <c r="D18" i="8"/>
  <c r="C18" i="8"/>
  <c r="C20" i="8" s="1"/>
  <c r="H15" i="8"/>
  <c r="G15" i="8"/>
  <c r="E15" i="8"/>
  <c r="D15" i="8"/>
  <c r="C15" i="8"/>
  <c r="H14" i="8"/>
  <c r="G14" i="8"/>
  <c r="E14" i="8"/>
  <c r="D14" i="8"/>
  <c r="C14" i="8"/>
  <c r="C16" i="8" s="1"/>
  <c r="H10" i="8"/>
  <c r="I10" i="8" s="1"/>
  <c r="G10" i="8"/>
  <c r="E10" i="8"/>
  <c r="K10" i="8" s="1"/>
  <c r="M10" i="8" s="1"/>
  <c r="D10" i="8"/>
  <c r="C10" i="8"/>
  <c r="H9" i="8"/>
  <c r="G9" i="8"/>
  <c r="E9" i="8"/>
  <c r="D9" i="8"/>
  <c r="C9" i="8"/>
  <c r="H8" i="8"/>
  <c r="G8" i="8"/>
  <c r="E8" i="8"/>
  <c r="D8" i="8"/>
  <c r="C8" i="8"/>
  <c r="C12" i="8" s="1"/>
  <c r="A9" i="8"/>
  <c r="A10" i="8" s="1"/>
  <c r="H7" i="8"/>
  <c r="G7" i="8"/>
  <c r="E7" i="8"/>
  <c r="D7" i="8"/>
  <c r="C7" i="8"/>
  <c r="A3" i="8"/>
  <c r="A2" i="8"/>
  <c r="A1" i="8"/>
  <c r="I8" i="8" l="1"/>
  <c r="G16" i="8"/>
  <c r="J15" i="8"/>
  <c r="L15" i="8" s="1"/>
  <c r="K19" i="8"/>
  <c r="M19" i="8" s="1"/>
  <c r="E12" i="8"/>
  <c r="I9" i="8"/>
  <c r="I12" i="8" s="1"/>
  <c r="I15" i="8"/>
  <c r="N15" i="8" s="1"/>
  <c r="K14" i="8"/>
  <c r="M14" i="8" s="1"/>
  <c r="K15" i="8"/>
  <c r="M15" i="8" s="1"/>
  <c r="G20" i="8"/>
  <c r="J19" i="8"/>
  <c r="L19" i="8" s="1"/>
  <c r="I18" i="8"/>
  <c r="H20" i="8"/>
  <c r="G12" i="8"/>
  <c r="I14" i="8"/>
  <c r="K18" i="8"/>
  <c r="H12" i="8"/>
  <c r="K9" i="8"/>
  <c r="M9" i="8" s="1"/>
  <c r="J18" i="8"/>
  <c r="I19" i="8"/>
  <c r="I20" i="8"/>
  <c r="L18" i="8"/>
  <c r="J8" i="8"/>
  <c r="N8" i="8"/>
  <c r="J9" i="8"/>
  <c r="L9" i="8" s="1"/>
  <c r="J10" i="8"/>
  <c r="L10" i="8" s="1"/>
  <c r="K8" i="8"/>
  <c r="J14" i="8"/>
  <c r="E16" i="8"/>
  <c r="M18" i="8"/>
  <c r="E20" i="8"/>
  <c r="H16" i="8"/>
  <c r="L24" i="6"/>
  <c r="N24" i="6"/>
  <c r="L26" i="6"/>
  <c r="K26" i="6"/>
  <c r="M26" i="6" s="1"/>
  <c r="J26" i="6"/>
  <c r="I26" i="6"/>
  <c r="N26" i="6" s="1"/>
  <c r="L23" i="6"/>
  <c r="K23" i="6"/>
  <c r="M23" i="6" s="1"/>
  <c r="J23" i="6"/>
  <c r="I23" i="6"/>
  <c r="N23" i="6" s="1"/>
  <c r="M22" i="6"/>
  <c r="K22" i="6"/>
  <c r="J22" i="6"/>
  <c r="L22" i="6" s="1"/>
  <c r="I22" i="6"/>
  <c r="N22" i="6" s="1"/>
  <c r="L19" i="6"/>
  <c r="K19" i="6"/>
  <c r="M19" i="6" s="1"/>
  <c r="J19" i="6"/>
  <c r="I19" i="6"/>
  <c r="N19" i="6" s="1"/>
  <c r="L17" i="6"/>
  <c r="K17" i="6"/>
  <c r="M17" i="6" s="1"/>
  <c r="J17" i="6"/>
  <c r="I17" i="6"/>
  <c r="N17" i="6" s="1"/>
  <c r="M13" i="6"/>
  <c r="K13" i="6"/>
  <c r="J13" i="6"/>
  <c r="L13" i="6" s="1"/>
  <c r="I13" i="6"/>
  <c r="N13" i="6" s="1"/>
  <c r="L12" i="6"/>
  <c r="K12" i="6"/>
  <c r="M12" i="6" s="1"/>
  <c r="J12" i="6"/>
  <c r="I12" i="6"/>
  <c r="N12" i="6" s="1"/>
  <c r="M11" i="6"/>
  <c r="K11" i="6"/>
  <c r="J11" i="6"/>
  <c r="L11" i="6" s="1"/>
  <c r="I11" i="6"/>
  <c r="N11" i="6" s="1"/>
  <c r="K9" i="6"/>
  <c r="M9" i="6" s="1"/>
  <c r="M8" i="6"/>
  <c r="K8" i="6"/>
  <c r="J8" i="6"/>
  <c r="J9" i="6" s="1"/>
  <c r="L9" i="6" s="1"/>
  <c r="I8" i="6"/>
  <c r="N8" i="6" s="1"/>
  <c r="D26" i="6"/>
  <c r="D23" i="6"/>
  <c r="D22" i="6"/>
  <c r="D19" i="6"/>
  <c r="D17" i="6"/>
  <c r="D13" i="6"/>
  <c r="D12" i="6"/>
  <c r="D11" i="6"/>
  <c r="D8" i="6"/>
  <c r="D7" i="6"/>
  <c r="E37" i="7"/>
  <c r="E33" i="7"/>
  <c r="E32" i="7"/>
  <c r="E31" i="7"/>
  <c r="E28" i="7"/>
  <c r="E27" i="7"/>
  <c r="E24" i="7"/>
  <c r="E23" i="7"/>
  <c r="E22" i="7"/>
  <c r="E21" i="7"/>
  <c r="E18" i="7"/>
  <c r="E17" i="7"/>
  <c r="E16" i="7"/>
  <c r="E15" i="7"/>
  <c r="E14" i="7"/>
  <c r="E13" i="7"/>
  <c r="E12" i="7"/>
  <c r="E11" i="7"/>
  <c r="E8" i="7"/>
  <c r="N18" i="8" l="1"/>
  <c r="I16" i="8"/>
  <c r="N16" i="8" s="1"/>
  <c r="N9" i="8"/>
  <c r="N14" i="8"/>
  <c r="K16" i="8"/>
  <c r="M16" i="8" s="1"/>
  <c r="N19" i="8"/>
  <c r="K20" i="8"/>
  <c r="M20" i="8" s="1"/>
  <c r="J20" i="8"/>
  <c r="L20" i="8" s="1"/>
  <c r="L8" i="8"/>
  <c r="J12" i="8"/>
  <c r="N10" i="8"/>
  <c r="M8" i="8"/>
  <c r="K12" i="8"/>
  <c r="M12" i="8" s="1"/>
  <c r="L14" i="8"/>
  <c r="J16" i="8"/>
  <c r="L16" i="8" s="1"/>
  <c r="I9" i="6"/>
  <c r="N9" i="6" s="1"/>
  <c r="L8" i="6"/>
  <c r="K37" i="7"/>
  <c r="J37" i="7"/>
  <c r="I37" i="7"/>
  <c r="K33" i="7"/>
  <c r="J33" i="7"/>
  <c r="I33" i="7"/>
  <c r="K32" i="7"/>
  <c r="J32" i="7"/>
  <c r="I32" i="7"/>
  <c r="K31" i="7"/>
  <c r="M31" i="7" s="1"/>
  <c r="J31" i="7"/>
  <c r="L31" i="7" s="1"/>
  <c r="I31" i="7"/>
  <c r="K28" i="7"/>
  <c r="M28" i="7" s="1"/>
  <c r="J28" i="7"/>
  <c r="L28" i="7" s="1"/>
  <c r="I28" i="7"/>
  <c r="K27" i="7"/>
  <c r="M27" i="7" s="1"/>
  <c r="J27" i="7"/>
  <c r="L27" i="7" s="1"/>
  <c r="I27" i="7"/>
  <c r="K24" i="7"/>
  <c r="M24" i="7" s="1"/>
  <c r="J24" i="7"/>
  <c r="L24" i="7" s="1"/>
  <c r="I24" i="7"/>
  <c r="N24" i="7" s="1"/>
  <c r="K23" i="7"/>
  <c r="J23" i="7"/>
  <c r="I23" i="7"/>
  <c r="K22" i="7"/>
  <c r="M22" i="7" s="1"/>
  <c r="J22" i="7"/>
  <c r="L22" i="7" s="1"/>
  <c r="I22" i="7"/>
  <c r="N22" i="7" s="1"/>
  <c r="K21" i="7"/>
  <c r="J21" i="7"/>
  <c r="J25" i="7" s="1"/>
  <c r="I21" i="7"/>
  <c r="K18" i="7"/>
  <c r="J18" i="7"/>
  <c r="I18" i="7"/>
  <c r="K17" i="7"/>
  <c r="M17" i="7" s="1"/>
  <c r="J17" i="7"/>
  <c r="L17" i="7" s="1"/>
  <c r="I17" i="7"/>
  <c r="N17" i="7" s="1"/>
  <c r="K16" i="7"/>
  <c r="J16" i="7"/>
  <c r="I16" i="7"/>
  <c r="M15" i="7"/>
  <c r="K15" i="7"/>
  <c r="J15" i="7"/>
  <c r="L15" i="7" s="1"/>
  <c r="I15" i="7"/>
  <c r="K14" i="7"/>
  <c r="J14" i="7"/>
  <c r="I14" i="7"/>
  <c r="K13" i="7"/>
  <c r="J13" i="7"/>
  <c r="I13" i="7"/>
  <c r="K12" i="7"/>
  <c r="M12" i="7" s="1"/>
  <c r="J12" i="7"/>
  <c r="L12" i="7" s="1"/>
  <c r="I12" i="7"/>
  <c r="K11" i="7"/>
  <c r="J11" i="7"/>
  <c r="I11" i="7"/>
  <c r="K8" i="7"/>
  <c r="J8" i="7"/>
  <c r="N8" i="7" s="1"/>
  <c r="H8" i="7"/>
  <c r="H9" i="7" s="1"/>
  <c r="H41" i="7"/>
  <c r="H31" i="7"/>
  <c r="H28" i="7"/>
  <c r="H23" i="6" s="1"/>
  <c r="H27" i="7"/>
  <c r="H24" i="7"/>
  <c r="H19" i="6" s="1"/>
  <c r="H22" i="7"/>
  <c r="H17" i="7"/>
  <c r="H12" i="7"/>
  <c r="H15" i="7"/>
  <c r="G41" i="7"/>
  <c r="G31" i="7"/>
  <c r="G28" i="7"/>
  <c r="G27" i="7"/>
  <c r="G22" i="6" s="1"/>
  <c r="G24" i="7"/>
  <c r="G22" i="7"/>
  <c r="G17" i="7"/>
  <c r="G15" i="7"/>
  <c r="G12" i="7"/>
  <c r="G8" i="7"/>
  <c r="D31" i="7"/>
  <c r="D28" i="7"/>
  <c r="D27" i="7"/>
  <c r="D24" i="7"/>
  <c r="D22" i="7"/>
  <c r="D17" i="7"/>
  <c r="D15" i="7"/>
  <c r="D12" i="7"/>
  <c r="D8" i="7"/>
  <c r="C41" i="7"/>
  <c r="C31" i="7"/>
  <c r="C26" i="6" s="1"/>
  <c r="C28" i="7"/>
  <c r="C23" i="6" s="1"/>
  <c r="C24" i="7"/>
  <c r="C27" i="7"/>
  <c r="C22" i="7"/>
  <c r="C17" i="7"/>
  <c r="C13" i="6" s="1"/>
  <c r="C15" i="7"/>
  <c r="C12" i="7"/>
  <c r="C11" i="6" s="1"/>
  <c r="C8" i="7"/>
  <c r="C9" i="7" s="1"/>
  <c r="H13" i="6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H7" i="6"/>
  <c r="A3" i="7"/>
  <c r="H26" i="6"/>
  <c r="G26" i="6"/>
  <c r="H22" i="6"/>
  <c r="C19" i="6"/>
  <c r="H17" i="6"/>
  <c r="C17" i="6"/>
  <c r="H11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C8" i="6"/>
  <c r="C9" i="6" s="1"/>
  <c r="G7" i="6"/>
  <c r="E7" i="6"/>
  <c r="C7" i="6"/>
  <c r="A3" i="6"/>
  <c r="A2" i="6"/>
  <c r="A1" i="6"/>
  <c r="N20" i="8" l="1"/>
  <c r="L22" i="8"/>
  <c r="N22" i="8"/>
  <c r="L12" i="8"/>
  <c r="N12" i="8"/>
  <c r="N25" i="7"/>
  <c r="L25" i="7"/>
  <c r="J9" i="7"/>
  <c r="J19" i="7"/>
  <c r="N15" i="7"/>
  <c r="L8" i="7"/>
  <c r="J29" i="7"/>
  <c r="N12" i="7"/>
  <c r="N27" i="7"/>
  <c r="N28" i="7"/>
  <c r="N31" i="7"/>
  <c r="J35" i="7"/>
  <c r="H12" i="6"/>
  <c r="H8" i="6"/>
  <c r="C29" i="7"/>
  <c r="I8" i="7"/>
  <c r="E12" i="6"/>
  <c r="E19" i="6"/>
  <c r="E26" i="6"/>
  <c r="E9" i="7"/>
  <c r="C25" i="7"/>
  <c r="C35" i="7" s="1"/>
  <c r="C39" i="7" s="1"/>
  <c r="E13" i="6"/>
  <c r="E23" i="6"/>
  <c r="E17" i="6"/>
  <c r="E8" i="6"/>
  <c r="E25" i="7"/>
  <c r="G12" i="6"/>
  <c r="C22" i="6"/>
  <c r="C24" i="6" s="1"/>
  <c r="H24" i="6"/>
  <c r="C19" i="7"/>
  <c r="C12" i="6"/>
  <c r="C15" i="6" s="1"/>
  <c r="E11" i="6"/>
  <c r="G11" i="6"/>
  <c r="G23" i="6"/>
  <c r="G19" i="6"/>
  <c r="H19" i="7"/>
  <c r="C20" i="6"/>
  <c r="H20" i="6"/>
  <c r="G19" i="7"/>
  <c r="G13" i="6"/>
  <c r="G29" i="7"/>
  <c r="G25" i="7"/>
  <c r="H29" i="7"/>
  <c r="H25" i="7"/>
  <c r="M22" i="8" l="1"/>
  <c r="E9" i="6"/>
  <c r="J24" i="6"/>
  <c r="H9" i="6"/>
  <c r="H15" i="6"/>
  <c r="N9" i="7"/>
  <c r="L9" i="7"/>
  <c r="J39" i="7"/>
  <c r="L35" i="7"/>
  <c r="N35" i="7"/>
  <c r="N19" i="7"/>
  <c r="L19" i="7"/>
  <c r="L29" i="7"/>
  <c r="N29" i="7"/>
  <c r="E20" i="6"/>
  <c r="H35" i="7"/>
  <c r="H39" i="7" s="1"/>
  <c r="E15" i="6"/>
  <c r="E19" i="7"/>
  <c r="G24" i="6"/>
  <c r="C30" i="6"/>
  <c r="C34" i="6" s="1"/>
  <c r="E22" i="6"/>
  <c r="E24" i="6" s="1"/>
  <c r="E29" i="7"/>
  <c r="E35" i="7" s="1"/>
  <c r="E39" i="7" s="1"/>
  <c r="G9" i="7"/>
  <c r="G35" i="7" s="1"/>
  <c r="G39" i="7" s="1"/>
  <c r="G42" i="7" s="1"/>
  <c r="G8" i="6"/>
  <c r="I25" i="7"/>
  <c r="G17" i="6"/>
  <c r="H42" i="7"/>
  <c r="C42" i="7"/>
  <c r="I24" i="6"/>
  <c r="I29" i="7"/>
  <c r="I19" i="7"/>
  <c r="G15" i="6"/>
  <c r="H30" i="6" l="1"/>
  <c r="H34" i="6" s="1"/>
  <c r="J15" i="6"/>
  <c r="L15" i="6" s="1"/>
  <c r="I15" i="6"/>
  <c r="N15" i="6" s="1"/>
  <c r="N39" i="7"/>
  <c r="L39" i="7"/>
  <c r="E30" i="6"/>
  <c r="E34" i="6" s="1"/>
  <c r="G9" i="6"/>
  <c r="G20" i="6"/>
  <c r="K25" i="7"/>
  <c r="M25" i="7" s="1"/>
  <c r="I20" i="6" l="1"/>
  <c r="J20" i="6"/>
  <c r="L20" i="6" s="1"/>
  <c r="G30" i="6"/>
  <c r="G34" i="6" s="1"/>
  <c r="K15" i="6"/>
  <c r="M15" i="6" s="1"/>
  <c r="K19" i="7"/>
  <c r="M19" i="7" s="1"/>
  <c r="K29" i="7"/>
  <c r="M29" i="7" s="1"/>
  <c r="K20" i="6"/>
  <c r="M20" i="6" s="1"/>
  <c r="K24" i="6"/>
  <c r="M24" i="6" s="1"/>
  <c r="N20" i="6" l="1"/>
  <c r="I30" i="6"/>
  <c r="J30" i="6"/>
  <c r="K30" i="6"/>
  <c r="J34" i="6" l="1"/>
  <c r="L34" i="6" s="1"/>
  <c r="L30" i="6"/>
  <c r="I34" i="6"/>
  <c r="N34" i="6" s="1"/>
  <c r="N30" i="6"/>
  <c r="K34" i="6"/>
  <c r="M30" i="6"/>
  <c r="M34" i="6" l="1"/>
  <c r="F7" i="4" l="1"/>
  <c r="F30" i="4" s="1"/>
  <c r="G30" i="4" s="1"/>
  <c r="D46" i="4"/>
  <c r="D45" i="4"/>
  <c r="C45" i="4"/>
  <c r="D43" i="4"/>
  <c r="C43" i="4"/>
  <c r="D42" i="4"/>
  <c r="D44" i="4" s="1"/>
  <c r="C42" i="4"/>
  <c r="D41" i="4"/>
  <c r="D40" i="4"/>
  <c r="C40" i="4"/>
  <c r="D39" i="4"/>
  <c r="D38" i="4"/>
  <c r="C38" i="4"/>
  <c r="D37" i="4"/>
  <c r="D36" i="4"/>
  <c r="C36" i="4"/>
  <c r="D35" i="4"/>
  <c r="C35" i="4"/>
  <c r="D34" i="4"/>
  <c r="C34" i="4"/>
  <c r="D33" i="4"/>
  <c r="C33" i="4"/>
  <c r="D32" i="4"/>
  <c r="C32" i="4"/>
  <c r="D30" i="4"/>
  <c r="C30" i="4"/>
  <c r="F29" i="4"/>
  <c r="G29" i="4" s="1"/>
  <c r="D29" i="4"/>
  <c r="C29" i="4"/>
  <c r="F28" i="4"/>
  <c r="G28" i="4" s="1"/>
  <c r="D28" i="4"/>
  <c r="C28" i="4"/>
  <c r="D27" i="4"/>
  <c r="C27" i="4"/>
  <c r="D26" i="4"/>
  <c r="C26" i="4"/>
  <c r="F25" i="4"/>
  <c r="G25" i="4" s="1"/>
  <c r="D25" i="4"/>
  <c r="D31" i="4" s="1"/>
  <c r="C25" i="4"/>
  <c r="D24" i="4"/>
  <c r="D23" i="4"/>
  <c r="C23" i="4"/>
  <c r="D22" i="4"/>
  <c r="C22" i="4"/>
  <c r="D21" i="4"/>
  <c r="C21" i="4"/>
  <c r="D20" i="4"/>
  <c r="C20" i="4"/>
  <c r="D19" i="4"/>
  <c r="C19" i="4"/>
  <c r="D18" i="4"/>
  <c r="C18" i="4"/>
  <c r="F16" i="4"/>
  <c r="G16" i="4" s="1"/>
  <c r="D16" i="4"/>
  <c r="C16" i="4"/>
  <c r="F15" i="4"/>
  <c r="G15" i="4" s="1"/>
  <c r="D15" i="4"/>
  <c r="C15" i="4"/>
  <c r="D14" i="4"/>
  <c r="C14" i="4"/>
  <c r="D13" i="4"/>
  <c r="C13" i="4"/>
  <c r="F12" i="4"/>
  <c r="G12" i="4" s="1"/>
  <c r="D12" i="4"/>
  <c r="C12" i="4"/>
  <c r="F11" i="4"/>
  <c r="G11" i="4" s="1"/>
  <c r="D11" i="4"/>
  <c r="D17" i="4" s="1"/>
  <c r="C11" i="4"/>
  <c r="D10" i="4"/>
  <c r="D9" i="4"/>
  <c r="C9" i="4"/>
  <c r="D8" i="4"/>
  <c r="C8" i="4"/>
  <c r="F9" i="4"/>
  <c r="D7" i="4"/>
  <c r="G7" i="4" s="1"/>
  <c r="C7" i="4"/>
  <c r="F7" i="1"/>
  <c r="F14" i="4" l="1"/>
  <c r="G14" i="4" s="1"/>
  <c r="F27" i="4"/>
  <c r="G27" i="4" s="1"/>
  <c r="F13" i="4"/>
  <c r="G13" i="4" s="1"/>
  <c r="H17" i="4" s="1"/>
  <c r="F26" i="4"/>
  <c r="G26" i="4" s="1"/>
  <c r="H31" i="4" s="1"/>
  <c r="G9" i="4"/>
  <c r="D47" i="4"/>
  <c r="F42" i="4"/>
  <c r="G42" i="4" s="1"/>
  <c r="F43" i="4"/>
  <c r="G43" i="4" s="1"/>
  <c r="F38" i="4"/>
  <c r="G38" i="4" s="1"/>
  <c r="H39" i="4" s="1"/>
  <c r="F8" i="4"/>
  <c r="G8" i="4" s="1"/>
  <c r="H10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32" i="4"/>
  <c r="G32" i="4" s="1"/>
  <c r="F33" i="4"/>
  <c r="G33" i="4" s="1"/>
  <c r="F34" i="4"/>
  <c r="G34" i="4" s="1"/>
  <c r="F35" i="4"/>
  <c r="G35" i="4" s="1"/>
  <c r="F36" i="4"/>
  <c r="G36" i="4" s="1"/>
  <c r="F40" i="4"/>
  <c r="G40" i="4" s="1"/>
  <c r="H41" i="4" s="1"/>
  <c r="F45" i="4"/>
  <c r="G45" i="4" s="1"/>
  <c r="H46" i="4" s="1"/>
  <c r="H24" i="4" l="1"/>
  <c r="H44" i="4"/>
  <c r="H37" i="4"/>
  <c r="H47" i="4" s="1"/>
  <c r="C9" i="3" l="1"/>
  <c r="C10" i="3" s="1"/>
  <c r="A8" i="3"/>
  <c r="A9" i="3" s="1"/>
  <c r="A10" i="3" s="1"/>
  <c r="D9" i="3"/>
  <c r="D10" i="3" s="1"/>
  <c r="F45" i="1"/>
  <c r="F43" i="1"/>
  <c r="F42" i="1"/>
  <c r="F40" i="1"/>
  <c r="F38" i="1"/>
  <c r="F36" i="1"/>
  <c r="F35" i="1"/>
  <c r="F34" i="1"/>
  <c r="F33" i="1"/>
  <c r="F32" i="1"/>
  <c r="F30" i="1"/>
  <c r="F29" i="1"/>
  <c r="F28" i="1"/>
  <c r="F27" i="1"/>
  <c r="F26" i="1"/>
  <c r="F25" i="1"/>
  <c r="F23" i="1"/>
  <c r="F22" i="1"/>
  <c r="F21" i="1"/>
  <c r="F20" i="1"/>
  <c r="F19" i="1"/>
  <c r="F18" i="1"/>
  <c r="F16" i="1"/>
  <c r="F15" i="1"/>
  <c r="F14" i="1"/>
  <c r="F13" i="1"/>
  <c r="F12" i="1"/>
  <c r="F11" i="1"/>
  <c r="F9" i="1"/>
  <c r="F8" i="1"/>
  <c r="D45" i="1" l="1"/>
  <c r="D46" i="1" s="1"/>
  <c r="C45" i="1"/>
  <c r="G43" i="1"/>
  <c r="D43" i="1"/>
  <c r="C43" i="1"/>
  <c r="D42" i="1"/>
  <c r="D44" i="1" s="1"/>
  <c r="C42" i="1"/>
  <c r="G40" i="1"/>
  <c r="H41" i="1" s="1"/>
  <c r="D40" i="1"/>
  <c r="D41" i="1" s="1"/>
  <c r="C40" i="1"/>
  <c r="D38" i="1"/>
  <c r="G38" i="1" s="1"/>
  <c r="H39" i="1" s="1"/>
  <c r="C38" i="1"/>
  <c r="G36" i="1"/>
  <c r="D36" i="1"/>
  <c r="C36" i="1"/>
  <c r="D35" i="1"/>
  <c r="G35" i="1" s="1"/>
  <c r="C35" i="1"/>
  <c r="G34" i="1"/>
  <c r="D34" i="1"/>
  <c r="C34" i="1"/>
  <c r="D33" i="1"/>
  <c r="G33" i="1" s="1"/>
  <c r="C33" i="1"/>
  <c r="G32" i="1"/>
  <c r="D32" i="1"/>
  <c r="D37" i="1" s="1"/>
  <c r="C32" i="1"/>
  <c r="D30" i="1"/>
  <c r="G30" i="1" s="1"/>
  <c r="C30" i="1"/>
  <c r="G29" i="1"/>
  <c r="D29" i="1"/>
  <c r="C29" i="1"/>
  <c r="D28" i="1"/>
  <c r="G28" i="1" s="1"/>
  <c r="C28" i="1"/>
  <c r="G27" i="1"/>
  <c r="D27" i="1"/>
  <c r="C27" i="1"/>
  <c r="D26" i="1"/>
  <c r="G26" i="1" s="1"/>
  <c r="C26" i="1"/>
  <c r="G25" i="1"/>
  <c r="D25" i="1"/>
  <c r="D31" i="1" s="1"/>
  <c r="C25" i="1"/>
  <c r="D23" i="1"/>
  <c r="G23" i="1" s="1"/>
  <c r="C23" i="1"/>
  <c r="G22" i="1"/>
  <c r="D22" i="1"/>
  <c r="C22" i="1"/>
  <c r="D21" i="1"/>
  <c r="G21" i="1" s="1"/>
  <c r="C21" i="1"/>
  <c r="G20" i="1"/>
  <c r="D20" i="1"/>
  <c r="C20" i="1"/>
  <c r="D19" i="1"/>
  <c r="D24" i="1" s="1"/>
  <c r="C19" i="1"/>
  <c r="G18" i="1"/>
  <c r="D18" i="1"/>
  <c r="C18" i="1"/>
  <c r="D16" i="1"/>
  <c r="G16" i="1" s="1"/>
  <c r="C16" i="1"/>
  <c r="G15" i="1"/>
  <c r="D15" i="1"/>
  <c r="C15" i="1"/>
  <c r="D14" i="1"/>
  <c r="G14" i="1" s="1"/>
  <c r="C14" i="1"/>
  <c r="G13" i="1"/>
  <c r="D13" i="1"/>
  <c r="C13" i="1"/>
  <c r="D12" i="1"/>
  <c r="D17" i="1" s="1"/>
  <c r="C12" i="1"/>
  <c r="G11" i="1"/>
  <c r="D11" i="1"/>
  <c r="C11" i="1"/>
  <c r="D9" i="1"/>
  <c r="G9" i="1" s="1"/>
  <c r="C9" i="1"/>
  <c r="G8" i="1"/>
  <c r="D8" i="1"/>
  <c r="C8" i="1"/>
  <c r="D7" i="1"/>
  <c r="G7" i="1" s="1"/>
  <c r="C7" i="1"/>
  <c r="H37" i="1" l="1"/>
  <c r="H10" i="1"/>
  <c r="H31" i="1"/>
  <c r="G12" i="1"/>
  <c r="H17" i="1" s="1"/>
  <c r="G19" i="1"/>
  <c r="H24" i="1" s="1"/>
  <c r="G42" i="1"/>
  <c r="H44" i="1" s="1"/>
  <c r="G45" i="1"/>
  <c r="H46" i="1" s="1"/>
  <c r="D39" i="1"/>
  <c r="D47" i="1" s="1"/>
  <c r="D10" i="1"/>
  <c r="H47" i="1" l="1"/>
  <c r="K9" i="7" l="1"/>
  <c r="I9" i="7"/>
  <c r="I35" i="7" l="1"/>
  <c r="K35" i="7"/>
  <c r="M9" i="7"/>
  <c r="M8" i="7"/>
  <c r="I39" i="7" l="1"/>
  <c r="K39" i="7"/>
  <c r="M35" i="7"/>
  <c r="M39" i="7" l="1"/>
</calcChain>
</file>

<file path=xl/sharedStrings.xml><?xml version="1.0" encoding="utf-8"?>
<sst xmlns="http://schemas.openxmlformats.org/spreadsheetml/2006/main" count="204" uniqueCount="131">
  <si>
    <t>Phase 1 + Phase 2</t>
  </si>
  <si>
    <t>Sum of KWH</t>
  </si>
  <si>
    <t>2021
Resource
Cost</t>
  </si>
  <si>
    <t>Annual
Sch 139
$</t>
  </si>
  <si>
    <t>Tariff</t>
  </si>
  <si>
    <t>Resource</t>
  </si>
  <si>
    <t>Total</t>
  </si>
  <si>
    <t>Power Cost Strip</t>
  </si>
  <si>
    <t>7 Total</t>
  </si>
  <si>
    <t>24 Total</t>
  </si>
  <si>
    <t>25 Total</t>
  </si>
  <si>
    <t>26 Total</t>
  </si>
  <si>
    <t>31 Total</t>
  </si>
  <si>
    <t>43 Total</t>
  </si>
  <si>
    <t>46 Total</t>
  </si>
  <si>
    <t>49 Total</t>
  </si>
  <si>
    <t>56 Total</t>
  </si>
  <si>
    <t>Grand Total</t>
  </si>
  <si>
    <t xml:space="preserve"> 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</si>
  <si>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</si>
  <si>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</si>
  <si>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</si>
  <si>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</si>
  <si>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DECEMBER 2018</t>
  </si>
  <si>
    <t>Effective October 1, 2020</t>
  </si>
  <si>
    <t>Present</t>
  </si>
  <si>
    <t>Proposed</t>
  </si>
  <si>
    <t>Current</t>
  </si>
  <si>
    <t>Base</t>
  </si>
  <si>
    <t>Line</t>
  </si>
  <si>
    <t>Sch.</t>
  </si>
  <si>
    <t>Avg Cust or</t>
  </si>
  <si>
    <t>Energy</t>
  </si>
  <si>
    <t>Demand</t>
  </si>
  <si>
    <t>Revenues</t>
  </si>
  <si>
    <t>Increase</t>
  </si>
  <si>
    <t>Rates</t>
  </si>
  <si>
    <t>No.</t>
  </si>
  <si>
    <t>Description</t>
  </si>
  <si>
    <t>Basic Chg</t>
  </si>
  <si>
    <t>(MWH)</t>
  </si>
  <si>
    <t>(MW or MVa)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</si>
  <si>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</si>
  <si>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</si>
  <si>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</si>
  <si>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</si>
  <si>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</si>
  <si>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</si>
  <si>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</si>
  <si>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</si>
  <si>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</si>
  <si>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</si>
  <si>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</si>
  <si>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</si>
  <si>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</si>
  <si>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</si>
  <si>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</si>
  <si>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</si>
  <si>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</si>
  <si>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</si>
  <si>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</si>
  <si>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</si>
  <si>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</si>
  <si>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</si>
  <si>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</si>
  <si>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</si>
  <si>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</si>
  <si>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</si>
  <si>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</si>
  <si>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</si>
  <si>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</si>
  <si>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</si>
  <si>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</si>
  <si>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</si>
  <si>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High Voltage Service</t>
  </si>
  <si>
    <t>High Voltage Interruptible Service</t>
  </si>
  <si>
    <t>High Voltage General Service</t>
  </si>
  <si>
    <t>Transportation Service</t>
  </si>
  <si>
    <t>Retail Wheeling Transporation</t>
  </si>
  <si>
    <t>449, 459</t>
  </si>
  <si>
    <t>Special Contract Service</t>
  </si>
  <si>
    <t>SC</t>
  </si>
  <si>
    <t>Street and Area Lighting</t>
  </si>
  <si>
    <t>50-59</t>
  </si>
  <si>
    <t>Total Jurisdictional Sales</t>
  </si>
  <si>
    <t>Wholesale for Resale</t>
  </si>
  <si>
    <t>005</t>
  </si>
  <si>
    <t xml:space="preserve">Total Sales </t>
  </si>
  <si>
    <t>Schedule 139</t>
  </si>
  <si>
    <t>Voluntary Long Term Renewable Energy Purchase Rider</t>
  </si>
  <si>
    <t>Calculation of the Energy Charge Credit on Sheet No. 139-E</t>
  </si>
  <si>
    <t>Line No.</t>
  </si>
  <si>
    <t>GRC Amount</t>
  </si>
  <si>
    <t>Corrected GRC Amount</t>
  </si>
  <si>
    <t>Source:</t>
  </si>
  <si>
    <t>Power Costs Embedded in Retail Rates (¢/kWh)</t>
  </si>
  <si>
    <t>Portion of Power Costs Related to Energy</t>
  </si>
  <si>
    <t>Energy Charge Credit (¢/kWh)</t>
  </si>
  <si>
    <t>Energy Charge Credit ($/kWh)</t>
  </si>
  <si>
    <t>Exhibit A-1, Docket UE-200907</t>
  </si>
  <si>
    <t>UE-190529 Order</t>
  </si>
  <si>
    <t>Net Adjustments</t>
  </si>
  <si>
    <t>% Change (Net)</t>
  </si>
  <si>
    <t>Residential</t>
  </si>
  <si>
    <t>24 (8)</t>
  </si>
  <si>
    <t>25 (11, 7A)</t>
  </si>
  <si>
    <t>26 (12,26P)</t>
  </si>
  <si>
    <t>Total Secondary</t>
  </si>
  <si>
    <t>31 (10)</t>
  </si>
  <si>
    <t>Total Primary</t>
  </si>
  <si>
    <t>Total High Voltage</t>
  </si>
  <si>
    <t>Transportation 449-459</t>
  </si>
  <si>
    <t>Special Contract</t>
  </si>
  <si>
    <t>Retail Sales</t>
  </si>
  <si>
    <t>Total Sales</t>
  </si>
  <si>
    <t>Check</t>
  </si>
  <si>
    <t>Puget Sound Energy</t>
  </si>
  <si>
    <t>Rate Impacts</t>
  </si>
  <si>
    <t>7A</t>
  </si>
  <si>
    <t>Annual kWh Delivered Sales 
07-2019 to 06-2020</t>
  </si>
  <si>
    <t>UE-190529 Unit Cost per kWh</t>
  </si>
  <si>
    <t>Estimated Annual
Base Revenue
Rates Effective
10/15/20</t>
  </si>
  <si>
    <t>Schedule 139 Effective
10-15-2020</t>
  </si>
  <si>
    <t>Schedule 139 Effective
1-1-2021</t>
  </si>
  <si>
    <t>Base Rates + Sch 139 Revenue Base Rates at 10/15/2020</t>
  </si>
  <si>
    <t>Base Rates + Sch 139 Revenue Base Rates at 1/1/2021</t>
  </si>
  <si>
    <t>Average 
Rates per KWH
at 1/1/2021</t>
  </si>
  <si>
    <t>Average 
Rates per KWH
at 10/15/2020</t>
  </si>
  <si>
    <t xml:space="preserve">
Energy
Credit</t>
  </si>
  <si>
    <t>Energy
Credit</t>
  </si>
  <si>
    <t>Green Direct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</si>
</sst>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#,##0.000_);\(#,##0.000\)"/>
    <numFmt numFmtId="168" formatCode="0.000_)"/>
    <numFmt numFmtId="169" formatCode="0.0000"/>
    <numFmt numFmtId="170" formatCode="_(* #,##0_);_(* \(#,##0\);_(* &quot;-&quot;??_);_(@_)"/>
    <numFmt numFmtId="171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name val="TimesNewRomanPS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41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quotePrefix="1" applyFont="1" applyFill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/>
    <xf numFmtId="5" fontId="3" fillId="0" borderId="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6" fontId="3" fillId="0" borderId="11" xfId="0" quotePrefix="1" applyNumberFormat="1" applyFont="1" applyFill="1" applyBorder="1" applyAlignment="1">
      <alignment horizontal="center"/>
    </xf>
    <xf numFmtId="5" fontId="3" fillId="0" borderId="9" xfId="0" quotePrefix="1" applyNumberFormat="1" applyFont="1" applyFill="1" applyBorder="1" applyAlignment="1">
      <alignment horizontal="center"/>
    </xf>
    <xf numFmtId="6" fontId="3" fillId="0" borderId="0" xfId="0" quotePrefix="1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quotePrefix="1" applyFont="1" applyFill="1"/>
    <xf numFmtId="0" fontId="7" fillId="0" borderId="0" xfId="0" quotePrefix="1" applyFont="1" applyFill="1" applyAlignment="1">
      <alignment horizontal="left"/>
    </xf>
    <xf numFmtId="37" fontId="3" fillId="0" borderId="0" xfId="0" applyNumberFormat="1" applyFont="1" applyFill="1" applyProtection="1"/>
    <xf numFmtId="166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67" fontId="3" fillId="0" borderId="0" xfId="0" applyNumberFormat="1" applyFont="1" applyFill="1" applyProtection="1"/>
    <xf numFmtId="0" fontId="8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left" indent="1"/>
    </xf>
    <xf numFmtId="37" fontId="3" fillId="0" borderId="12" xfId="0" applyNumberFormat="1" applyFont="1" applyFill="1" applyBorder="1" applyProtection="1"/>
    <xf numFmtId="166" fontId="3" fillId="0" borderId="12" xfId="0" applyNumberFormat="1" applyFont="1" applyFill="1" applyBorder="1" applyProtection="1">
      <protection locked="0"/>
    </xf>
    <xf numFmtId="10" fontId="3" fillId="0" borderId="12" xfId="0" applyNumberFormat="1" applyFont="1" applyFill="1" applyBorder="1" applyProtection="1">
      <protection locked="0"/>
    </xf>
    <xf numFmtId="167" fontId="3" fillId="0" borderId="12" xfId="0" applyNumberFormat="1" applyFont="1" applyFill="1" applyBorder="1" applyProtection="1"/>
    <xf numFmtId="166" fontId="3" fillId="0" borderId="0" xfId="0" applyNumberFormat="1" applyFont="1" applyFill="1"/>
    <xf numFmtId="10" fontId="3" fillId="0" borderId="0" xfId="0" applyNumberFormat="1" applyFont="1" applyFill="1"/>
    <xf numFmtId="0" fontId="5" fillId="0" borderId="0" xfId="0" applyFont="1" applyFill="1"/>
    <xf numFmtId="37" fontId="3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0" fontId="8" fillId="0" borderId="0" xfId="0" applyFont="1" applyFill="1"/>
    <xf numFmtId="0" fontId="5" fillId="0" borderId="0" xfId="0" quotePrefix="1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37" fontId="3" fillId="0" borderId="13" xfId="0" applyNumberFormat="1" applyFont="1" applyFill="1" applyBorder="1"/>
    <xf numFmtId="166" fontId="3" fillId="0" borderId="13" xfId="0" applyNumberFormat="1" applyFont="1" applyFill="1" applyBorder="1"/>
    <xf numFmtId="166" fontId="3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Border="1"/>
    <xf numFmtId="10" fontId="3" fillId="0" borderId="13" xfId="0" applyNumberFormat="1" applyFont="1" applyFill="1" applyBorder="1" applyProtection="1">
      <protection locked="0"/>
    </xf>
    <xf numFmtId="10" fontId="3" fillId="0" borderId="0" xfId="0" applyNumberFormat="1" applyFont="1" applyFill="1" applyBorder="1" applyProtection="1">
      <protection locked="0"/>
    </xf>
    <xf numFmtId="168" fontId="3" fillId="0" borderId="13" xfId="0" applyNumberFormat="1" applyFont="1" applyFill="1" applyBorder="1" applyProtection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4" xfId="0" quotePrefix="1" applyBorder="1" applyAlignment="1">
      <alignment horizontal="center" wrapText="1"/>
    </xf>
    <xf numFmtId="0" fontId="0" fillId="0" borderId="0" xfId="0" applyAlignment="1">
      <alignment horizont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9" fontId="12" fillId="0" borderId="0" xfId="0" applyNumberFormat="1" applyFont="1" applyAlignment="1">
      <alignment horizontal="center"/>
    </xf>
    <xf numFmtId="0" fontId="14" fillId="0" borderId="0" xfId="3" applyFont="1" applyFill="1" applyAlignment="1">
      <alignment horizontal="centerContinuous" vertical="center"/>
    </xf>
    <xf numFmtId="0" fontId="15" fillId="0" borderId="0" xfId="3" applyFont="1" applyFill="1" applyAlignment="1"/>
    <xf numFmtId="0" fontId="15" fillId="0" borderId="0" xfId="3" applyFont="1" applyFill="1"/>
    <xf numFmtId="0" fontId="15" fillId="0" borderId="0" xfId="3" quotePrefix="1" applyFont="1" applyFill="1" applyAlignment="1">
      <alignment horizontal="center"/>
    </xf>
    <xf numFmtId="0" fontId="15" fillId="0" borderId="0" xfId="3" applyFont="1" applyFill="1" applyAlignment="1">
      <alignment horizontal="center"/>
    </xf>
    <xf numFmtId="14" fontId="15" fillId="0" borderId="0" xfId="3" applyNumberFormat="1" applyFont="1" applyFill="1"/>
    <xf numFmtId="0" fontId="15" fillId="0" borderId="0" xfId="3" applyFont="1" applyFill="1" applyBorder="1" applyAlignment="1">
      <alignment horizontal="center"/>
    </xf>
    <xf numFmtId="0" fontId="15" fillId="0" borderId="9" xfId="3" applyFont="1" applyFill="1" applyBorder="1" applyAlignment="1">
      <alignment horizontal="center" wrapText="1"/>
    </xf>
    <xf numFmtId="0" fontId="15" fillId="0" borderId="9" xfId="3" quotePrefix="1" applyFont="1" applyFill="1" applyBorder="1" applyAlignment="1">
      <alignment horizontal="center" wrapText="1"/>
    </xf>
    <xf numFmtId="17" fontId="15" fillId="0" borderId="9" xfId="3" quotePrefix="1" applyNumberFormat="1" applyFont="1" applyFill="1" applyBorder="1" applyAlignment="1">
      <alignment horizontal="center" wrapText="1"/>
    </xf>
    <xf numFmtId="17" fontId="15" fillId="0" borderId="0" xfId="3" quotePrefix="1" applyNumberFormat="1" applyFont="1" applyFill="1" applyBorder="1" applyAlignment="1">
      <alignment horizontal="center" wrapText="1"/>
    </xf>
    <xf numFmtId="17" fontId="14" fillId="3" borderId="15" xfId="3" quotePrefix="1" applyNumberFormat="1" applyFont="1" applyFill="1" applyBorder="1" applyAlignment="1">
      <alignment horizontal="center" wrapText="1"/>
    </xf>
    <xf numFmtId="0" fontId="14" fillId="3" borderId="16" xfId="3" quotePrefix="1" applyFont="1" applyFill="1" applyBorder="1" applyAlignment="1">
      <alignment horizontal="center" wrapText="1"/>
    </xf>
    <xf numFmtId="170" fontId="15" fillId="0" borderId="0" xfId="3" applyNumberFormat="1" applyFont="1" applyFill="1"/>
    <xf numFmtId="165" fontId="15" fillId="0" borderId="0" xfId="4" applyNumberFormat="1" applyFont="1" applyFill="1"/>
    <xf numFmtId="165" fontId="15" fillId="0" borderId="0" xfId="3" applyNumberFormat="1" applyFont="1" applyFill="1"/>
    <xf numFmtId="165" fontId="15" fillId="0" borderId="17" xfId="3" applyNumberFormat="1" applyFont="1" applyFill="1" applyBorder="1"/>
    <xf numFmtId="165" fontId="15" fillId="0" borderId="18" xfId="3" applyNumberFormat="1" applyFont="1" applyFill="1" applyBorder="1"/>
    <xf numFmtId="165" fontId="15" fillId="3" borderId="0" xfId="3" applyNumberFormat="1" applyFont="1" applyFill="1" applyBorder="1"/>
    <xf numFmtId="171" fontId="15" fillId="0" borderId="0" xfId="3" applyNumberFormat="1" applyFont="1" applyFill="1"/>
    <xf numFmtId="170" fontId="15" fillId="0" borderId="12" xfId="3" applyNumberFormat="1" applyFont="1" applyFill="1" applyBorder="1"/>
    <xf numFmtId="165" fontId="15" fillId="0" borderId="12" xfId="4" applyNumberFormat="1" applyFont="1" applyFill="1" applyBorder="1"/>
    <xf numFmtId="165" fontId="15" fillId="0" borderId="12" xfId="3" applyNumberFormat="1" applyFont="1" applyFill="1" applyBorder="1"/>
    <xf numFmtId="165" fontId="15" fillId="0" borderId="19" xfId="3" applyNumberFormat="1" applyFont="1" applyFill="1" applyBorder="1"/>
    <xf numFmtId="165" fontId="15" fillId="0" borderId="20" xfId="3" applyNumberFormat="1" applyFont="1" applyFill="1" applyBorder="1"/>
    <xf numFmtId="165" fontId="15" fillId="3" borderId="12" xfId="3" applyNumberFormat="1" applyFont="1" applyFill="1" applyBorder="1"/>
    <xf numFmtId="170" fontId="15" fillId="0" borderId="0" xfId="3" applyNumberFormat="1" applyFont="1" applyFill="1" applyBorder="1"/>
    <xf numFmtId="165" fontId="15" fillId="0" borderId="0" xfId="4" applyNumberFormat="1" applyFont="1" applyFill="1" applyBorder="1"/>
    <xf numFmtId="165" fontId="15" fillId="0" borderId="0" xfId="3" applyNumberFormat="1" applyFont="1" applyFill="1" applyBorder="1"/>
    <xf numFmtId="170" fontId="15" fillId="0" borderId="21" xfId="3" applyNumberFormat="1" applyFont="1" applyFill="1" applyBorder="1"/>
    <xf numFmtId="165" fontId="15" fillId="0" borderId="21" xfId="4" applyNumberFormat="1" applyFont="1" applyFill="1" applyBorder="1"/>
    <xf numFmtId="165" fontId="15" fillId="0" borderId="22" xfId="4" applyNumberFormat="1" applyFont="1" applyFill="1" applyBorder="1"/>
    <xf numFmtId="165" fontId="15" fillId="0" borderId="23" xfId="4" applyNumberFormat="1" applyFont="1" applyFill="1" applyBorder="1"/>
    <xf numFmtId="165" fontId="15" fillId="3" borderId="21" xfId="4" applyNumberFormat="1" applyFont="1" applyFill="1" applyBorder="1"/>
    <xf numFmtId="165" fontId="15" fillId="3" borderId="24" xfId="3" applyNumberFormat="1" applyFont="1" applyFill="1" applyBorder="1"/>
    <xf numFmtId="165" fontId="15" fillId="3" borderId="24" xfId="4" applyNumberFormat="1" applyFont="1" applyFill="1" applyBorder="1"/>
    <xf numFmtId="0" fontId="14" fillId="0" borderId="0" xfId="3" applyFont="1" applyFill="1" applyAlignment="1">
      <alignment horizontal="centerContinuous" vertical="justify"/>
    </xf>
    <xf numFmtId="10" fontId="15" fillId="0" borderId="0" xfId="6" applyNumberFormat="1" applyFont="1" applyFill="1" applyAlignment="1"/>
    <xf numFmtId="0" fontId="15" fillId="0" borderId="14" xfId="3" applyFont="1" applyFill="1" applyBorder="1" applyAlignment="1">
      <alignment horizontal="center" wrapText="1"/>
    </xf>
    <xf numFmtId="0" fontId="15" fillId="0" borderId="14" xfId="3" quotePrefix="1" applyFont="1" applyFill="1" applyBorder="1" applyAlignment="1">
      <alignment horizontal="center" wrapText="1"/>
    </xf>
    <xf numFmtId="17" fontId="15" fillId="0" borderId="14" xfId="3" quotePrefix="1" applyNumberFormat="1" applyFont="1" applyFill="1" applyBorder="1" applyAlignment="1">
      <alignment horizontal="center" wrapText="1"/>
    </xf>
    <xf numFmtId="165" fontId="15" fillId="3" borderId="25" xfId="4" applyNumberFormat="1" applyFont="1" applyFill="1" applyBorder="1"/>
    <xf numFmtId="165" fontId="15" fillId="0" borderId="18" xfId="4" applyNumberFormat="1" applyFont="1" applyFill="1" applyBorder="1"/>
    <xf numFmtId="165" fontId="15" fillId="0" borderId="27" xfId="4" applyNumberFormat="1" applyFont="1" applyFill="1" applyBorder="1"/>
    <xf numFmtId="164" fontId="15" fillId="0" borderId="0" xfId="1" applyNumberFormat="1" applyFont="1" applyFill="1"/>
    <xf numFmtId="164" fontId="15" fillId="3" borderId="0" xfId="1" applyNumberFormat="1" applyFont="1" applyFill="1" applyBorder="1"/>
    <xf numFmtId="164" fontId="15" fillId="3" borderId="12" xfId="1" applyNumberFormat="1" applyFont="1" applyFill="1" applyBorder="1"/>
    <xf numFmtId="164" fontId="15" fillId="3" borderId="25" xfId="1" applyNumberFormat="1" applyFont="1" applyFill="1" applyBorder="1"/>
    <xf numFmtId="10" fontId="15" fillId="3" borderId="0" xfId="2" applyNumberFormat="1" applyFont="1" applyFill="1" applyBorder="1"/>
    <xf numFmtId="10" fontId="15" fillId="3" borderId="12" xfId="2" applyNumberFormat="1" applyFont="1" applyFill="1" applyBorder="1"/>
    <xf numFmtId="10" fontId="15" fillId="3" borderId="25" xfId="2" applyNumberFormat="1" applyFont="1" applyFill="1" applyBorder="1"/>
    <xf numFmtId="165" fontId="15" fillId="0" borderId="17" xfId="4" applyNumberFormat="1" applyFont="1" applyFill="1" applyBorder="1"/>
    <xf numFmtId="165" fontId="15" fillId="0" borderId="28" xfId="4" applyNumberFormat="1" applyFont="1" applyFill="1" applyBorder="1"/>
    <xf numFmtId="17" fontId="15" fillId="0" borderId="1" xfId="3" quotePrefix="1" applyNumberFormat="1" applyFont="1" applyFill="1" applyBorder="1" applyAlignment="1">
      <alignment horizontal="center" wrapText="1"/>
    </xf>
    <xf numFmtId="17" fontId="15" fillId="0" borderId="3" xfId="3" quotePrefix="1" applyNumberFormat="1" applyFont="1" applyFill="1" applyBorder="1" applyAlignment="1">
      <alignment horizontal="center" wrapText="1"/>
    </xf>
    <xf numFmtId="164" fontId="15" fillId="0" borderId="9" xfId="1" quotePrefix="1" applyNumberFormat="1" applyFont="1" applyFill="1" applyBorder="1" applyAlignment="1">
      <alignment horizontal="center" wrapText="1"/>
    </xf>
    <xf numFmtId="164" fontId="15" fillId="3" borderId="21" xfId="1" applyNumberFormat="1" applyFont="1" applyFill="1" applyBorder="1"/>
    <xf numFmtId="164" fontId="15" fillId="3" borderId="24" xfId="1" applyNumberFormat="1" applyFont="1" applyFill="1" applyBorder="1"/>
    <xf numFmtId="165" fontId="15" fillId="0" borderId="29" xfId="4" applyNumberFormat="1" applyFont="1" applyFill="1" applyBorder="1"/>
    <xf numFmtId="165" fontId="15" fillId="0" borderId="26" xfId="4" applyNumberFormat="1" applyFont="1" applyFill="1" applyBorder="1"/>
    <xf numFmtId="165" fontId="15" fillId="3" borderId="17" xfId="3" applyNumberFormat="1" applyFont="1" applyFill="1" applyBorder="1"/>
    <xf numFmtId="10" fontId="15" fillId="3" borderId="18" xfId="2" applyNumberFormat="1" applyFont="1" applyFill="1" applyBorder="1"/>
    <xf numFmtId="165" fontId="15" fillId="3" borderId="19" xfId="3" applyNumberFormat="1" applyFont="1" applyFill="1" applyBorder="1"/>
    <xf numFmtId="10" fontId="15" fillId="3" borderId="20" xfId="2" applyNumberFormat="1" applyFont="1" applyFill="1" applyBorder="1"/>
    <xf numFmtId="165" fontId="15" fillId="3" borderId="22" xfId="4" applyNumberFormat="1" applyFont="1" applyFill="1" applyBorder="1"/>
    <xf numFmtId="10" fontId="15" fillId="3" borderId="23" xfId="2" applyNumberFormat="1" applyFont="1" applyFill="1" applyBorder="1"/>
    <xf numFmtId="165" fontId="15" fillId="3" borderId="28" xfId="3" applyNumberFormat="1" applyFont="1" applyFill="1" applyBorder="1"/>
    <xf numFmtId="10" fontId="15" fillId="3" borderId="27" xfId="2" applyNumberFormat="1" applyFont="1" applyFill="1" applyBorder="1"/>
    <xf numFmtId="165" fontId="15" fillId="3" borderId="28" xfId="4" applyNumberFormat="1" applyFont="1" applyFill="1" applyBorder="1"/>
    <xf numFmtId="17" fontId="14" fillId="3" borderId="1" xfId="3" quotePrefix="1" applyNumberFormat="1" applyFont="1" applyFill="1" applyBorder="1" applyAlignment="1">
      <alignment horizontal="center" wrapText="1"/>
    </xf>
    <xf numFmtId="17" fontId="14" fillId="3" borderId="2" xfId="3" quotePrefix="1" applyNumberFormat="1" applyFont="1" applyFill="1" applyBorder="1" applyAlignment="1">
      <alignment horizontal="center" wrapText="1"/>
    </xf>
    <xf numFmtId="0" fontId="14" fillId="3" borderId="3" xfId="3" quotePrefix="1" applyFont="1" applyFill="1" applyBorder="1" applyAlignment="1">
      <alignment horizontal="center" wrapText="1"/>
    </xf>
    <xf numFmtId="0" fontId="15" fillId="0" borderId="0" xfId="3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quotePrefix="1" applyFont="1" applyFill="1" applyBorder="1" applyAlignment="1">
      <alignment horizontal="center" wrapText="1"/>
    </xf>
    <xf numFmtId="0" fontId="2" fillId="2" borderId="4" xfId="0" quotePrefix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7">
    <cellStyle name="Comma 2" xfId="5"/>
    <cellStyle name="Currency" xfId="1" builtinId="4"/>
    <cellStyle name="Currency 2" xfId="4"/>
    <cellStyle name="Normal" xfId="0" builtinId="0"/>
    <cellStyle name="Normal 2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5</xdr:col>
      <xdr:colOff>84862</xdr:colOff>
      <xdr:row>41</xdr:row>
      <xdr:rowOff>170809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276600"/>
          <a:ext cx="6904762" cy="51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Rate%20Filings/Rate%20Impacts/2021/Effective%201-1-2021/Electric_RateImpacts_Combined_Effective_01-01-21_(DRAFT-sch%2013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20%20PCORC/BDJ%20Exhibits%20(Draft)/NEW-PSE-WP-BDJ-5.01-PCORC-RATE-IMPACTS-SCH139-20PCORC-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Tariff_RateImpacts"/>
      <sheetName val="Schedule_RateImpacts"/>
      <sheetName val="Typical Residential Notice"/>
      <sheetName val="Forecast-&gt;"/>
      <sheetName val="F2020 Annualized Revenue"/>
      <sheetName val="UE-190529 Compliance Rev"/>
      <sheetName val="F2020 Sch Level Delivered Load"/>
      <sheetName val="F2020 Demand"/>
      <sheetName val="F2020 Customers"/>
      <sheetName val="Rider Revenue Impacts-&gt;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1X"/>
      <sheetName val="Sch 141Y"/>
      <sheetName val="Sch 141Z"/>
      <sheetName val="Sch 142 Deferral"/>
      <sheetName val="Sch 194"/>
      <sheetName val="Proposed Filing 12-01-2020-&gt; "/>
      <sheetName val="UE-20xxxx Sch 137"/>
      <sheetName val="Compliance Filings-&gt;"/>
      <sheetName val="UE-20xxxx Sch 95"/>
      <sheetName val="UE-20xxxx Sch 95A"/>
      <sheetName val="UE-200142 Sch 120"/>
      <sheetName val="UE-200770 Sch 129"/>
      <sheetName val="UE-180976 Sch 132"/>
      <sheetName val="UE-200269 Sch 140"/>
      <sheetName val="UE-180899 Sch141+141X"/>
      <sheetName val="UE-190529 Sch 141X &amp; 141Z"/>
      <sheetName val="UE-200661 Sch 141Y"/>
      <sheetName val="UE-190529 Sch 142"/>
      <sheetName val="UE-190753 Sch 194"/>
    </sheetNames>
    <sheetDataSet>
      <sheetData sheetId="0">
        <row r="8">
          <cell r="B8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39 Eff 6-1-2021"/>
      <sheetName val="Sch 139 Eff 1-1-2021"/>
      <sheetName val="Sch 139 Eff 10-15-2020"/>
      <sheetName val="Sch 139 Credit Calculation"/>
    </sheetNames>
    <sheetDataSet>
      <sheetData sheetId="0"/>
      <sheetData sheetId="1"/>
      <sheetData sheetId="2">
        <row r="7">
          <cell r="C7" t="str">
            <v>13902SW10</v>
          </cell>
          <cell r="D7">
            <v>12276</v>
          </cell>
        </row>
        <row r="8">
          <cell r="C8" t="str">
            <v>13902SW20</v>
          </cell>
          <cell r="D8">
            <v>950</v>
          </cell>
        </row>
        <row r="9">
          <cell r="C9" t="str">
            <v>13903SW10</v>
          </cell>
          <cell r="D9">
            <v>219154</v>
          </cell>
        </row>
        <row r="11">
          <cell r="C11" t="str">
            <v>13902SW10</v>
          </cell>
          <cell r="D11">
            <v>19851115</v>
          </cell>
        </row>
        <row r="12">
          <cell r="C12" t="str">
            <v>13902SW15</v>
          </cell>
          <cell r="D12">
            <v>1286627</v>
          </cell>
        </row>
        <row r="13">
          <cell r="C13" t="str">
            <v>13902SW20</v>
          </cell>
          <cell r="D13">
            <v>13939582</v>
          </cell>
        </row>
        <row r="14">
          <cell r="C14" t="str">
            <v>13903SW10</v>
          </cell>
          <cell r="D14">
            <v>128762542</v>
          </cell>
        </row>
        <row r="15">
          <cell r="C15" t="str">
            <v>13903SW15</v>
          </cell>
          <cell r="D15">
            <v>16733481</v>
          </cell>
        </row>
        <row r="16">
          <cell r="C16" t="str">
            <v>13903SW18</v>
          </cell>
          <cell r="D16">
            <v>119378797</v>
          </cell>
        </row>
        <row r="18">
          <cell r="C18" t="str">
            <v>13902SW10</v>
          </cell>
          <cell r="D18">
            <v>34489778</v>
          </cell>
        </row>
        <row r="19">
          <cell r="C19" t="str">
            <v>13902SW15</v>
          </cell>
          <cell r="D19">
            <v>2567360</v>
          </cell>
        </row>
        <row r="20">
          <cell r="C20" t="str">
            <v>13902SW20</v>
          </cell>
          <cell r="D20">
            <v>22271871</v>
          </cell>
        </row>
        <row r="21">
          <cell r="C21" t="str">
            <v>13903SW10</v>
          </cell>
          <cell r="D21">
            <v>15146072.066999998</v>
          </cell>
        </row>
        <row r="22">
          <cell r="C22" t="str">
            <v>13903SW15</v>
          </cell>
          <cell r="D22">
            <v>5197067</v>
          </cell>
        </row>
        <row r="23">
          <cell r="C23" t="str">
            <v>13903SW18</v>
          </cell>
          <cell r="D23">
            <v>3105262</v>
          </cell>
        </row>
        <row r="25">
          <cell r="C25" t="str">
            <v>13902SW10</v>
          </cell>
          <cell r="D25">
            <v>47638522</v>
          </cell>
        </row>
        <row r="26">
          <cell r="C26" t="str">
            <v>13902SW15</v>
          </cell>
          <cell r="D26">
            <v>12063140</v>
          </cell>
        </row>
        <row r="27">
          <cell r="C27" t="str">
            <v>13902SW20</v>
          </cell>
          <cell r="D27">
            <v>1816680</v>
          </cell>
        </row>
        <row r="28">
          <cell r="C28" t="str">
            <v>13903SW10</v>
          </cell>
          <cell r="D28">
            <v>19900255.100000001</v>
          </cell>
        </row>
        <row r="29">
          <cell r="C29" t="str">
            <v>13903SW15</v>
          </cell>
          <cell r="D29">
            <v>1134408</v>
          </cell>
        </row>
        <row r="30">
          <cell r="C30" t="str">
            <v>13903SW18</v>
          </cell>
          <cell r="D30">
            <v>2501209</v>
          </cell>
        </row>
        <row r="32">
          <cell r="C32" t="str">
            <v>13902SW10</v>
          </cell>
          <cell r="D32">
            <v>26141541</v>
          </cell>
        </row>
        <row r="33">
          <cell r="C33" t="str">
            <v>13902SW20</v>
          </cell>
          <cell r="D33">
            <v>23368572</v>
          </cell>
        </row>
        <row r="34">
          <cell r="C34" t="str">
            <v>13903SW10</v>
          </cell>
          <cell r="D34">
            <v>20373987</v>
          </cell>
        </row>
        <row r="35">
          <cell r="C35" t="str">
            <v>13903SW15</v>
          </cell>
          <cell r="D35">
            <v>45294</v>
          </cell>
        </row>
        <row r="36">
          <cell r="C36" t="str">
            <v>13903SW18</v>
          </cell>
          <cell r="D36">
            <v>502981</v>
          </cell>
        </row>
        <row r="38">
          <cell r="C38" t="str">
            <v>13903SW10</v>
          </cell>
          <cell r="D38">
            <v>1472003</v>
          </cell>
        </row>
        <row r="40">
          <cell r="C40" t="str">
            <v>13902SW20</v>
          </cell>
          <cell r="D40">
            <v>13118192</v>
          </cell>
        </row>
        <row r="42">
          <cell r="C42" t="str">
            <v>13902SW10</v>
          </cell>
          <cell r="D42">
            <v>98878991</v>
          </cell>
        </row>
        <row r="43">
          <cell r="C43" t="str">
            <v>13902SW20</v>
          </cell>
          <cell r="D43">
            <v>27474183</v>
          </cell>
        </row>
        <row r="45">
          <cell r="C45" t="str">
            <v>13903SW10</v>
          </cell>
          <cell r="D45">
            <v>983.91199999999969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Normal="100" workbookViewId="0">
      <pane xSplit="5" ySplit="7" topLeftCell="F8" activePane="bottomRight" state="frozen"/>
      <selection activeCell="V18" sqref="V18"/>
      <selection pane="topRight" activeCell="V18" sqref="V18"/>
      <selection pane="bottomLeft" activeCell="V18" sqref="V18"/>
      <selection pane="bottomRight" activeCell="N22" sqref="N22"/>
    </sheetView>
  </sheetViews>
  <sheetFormatPr defaultColWidth="6.26953125" defaultRowHeight="10"/>
  <cols>
    <col min="1" max="1" width="3.81640625" style="67" bestFit="1" customWidth="1"/>
    <col min="2" max="2" width="17.453125" style="67" bestFit="1" customWidth="1"/>
    <col min="3" max="3" width="14.7265625" style="67" customWidth="1"/>
    <col min="4" max="4" width="9.81640625" style="67" customWidth="1"/>
    <col min="5" max="5" width="13.7265625" style="67" bestFit="1" customWidth="1"/>
    <col min="6" max="6" width="1.7265625" style="67" customWidth="1"/>
    <col min="7" max="8" width="11.1796875" style="67" customWidth="1"/>
    <col min="9" max="10" width="11.26953125" style="67" customWidth="1"/>
    <col min="11" max="11" width="12.81640625" style="67" bestFit="1" customWidth="1"/>
    <col min="12" max="12" width="12.453125" style="67" bestFit="1" customWidth="1"/>
    <col min="13" max="13" width="9.453125" style="67" customWidth="1"/>
    <col min="14" max="14" width="7.453125" style="67" bestFit="1" customWidth="1"/>
    <col min="15" max="16384" width="6.26953125" style="67"/>
  </cols>
  <sheetData>
    <row r="1" spans="1:15" ht="10.5">
      <c r="A1" s="65" t="str">
        <f>Schedule_RateImpacts!A1</f>
        <v>Puget Sound Energy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</row>
    <row r="2" spans="1:15" ht="10.5">
      <c r="A2" s="65" t="str">
        <f>Schedule_RateImpacts!A2</f>
        <v>Rate Impacts</v>
      </c>
      <c r="B2" s="65"/>
      <c r="C2" s="65"/>
      <c r="D2" s="65"/>
      <c r="E2" s="65"/>
      <c r="F2" s="66"/>
      <c r="G2" s="66"/>
      <c r="H2" s="66"/>
      <c r="I2" s="66"/>
      <c r="J2" s="66"/>
      <c r="K2" s="66"/>
      <c r="L2" s="66"/>
      <c r="M2" s="66"/>
    </row>
    <row r="3" spans="1:15" ht="10.5">
      <c r="A3" s="65" t="str">
        <f>"Test Year Ended "&amp;TEXT([1]Controls!B8,"mmmm d, yyyy")</f>
        <v>Test Year Ended December 31, 2021</v>
      </c>
      <c r="B3" s="65"/>
      <c r="C3" s="65"/>
      <c r="D3" s="65"/>
      <c r="E3" s="65"/>
      <c r="F3" s="66"/>
      <c r="G3" s="66"/>
      <c r="H3" s="66"/>
      <c r="I3" s="66"/>
      <c r="J3" s="66"/>
      <c r="K3" s="66"/>
      <c r="L3" s="66"/>
      <c r="M3" s="66"/>
    </row>
    <row r="4" spans="1:15">
      <c r="A4" s="137"/>
      <c r="B4" s="13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>
      <c r="A5" s="68"/>
      <c r="B5" s="69"/>
      <c r="C5" s="69"/>
      <c r="D5" s="69"/>
      <c r="E5" s="69"/>
      <c r="G5" s="69"/>
      <c r="H5" s="69"/>
    </row>
    <row r="6" spans="1:15" ht="10.5" thickBot="1">
      <c r="A6" s="68"/>
      <c r="B6" s="69"/>
      <c r="C6" s="69"/>
      <c r="D6" s="69"/>
      <c r="E6" s="69"/>
      <c r="F6" s="70"/>
      <c r="G6" s="69"/>
      <c r="H6" s="69"/>
      <c r="I6" s="71"/>
      <c r="J6" s="71"/>
    </row>
    <row r="7" spans="1:15" ht="56.25" customHeight="1" thickBot="1">
      <c r="A7" s="72" t="s">
        <v>91</v>
      </c>
      <c r="B7" s="72" t="s">
        <v>4</v>
      </c>
      <c r="C7" s="73" t="str">
        <f>Schedule_RateImpacts!C7</f>
        <v>Annual kWh Delivered Sales 
07-2019 to 06-2020</v>
      </c>
      <c r="D7" s="120" t="str">
        <f>Schedule_RateImpacts!D7</f>
        <v>UE-190529 Unit Cost per kWh</v>
      </c>
      <c r="E7" s="74" t="str">
        <f>Schedule_RateImpacts!E7</f>
        <v>Estimated Annual
Base Revenue
Rates Effective
10/15/20</v>
      </c>
      <c r="F7" s="75"/>
      <c r="G7" s="118" t="str">
        <f>Schedule_RateImpacts!G7</f>
        <v>Schedule 139 Effective
10-15-2020</v>
      </c>
      <c r="H7" s="119" t="str">
        <f>Schedule_RateImpacts!H7</f>
        <v>Schedule 139 Effective
1-1-2021</v>
      </c>
      <c r="I7" s="134" t="s">
        <v>101</v>
      </c>
      <c r="J7" s="135" t="s">
        <v>124</v>
      </c>
      <c r="K7" s="135" t="s">
        <v>125</v>
      </c>
      <c r="L7" s="135" t="s">
        <v>127</v>
      </c>
      <c r="M7" s="135" t="s">
        <v>126</v>
      </c>
      <c r="N7" s="136" t="s">
        <v>102</v>
      </c>
    </row>
    <row r="8" spans="1:15">
      <c r="A8" s="69">
        <v>1</v>
      </c>
      <c r="B8" s="68" t="s">
        <v>104</v>
      </c>
      <c r="C8" s="78">
        <f>SUM(Schedule_RateImpacts!C11:C12)</f>
        <v>299952144</v>
      </c>
      <c r="D8" s="109">
        <f>SUM(Schedule_RateImpacts!D11:D12)</f>
        <v>0.10341772813074833</v>
      </c>
      <c r="E8" s="79">
        <f>SUM(Schedule_RateImpacts!E11:E12)</f>
        <v>31020369</v>
      </c>
      <c r="G8" s="81">
        <f>SUM(Schedule_RateImpacts!G11:G12)</f>
        <v>-393006</v>
      </c>
      <c r="H8" s="82">
        <f>SUM(Schedule_RateImpacts!H11:H12)</f>
        <v>-167743</v>
      </c>
      <c r="I8" s="125">
        <f t="shared" ref="I8:I10" si="0">+H8-G8</f>
        <v>225263</v>
      </c>
      <c r="J8" s="83">
        <f t="shared" ref="J8:J10" si="1">SUM(E8,G8)</f>
        <v>30627363</v>
      </c>
      <c r="K8" s="83">
        <f t="shared" ref="K8:K10" si="2">SUM(E8,H8)</f>
        <v>30852626</v>
      </c>
      <c r="L8" s="110">
        <f t="shared" ref="L8:L12" si="3">J8/C8</f>
        <v>0.10210749818811096</v>
      </c>
      <c r="M8" s="110">
        <f t="shared" ref="M8:M10" si="4">K8/C8</f>
        <v>0.10285849465373383</v>
      </c>
      <c r="N8" s="126">
        <f t="shared" ref="N8:N12" si="5">I8/J8</f>
        <v>7.3549590279776943E-3</v>
      </c>
      <c r="O8" s="84"/>
    </row>
    <row r="9" spans="1:15">
      <c r="A9" s="69">
        <f t="shared" ref="A9:A22" si="6">+A8+1</f>
        <v>2</v>
      </c>
      <c r="B9" s="68" t="s">
        <v>105</v>
      </c>
      <c r="C9" s="78">
        <f>SUM(Schedule_RateImpacts!C13:C15)</f>
        <v>82777410.067000002</v>
      </c>
      <c r="D9" s="109">
        <f>SUM(Schedule_RateImpacts!D13:D15)</f>
        <v>9.4194555577525416E-2</v>
      </c>
      <c r="E9" s="79">
        <f>SUM(Schedule_RateImpacts!E13:E15)</f>
        <v>7797181</v>
      </c>
      <c r="G9" s="81">
        <f>SUM(Schedule_RateImpacts!G13:G15)</f>
        <v>-104076</v>
      </c>
      <c r="H9" s="82">
        <f>SUM(Schedule_RateImpacts!H13:H15)</f>
        <v>-41909</v>
      </c>
      <c r="I9" s="125">
        <f t="shared" si="0"/>
        <v>62167</v>
      </c>
      <c r="J9" s="83">
        <f t="shared" si="1"/>
        <v>7693105</v>
      </c>
      <c r="K9" s="83">
        <f t="shared" si="2"/>
        <v>7755272</v>
      </c>
      <c r="L9" s="110">
        <f t="shared" si="3"/>
        <v>9.2937251766794876E-2</v>
      </c>
      <c r="M9" s="110">
        <f t="shared" si="4"/>
        <v>9.3688265841162299E-2</v>
      </c>
      <c r="N9" s="126">
        <f t="shared" si="5"/>
        <v>8.0808724175739192E-3</v>
      </c>
      <c r="O9" s="84"/>
    </row>
    <row r="10" spans="1:15">
      <c r="A10" s="69">
        <f t="shared" si="6"/>
        <v>3</v>
      </c>
      <c r="B10" s="68" t="s">
        <v>106</v>
      </c>
      <c r="C10" s="78">
        <f>SUM(Schedule_RateImpacts!C16:C17)</f>
        <v>85054214.099999994</v>
      </c>
      <c r="D10" s="109">
        <f>SUM(Schedule_RateImpacts!D16:D17)</f>
        <v>8.6315204353471453E-2</v>
      </c>
      <c r="E10" s="79">
        <f>SUM(Schedule_RateImpacts!E16:E17)</f>
        <v>7341472</v>
      </c>
      <c r="G10" s="81">
        <f>SUM(Schedule_RateImpacts!G16:G17)</f>
        <v>-98556</v>
      </c>
      <c r="H10" s="82">
        <f>SUM(Schedule_RateImpacts!H16:H17)</f>
        <v>-34680</v>
      </c>
      <c r="I10" s="125">
        <f t="shared" si="0"/>
        <v>63876</v>
      </c>
      <c r="J10" s="83">
        <f t="shared" si="1"/>
        <v>7242916</v>
      </c>
      <c r="K10" s="83">
        <f t="shared" si="2"/>
        <v>7306792</v>
      </c>
      <c r="L10" s="110">
        <f t="shared" si="3"/>
        <v>8.5156462576731998E-2</v>
      </c>
      <c r="M10" s="110">
        <f t="shared" si="4"/>
        <v>8.5907465930015581E-2</v>
      </c>
      <c r="N10" s="126">
        <f t="shared" si="5"/>
        <v>8.819099931574521E-3</v>
      </c>
      <c r="O10" s="84"/>
    </row>
    <row r="11" spans="1:15">
      <c r="A11" s="69">
        <f t="shared" si="6"/>
        <v>4</v>
      </c>
      <c r="B11" s="69">
        <v>29</v>
      </c>
      <c r="C11" s="78"/>
      <c r="D11" s="109"/>
      <c r="E11" s="79"/>
      <c r="G11" s="81"/>
      <c r="H11" s="82"/>
      <c r="I11" s="125"/>
      <c r="J11" s="83"/>
      <c r="K11" s="83"/>
      <c r="L11" s="110"/>
      <c r="M11" s="110"/>
      <c r="N11" s="126"/>
      <c r="O11" s="84"/>
    </row>
    <row r="12" spans="1:15">
      <c r="A12" s="69">
        <f t="shared" si="6"/>
        <v>5</v>
      </c>
      <c r="B12" s="68" t="s">
        <v>107</v>
      </c>
      <c r="C12" s="85">
        <f>SUM(C8:C11)</f>
        <v>467783768.16700006</v>
      </c>
      <c r="D12" s="109"/>
      <c r="E12" s="86">
        <f t="shared" ref="E12" si="7">SUM(E8:E11)</f>
        <v>46159022</v>
      </c>
      <c r="G12" s="88">
        <f t="shared" ref="G12:K12" si="8">SUM(G8:G11)</f>
        <v>-595638</v>
      </c>
      <c r="H12" s="89">
        <f t="shared" si="8"/>
        <v>-244332</v>
      </c>
      <c r="I12" s="127">
        <f t="shared" si="8"/>
        <v>351306</v>
      </c>
      <c r="J12" s="90">
        <f t="shared" si="8"/>
        <v>45563384</v>
      </c>
      <c r="K12" s="90">
        <f t="shared" si="8"/>
        <v>45914690</v>
      </c>
      <c r="L12" s="111">
        <f t="shared" si="3"/>
        <v>9.7402661444494054E-2</v>
      </c>
      <c r="M12" s="111">
        <f>K12/C12</f>
        <v>9.815366227844044E-2</v>
      </c>
      <c r="N12" s="128">
        <f t="shared" si="5"/>
        <v>7.7102701590382313E-3</v>
      </c>
      <c r="O12" s="84"/>
    </row>
    <row r="13" spans="1:15">
      <c r="A13" s="69">
        <f t="shared" si="6"/>
        <v>6</v>
      </c>
      <c r="B13" s="69"/>
      <c r="C13" s="78"/>
      <c r="D13" s="109"/>
      <c r="E13" s="79"/>
      <c r="G13" s="81"/>
      <c r="H13" s="82"/>
      <c r="I13" s="125"/>
      <c r="J13" s="83"/>
      <c r="K13" s="83"/>
      <c r="L13" s="110"/>
      <c r="M13" s="110"/>
      <c r="N13" s="126"/>
    </row>
    <row r="14" spans="1:15">
      <c r="A14" s="69">
        <f t="shared" si="6"/>
        <v>7</v>
      </c>
      <c r="B14" s="69" t="s">
        <v>108</v>
      </c>
      <c r="C14" s="78">
        <f>SUM(Schedule_RateImpacts!C21:C22)</f>
        <v>70432375</v>
      </c>
      <c r="D14" s="109">
        <f>SUM(Schedule_RateImpacts!D21:D22)</f>
        <v>8.5286764520818195E-2</v>
      </c>
      <c r="E14" s="79">
        <f>SUM(Schedule_RateImpacts!E21:E22)</f>
        <v>6006949</v>
      </c>
      <c r="G14" s="81">
        <f>SUM(Schedule_RateImpacts!G21:G22)</f>
        <v>-87808</v>
      </c>
      <c r="H14" s="82">
        <f>SUM(Schedule_RateImpacts!H21:H22)</f>
        <v>-34913</v>
      </c>
      <c r="I14" s="125">
        <f t="shared" ref="I14:I15" si="9">+H14-G14</f>
        <v>52895</v>
      </c>
      <c r="J14" s="83">
        <f t="shared" ref="J14:J15" si="10">SUM(E14,G14)</f>
        <v>5919141</v>
      </c>
      <c r="K14" s="83">
        <f t="shared" ref="K14:K15" si="11">SUM(E14,H14)</f>
        <v>5972036</v>
      </c>
      <c r="L14" s="110">
        <f t="shared" ref="L14:L16" si="12">J14/C14</f>
        <v>8.4040059702658043E-2</v>
      </c>
      <c r="M14" s="110">
        <f t="shared" ref="M14:M15" si="13">K14/C14</f>
        <v>8.4791063768614935E-2</v>
      </c>
      <c r="N14" s="126">
        <f t="shared" ref="N14:N16" si="14">I14/J14</f>
        <v>8.9362628800361398E-3</v>
      </c>
      <c r="O14" s="84"/>
    </row>
    <row r="15" spans="1:15">
      <c r="A15" s="69">
        <f t="shared" si="6"/>
        <v>8</v>
      </c>
      <c r="B15" s="69">
        <v>43</v>
      </c>
      <c r="C15" s="78">
        <f>+Schedule_RateImpacts!C24</f>
        <v>1472003</v>
      </c>
      <c r="D15" s="109">
        <f>+Schedule_RateImpacts!D24</f>
        <v>9.2336768479502979E-2</v>
      </c>
      <c r="E15" s="79">
        <f>+Schedule_RateImpacts!E24</f>
        <v>135920</v>
      </c>
      <c r="G15" s="81">
        <f>+Schedule_RateImpacts!G24</f>
        <v>-1610</v>
      </c>
      <c r="H15" s="82">
        <f>+Schedule_RateImpacts!H24</f>
        <v>-505</v>
      </c>
      <c r="I15" s="125">
        <f t="shared" si="9"/>
        <v>1105</v>
      </c>
      <c r="J15" s="83">
        <f t="shared" si="10"/>
        <v>134310</v>
      </c>
      <c r="K15" s="83">
        <f t="shared" si="11"/>
        <v>135415</v>
      </c>
      <c r="L15" s="110">
        <f t="shared" si="12"/>
        <v>9.1243020564496138E-2</v>
      </c>
      <c r="M15" s="110">
        <f t="shared" si="13"/>
        <v>9.1993698382408187E-2</v>
      </c>
      <c r="N15" s="126">
        <f t="shared" si="14"/>
        <v>8.227235499962772E-3</v>
      </c>
      <c r="O15" s="84"/>
    </row>
    <row r="16" spans="1:15">
      <c r="A16" s="69">
        <f t="shared" si="6"/>
        <v>9</v>
      </c>
      <c r="B16" s="68" t="s">
        <v>109</v>
      </c>
      <c r="C16" s="85">
        <f>SUM(C14:C15)</f>
        <v>71904378</v>
      </c>
      <c r="D16" s="109"/>
      <c r="E16" s="86">
        <f>SUM(E14:E15)</f>
        <v>6142869</v>
      </c>
      <c r="G16" s="88">
        <f>SUM(G14:G15)</f>
        <v>-89418</v>
      </c>
      <c r="H16" s="89">
        <f>SUM(H14:H15)</f>
        <v>-35418</v>
      </c>
      <c r="I16" s="127">
        <f>SUM(I14:I15)</f>
        <v>54000</v>
      </c>
      <c r="J16" s="90">
        <f>SUM(J14:J15)</f>
        <v>6053451</v>
      </c>
      <c r="K16" s="90">
        <f>SUM(K14:K15)</f>
        <v>6107451</v>
      </c>
      <c r="L16" s="111">
        <f t="shared" si="12"/>
        <v>8.4187516370699988E-2</v>
      </c>
      <c r="M16" s="111">
        <f>K16/C16</f>
        <v>8.4938513757813194E-2</v>
      </c>
      <c r="N16" s="128">
        <f t="shared" si="14"/>
        <v>8.920531445616723E-3</v>
      </c>
      <c r="O16" s="84"/>
    </row>
    <row r="17" spans="1:15">
      <c r="A17" s="69">
        <f t="shared" si="6"/>
        <v>10</v>
      </c>
      <c r="B17" s="69"/>
      <c r="C17" s="78"/>
      <c r="D17" s="109"/>
      <c r="E17" s="79"/>
      <c r="G17" s="81"/>
      <c r="H17" s="82"/>
      <c r="I17" s="125"/>
      <c r="J17" s="83"/>
      <c r="K17" s="83"/>
      <c r="L17" s="110"/>
      <c r="M17" s="110"/>
      <c r="N17" s="126"/>
    </row>
    <row r="18" spans="1:15">
      <c r="A18" s="69">
        <f t="shared" si="6"/>
        <v>11</v>
      </c>
      <c r="B18" s="69">
        <v>46</v>
      </c>
      <c r="C18" s="78">
        <f>+Schedule_RateImpacts!C27</f>
        <v>13118192</v>
      </c>
      <c r="D18" s="109">
        <f>+Schedule_RateImpacts!D27</f>
        <v>6.9216090996710056E-2</v>
      </c>
      <c r="E18" s="79">
        <f>+Schedule_RateImpacts!E27</f>
        <v>907990</v>
      </c>
      <c r="G18" s="81">
        <f>+Schedule_RateImpacts!G27</f>
        <v>-20254</v>
      </c>
      <c r="H18" s="82">
        <f>+Schedule_RateImpacts!H27</f>
        <v>-10403</v>
      </c>
      <c r="I18" s="125">
        <f t="shared" ref="I18:I19" si="15">+H18-G18</f>
        <v>9851</v>
      </c>
      <c r="J18" s="83">
        <f t="shared" ref="J18:J19" si="16">SUM(E18,G18)</f>
        <v>887736</v>
      </c>
      <c r="K18" s="83">
        <f t="shared" ref="K18:K19" si="17">SUM(E18,H18)</f>
        <v>897587</v>
      </c>
      <c r="L18" s="110">
        <f t="shared" ref="L18:L20" si="18">J18/C18</f>
        <v>6.7672130427729668E-2</v>
      </c>
      <c r="M18" s="110">
        <f t="shared" ref="M18:M19" si="19">K18/C18</f>
        <v>6.8423072325820511E-2</v>
      </c>
      <c r="N18" s="126">
        <f t="shared" ref="N18:N20" si="20">I18/J18</f>
        <v>1.1096767507457172E-2</v>
      </c>
      <c r="O18" s="84"/>
    </row>
    <row r="19" spans="1:15">
      <c r="A19" s="69">
        <f t="shared" si="6"/>
        <v>12</v>
      </c>
      <c r="B19" s="69">
        <v>49</v>
      </c>
      <c r="C19" s="78">
        <f>+Schedule_RateImpacts!C28</f>
        <v>126353174</v>
      </c>
      <c r="D19" s="109">
        <f>+Schedule_RateImpacts!D28</f>
        <v>6.7341271157105323E-2</v>
      </c>
      <c r="E19" s="79">
        <f>+Schedule_RateImpacts!E28</f>
        <v>8508783</v>
      </c>
      <c r="G19" s="81">
        <f>+Schedule_RateImpacts!G28</f>
        <v>-150594</v>
      </c>
      <c r="H19" s="82">
        <f>+Schedule_RateImpacts!H28</f>
        <v>-55702</v>
      </c>
      <c r="I19" s="125">
        <f t="shared" si="15"/>
        <v>94892</v>
      </c>
      <c r="J19" s="83">
        <f t="shared" si="16"/>
        <v>8358189</v>
      </c>
      <c r="K19" s="83">
        <f t="shared" si="17"/>
        <v>8453081</v>
      </c>
      <c r="L19" s="110">
        <f t="shared" si="18"/>
        <v>6.6149418612942795E-2</v>
      </c>
      <c r="M19" s="110">
        <f t="shared" si="19"/>
        <v>6.6900424677895309E-2</v>
      </c>
      <c r="N19" s="126">
        <f t="shared" si="20"/>
        <v>1.1353177105710341E-2</v>
      </c>
      <c r="O19" s="84"/>
    </row>
    <row r="20" spans="1:15">
      <c r="A20" s="69">
        <f t="shared" si="6"/>
        <v>13</v>
      </c>
      <c r="B20" s="69" t="s">
        <v>110</v>
      </c>
      <c r="C20" s="85">
        <f>SUM(C18:C19)</f>
        <v>139471366</v>
      </c>
      <c r="D20" s="109"/>
      <c r="E20" s="86">
        <f>SUM(E18:E19)</f>
        <v>9416773</v>
      </c>
      <c r="G20" s="88">
        <f t="shared" ref="G20:K20" si="21">SUM(G18:G19)</f>
        <v>-170848</v>
      </c>
      <c r="H20" s="89">
        <f t="shared" si="21"/>
        <v>-66105</v>
      </c>
      <c r="I20" s="127">
        <f t="shared" si="21"/>
        <v>104743</v>
      </c>
      <c r="J20" s="90">
        <f t="shared" si="21"/>
        <v>9245925</v>
      </c>
      <c r="K20" s="90">
        <f t="shared" si="21"/>
        <v>9350668</v>
      </c>
      <c r="L20" s="111">
        <f t="shared" si="18"/>
        <v>6.6292639594567396E-2</v>
      </c>
      <c r="M20" s="111">
        <f>K20/C20</f>
        <v>6.7043639624207882E-2</v>
      </c>
      <c r="N20" s="128">
        <f t="shared" si="20"/>
        <v>1.1328558256745539E-2</v>
      </c>
      <c r="O20" s="84"/>
    </row>
    <row r="21" spans="1:15">
      <c r="A21" s="69">
        <f t="shared" si="6"/>
        <v>14</v>
      </c>
      <c r="B21" s="69"/>
      <c r="C21" s="91"/>
      <c r="E21" s="92"/>
      <c r="G21" s="81"/>
      <c r="H21" s="82"/>
      <c r="I21" s="125"/>
      <c r="J21" s="83"/>
      <c r="K21" s="83"/>
      <c r="L21" s="110"/>
      <c r="M21" s="110"/>
      <c r="N21" s="126"/>
      <c r="O21" s="80"/>
    </row>
    <row r="22" spans="1:15" ht="10.5" thickBot="1">
      <c r="A22" s="69">
        <f t="shared" si="6"/>
        <v>15</v>
      </c>
      <c r="B22" s="69" t="s">
        <v>130</v>
      </c>
      <c r="C22" s="94">
        <f>SUM(C12,C16,C20)</f>
        <v>679159512.16700006</v>
      </c>
      <c r="E22" s="94">
        <f>SUM(E12,E16,E20)</f>
        <v>61718664</v>
      </c>
      <c r="G22" s="96">
        <f>SUM(G12,G16,G20)</f>
        <v>-855904</v>
      </c>
      <c r="H22" s="97">
        <f>SUM(H12,H16,H20)</f>
        <v>-345855</v>
      </c>
      <c r="I22" s="129">
        <f>SUM(I12,I16,I20)</f>
        <v>510049</v>
      </c>
      <c r="J22" s="98">
        <f>SUM(J12,J16,J20)</f>
        <v>60862760</v>
      </c>
      <c r="K22" s="98">
        <f>SUM(K12,K16,K20)</f>
        <v>61372809</v>
      </c>
      <c r="L22" s="121">
        <f t="shared" ref="L22" si="22">J22/C22</f>
        <v>8.9614823778002714E-2</v>
      </c>
      <c r="M22" s="121">
        <f>K22/C22</f>
        <v>9.0365824081852661E-2</v>
      </c>
      <c r="N22" s="130">
        <f t="shared" ref="N22" si="23">I22/J22</f>
        <v>8.380313347603691E-3</v>
      </c>
      <c r="O22" s="80"/>
    </row>
    <row r="23" spans="1:15" ht="10.5" thickTop="1"/>
  </sheetData>
  <mergeCells count="1">
    <mergeCell ref="A4:B4"/>
  </mergeCells>
  <printOptions horizontalCentered="1"/>
  <pageMargins left="0.25" right="0.25" top="0.75" bottom="0.75" header="0.3" footer="0.3"/>
  <pageSetup scale="60" fitToWidth="0" orientation="landscape" r:id="rId1"/>
  <headerFooter>
    <oddFooter>&amp;L&amp;"Times New Roman,Regular"&amp;F
&amp;A&amp;R&amp;"Times New Roman,Regular"Page &amp;P of &amp;N</oddFooter>
  </headerFooter>
  <colBreaks count="1" manualBreakCount="1">
    <brk id="5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pane xSplit="5" ySplit="7" topLeftCell="F8" activePane="bottomRight" state="frozen"/>
      <selection activeCell="V18" sqref="V18"/>
      <selection pane="topRight" activeCell="V18" sqref="V18"/>
      <selection pane="bottomLeft" activeCell="V18" sqref="V18"/>
      <selection pane="bottomRight" activeCell="N37" sqref="N37"/>
    </sheetView>
  </sheetViews>
  <sheetFormatPr defaultColWidth="6.26953125" defaultRowHeight="10"/>
  <cols>
    <col min="1" max="1" width="3.81640625" style="67" bestFit="1" customWidth="1"/>
    <col min="2" max="2" width="17.453125" style="67" bestFit="1" customWidth="1"/>
    <col min="3" max="3" width="14.7265625" style="67" customWidth="1"/>
    <col min="4" max="4" width="9.81640625" style="67" customWidth="1"/>
    <col min="5" max="5" width="13.7265625" style="67" bestFit="1" customWidth="1"/>
    <col min="6" max="6" width="1.7265625" style="67" customWidth="1"/>
    <col min="7" max="8" width="11.1796875" style="67" customWidth="1"/>
    <col min="9" max="10" width="11.26953125" style="67" customWidth="1"/>
    <col min="11" max="11" width="12.81640625" style="67" bestFit="1" customWidth="1"/>
    <col min="12" max="12" width="12.453125" style="67" bestFit="1" customWidth="1"/>
    <col min="13" max="13" width="9.453125" style="67" customWidth="1"/>
    <col min="14" max="14" width="7.453125" style="67" bestFit="1" customWidth="1"/>
    <col min="15" max="16384" width="6.26953125" style="67"/>
  </cols>
  <sheetData>
    <row r="1" spans="1:15" ht="10.5">
      <c r="A1" s="65" t="str">
        <f>Schedule_RateImpacts!A1</f>
        <v>Puget Sound Energy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</row>
    <row r="2" spans="1:15" ht="10.5">
      <c r="A2" s="65" t="str">
        <f>Schedule_RateImpacts!A2</f>
        <v>Rate Impacts</v>
      </c>
      <c r="B2" s="65"/>
      <c r="C2" s="65"/>
      <c r="D2" s="65"/>
      <c r="E2" s="65"/>
      <c r="F2" s="66"/>
      <c r="G2" s="66"/>
      <c r="H2" s="66"/>
      <c r="I2" s="66"/>
      <c r="J2" s="66"/>
      <c r="K2" s="66"/>
      <c r="L2" s="66"/>
      <c r="M2" s="66"/>
    </row>
    <row r="3" spans="1:15" ht="10.5">
      <c r="A3" s="65" t="str">
        <f>"Test Year Ended "&amp;TEXT([1]Controls!B8,"mmmm d, yyyy")</f>
        <v>Test Year Ended December 31, 2021</v>
      </c>
      <c r="B3" s="65"/>
      <c r="C3" s="65"/>
      <c r="D3" s="65"/>
      <c r="E3" s="65"/>
      <c r="F3" s="66"/>
      <c r="G3" s="66"/>
      <c r="H3" s="66"/>
      <c r="I3" s="66"/>
      <c r="J3" s="66"/>
      <c r="K3" s="66"/>
      <c r="L3" s="66"/>
      <c r="M3" s="66"/>
    </row>
    <row r="4" spans="1:15">
      <c r="A4" s="137"/>
      <c r="B4" s="13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>
      <c r="A5" s="68"/>
      <c r="B5" s="69"/>
      <c r="C5" s="69"/>
      <c r="D5" s="69"/>
      <c r="E5" s="69"/>
      <c r="G5" s="69"/>
      <c r="H5" s="69"/>
    </row>
    <row r="6" spans="1:15" ht="10.5" thickBot="1">
      <c r="A6" s="68"/>
      <c r="B6" s="69"/>
      <c r="C6" s="69"/>
      <c r="D6" s="69"/>
      <c r="E6" s="69"/>
      <c r="F6" s="70"/>
      <c r="G6" s="69"/>
      <c r="H6" s="69"/>
      <c r="I6" s="71"/>
      <c r="J6" s="71"/>
    </row>
    <row r="7" spans="1:15" ht="56.25" customHeight="1" thickBot="1">
      <c r="A7" s="72" t="s">
        <v>91</v>
      </c>
      <c r="B7" s="72" t="s">
        <v>4</v>
      </c>
      <c r="C7" s="73" t="str">
        <f>Schedule_RateImpacts!C7</f>
        <v>Annual kWh Delivered Sales 
07-2019 to 06-2020</v>
      </c>
      <c r="D7" s="120" t="str">
        <f>Schedule_RateImpacts!D7</f>
        <v>UE-190529 Unit Cost per kWh</v>
      </c>
      <c r="E7" s="74" t="str">
        <f>Schedule_RateImpacts!E7</f>
        <v>Estimated Annual
Base Revenue
Rates Effective
10/15/20</v>
      </c>
      <c r="F7" s="75"/>
      <c r="G7" s="118" t="str">
        <f>Schedule_RateImpacts!G7</f>
        <v>Schedule 139 Effective
10-15-2020</v>
      </c>
      <c r="H7" s="119" t="str">
        <f>Schedule_RateImpacts!H7</f>
        <v>Schedule 139 Effective
1-1-2021</v>
      </c>
      <c r="I7" s="134" t="s">
        <v>101</v>
      </c>
      <c r="J7" s="135" t="s">
        <v>124</v>
      </c>
      <c r="K7" s="135" t="s">
        <v>125</v>
      </c>
      <c r="L7" s="135" t="s">
        <v>127</v>
      </c>
      <c r="M7" s="135" t="s">
        <v>126</v>
      </c>
      <c r="N7" s="136" t="s">
        <v>102</v>
      </c>
    </row>
    <row r="8" spans="1:15">
      <c r="A8" s="69">
        <v>1</v>
      </c>
      <c r="B8" s="69">
        <v>7</v>
      </c>
      <c r="C8" s="78">
        <f>+Schedule_RateImpacts!C8</f>
        <v>232380</v>
      </c>
      <c r="D8" s="109">
        <f>+Schedule_RateImpacts!D8</f>
        <v>0.11037688784653066</v>
      </c>
      <c r="E8" s="79">
        <f>+Schedule_RateImpacts!E8</f>
        <v>25649</v>
      </c>
      <c r="G8" s="81">
        <f>+Schedule_RateImpacts!G8</f>
        <v>-254</v>
      </c>
      <c r="H8" s="82">
        <f>+Schedule_RateImpacts!H8</f>
        <v>-80</v>
      </c>
      <c r="I8" s="125">
        <f>+H8-G8</f>
        <v>174</v>
      </c>
      <c r="J8" s="83">
        <f>SUM(E8,G8)</f>
        <v>25395</v>
      </c>
      <c r="K8" s="83">
        <f>SUM(E8,H8)</f>
        <v>25569</v>
      </c>
      <c r="L8" s="110">
        <f>J8/C8</f>
        <v>0.10928221017299251</v>
      </c>
      <c r="M8" s="110">
        <f>K8/C8</f>
        <v>0.11003098373353989</v>
      </c>
      <c r="N8" s="126">
        <f>I8/J8</f>
        <v>6.8517424689899589E-3</v>
      </c>
      <c r="O8" s="84"/>
    </row>
    <row r="9" spans="1:15">
      <c r="A9" s="69">
        <f>+A8+1</f>
        <v>2</v>
      </c>
      <c r="B9" s="69" t="s">
        <v>103</v>
      </c>
      <c r="C9" s="85">
        <f>SUM(C8:C8)</f>
        <v>232380</v>
      </c>
      <c r="D9" s="109"/>
      <c r="E9" s="86">
        <f t="shared" ref="E9" si="0">SUM(E8:E8)</f>
        <v>25649</v>
      </c>
      <c r="G9" s="88">
        <f t="shared" ref="G9:I9" si="1">SUM(G8:G8)</f>
        <v>-254</v>
      </c>
      <c r="H9" s="89">
        <f t="shared" si="1"/>
        <v>-80</v>
      </c>
      <c r="I9" s="127">
        <f t="shared" si="1"/>
        <v>174</v>
      </c>
      <c r="J9" s="90">
        <f>SUM(J8:J8)</f>
        <v>25395</v>
      </c>
      <c r="K9" s="90">
        <f>SUM(K8:K8)</f>
        <v>25569</v>
      </c>
      <c r="L9" s="111">
        <f>J9/C9</f>
        <v>0.10928221017299251</v>
      </c>
      <c r="M9" s="111">
        <f>K9/C9</f>
        <v>0.11003098373353989</v>
      </c>
      <c r="N9" s="128">
        <f t="shared" ref="N9" si="2">I9/J9</f>
        <v>6.8517424689899589E-3</v>
      </c>
      <c r="O9" s="84"/>
    </row>
    <row r="10" spans="1:15">
      <c r="A10" s="69">
        <f t="shared" ref="A10:A34" si="3">+A9+1</f>
        <v>3</v>
      </c>
      <c r="B10" s="69"/>
      <c r="C10" s="78"/>
      <c r="D10" s="109"/>
      <c r="E10" s="79"/>
      <c r="G10" s="81"/>
      <c r="H10" s="82"/>
      <c r="I10" s="125"/>
      <c r="J10" s="83"/>
      <c r="K10" s="83"/>
      <c r="L10" s="110"/>
      <c r="M10" s="110"/>
      <c r="N10" s="126"/>
    </row>
    <row r="11" spans="1:15">
      <c r="A11" s="69">
        <f t="shared" si="3"/>
        <v>4</v>
      </c>
      <c r="B11" s="68" t="s">
        <v>104</v>
      </c>
      <c r="C11" s="78">
        <f>SUM(Schedule_RateImpacts!C11:C12)</f>
        <v>299952144</v>
      </c>
      <c r="D11" s="109">
        <f>SUM(Schedule_RateImpacts!D11:D12)</f>
        <v>0.10341772813074833</v>
      </c>
      <c r="E11" s="79">
        <f>SUM(Schedule_RateImpacts!E11:E12)</f>
        <v>31020369</v>
      </c>
      <c r="G11" s="81">
        <f>SUM(Schedule_RateImpacts!G11:G12)</f>
        <v>-393006</v>
      </c>
      <c r="H11" s="82">
        <f>SUM(Schedule_RateImpacts!H11:H12)</f>
        <v>-167743</v>
      </c>
      <c r="I11" s="125">
        <f t="shared" ref="I11:I13" si="4">+H11-G11</f>
        <v>225263</v>
      </c>
      <c r="J11" s="83">
        <f t="shared" ref="J11:J13" si="5">SUM(E11,G11)</f>
        <v>30627363</v>
      </c>
      <c r="K11" s="83">
        <f t="shared" ref="K11:K13" si="6">SUM(E11,H11)</f>
        <v>30852626</v>
      </c>
      <c r="L11" s="110">
        <f t="shared" ref="L11:L15" si="7">J11/C11</f>
        <v>0.10210749818811096</v>
      </c>
      <c r="M11" s="110">
        <f t="shared" ref="M11:M13" si="8">K11/C11</f>
        <v>0.10285849465373383</v>
      </c>
      <c r="N11" s="126">
        <f t="shared" ref="N11:N15" si="9">I11/J11</f>
        <v>7.3549590279776943E-3</v>
      </c>
      <c r="O11" s="84"/>
    </row>
    <row r="12" spans="1:15">
      <c r="A12" s="69">
        <f t="shared" si="3"/>
        <v>5</v>
      </c>
      <c r="B12" s="68" t="s">
        <v>105</v>
      </c>
      <c r="C12" s="78">
        <f>SUM(Schedule_RateImpacts!C13:C15)</f>
        <v>82777410.067000002</v>
      </c>
      <c r="D12" s="109">
        <f>SUM(Schedule_RateImpacts!D13:D15)</f>
        <v>9.4194555577525416E-2</v>
      </c>
      <c r="E12" s="79">
        <f>SUM(Schedule_RateImpacts!E13:E15)</f>
        <v>7797181</v>
      </c>
      <c r="G12" s="81">
        <f>SUM(Schedule_RateImpacts!G13:G15)</f>
        <v>-104076</v>
      </c>
      <c r="H12" s="82">
        <f>SUM(Schedule_RateImpacts!H13:H15)</f>
        <v>-41909</v>
      </c>
      <c r="I12" s="125">
        <f t="shared" si="4"/>
        <v>62167</v>
      </c>
      <c r="J12" s="83">
        <f t="shared" si="5"/>
        <v>7693105</v>
      </c>
      <c r="K12" s="83">
        <f t="shared" si="6"/>
        <v>7755272</v>
      </c>
      <c r="L12" s="110">
        <f t="shared" si="7"/>
        <v>9.2937251766794876E-2</v>
      </c>
      <c r="M12" s="110">
        <f t="shared" si="8"/>
        <v>9.3688265841162299E-2</v>
      </c>
      <c r="N12" s="126">
        <f t="shared" si="9"/>
        <v>8.0808724175739192E-3</v>
      </c>
      <c r="O12" s="84"/>
    </row>
    <row r="13" spans="1:15">
      <c r="A13" s="69">
        <f t="shared" si="3"/>
        <v>6</v>
      </c>
      <c r="B13" s="68" t="s">
        <v>106</v>
      </c>
      <c r="C13" s="78">
        <f>SUM(Schedule_RateImpacts!C16:C17)</f>
        <v>85054214.099999994</v>
      </c>
      <c r="D13" s="109">
        <f>SUM(Schedule_RateImpacts!D16:D17)</f>
        <v>8.6315204353471453E-2</v>
      </c>
      <c r="E13" s="79">
        <f>SUM(Schedule_RateImpacts!E16:E17)</f>
        <v>7341472</v>
      </c>
      <c r="G13" s="81">
        <f>SUM(Schedule_RateImpacts!G16:G17)</f>
        <v>-98556</v>
      </c>
      <c r="H13" s="82">
        <f>SUM(Schedule_RateImpacts!H16:H17)</f>
        <v>-34680</v>
      </c>
      <c r="I13" s="125">
        <f t="shared" si="4"/>
        <v>63876</v>
      </c>
      <c r="J13" s="83">
        <f t="shared" si="5"/>
        <v>7242916</v>
      </c>
      <c r="K13" s="83">
        <f t="shared" si="6"/>
        <v>7306792</v>
      </c>
      <c r="L13" s="110">
        <f t="shared" si="7"/>
        <v>8.5156462576731998E-2</v>
      </c>
      <c r="M13" s="110">
        <f t="shared" si="8"/>
        <v>8.5907465930015581E-2</v>
      </c>
      <c r="N13" s="126">
        <f t="shared" si="9"/>
        <v>8.819099931574521E-3</v>
      </c>
      <c r="O13" s="84"/>
    </row>
    <row r="14" spans="1:15">
      <c r="A14" s="69">
        <f t="shared" si="3"/>
        <v>7</v>
      </c>
      <c r="B14" s="69">
        <v>29</v>
      </c>
      <c r="C14" s="78"/>
      <c r="D14" s="109"/>
      <c r="E14" s="79"/>
      <c r="G14" s="81"/>
      <c r="H14" s="82"/>
      <c r="I14" s="125"/>
      <c r="J14" s="83"/>
      <c r="K14" s="83"/>
      <c r="L14" s="110"/>
      <c r="M14" s="110"/>
      <c r="N14" s="126"/>
      <c r="O14" s="84"/>
    </row>
    <row r="15" spans="1:15">
      <c r="A15" s="69">
        <f t="shared" si="3"/>
        <v>8</v>
      </c>
      <c r="B15" s="68" t="s">
        <v>107</v>
      </c>
      <c r="C15" s="85">
        <f>SUM(C11:C14)</f>
        <v>467783768.16700006</v>
      </c>
      <c r="D15" s="109"/>
      <c r="E15" s="86">
        <f t="shared" ref="E15" si="10">SUM(E11:E14)</f>
        <v>46159022</v>
      </c>
      <c r="G15" s="88">
        <f t="shared" ref="G15:K15" si="11">SUM(G11:G14)</f>
        <v>-595638</v>
      </c>
      <c r="H15" s="89">
        <f t="shared" si="11"/>
        <v>-244332</v>
      </c>
      <c r="I15" s="127">
        <f t="shared" si="11"/>
        <v>351306</v>
      </c>
      <c r="J15" s="90">
        <f t="shared" ref="J15" si="12">SUM(J11:J14)</f>
        <v>45563384</v>
      </c>
      <c r="K15" s="90">
        <f t="shared" si="11"/>
        <v>45914690</v>
      </c>
      <c r="L15" s="111">
        <f t="shared" si="7"/>
        <v>9.7402661444494054E-2</v>
      </c>
      <c r="M15" s="111">
        <f>K15/C15</f>
        <v>9.815366227844044E-2</v>
      </c>
      <c r="N15" s="128">
        <f t="shared" si="9"/>
        <v>7.7102701590382313E-3</v>
      </c>
      <c r="O15" s="84"/>
    </row>
    <row r="16" spans="1:15">
      <c r="A16" s="69">
        <f t="shared" si="3"/>
        <v>9</v>
      </c>
      <c r="B16" s="69"/>
      <c r="C16" s="78"/>
      <c r="D16" s="109"/>
      <c r="E16" s="79"/>
      <c r="G16" s="81"/>
      <c r="H16" s="82"/>
      <c r="I16" s="125"/>
      <c r="J16" s="83"/>
      <c r="K16" s="83"/>
      <c r="L16" s="110"/>
      <c r="M16" s="110"/>
      <c r="N16" s="126"/>
    </row>
    <row r="17" spans="1:15">
      <c r="A17" s="69">
        <f t="shared" si="3"/>
        <v>10</v>
      </c>
      <c r="B17" s="69" t="s">
        <v>108</v>
      </c>
      <c r="C17" s="78">
        <f>SUM(Schedule_RateImpacts!C21:C22)</f>
        <v>70432375</v>
      </c>
      <c r="D17" s="109">
        <f>SUM(Schedule_RateImpacts!D21:D22)</f>
        <v>8.5286764520818195E-2</v>
      </c>
      <c r="E17" s="79">
        <f>SUM(Schedule_RateImpacts!E21:E22)</f>
        <v>6006949</v>
      </c>
      <c r="G17" s="81">
        <f>SUM(Schedule_RateImpacts!G21:G22)</f>
        <v>-87808</v>
      </c>
      <c r="H17" s="82">
        <f>SUM(Schedule_RateImpacts!H21:H22)</f>
        <v>-34913</v>
      </c>
      <c r="I17" s="125">
        <f t="shared" ref="I17:I19" si="13">+H17-G17</f>
        <v>52895</v>
      </c>
      <c r="J17" s="83">
        <f t="shared" ref="J17:J19" si="14">SUM(E17,G17)</f>
        <v>5919141</v>
      </c>
      <c r="K17" s="83">
        <f t="shared" ref="K17:K19" si="15">SUM(E17,H17)</f>
        <v>5972036</v>
      </c>
      <c r="L17" s="110">
        <f t="shared" ref="L17:L20" si="16">J17/C17</f>
        <v>8.4040059702658043E-2</v>
      </c>
      <c r="M17" s="110">
        <f t="shared" ref="M17:M19" si="17">K17/C17</f>
        <v>8.4791063768614935E-2</v>
      </c>
      <c r="N17" s="126">
        <f t="shared" ref="N17:N20" si="18">I17/J17</f>
        <v>8.9362628800361398E-3</v>
      </c>
      <c r="O17" s="84"/>
    </row>
    <row r="18" spans="1:15">
      <c r="A18" s="69">
        <f t="shared" si="3"/>
        <v>11</v>
      </c>
      <c r="B18" s="69">
        <v>35</v>
      </c>
      <c r="C18" s="78"/>
      <c r="D18" s="109"/>
      <c r="E18" s="79"/>
      <c r="G18" s="81"/>
      <c r="H18" s="82"/>
      <c r="I18" s="125"/>
      <c r="J18" s="83"/>
      <c r="K18" s="83"/>
      <c r="L18" s="110"/>
      <c r="M18" s="110"/>
      <c r="N18" s="126"/>
      <c r="O18" s="84"/>
    </row>
    <row r="19" spans="1:15">
      <c r="A19" s="69">
        <f t="shared" si="3"/>
        <v>12</v>
      </c>
      <c r="B19" s="69">
        <v>43</v>
      </c>
      <c r="C19" s="78">
        <f>+Schedule_RateImpacts!C24</f>
        <v>1472003</v>
      </c>
      <c r="D19" s="109">
        <f>+Schedule_RateImpacts!D24</f>
        <v>9.2336768479502979E-2</v>
      </c>
      <c r="E19" s="79">
        <f>+Schedule_RateImpacts!E24</f>
        <v>135920</v>
      </c>
      <c r="G19" s="81">
        <f>+Schedule_RateImpacts!G24</f>
        <v>-1610</v>
      </c>
      <c r="H19" s="82">
        <f>+Schedule_RateImpacts!H24</f>
        <v>-505</v>
      </c>
      <c r="I19" s="125">
        <f t="shared" si="13"/>
        <v>1105</v>
      </c>
      <c r="J19" s="83">
        <f t="shared" si="14"/>
        <v>134310</v>
      </c>
      <c r="K19" s="83">
        <f t="shared" si="15"/>
        <v>135415</v>
      </c>
      <c r="L19" s="110">
        <f t="shared" si="16"/>
        <v>9.1243020564496138E-2</v>
      </c>
      <c r="M19" s="110">
        <f t="shared" si="17"/>
        <v>9.1993698382408187E-2</v>
      </c>
      <c r="N19" s="126">
        <f t="shared" si="18"/>
        <v>8.227235499962772E-3</v>
      </c>
      <c r="O19" s="84"/>
    </row>
    <row r="20" spans="1:15">
      <c r="A20" s="69">
        <f t="shared" si="3"/>
        <v>13</v>
      </c>
      <c r="B20" s="68" t="s">
        <v>109</v>
      </c>
      <c r="C20" s="85">
        <f>SUM(C17:C19)</f>
        <v>71904378</v>
      </c>
      <c r="D20" s="109"/>
      <c r="E20" s="86">
        <f t="shared" ref="E20" si="19">SUM(E17:E19)</f>
        <v>6142869</v>
      </c>
      <c r="G20" s="88">
        <f t="shared" ref="G20:K20" si="20">SUM(G17:G19)</f>
        <v>-89418</v>
      </c>
      <c r="H20" s="89">
        <f t="shared" si="20"/>
        <v>-35418</v>
      </c>
      <c r="I20" s="127">
        <f t="shared" si="20"/>
        <v>54000</v>
      </c>
      <c r="J20" s="90">
        <f t="shared" ref="J20" si="21">SUM(J17:J19)</f>
        <v>6053451</v>
      </c>
      <c r="K20" s="90">
        <f t="shared" si="20"/>
        <v>6107451</v>
      </c>
      <c r="L20" s="111">
        <f t="shared" si="16"/>
        <v>8.4187516370699988E-2</v>
      </c>
      <c r="M20" s="111">
        <f>K20/C20</f>
        <v>8.4938513757813194E-2</v>
      </c>
      <c r="N20" s="128">
        <f t="shared" si="18"/>
        <v>8.920531445616723E-3</v>
      </c>
      <c r="O20" s="84"/>
    </row>
    <row r="21" spans="1:15">
      <c r="A21" s="69">
        <f t="shared" si="3"/>
        <v>14</v>
      </c>
      <c r="B21" s="69"/>
      <c r="C21" s="78"/>
      <c r="D21" s="109"/>
      <c r="E21" s="79"/>
      <c r="G21" s="81"/>
      <c r="H21" s="82"/>
      <c r="I21" s="125"/>
      <c r="J21" s="83"/>
      <c r="K21" s="83"/>
      <c r="L21" s="110"/>
      <c r="M21" s="110"/>
      <c r="N21" s="126"/>
    </row>
    <row r="22" spans="1:15">
      <c r="A22" s="69">
        <f t="shared" si="3"/>
        <v>15</v>
      </c>
      <c r="B22" s="69">
        <v>46</v>
      </c>
      <c r="C22" s="78">
        <f>+Schedule_RateImpacts!C27</f>
        <v>13118192</v>
      </c>
      <c r="D22" s="109">
        <f>+Schedule_RateImpacts!D27</f>
        <v>6.9216090996710056E-2</v>
      </c>
      <c r="E22" s="79">
        <f>+Schedule_RateImpacts!E27</f>
        <v>907990</v>
      </c>
      <c r="G22" s="81">
        <f>+Schedule_RateImpacts!G27</f>
        <v>-20254</v>
      </c>
      <c r="H22" s="82">
        <f>+Schedule_RateImpacts!H27</f>
        <v>-10403</v>
      </c>
      <c r="I22" s="125">
        <f t="shared" ref="I22:I23" si="22">+H22-G22</f>
        <v>9851</v>
      </c>
      <c r="J22" s="83">
        <f t="shared" ref="J22:J23" si="23">SUM(E22,G22)</f>
        <v>887736</v>
      </c>
      <c r="K22" s="83">
        <f t="shared" ref="K22:K23" si="24">SUM(E22,H22)</f>
        <v>897587</v>
      </c>
      <c r="L22" s="110">
        <f t="shared" ref="L22:L24" si="25">J22/C22</f>
        <v>6.7672130427729668E-2</v>
      </c>
      <c r="M22" s="110">
        <f t="shared" ref="M22:M23" si="26">K22/C22</f>
        <v>6.8423072325820511E-2</v>
      </c>
      <c r="N22" s="126">
        <f t="shared" ref="N22:N24" si="27">I22/J22</f>
        <v>1.1096767507457172E-2</v>
      </c>
      <c r="O22" s="84"/>
    </row>
    <row r="23" spans="1:15">
      <c r="A23" s="69">
        <f t="shared" si="3"/>
        <v>16</v>
      </c>
      <c r="B23" s="69">
        <v>49</v>
      </c>
      <c r="C23" s="78">
        <f>+Schedule_RateImpacts!C28</f>
        <v>126353174</v>
      </c>
      <c r="D23" s="109">
        <f>+Schedule_RateImpacts!D28</f>
        <v>6.7341271157105323E-2</v>
      </c>
      <c r="E23" s="79">
        <f>+Schedule_RateImpacts!E28</f>
        <v>8508783</v>
      </c>
      <c r="G23" s="81">
        <f>+Schedule_RateImpacts!G28</f>
        <v>-150594</v>
      </c>
      <c r="H23" s="82">
        <f>+Schedule_RateImpacts!H28</f>
        <v>-55702</v>
      </c>
      <c r="I23" s="125">
        <f t="shared" si="22"/>
        <v>94892</v>
      </c>
      <c r="J23" s="83">
        <f t="shared" si="23"/>
        <v>8358189</v>
      </c>
      <c r="K23" s="83">
        <f t="shared" si="24"/>
        <v>8453081</v>
      </c>
      <c r="L23" s="110">
        <f t="shared" si="25"/>
        <v>6.6149418612942795E-2</v>
      </c>
      <c r="M23" s="110">
        <f t="shared" si="26"/>
        <v>6.6900424677895309E-2</v>
      </c>
      <c r="N23" s="126">
        <f t="shared" si="27"/>
        <v>1.1353177105710341E-2</v>
      </c>
      <c r="O23" s="84"/>
    </row>
    <row r="24" spans="1:15">
      <c r="A24" s="69">
        <f t="shared" si="3"/>
        <v>17</v>
      </c>
      <c r="B24" s="69" t="s">
        <v>110</v>
      </c>
      <c r="C24" s="85">
        <f>SUM(C22:C23)</f>
        <v>139471366</v>
      </c>
      <c r="D24" s="109"/>
      <c r="E24" s="86">
        <f>SUM(E22:E23)</f>
        <v>9416773</v>
      </c>
      <c r="G24" s="88">
        <f t="shared" ref="G24:K24" si="28">SUM(G22:G23)</f>
        <v>-170848</v>
      </c>
      <c r="H24" s="89">
        <f t="shared" si="28"/>
        <v>-66105</v>
      </c>
      <c r="I24" s="127">
        <f t="shared" si="28"/>
        <v>104743</v>
      </c>
      <c r="J24" s="90">
        <f t="shared" ref="J24" si="29">SUM(J22:J23)</f>
        <v>9245925</v>
      </c>
      <c r="K24" s="90">
        <f t="shared" si="28"/>
        <v>9350668</v>
      </c>
      <c r="L24" s="111">
        <f t="shared" si="25"/>
        <v>6.6292639594567396E-2</v>
      </c>
      <c r="M24" s="111">
        <f>K24/C24</f>
        <v>6.7043639624207882E-2</v>
      </c>
      <c r="N24" s="128">
        <f t="shared" si="27"/>
        <v>1.1328558256745539E-2</v>
      </c>
      <c r="O24" s="84"/>
    </row>
    <row r="25" spans="1:15">
      <c r="A25" s="69">
        <f t="shared" si="3"/>
        <v>18</v>
      </c>
      <c r="B25" s="69"/>
      <c r="C25" s="78"/>
      <c r="D25" s="109"/>
      <c r="E25" s="79"/>
      <c r="G25" s="81"/>
      <c r="H25" s="82"/>
      <c r="I25" s="125"/>
      <c r="J25" s="83"/>
      <c r="K25" s="83"/>
      <c r="L25" s="110"/>
      <c r="M25" s="110"/>
      <c r="N25" s="126"/>
    </row>
    <row r="26" spans="1:15">
      <c r="A26" s="69">
        <f t="shared" si="3"/>
        <v>19</v>
      </c>
      <c r="B26" s="69" t="s">
        <v>83</v>
      </c>
      <c r="C26" s="78">
        <f>+Schedule_RateImpacts!C31</f>
        <v>983.91199999999969</v>
      </c>
      <c r="D26" s="109">
        <f>+Schedule_RateImpacts!D31</f>
        <v>0.24941588042569499</v>
      </c>
      <c r="E26" s="79">
        <f>+Schedule_RateImpacts!E31</f>
        <v>245</v>
      </c>
      <c r="G26" s="81">
        <f>+Schedule_RateImpacts!G31</f>
        <v>-1</v>
      </c>
      <c r="H26" s="82">
        <f>+Schedule_RateImpacts!H31</f>
        <v>0</v>
      </c>
      <c r="I26" s="125">
        <f t="shared" ref="I26" si="30">+H26-G26</f>
        <v>1</v>
      </c>
      <c r="J26" s="83">
        <f t="shared" ref="J26" si="31">SUM(E26,G26)</f>
        <v>244</v>
      </c>
      <c r="K26" s="83">
        <f t="shared" ref="K26" si="32">SUM(E26,H26)</f>
        <v>245</v>
      </c>
      <c r="L26" s="110">
        <f t="shared" ref="L26" si="33">J26/C26</f>
        <v>0.24798965761165639</v>
      </c>
      <c r="M26" s="110">
        <f t="shared" ref="M26" si="34">K26/C26</f>
        <v>0.24900600866744188</v>
      </c>
      <c r="N26" s="126">
        <f t="shared" ref="N26" si="35">I26/J26</f>
        <v>4.0983606557377051E-3</v>
      </c>
      <c r="O26" s="84"/>
    </row>
    <row r="27" spans="1:15">
      <c r="A27" s="69">
        <f t="shared" si="3"/>
        <v>20</v>
      </c>
      <c r="B27" s="69" t="s">
        <v>111</v>
      </c>
      <c r="C27" s="78"/>
      <c r="E27" s="79"/>
      <c r="G27" s="81"/>
      <c r="H27" s="82"/>
      <c r="I27" s="125"/>
      <c r="J27" s="83"/>
      <c r="K27" s="83"/>
      <c r="L27" s="110"/>
      <c r="M27" s="110"/>
      <c r="N27" s="126"/>
      <c r="O27" s="80"/>
    </row>
    <row r="28" spans="1:15">
      <c r="A28" s="69">
        <f t="shared" si="3"/>
        <v>21</v>
      </c>
      <c r="B28" s="68" t="s">
        <v>112</v>
      </c>
      <c r="C28" s="78"/>
      <c r="E28" s="79"/>
      <c r="G28" s="81"/>
      <c r="H28" s="82"/>
      <c r="I28" s="125"/>
      <c r="J28" s="83"/>
      <c r="K28" s="83"/>
      <c r="L28" s="110"/>
      <c r="M28" s="110"/>
      <c r="N28" s="126"/>
      <c r="O28" s="80"/>
    </row>
    <row r="29" spans="1:15">
      <c r="A29" s="69">
        <f t="shared" si="3"/>
        <v>22</v>
      </c>
      <c r="B29" s="69"/>
      <c r="C29" s="91"/>
      <c r="E29" s="92"/>
      <c r="G29" s="81"/>
      <c r="H29" s="82"/>
      <c r="I29" s="125"/>
      <c r="J29" s="83"/>
      <c r="K29" s="83"/>
      <c r="L29" s="110"/>
      <c r="M29" s="110"/>
      <c r="N29" s="126"/>
      <c r="O29" s="80"/>
    </row>
    <row r="30" spans="1:15" ht="10.5" thickBot="1">
      <c r="A30" s="69">
        <f t="shared" si="3"/>
        <v>23</v>
      </c>
      <c r="B30" s="69" t="s">
        <v>113</v>
      </c>
      <c r="C30" s="94">
        <f>SUM(C9,C15,C20,C24,C26:C28)</f>
        <v>679392876.079</v>
      </c>
      <c r="E30" s="95">
        <f>SUM(E9,E15,E20,E24,E26:E28)</f>
        <v>61744558</v>
      </c>
      <c r="G30" s="96">
        <f>SUM(G9,G15,G20,G24,G26:G28)</f>
        <v>-856159</v>
      </c>
      <c r="H30" s="97">
        <f>SUM(H9,H15,H20,H24,H26:H28)</f>
        <v>-345935</v>
      </c>
      <c r="I30" s="129">
        <f>SUM(I9,I15,I20,I24,I26:I28)</f>
        <v>510224</v>
      </c>
      <c r="J30" s="98">
        <f>SUM(J9,J15,J20,J24,J26:J28)</f>
        <v>60888399</v>
      </c>
      <c r="K30" s="98">
        <f>SUM(K9,K15,K20,K24,K26:K28)</f>
        <v>61398623</v>
      </c>
      <c r="L30" s="121">
        <f t="shared" ref="L30" si="36">J30/C30</f>
        <v>8.9621780186167094E-2</v>
      </c>
      <c r="M30" s="121">
        <f>K30/C30</f>
        <v>9.0372780112667167E-2</v>
      </c>
      <c r="N30" s="130">
        <f t="shared" ref="N30" si="37">I30/J30</f>
        <v>8.3796586604288938E-3</v>
      </c>
      <c r="O30" s="80"/>
    </row>
    <row r="31" spans="1:15" ht="10.5" thickTop="1">
      <c r="A31" s="69">
        <f t="shared" si="3"/>
        <v>24</v>
      </c>
      <c r="B31" s="69"/>
      <c r="C31" s="91"/>
      <c r="E31" s="92"/>
      <c r="G31" s="81"/>
      <c r="H31" s="82"/>
      <c r="I31" s="125"/>
      <c r="J31" s="83"/>
      <c r="K31" s="83"/>
      <c r="L31" s="110"/>
      <c r="M31" s="110"/>
      <c r="N31" s="126"/>
      <c r="O31" s="80"/>
    </row>
    <row r="32" spans="1:15">
      <c r="A32" s="69">
        <f t="shared" si="3"/>
        <v>25</v>
      </c>
      <c r="B32" s="69">
        <v>5</v>
      </c>
      <c r="G32" s="81"/>
      <c r="H32" s="82"/>
      <c r="I32" s="125"/>
      <c r="J32" s="83"/>
      <c r="K32" s="83"/>
      <c r="L32" s="110"/>
      <c r="M32" s="110"/>
      <c r="N32" s="126"/>
      <c r="O32" s="80"/>
    </row>
    <row r="33" spans="1:15" ht="10.5" thickBot="1">
      <c r="A33" s="69">
        <f t="shared" si="3"/>
        <v>26</v>
      </c>
      <c r="B33" s="69"/>
      <c r="C33" s="91"/>
      <c r="E33" s="92"/>
      <c r="G33" s="81"/>
      <c r="H33" s="82"/>
      <c r="I33" s="131"/>
      <c r="J33" s="99"/>
      <c r="K33" s="99"/>
      <c r="L33" s="122"/>
      <c r="M33" s="122"/>
      <c r="N33" s="132"/>
      <c r="O33" s="80"/>
    </row>
    <row r="34" spans="1:15" ht="10.5" thickBot="1">
      <c r="A34" s="69">
        <f t="shared" si="3"/>
        <v>27</v>
      </c>
      <c r="B34" s="69" t="s">
        <v>114</v>
      </c>
      <c r="C34" s="94">
        <f>SUM(C30,C32)</f>
        <v>679392876.079</v>
      </c>
      <c r="E34" s="95">
        <f>SUM(E30,E32)</f>
        <v>61744558</v>
      </c>
      <c r="G34" s="123">
        <f t="shared" ref="G34:K34" si="38">SUM(G30,G32)</f>
        <v>-856159</v>
      </c>
      <c r="H34" s="124">
        <f t="shared" si="38"/>
        <v>-345935</v>
      </c>
      <c r="I34" s="133">
        <f t="shared" si="38"/>
        <v>510224</v>
      </c>
      <c r="J34" s="100">
        <f t="shared" ref="J34" si="39">SUM(J30,J32)</f>
        <v>60888399</v>
      </c>
      <c r="K34" s="100">
        <f t="shared" si="38"/>
        <v>61398623</v>
      </c>
      <c r="L34" s="122">
        <f t="shared" ref="L34" si="40">J34/C34</f>
        <v>8.9621780186167094E-2</v>
      </c>
      <c r="M34" s="122">
        <f>K34/C34</f>
        <v>9.0372780112667167E-2</v>
      </c>
      <c r="N34" s="132">
        <f t="shared" ref="N34" si="41">I34/J34</f>
        <v>8.3796586604288938E-3</v>
      </c>
      <c r="O34" s="80"/>
    </row>
    <row r="35" spans="1:15" ht="10.5" thickTop="1"/>
  </sheetData>
  <mergeCells count="1">
    <mergeCell ref="A4:B4"/>
  </mergeCells>
  <printOptions horizontalCentered="1"/>
  <pageMargins left="0.25" right="0.25" top="0.75" bottom="0.75" header="0.3" footer="0.3"/>
  <pageSetup scale="60" fitToWidth="0" orientation="landscape" r:id="rId1"/>
  <headerFooter>
    <oddFooter>&amp;L&amp;"Times New Roman,Regular"&amp;F
&amp;A&amp;R&amp;"Times New Roman,Regular"Page &amp;P of &amp;N</oddFooter>
  </headerFooter>
  <colBreaks count="1" manualBreakCount="1">
    <brk id="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pane xSplit="5" ySplit="7" topLeftCell="F8" activePane="bottomRight" state="frozen"/>
      <selection activeCell="V18" sqref="V18"/>
      <selection pane="topRight" activeCell="V18" sqref="V18"/>
      <selection pane="bottomLeft" activeCell="V18" sqref="V18"/>
      <selection pane="bottomRight" activeCell="E8" sqref="E8"/>
    </sheetView>
  </sheetViews>
  <sheetFormatPr defaultColWidth="6.26953125" defaultRowHeight="10"/>
  <cols>
    <col min="1" max="1" width="3.81640625" style="67" bestFit="1" customWidth="1"/>
    <col min="2" max="2" width="17.453125" style="67" bestFit="1" customWidth="1"/>
    <col min="3" max="3" width="15" style="67" bestFit="1" customWidth="1"/>
    <col min="4" max="4" width="9.453125" style="67" customWidth="1"/>
    <col min="5" max="5" width="12.81640625" style="67" bestFit="1" customWidth="1"/>
    <col min="6" max="6" width="1.7265625" style="67" customWidth="1"/>
    <col min="7" max="7" width="12.54296875" style="67" bestFit="1" customWidth="1"/>
    <col min="8" max="9" width="12.81640625" style="67" bestFit="1" customWidth="1"/>
    <col min="10" max="11" width="10.7265625" style="67" bestFit="1" customWidth="1"/>
    <col min="12" max="12" width="11.26953125" style="67" customWidth="1"/>
    <col min="13" max="13" width="11.54296875" style="67" customWidth="1"/>
    <col min="14" max="14" width="7.7265625" style="67" bestFit="1" customWidth="1"/>
    <col min="15" max="16384" width="6.26953125" style="67"/>
  </cols>
  <sheetData>
    <row r="1" spans="1:14" ht="10.5">
      <c r="A1" s="65" t="s">
        <v>116</v>
      </c>
      <c r="B1" s="65"/>
      <c r="C1" s="65"/>
      <c r="D1" s="65"/>
      <c r="E1" s="65"/>
      <c r="F1" s="66"/>
      <c r="G1" s="66"/>
      <c r="H1" s="66"/>
      <c r="I1" s="66"/>
      <c r="J1" s="66"/>
      <c r="K1" s="66"/>
      <c r="L1" s="66"/>
      <c r="M1" s="66"/>
    </row>
    <row r="2" spans="1:14" ht="10.5">
      <c r="A2" s="65" t="s">
        <v>117</v>
      </c>
      <c r="B2" s="101"/>
      <c r="C2" s="101"/>
      <c r="D2" s="101"/>
      <c r="E2" s="101"/>
      <c r="F2" s="66"/>
      <c r="G2" s="66"/>
      <c r="H2" s="66"/>
      <c r="I2" s="66"/>
      <c r="J2" s="66"/>
      <c r="K2" s="66"/>
      <c r="L2" s="66"/>
      <c r="M2" s="66"/>
    </row>
    <row r="3" spans="1:14" ht="10.5">
      <c r="A3" s="65" t="str">
        <f>"Test Year Ended "&amp;TEXT([1]Controls!B8,"mmmm d, yyyy")</f>
        <v>Test Year Ended December 31, 2021</v>
      </c>
      <c r="B3" s="65"/>
      <c r="C3" s="65"/>
      <c r="D3" s="65"/>
      <c r="E3" s="65"/>
      <c r="F3" s="66"/>
      <c r="G3" s="66"/>
      <c r="H3" s="66"/>
      <c r="I3" s="66"/>
      <c r="J3" s="66"/>
      <c r="K3" s="66"/>
      <c r="L3" s="66"/>
      <c r="M3" s="66"/>
    </row>
    <row r="4" spans="1:14">
      <c r="A4" s="137"/>
      <c r="B4" s="137"/>
      <c r="C4" s="66"/>
      <c r="D4" s="66"/>
      <c r="E4" s="66"/>
      <c r="F4" s="66"/>
      <c r="G4" s="66"/>
      <c r="H4" s="66"/>
      <c r="I4" s="66"/>
      <c r="J4" s="66"/>
      <c r="K4" s="66"/>
      <c r="L4" s="66"/>
      <c r="M4" s="102"/>
    </row>
    <row r="5" spans="1:14">
      <c r="A5" s="68"/>
      <c r="B5" s="69"/>
      <c r="C5" s="69"/>
      <c r="D5" s="69"/>
      <c r="E5" s="69"/>
      <c r="G5" s="69"/>
      <c r="H5" s="69"/>
    </row>
    <row r="6" spans="1:14" ht="13.5" customHeight="1" thickBot="1">
      <c r="A6" s="68"/>
      <c r="B6" s="69"/>
      <c r="C6" s="69"/>
      <c r="D6" s="69"/>
      <c r="E6" s="69"/>
      <c r="F6" s="70"/>
      <c r="G6" s="69"/>
      <c r="H6" s="69"/>
      <c r="I6" s="71"/>
      <c r="J6" s="71"/>
    </row>
    <row r="7" spans="1:14" ht="53" thickBot="1">
      <c r="A7" s="103" t="s">
        <v>91</v>
      </c>
      <c r="B7" s="103" t="s">
        <v>4</v>
      </c>
      <c r="C7" s="104" t="s">
        <v>119</v>
      </c>
      <c r="D7" s="104" t="s">
        <v>120</v>
      </c>
      <c r="E7" s="105" t="s">
        <v>121</v>
      </c>
      <c r="F7" s="75"/>
      <c r="G7" s="118" t="s">
        <v>122</v>
      </c>
      <c r="H7" s="119" t="s">
        <v>123</v>
      </c>
      <c r="I7" s="76" t="s">
        <v>101</v>
      </c>
      <c r="J7" s="76" t="s">
        <v>124</v>
      </c>
      <c r="K7" s="76" t="s">
        <v>125</v>
      </c>
      <c r="L7" s="76" t="s">
        <v>127</v>
      </c>
      <c r="M7" s="76" t="s">
        <v>126</v>
      </c>
      <c r="N7" s="77" t="s">
        <v>102</v>
      </c>
    </row>
    <row r="8" spans="1:14">
      <c r="A8" s="69">
        <v>1</v>
      </c>
      <c r="B8" s="69">
        <v>7</v>
      </c>
      <c r="C8" s="78">
        <f>+'Sch 139 Eff 10-15-2020'!D10</f>
        <v>232380</v>
      </c>
      <c r="D8" s="109">
        <f>+'UE-190529 Proposed Unit Cost'!S17/100</f>
        <v>0.11037688784653066</v>
      </c>
      <c r="E8" s="80">
        <f>ROUND(C8*D8,0)</f>
        <v>25649</v>
      </c>
      <c r="F8" s="93"/>
      <c r="G8" s="81">
        <f>+'Sch 139 Eff 10-15-2020'!H10</f>
        <v>-254</v>
      </c>
      <c r="H8" s="82">
        <f>+'Sch 139 Eff 12-1-2021'!H10</f>
        <v>-80</v>
      </c>
      <c r="I8" s="83">
        <f>+H8-G8</f>
        <v>174</v>
      </c>
      <c r="J8" s="83">
        <f>SUM(E8,G8)</f>
        <v>25395</v>
      </c>
      <c r="K8" s="83">
        <f>SUM(E8,H8)</f>
        <v>25569</v>
      </c>
      <c r="L8" s="110">
        <f>J8/C8</f>
        <v>0.10928221017299251</v>
      </c>
      <c r="M8" s="110">
        <f>K8/C8</f>
        <v>0.11003098373353989</v>
      </c>
      <c r="N8" s="113">
        <f>I8/J8</f>
        <v>6.8517424689899589E-3</v>
      </c>
    </row>
    <row r="9" spans="1:14">
      <c r="A9" s="69">
        <f>+A8+1</f>
        <v>2</v>
      </c>
      <c r="B9" s="69" t="s">
        <v>103</v>
      </c>
      <c r="C9" s="85">
        <f t="shared" ref="C9" si="0">SUM(C8:C8)</f>
        <v>232380</v>
      </c>
      <c r="D9" s="78"/>
      <c r="E9" s="87">
        <f>SUM(E8:E8)</f>
        <v>25649</v>
      </c>
      <c r="F9" s="93"/>
      <c r="G9" s="88">
        <f t="shared" ref="G9:I9" si="1">SUM(G8:G8)</f>
        <v>-254</v>
      </c>
      <c r="H9" s="89">
        <f>SUM(H8:H8)</f>
        <v>-80</v>
      </c>
      <c r="I9" s="90">
        <f t="shared" si="1"/>
        <v>174</v>
      </c>
      <c r="J9" s="90">
        <f>SUM(J8:J8)</f>
        <v>25395</v>
      </c>
      <c r="K9" s="90">
        <f>SUM(K8:K8)</f>
        <v>25569</v>
      </c>
      <c r="L9" s="111">
        <f>J9/C9</f>
        <v>0.10928221017299251</v>
      </c>
      <c r="M9" s="111">
        <f>K9/C9</f>
        <v>0.11003098373353989</v>
      </c>
      <c r="N9" s="114">
        <f t="shared" ref="N9:N19" si="2">I9/J9</f>
        <v>6.8517424689899589E-3</v>
      </c>
    </row>
    <row r="10" spans="1:14">
      <c r="A10" s="69">
        <f t="shared" ref="A10:A42" si="3">+A9+1</f>
        <v>3</v>
      </c>
      <c r="B10" s="69"/>
      <c r="C10" s="78"/>
      <c r="D10" s="78"/>
      <c r="E10" s="80"/>
      <c r="F10" s="93"/>
      <c r="G10" s="81"/>
      <c r="H10" s="82"/>
      <c r="I10" s="83"/>
      <c r="J10" s="83"/>
      <c r="K10" s="83"/>
      <c r="L10" s="110"/>
      <c r="M10" s="110"/>
      <c r="N10" s="113"/>
    </row>
    <row r="11" spans="1:14">
      <c r="A11" s="69">
        <f t="shared" si="3"/>
        <v>4</v>
      </c>
      <c r="B11" s="68">
        <v>8</v>
      </c>
      <c r="C11" s="78">
        <v>0</v>
      </c>
      <c r="D11" s="109"/>
      <c r="E11" s="80">
        <f t="shared" ref="E11:E18" si="4">ROUND(C11*D11,0)</f>
        <v>0</v>
      </c>
      <c r="F11" s="93"/>
      <c r="G11" s="81">
        <v>0</v>
      </c>
      <c r="H11" s="82">
        <v>0</v>
      </c>
      <c r="I11" s="83">
        <f t="shared" ref="I11:I18" si="5">+H11-G11</f>
        <v>0</v>
      </c>
      <c r="J11" s="83">
        <f t="shared" ref="J11:J18" si="6">SUM(E11,G11)</f>
        <v>0</v>
      </c>
      <c r="K11" s="83">
        <f t="shared" ref="K11:K18" si="7">SUM(E11,H11)</f>
        <v>0</v>
      </c>
      <c r="L11" s="110"/>
      <c r="M11" s="110"/>
      <c r="N11" s="113"/>
    </row>
    <row r="12" spans="1:14">
      <c r="A12" s="69">
        <f t="shared" si="3"/>
        <v>5</v>
      </c>
      <c r="B12" s="68">
        <v>24</v>
      </c>
      <c r="C12" s="78">
        <f>+'Sch 139 Eff 10-15-2020'!D17</f>
        <v>299952144</v>
      </c>
      <c r="D12" s="109">
        <f>+'UE-190529 Proposed Unit Cost'!S21/100</f>
        <v>0.10341772813074833</v>
      </c>
      <c r="E12" s="80">
        <f t="shared" si="4"/>
        <v>31020369</v>
      </c>
      <c r="F12" s="93"/>
      <c r="G12" s="81">
        <f>+'Sch 139 Eff 10-15-2020'!H17</f>
        <v>-393006</v>
      </c>
      <c r="H12" s="82">
        <f>+'Sch 139 Eff 12-1-2021'!H17</f>
        <v>-167743</v>
      </c>
      <c r="I12" s="83">
        <f t="shared" si="5"/>
        <v>225263</v>
      </c>
      <c r="J12" s="83">
        <f t="shared" si="6"/>
        <v>30627363</v>
      </c>
      <c r="K12" s="83">
        <f t="shared" si="7"/>
        <v>30852626</v>
      </c>
      <c r="L12" s="110">
        <f t="shared" ref="L12:L17" si="8">J12/C12</f>
        <v>0.10210749818811096</v>
      </c>
      <c r="M12" s="110">
        <f t="shared" ref="M12:M17" si="9">K12/C12</f>
        <v>0.10285849465373383</v>
      </c>
      <c r="N12" s="113">
        <f t="shared" si="2"/>
        <v>7.3549590279776943E-3</v>
      </c>
    </row>
    <row r="13" spans="1:14">
      <c r="A13" s="69">
        <f t="shared" si="3"/>
        <v>6</v>
      </c>
      <c r="B13" s="68">
        <v>11</v>
      </c>
      <c r="C13" s="78">
        <v>0</v>
      </c>
      <c r="D13" s="109"/>
      <c r="E13" s="80">
        <f t="shared" si="4"/>
        <v>0</v>
      </c>
      <c r="F13" s="93"/>
      <c r="G13" s="81">
        <v>0</v>
      </c>
      <c r="H13" s="82">
        <v>0</v>
      </c>
      <c r="I13" s="83">
        <f t="shared" si="5"/>
        <v>0</v>
      </c>
      <c r="J13" s="83">
        <f t="shared" si="6"/>
        <v>0</v>
      </c>
      <c r="K13" s="83">
        <f t="shared" si="7"/>
        <v>0</v>
      </c>
      <c r="L13" s="110"/>
      <c r="M13" s="110"/>
      <c r="N13" s="113"/>
    </row>
    <row r="14" spans="1:14">
      <c r="A14" s="69">
        <f t="shared" si="3"/>
        <v>7</v>
      </c>
      <c r="B14" s="68" t="s">
        <v>118</v>
      </c>
      <c r="C14" s="78">
        <v>0</v>
      </c>
      <c r="D14" s="109"/>
      <c r="E14" s="80">
        <f t="shared" si="4"/>
        <v>0</v>
      </c>
      <c r="F14" s="93"/>
      <c r="G14" s="81">
        <v>0</v>
      </c>
      <c r="H14" s="82">
        <v>0</v>
      </c>
      <c r="I14" s="83">
        <f t="shared" si="5"/>
        <v>0</v>
      </c>
      <c r="J14" s="83">
        <f t="shared" si="6"/>
        <v>0</v>
      </c>
      <c r="K14" s="83">
        <f t="shared" si="7"/>
        <v>0</v>
      </c>
      <c r="L14" s="110"/>
      <c r="M14" s="110"/>
      <c r="N14" s="113"/>
    </row>
    <row r="15" spans="1:14">
      <c r="A15" s="69">
        <f t="shared" si="3"/>
        <v>8</v>
      </c>
      <c r="B15" s="68">
        <v>25</v>
      </c>
      <c r="C15" s="78">
        <f>+'Sch 139 Eff 10-15-2020'!D24</f>
        <v>82777410.067000002</v>
      </c>
      <c r="D15" s="109">
        <f>+'UE-190529 Proposed Unit Cost'!S22/100</f>
        <v>9.4194555577525416E-2</v>
      </c>
      <c r="E15" s="80">
        <f t="shared" si="4"/>
        <v>7797181</v>
      </c>
      <c r="F15" s="93"/>
      <c r="G15" s="81">
        <f>+'Sch 139 Eff 10-15-2020'!H24</f>
        <v>-104076</v>
      </c>
      <c r="H15" s="82">
        <f>+'Sch 139 Eff 12-1-2021'!H24</f>
        <v>-41909</v>
      </c>
      <c r="I15" s="83">
        <f t="shared" si="5"/>
        <v>62167</v>
      </c>
      <c r="J15" s="83">
        <f t="shared" si="6"/>
        <v>7693105</v>
      </c>
      <c r="K15" s="83">
        <f t="shared" si="7"/>
        <v>7755272</v>
      </c>
      <c r="L15" s="110">
        <f t="shared" si="8"/>
        <v>9.2937251766794876E-2</v>
      </c>
      <c r="M15" s="110">
        <f t="shared" si="9"/>
        <v>9.3688265841162299E-2</v>
      </c>
      <c r="N15" s="113">
        <f t="shared" si="2"/>
        <v>8.0808724175739192E-3</v>
      </c>
    </row>
    <row r="16" spans="1:14">
      <c r="A16" s="69">
        <f t="shared" si="3"/>
        <v>9</v>
      </c>
      <c r="B16" s="68">
        <v>12</v>
      </c>
      <c r="C16" s="78">
        <v>0</v>
      </c>
      <c r="D16" s="109"/>
      <c r="E16" s="80">
        <f t="shared" si="4"/>
        <v>0</v>
      </c>
      <c r="F16" s="93"/>
      <c r="G16" s="81">
        <v>0</v>
      </c>
      <c r="H16" s="82">
        <v>0</v>
      </c>
      <c r="I16" s="83">
        <f t="shared" si="5"/>
        <v>0</v>
      </c>
      <c r="J16" s="83">
        <f t="shared" si="6"/>
        <v>0</v>
      </c>
      <c r="K16" s="83">
        <f t="shared" si="7"/>
        <v>0</v>
      </c>
      <c r="L16" s="110"/>
      <c r="M16" s="110"/>
      <c r="N16" s="113"/>
    </row>
    <row r="17" spans="1:14">
      <c r="A17" s="69">
        <f t="shared" si="3"/>
        <v>10</v>
      </c>
      <c r="B17" s="68">
        <v>26</v>
      </c>
      <c r="C17" s="78">
        <f>+'Sch 139 Eff 10-15-2020'!D31</f>
        <v>85054214.099999994</v>
      </c>
      <c r="D17" s="109">
        <f>+'UE-190529 Proposed Unit Cost'!S23/100</f>
        <v>8.6315204353471453E-2</v>
      </c>
      <c r="E17" s="80">
        <f t="shared" si="4"/>
        <v>7341472</v>
      </c>
      <c r="F17" s="93"/>
      <c r="G17" s="81">
        <f>+'Sch 139 Eff 10-15-2020'!H31</f>
        <v>-98556</v>
      </c>
      <c r="H17" s="82">
        <f>+'Sch 139 Eff 12-1-2021'!H31</f>
        <v>-34680</v>
      </c>
      <c r="I17" s="83">
        <f t="shared" si="5"/>
        <v>63876</v>
      </c>
      <c r="J17" s="83">
        <f t="shared" si="6"/>
        <v>7242916</v>
      </c>
      <c r="K17" s="83">
        <f t="shared" si="7"/>
        <v>7306792</v>
      </c>
      <c r="L17" s="110">
        <f t="shared" si="8"/>
        <v>8.5156462576731998E-2</v>
      </c>
      <c r="M17" s="110">
        <f t="shared" si="9"/>
        <v>8.5907465930015581E-2</v>
      </c>
      <c r="N17" s="113">
        <f t="shared" si="2"/>
        <v>8.819099931574521E-3</v>
      </c>
    </row>
    <row r="18" spans="1:14">
      <c r="A18" s="69">
        <f t="shared" si="3"/>
        <v>11</v>
      </c>
      <c r="B18" s="69">
        <v>29</v>
      </c>
      <c r="C18" s="78">
        <v>0</v>
      </c>
      <c r="D18" s="109"/>
      <c r="E18" s="80">
        <f t="shared" si="4"/>
        <v>0</v>
      </c>
      <c r="F18" s="93"/>
      <c r="G18" s="81">
        <v>0</v>
      </c>
      <c r="H18" s="82">
        <v>0</v>
      </c>
      <c r="I18" s="83">
        <f t="shared" si="5"/>
        <v>0</v>
      </c>
      <c r="J18" s="83">
        <f t="shared" si="6"/>
        <v>0</v>
      </c>
      <c r="K18" s="83">
        <f t="shared" si="7"/>
        <v>0</v>
      </c>
      <c r="L18" s="110"/>
      <c r="M18" s="110"/>
      <c r="N18" s="113"/>
    </row>
    <row r="19" spans="1:14">
      <c r="A19" s="69">
        <f t="shared" si="3"/>
        <v>12</v>
      </c>
      <c r="B19" s="68" t="s">
        <v>107</v>
      </c>
      <c r="C19" s="85">
        <f>SUM(C11:C18)</f>
        <v>467783768.16700006</v>
      </c>
      <c r="D19" s="78"/>
      <c r="E19" s="87">
        <f t="shared" ref="E19" si="10">SUM(E11:E18)</f>
        <v>46159022</v>
      </c>
      <c r="F19" s="93"/>
      <c r="G19" s="88">
        <f t="shared" ref="G19:K19" si="11">SUM(G11:G18)</f>
        <v>-595638</v>
      </c>
      <c r="H19" s="89">
        <f>SUM(H11:H18)</f>
        <v>-244332</v>
      </c>
      <c r="I19" s="90">
        <f t="shared" si="11"/>
        <v>351306</v>
      </c>
      <c r="J19" s="90">
        <f t="shared" ref="J19" si="12">SUM(J11:J18)</f>
        <v>45563384</v>
      </c>
      <c r="K19" s="90">
        <f t="shared" si="11"/>
        <v>45914690</v>
      </c>
      <c r="L19" s="111">
        <f>J19/C19</f>
        <v>9.7402661444494054E-2</v>
      </c>
      <c r="M19" s="111">
        <f>K19/C19</f>
        <v>9.815366227844044E-2</v>
      </c>
      <c r="N19" s="114">
        <f t="shared" si="2"/>
        <v>7.7102701590382313E-3</v>
      </c>
    </row>
    <row r="20" spans="1:14">
      <c r="A20" s="69">
        <f t="shared" si="3"/>
        <v>13</v>
      </c>
      <c r="B20" s="69"/>
      <c r="C20" s="78"/>
      <c r="D20" s="78"/>
      <c r="E20" s="80"/>
      <c r="F20" s="93"/>
      <c r="G20" s="81"/>
      <c r="H20" s="82"/>
      <c r="I20" s="83"/>
      <c r="J20" s="83"/>
      <c r="K20" s="83"/>
      <c r="L20" s="110"/>
      <c r="M20" s="110"/>
      <c r="N20" s="113"/>
    </row>
    <row r="21" spans="1:14">
      <c r="A21" s="69">
        <f t="shared" si="3"/>
        <v>14</v>
      </c>
      <c r="B21" s="69">
        <v>10</v>
      </c>
      <c r="C21" s="78">
        <v>0</v>
      </c>
      <c r="D21" s="78"/>
      <c r="E21" s="80">
        <f>ROUND(C21*D21,0)</f>
        <v>0</v>
      </c>
      <c r="F21" s="93"/>
      <c r="G21" s="81">
        <v>0</v>
      </c>
      <c r="H21" s="82">
        <v>0</v>
      </c>
      <c r="I21" s="83">
        <f t="shared" ref="I21:I24" si="13">+H21-G21</f>
        <v>0</v>
      </c>
      <c r="J21" s="83">
        <f t="shared" ref="J21:J24" si="14">SUM(E21,G21)</f>
        <v>0</v>
      </c>
      <c r="K21" s="83">
        <f t="shared" ref="K21:K24" si="15">SUM(E21,H21)</f>
        <v>0</v>
      </c>
      <c r="L21" s="110"/>
      <c r="M21" s="110"/>
      <c r="N21" s="113"/>
    </row>
    <row r="22" spans="1:14">
      <c r="A22" s="69">
        <f t="shared" si="3"/>
        <v>15</v>
      </c>
      <c r="B22" s="69">
        <v>31</v>
      </c>
      <c r="C22" s="78">
        <f>+'Sch 139 Eff 10-15-2020'!D37</f>
        <v>70432375</v>
      </c>
      <c r="D22" s="109">
        <f>+'UE-190529 Proposed Unit Cost'!S28/100</f>
        <v>8.5286764520818195E-2</v>
      </c>
      <c r="E22" s="80">
        <f>ROUND(C22*D22,0)</f>
        <v>6006949</v>
      </c>
      <c r="F22" s="93"/>
      <c r="G22" s="81">
        <f>+'Sch 139 Eff 10-15-2020'!H37</f>
        <v>-87808</v>
      </c>
      <c r="H22" s="82">
        <f>+'Sch 139 Eff 12-1-2021'!H37</f>
        <v>-34913</v>
      </c>
      <c r="I22" s="83">
        <f t="shared" si="13"/>
        <v>52895</v>
      </c>
      <c r="J22" s="83">
        <f t="shared" si="14"/>
        <v>5919141</v>
      </c>
      <c r="K22" s="83">
        <f t="shared" si="15"/>
        <v>5972036</v>
      </c>
      <c r="L22" s="110">
        <f t="shared" ref="L22:L24" si="16">J22/C22</f>
        <v>8.4040059702658043E-2</v>
      </c>
      <c r="M22" s="110">
        <f t="shared" ref="M22:M24" si="17">K22/C22</f>
        <v>8.4791063768614935E-2</v>
      </c>
      <c r="N22" s="113">
        <f t="shared" ref="N22:N25" si="18">I22/J22</f>
        <v>8.9362628800361398E-3</v>
      </c>
    </row>
    <row r="23" spans="1:14">
      <c r="A23" s="69">
        <f t="shared" si="3"/>
        <v>16</v>
      </c>
      <c r="B23" s="69">
        <v>35</v>
      </c>
      <c r="C23" s="78">
        <v>0</v>
      </c>
      <c r="D23" s="78"/>
      <c r="E23" s="80">
        <f>ROUND(C23*D23,0)</f>
        <v>0</v>
      </c>
      <c r="F23" s="93"/>
      <c r="G23" s="81">
        <v>0</v>
      </c>
      <c r="H23" s="82">
        <v>0</v>
      </c>
      <c r="I23" s="83">
        <f t="shared" si="13"/>
        <v>0</v>
      </c>
      <c r="J23" s="83">
        <f t="shared" si="14"/>
        <v>0</v>
      </c>
      <c r="K23" s="83">
        <f t="shared" si="15"/>
        <v>0</v>
      </c>
      <c r="L23" s="110"/>
      <c r="M23" s="110"/>
      <c r="N23" s="113"/>
    </row>
    <row r="24" spans="1:14">
      <c r="A24" s="69">
        <f t="shared" si="3"/>
        <v>17</v>
      </c>
      <c r="B24" s="69">
        <v>43</v>
      </c>
      <c r="C24" s="78">
        <f>+'Sch 139 Eff 10-15-2020'!D39</f>
        <v>1472003</v>
      </c>
      <c r="D24" s="109">
        <f>+'UE-190529 Proposed Unit Cost'!S30/100</f>
        <v>9.2336768479502979E-2</v>
      </c>
      <c r="E24" s="80">
        <f>ROUND(C24*D24,0)</f>
        <v>135920</v>
      </c>
      <c r="F24" s="93"/>
      <c r="G24" s="81">
        <f>+'Sch 139 Eff 10-15-2020'!H39</f>
        <v>-1610</v>
      </c>
      <c r="H24" s="82">
        <f>+'Sch 139 Eff 12-1-2021'!H39</f>
        <v>-505</v>
      </c>
      <c r="I24" s="83">
        <f t="shared" si="13"/>
        <v>1105</v>
      </c>
      <c r="J24" s="83">
        <f t="shared" si="14"/>
        <v>134310</v>
      </c>
      <c r="K24" s="83">
        <f t="shared" si="15"/>
        <v>135415</v>
      </c>
      <c r="L24" s="110">
        <f t="shared" si="16"/>
        <v>9.1243020564496138E-2</v>
      </c>
      <c r="M24" s="110">
        <f t="shared" si="17"/>
        <v>9.1993698382408187E-2</v>
      </c>
      <c r="N24" s="113">
        <f t="shared" si="18"/>
        <v>8.227235499962772E-3</v>
      </c>
    </row>
    <row r="25" spans="1:14">
      <c r="A25" s="69">
        <f t="shared" si="3"/>
        <v>18</v>
      </c>
      <c r="B25" s="68" t="s">
        <v>109</v>
      </c>
      <c r="C25" s="85">
        <f>SUM(C21:C24)</f>
        <v>71904378</v>
      </c>
      <c r="D25" s="78"/>
      <c r="E25" s="87">
        <f>SUM(E21:E24)</f>
        <v>6142869</v>
      </c>
      <c r="F25" s="93"/>
      <c r="G25" s="88">
        <f t="shared" ref="G25:K25" si="19">SUM(G21:G24)</f>
        <v>-89418</v>
      </c>
      <c r="H25" s="89">
        <f>SUM(H21:H24)</f>
        <v>-35418</v>
      </c>
      <c r="I25" s="90">
        <f t="shared" si="19"/>
        <v>54000</v>
      </c>
      <c r="J25" s="90">
        <f t="shared" ref="J25" si="20">SUM(J21:J24)</f>
        <v>6053451</v>
      </c>
      <c r="K25" s="90">
        <f t="shared" si="19"/>
        <v>6107451</v>
      </c>
      <c r="L25" s="111">
        <f>J25/C25</f>
        <v>8.4187516370699988E-2</v>
      </c>
      <c r="M25" s="111">
        <f>K25/C25</f>
        <v>8.4938513757813194E-2</v>
      </c>
      <c r="N25" s="114">
        <f t="shared" si="18"/>
        <v>8.920531445616723E-3</v>
      </c>
    </row>
    <row r="26" spans="1:14">
      <c r="A26" s="69">
        <f t="shared" si="3"/>
        <v>19</v>
      </c>
      <c r="B26" s="69"/>
      <c r="C26" s="78"/>
      <c r="D26" s="78"/>
      <c r="E26" s="80"/>
      <c r="F26" s="93"/>
      <c r="G26" s="81"/>
      <c r="H26" s="82"/>
      <c r="I26" s="83"/>
      <c r="J26" s="83"/>
      <c r="K26" s="83"/>
      <c r="L26" s="110"/>
      <c r="M26" s="110"/>
      <c r="N26" s="113"/>
    </row>
    <row r="27" spans="1:14">
      <c r="A27" s="69">
        <f t="shared" si="3"/>
        <v>20</v>
      </c>
      <c r="B27" s="69">
        <v>46</v>
      </c>
      <c r="C27" s="78">
        <f>+'Sch 139 Eff 10-15-2020'!D41</f>
        <v>13118192</v>
      </c>
      <c r="D27" s="109">
        <f>+'UE-190529 Proposed Unit Cost'!S34/100</f>
        <v>6.9216090996710056E-2</v>
      </c>
      <c r="E27" s="80">
        <f>ROUND(C27*D27,0)</f>
        <v>907990</v>
      </c>
      <c r="F27" s="93"/>
      <c r="G27" s="81">
        <f>+'Sch 139 Eff 10-15-2020'!H41</f>
        <v>-20254</v>
      </c>
      <c r="H27" s="82">
        <f>+'Sch 139 Eff 12-1-2021'!H41</f>
        <v>-10403</v>
      </c>
      <c r="I27" s="83">
        <f t="shared" ref="I27:I28" si="21">+H27-G27</f>
        <v>9851</v>
      </c>
      <c r="J27" s="83">
        <f t="shared" ref="J27:J28" si="22">SUM(E27,G27)</f>
        <v>887736</v>
      </c>
      <c r="K27" s="83">
        <f t="shared" ref="K27:K28" si="23">SUM(E27,H27)</f>
        <v>897587</v>
      </c>
      <c r="L27" s="110">
        <f t="shared" ref="L27:L28" si="24">J27/C27</f>
        <v>6.7672130427729668E-2</v>
      </c>
      <c r="M27" s="110">
        <f t="shared" ref="M27:M28" si="25">K27/C27</f>
        <v>6.8423072325820511E-2</v>
      </c>
      <c r="N27" s="113">
        <f t="shared" ref="N27:N29" si="26">I27/J27</f>
        <v>1.1096767507457172E-2</v>
      </c>
    </row>
    <row r="28" spans="1:14">
      <c r="A28" s="69">
        <f t="shared" si="3"/>
        <v>21</v>
      </c>
      <c r="B28" s="69">
        <v>49</v>
      </c>
      <c r="C28" s="78">
        <f>+'Sch 139 Eff 10-15-2020'!D44</f>
        <v>126353174</v>
      </c>
      <c r="D28" s="109">
        <f>+'UE-190529 Proposed Unit Cost'!S35/100</f>
        <v>6.7341271157105323E-2</v>
      </c>
      <c r="E28" s="80">
        <f>ROUND(C28*D28,0)</f>
        <v>8508783</v>
      </c>
      <c r="F28" s="93"/>
      <c r="G28" s="81">
        <f>+'Sch 139 Eff 10-15-2020'!H44</f>
        <v>-150594</v>
      </c>
      <c r="H28" s="82">
        <f>+'Sch 139 Eff 12-1-2021'!H44</f>
        <v>-55702</v>
      </c>
      <c r="I28" s="83">
        <f t="shared" si="21"/>
        <v>94892</v>
      </c>
      <c r="J28" s="83">
        <f t="shared" si="22"/>
        <v>8358189</v>
      </c>
      <c r="K28" s="83">
        <f t="shared" si="23"/>
        <v>8453081</v>
      </c>
      <c r="L28" s="110">
        <f t="shared" si="24"/>
        <v>6.6149418612942795E-2</v>
      </c>
      <c r="M28" s="110">
        <f t="shared" si="25"/>
        <v>6.6900424677895309E-2</v>
      </c>
      <c r="N28" s="113">
        <f t="shared" si="26"/>
        <v>1.1353177105710341E-2</v>
      </c>
    </row>
    <row r="29" spans="1:14">
      <c r="A29" s="69">
        <f t="shared" si="3"/>
        <v>22</v>
      </c>
      <c r="B29" s="69" t="s">
        <v>110</v>
      </c>
      <c r="C29" s="85">
        <f>SUM(C27:C28)</f>
        <v>139471366</v>
      </c>
      <c r="D29" s="85"/>
      <c r="E29" s="87">
        <f>SUM(E27:E28)</f>
        <v>9416773</v>
      </c>
      <c r="F29" s="93"/>
      <c r="G29" s="88">
        <f t="shared" ref="G29:K29" si="27">SUM(G27:G28)</f>
        <v>-170848</v>
      </c>
      <c r="H29" s="89">
        <f>SUM(H27:H28)</f>
        <v>-66105</v>
      </c>
      <c r="I29" s="90">
        <f t="shared" si="27"/>
        <v>104743</v>
      </c>
      <c r="J29" s="90">
        <f t="shared" ref="J29" si="28">SUM(J27:J28)</f>
        <v>9245925</v>
      </c>
      <c r="K29" s="90">
        <f t="shared" si="27"/>
        <v>9350668</v>
      </c>
      <c r="L29" s="111">
        <f>J29/C29</f>
        <v>6.6292639594567396E-2</v>
      </c>
      <c r="M29" s="111">
        <f>K29/C29</f>
        <v>6.7043639624207882E-2</v>
      </c>
      <c r="N29" s="114">
        <f t="shared" si="26"/>
        <v>1.1328558256745539E-2</v>
      </c>
    </row>
    <row r="30" spans="1:14">
      <c r="A30" s="69">
        <f t="shared" si="3"/>
        <v>23</v>
      </c>
      <c r="B30" s="69"/>
      <c r="C30" s="78"/>
      <c r="D30" s="78"/>
      <c r="E30" s="80"/>
      <c r="F30" s="93"/>
      <c r="G30" s="81"/>
      <c r="H30" s="82"/>
      <c r="I30" s="83"/>
      <c r="J30" s="83"/>
      <c r="K30" s="83"/>
      <c r="L30" s="110"/>
      <c r="M30" s="110"/>
      <c r="N30" s="113"/>
    </row>
    <row r="31" spans="1:14">
      <c r="A31" s="69">
        <f t="shared" si="3"/>
        <v>24</v>
      </c>
      <c r="B31" s="69" t="s">
        <v>83</v>
      </c>
      <c r="C31" s="78">
        <f>+'Sch 139 Eff 10-15-2020'!D46</f>
        <v>983.91199999999969</v>
      </c>
      <c r="D31" s="109">
        <f>+'UE-190529 Proposed Unit Cost'!S43/100</f>
        <v>0.24941588042569499</v>
      </c>
      <c r="E31" s="80">
        <f>ROUND(C31*D31,0)</f>
        <v>245</v>
      </c>
      <c r="F31" s="93"/>
      <c r="G31" s="81">
        <f>+'Sch 139 Eff 10-15-2020'!H46</f>
        <v>-1</v>
      </c>
      <c r="H31" s="82">
        <f>+'Sch 139 Eff 12-1-2021'!H46</f>
        <v>0</v>
      </c>
      <c r="I31" s="83">
        <f t="shared" ref="I31:I33" si="29">+H31-G31</f>
        <v>1</v>
      </c>
      <c r="J31" s="83">
        <f t="shared" ref="J31:J33" si="30">SUM(E31,G31)</f>
        <v>244</v>
      </c>
      <c r="K31" s="83">
        <f t="shared" ref="K31:K33" si="31">SUM(E31,H31)</f>
        <v>245</v>
      </c>
      <c r="L31" s="110">
        <f t="shared" ref="L31" si="32">J31/C31</f>
        <v>0.24798965761165639</v>
      </c>
      <c r="M31" s="110">
        <f t="shared" ref="M31" si="33">K31/C31</f>
        <v>0.24900600866744188</v>
      </c>
      <c r="N31" s="113">
        <f t="shared" ref="N31" si="34">I31/J31</f>
        <v>4.0983606557377051E-3</v>
      </c>
    </row>
    <row r="32" spans="1:14">
      <c r="A32" s="69">
        <f t="shared" si="3"/>
        <v>25</v>
      </c>
      <c r="B32" s="69" t="s">
        <v>111</v>
      </c>
      <c r="C32" s="78">
        <v>0</v>
      </c>
      <c r="D32" s="78"/>
      <c r="E32" s="80">
        <f>ROUND(C32*D32,0)</f>
        <v>0</v>
      </c>
      <c r="F32" s="93"/>
      <c r="G32" s="81">
        <v>0</v>
      </c>
      <c r="H32" s="82">
        <v>0</v>
      </c>
      <c r="I32" s="83">
        <f t="shared" si="29"/>
        <v>0</v>
      </c>
      <c r="J32" s="83">
        <f t="shared" si="30"/>
        <v>0</v>
      </c>
      <c r="K32" s="83">
        <f t="shared" si="31"/>
        <v>0</v>
      </c>
      <c r="L32" s="110"/>
      <c r="M32" s="110"/>
      <c r="N32" s="113"/>
    </row>
    <row r="33" spans="1:14">
      <c r="A33" s="69">
        <f t="shared" si="3"/>
        <v>26</v>
      </c>
      <c r="B33" s="68" t="s">
        <v>112</v>
      </c>
      <c r="C33" s="78">
        <v>0</v>
      </c>
      <c r="D33" s="78"/>
      <c r="E33" s="80">
        <f>ROUND(C33*D33,0)</f>
        <v>0</v>
      </c>
      <c r="F33" s="93"/>
      <c r="G33" s="81">
        <v>0</v>
      </c>
      <c r="H33" s="82">
        <v>0</v>
      </c>
      <c r="I33" s="83">
        <f t="shared" si="29"/>
        <v>0</v>
      </c>
      <c r="J33" s="83">
        <f t="shared" si="30"/>
        <v>0</v>
      </c>
      <c r="K33" s="83">
        <f t="shared" si="31"/>
        <v>0</v>
      </c>
      <c r="L33" s="110"/>
      <c r="M33" s="110"/>
      <c r="N33" s="113"/>
    </row>
    <row r="34" spans="1:14">
      <c r="A34" s="69">
        <f t="shared" si="3"/>
        <v>27</v>
      </c>
      <c r="B34" s="69"/>
      <c r="C34" s="91"/>
      <c r="D34" s="78"/>
      <c r="E34" s="80"/>
      <c r="F34" s="93"/>
      <c r="G34" s="81"/>
      <c r="H34" s="82"/>
      <c r="I34" s="83"/>
      <c r="J34" s="83"/>
      <c r="K34" s="83"/>
      <c r="L34" s="110"/>
      <c r="M34" s="110"/>
      <c r="N34" s="113"/>
    </row>
    <row r="35" spans="1:14">
      <c r="A35" s="69">
        <f t="shared" si="3"/>
        <v>28</v>
      </c>
      <c r="B35" s="69" t="s">
        <v>113</v>
      </c>
      <c r="C35" s="85">
        <f>SUM(C9,C19,C25,C29,C31:C33)</f>
        <v>679392876.079</v>
      </c>
      <c r="D35" s="78"/>
      <c r="E35" s="87">
        <f>SUM(E9,E19,E25,E29,E31:E33)</f>
        <v>61744558</v>
      </c>
      <c r="F35" s="93"/>
      <c r="G35" s="88">
        <f>SUM(G9,G19,G25,G29,G31:G33)</f>
        <v>-856159</v>
      </c>
      <c r="H35" s="89">
        <f>SUM(H9,H19,H25,H29,H31:H33)</f>
        <v>-345935</v>
      </c>
      <c r="I35" s="90">
        <f>SUM(I9,I19,I25,I29,I31:I33)</f>
        <v>510224</v>
      </c>
      <c r="J35" s="90">
        <f>SUM(J9,J19,J25,J29,J31:J33)</f>
        <v>60888399</v>
      </c>
      <c r="K35" s="90">
        <f>SUM(K9,K19,K25,K29,K31:K33)</f>
        <v>61398623</v>
      </c>
      <c r="L35" s="111">
        <f>J35/C35</f>
        <v>8.9621780186167094E-2</v>
      </c>
      <c r="M35" s="111">
        <f>K35/C35</f>
        <v>9.0372780112667167E-2</v>
      </c>
      <c r="N35" s="114">
        <f t="shared" ref="N35" si="35">I35/J35</f>
        <v>8.3796586604288938E-3</v>
      </c>
    </row>
    <row r="36" spans="1:14">
      <c r="A36" s="69">
        <f t="shared" si="3"/>
        <v>29</v>
      </c>
      <c r="B36" s="69"/>
      <c r="C36" s="91"/>
      <c r="D36" s="78"/>
      <c r="E36" s="93"/>
      <c r="F36" s="93"/>
      <c r="G36" s="81"/>
      <c r="H36" s="82"/>
      <c r="I36" s="83"/>
      <c r="J36" s="83"/>
      <c r="K36" s="83"/>
      <c r="L36" s="110"/>
      <c r="M36" s="110"/>
      <c r="N36" s="113"/>
    </row>
    <row r="37" spans="1:14">
      <c r="A37" s="69">
        <f t="shared" si="3"/>
        <v>30</v>
      </c>
      <c r="B37" s="69">
        <v>5</v>
      </c>
      <c r="C37" s="78">
        <v>0</v>
      </c>
      <c r="D37" s="78"/>
      <c r="E37" s="80">
        <f>ROUND(C37*D37,0)</f>
        <v>0</v>
      </c>
      <c r="F37" s="93"/>
      <c r="G37" s="81">
        <v>0</v>
      </c>
      <c r="H37" s="82">
        <v>0</v>
      </c>
      <c r="I37" s="83">
        <f>+H37-G37</f>
        <v>0</v>
      </c>
      <c r="J37" s="83">
        <f>SUM(E37,G37)</f>
        <v>0</v>
      </c>
      <c r="K37" s="83">
        <f>SUM(E37,H37)</f>
        <v>0</v>
      </c>
      <c r="L37" s="110"/>
      <c r="M37" s="110"/>
      <c r="N37" s="113"/>
    </row>
    <row r="38" spans="1:14">
      <c r="A38" s="69">
        <f t="shared" si="3"/>
        <v>31</v>
      </c>
      <c r="B38" s="69"/>
      <c r="C38" s="91"/>
      <c r="D38" s="78"/>
      <c r="E38" s="93"/>
      <c r="F38" s="93"/>
      <c r="G38" s="81"/>
      <c r="H38" s="82"/>
      <c r="I38" s="83"/>
      <c r="J38" s="83"/>
      <c r="K38" s="83"/>
      <c r="L38" s="110"/>
      <c r="M38" s="110"/>
      <c r="N38" s="113"/>
    </row>
    <row r="39" spans="1:14" ht="10.5" thickBot="1">
      <c r="A39" s="69">
        <f t="shared" si="3"/>
        <v>32</v>
      </c>
      <c r="B39" s="69" t="s">
        <v>114</v>
      </c>
      <c r="C39" s="94">
        <f>SUM(C35:C37)</f>
        <v>679392876.079</v>
      </c>
      <c r="D39" s="78"/>
      <c r="E39" s="95">
        <f t="shared" ref="E39:K39" si="36">SUM(E35:E37)</f>
        <v>61744558</v>
      </c>
      <c r="F39" s="92"/>
      <c r="G39" s="96">
        <f>SUM(G35:G37)</f>
        <v>-856159</v>
      </c>
      <c r="H39" s="97">
        <f>SUM(H35:H37)</f>
        <v>-345935</v>
      </c>
      <c r="I39" s="106">
        <f>SUM(I35:I37)</f>
        <v>510224</v>
      </c>
      <c r="J39" s="106">
        <f t="shared" ref="J39" si="37">SUM(J35:J37)</f>
        <v>60888399</v>
      </c>
      <c r="K39" s="106">
        <f t="shared" si="36"/>
        <v>61398623</v>
      </c>
      <c r="L39" s="112">
        <f>J39/C39</f>
        <v>8.9621780186167094E-2</v>
      </c>
      <c r="M39" s="112">
        <f>K39/C39</f>
        <v>9.0372780112667167E-2</v>
      </c>
      <c r="N39" s="115">
        <f t="shared" ref="N39" si="38">I39/J39</f>
        <v>8.3796586604288938E-3</v>
      </c>
    </row>
    <row r="40" spans="1:14" ht="10.5" thickTop="1">
      <c r="A40" s="69">
        <f t="shared" si="3"/>
        <v>33</v>
      </c>
      <c r="D40" s="78"/>
      <c r="E40" s="79"/>
      <c r="F40" s="79"/>
      <c r="G40" s="116"/>
      <c r="H40" s="107"/>
      <c r="I40" s="79"/>
      <c r="J40" s="79"/>
      <c r="K40" s="79"/>
    </row>
    <row r="41" spans="1:14" ht="10.5" thickBot="1">
      <c r="A41" s="69">
        <f t="shared" si="3"/>
        <v>34</v>
      </c>
      <c r="B41" s="67" t="s">
        <v>115</v>
      </c>
      <c r="C41" s="94">
        <f>+'Sch 139 Eff 10-15-2020'!D47</f>
        <v>679392876.079</v>
      </c>
      <c r="D41" s="78"/>
      <c r="E41" s="95"/>
      <c r="F41" s="79"/>
      <c r="G41" s="96">
        <f>+'Sch 139 Eff 10-15-2020'!H47</f>
        <v>-856159</v>
      </c>
      <c r="H41" s="97">
        <f>+'Sch 139 Eff 12-1-2021'!H47</f>
        <v>-345935</v>
      </c>
    </row>
    <row r="42" spans="1:14" ht="11" thickTop="1" thickBot="1">
      <c r="A42" s="69">
        <f t="shared" si="3"/>
        <v>35</v>
      </c>
      <c r="B42" s="67" t="s">
        <v>115</v>
      </c>
      <c r="C42" s="78">
        <f>+C39-C41</f>
        <v>0</v>
      </c>
      <c r="D42" s="78"/>
      <c r="E42" s="79"/>
      <c r="F42" s="79"/>
      <c r="G42" s="117">
        <f>+G39-G41</f>
        <v>0</v>
      </c>
      <c r="H42" s="108">
        <f>+H39-H41</f>
        <v>0</v>
      </c>
    </row>
    <row r="43" spans="1:14">
      <c r="D43" s="78"/>
    </row>
    <row r="44" spans="1:14">
      <c r="D44" s="78"/>
    </row>
  </sheetData>
  <mergeCells count="1">
    <mergeCell ref="A4:B4"/>
  </mergeCells>
  <printOptions horizontalCentered="1"/>
  <pageMargins left="0.25" right="0.25" top="0.75" bottom="0.75" header="0.3" footer="0.3"/>
  <pageSetup scale="65" orientation="landscape" r:id="rId1"/>
  <headerFooter>
    <oddFooter>&amp;L&amp;"Times New Roman,Regular"&amp;F
&amp;A&amp;R&amp;"Times New Roman,Regular"Page &amp;P of &amp;N</oddFooter>
  </headerFooter>
  <colBreaks count="1" manualBreakCount="1">
    <brk id="5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zoomScale="70" zoomScaleNormal="70" workbookViewId="0">
      <selection activeCell="F5" sqref="F5:F6"/>
    </sheetView>
  </sheetViews>
  <sheetFormatPr defaultRowHeight="14.5"/>
  <cols>
    <col min="2" max="2" width="15.453125" bestFit="1" customWidth="1"/>
    <col min="3" max="3" width="12.81640625" bestFit="1" customWidth="1"/>
    <col min="4" max="4" width="14.81640625" bestFit="1" customWidth="1"/>
    <col min="5" max="5" width="13" bestFit="1" customWidth="1"/>
    <col min="6" max="6" width="13.54296875" bestFit="1" customWidth="1"/>
    <col min="7" max="7" width="14" bestFit="1" customWidth="1"/>
    <col min="8" max="8" width="14.81640625" bestFit="1" customWidth="1"/>
  </cols>
  <sheetData>
    <row r="2" spans="2:8" ht="15" thickBot="1"/>
    <row r="3" spans="2:8" ht="15" thickBot="1">
      <c r="B3" s="138" t="s">
        <v>0</v>
      </c>
      <c r="C3" s="139"/>
      <c r="D3" s="139"/>
      <c r="E3" s="139"/>
      <c r="F3" s="139"/>
      <c r="G3" s="139"/>
      <c r="H3" s="140"/>
    </row>
    <row r="5" spans="2:8" ht="15" customHeight="1">
      <c r="B5" s="1" t="s">
        <v>1</v>
      </c>
      <c r="C5" s="1"/>
      <c r="D5" s="1"/>
      <c r="E5" s="1" t="s">
        <v>2</v>
      </c>
      <c r="F5" s="141" t="s">
        <v>128</v>
      </c>
      <c r="G5" s="143" t="s">
        <v>3</v>
      </c>
      <c r="H5" s="143" t="s">
        <v>3</v>
      </c>
    </row>
    <row r="6" spans="2:8" ht="34.5" customHeight="1">
      <c r="B6" s="2" t="s">
        <v>4</v>
      </c>
      <c r="C6" s="2" t="s">
        <v>5</v>
      </c>
      <c r="D6" s="2" t="s">
        <v>6</v>
      </c>
      <c r="E6" s="3" t="s">
        <v>7</v>
      </c>
      <c r="F6" s="142"/>
      <c r="G6" s="144"/>
      <c r="H6" s="144"/>
    </row>
    <row r="7" spans="2:8">
      <c r="B7">
        <v>7</v>
      </c>
      <c r="C7" t="str">
        <f>+'[2]Sch 139 Eff 10-15-2020'!C7</f>
        <v>13902SW10</v>
      </c>
      <c r="D7" s="4">
        <f>+'[2]Sch 139 Eff 10-15-2020'!D7</f>
        <v>12276</v>
      </c>
      <c r="E7" s="5">
        <v>4.4540000000000003E-2</v>
      </c>
      <c r="F7" s="5">
        <f>-'Sch 139 Credit Calculation'!C10</f>
        <v>-4.5634000000000001E-2</v>
      </c>
      <c r="G7" s="6">
        <f>ROUND(SUM(E7:F7)*D7,0)</f>
        <v>-13</v>
      </c>
    </row>
    <row r="8" spans="2:8">
      <c r="B8">
        <v>7</v>
      </c>
      <c r="C8" t="str">
        <f>+'[2]Sch 139 Eff 10-15-2020'!C8</f>
        <v>13902SW20</v>
      </c>
      <c r="D8" s="4">
        <f>+'[2]Sch 139 Eff 10-15-2020'!D8</f>
        <v>950</v>
      </c>
      <c r="E8" s="5">
        <v>4.4089999999999997E-2</v>
      </c>
      <c r="F8" s="5">
        <f>+$F$7</f>
        <v>-4.5634000000000001E-2</v>
      </c>
      <c r="G8" s="6">
        <f t="shared" ref="G8:G9" si="0">ROUND(SUM(E8:F8)*D8,0)</f>
        <v>-1</v>
      </c>
    </row>
    <row r="9" spans="2:8">
      <c r="B9">
        <v>7</v>
      </c>
      <c r="C9" t="str">
        <f>+'[2]Sch 139 Eff 10-15-2020'!C9</f>
        <v>13903SW10</v>
      </c>
      <c r="D9" s="4">
        <f>+'[2]Sch 139 Eff 10-15-2020'!D9</f>
        <v>219154</v>
      </c>
      <c r="E9" s="5">
        <v>4.4540000000000003E-2</v>
      </c>
      <c r="F9" s="5">
        <f>+$F$7</f>
        <v>-4.5634000000000001E-2</v>
      </c>
      <c r="G9" s="6">
        <f t="shared" si="0"/>
        <v>-240</v>
      </c>
    </row>
    <row r="10" spans="2:8">
      <c r="B10" t="s">
        <v>8</v>
      </c>
      <c r="D10" s="4">
        <f>SUM(D7:D9)</f>
        <v>232380</v>
      </c>
      <c r="E10" s="5"/>
      <c r="F10" s="5"/>
      <c r="G10" s="6"/>
      <c r="H10" s="6">
        <f>SUM(G7:G9)</f>
        <v>-254</v>
      </c>
    </row>
    <row r="11" spans="2:8">
      <c r="B11">
        <v>24</v>
      </c>
      <c r="C11" t="str">
        <f>+'[2]Sch 139 Eff 10-15-2020'!C11</f>
        <v>13902SW10</v>
      </c>
      <c r="D11" s="4">
        <f>+'[2]Sch 139 Eff 10-15-2020'!D11</f>
        <v>19851115</v>
      </c>
      <c r="E11" s="5">
        <v>4.4540000000000003E-2</v>
      </c>
      <c r="F11" s="5">
        <f t="shared" ref="F11:F16" si="1">+$F$7</f>
        <v>-4.5634000000000001E-2</v>
      </c>
      <c r="G11" s="6">
        <f t="shared" ref="G11:G16" si="2">ROUND(SUM(E11:F11)*D11,0)</f>
        <v>-21717</v>
      </c>
      <c r="H11" s="6"/>
    </row>
    <row r="12" spans="2:8">
      <c r="B12">
        <v>24</v>
      </c>
      <c r="C12" t="str">
        <f>+'[2]Sch 139 Eff 10-15-2020'!C12</f>
        <v>13902SW15</v>
      </c>
      <c r="D12" s="4">
        <f>+'[2]Sch 139 Eff 10-15-2020'!D12</f>
        <v>1286627</v>
      </c>
      <c r="E12" s="5">
        <v>4.4269999999999997E-2</v>
      </c>
      <c r="F12" s="5">
        <f t="shared" si="1"/>
        <v>-4.5634000000000001E-2</v>
      </c>
      <c r="G12" s="6">
        <f t="shared" si="2"/>
        <v>-1755</v>
      </c>
      <c r="H12" s="6"/>
    </row>
    <row r="13" spans="2:8">
      <c r="B13">
        <v>24</v>
      </c>
      <c r="C13" t="str">
        <f>+'[2]Sch 139 Eff 10-15-2020'!C13</f>
        <v>13902SW20</v>
      </c>
      <c r="D13" s="4">
        <f>+'[2]Sch 139 Eff 10-15-2020'!D13</f>
        <v>13939582</v>
      </c>
      <c r="E13" s="5">
        <v>4.4089999999999997E-2</v>
      </c>
      <c r="F13" s="5">
        <f t="shared" si="1"/>
        <v>-4.5634000000000001E-2</v>
      </c>
      <c r="G13" s="6">
        <f t="shared" si="2"/>
        <v>-21523</v>
      </c>
      <c r="H13" s="6"/>
    </row>
    <row r="14" spans="2:8">
      <c r="B14">
        <v>24</v>
      </c>
      <c r="C14" t="str">
        <f>+'[2]Sch 139 Eff 10-15-2020'!C14</f>
        <v>13903SW10</v>
      </c>
      <c r="D14" s="4">
        <f>+'[2]Sch 139 Eff 10-15-2020'!D14</f>
        <v>128762542</v>
      </c>
      <c r="E14" s="5">
        <v>4.4540000000000003E-2</v>
      </c>
      <c r="F14" s="5">
        <f t="shared" si="1"/>
        <v>-4.5634000000000001E-2</v>
      </c>
      <c r="G14" s="6">
        <f t="shared" si="2"/>
        <v>-140866</v>
      </c>
      <c r="H14" s="6"/>
    </row>
    <row r="15" spans="2:8">
      <c r="B15">
        <v>24</v>
      </c>
      <c r="C15" t="str">
        <f>+'[2]Sch 139 Eff 10-15-2020'!C15</f>
        <v>13903SW15</v>
      </c>
      <c r="D15" s="4">
        <f>+'[2]Sch 139 Eff 10-15-2020'!D15</f>
        <v>16733481</v>
      </c>
      <c r="E15" s="5">
        <v>4.4269999999999997E-2</v>
      </c>
      <c r="F15" s="5">
        <f t="shared" si="1"/>
        <v>-4.5634000000000001E-2</v>
      </c>
      <c r="G15" s="6">
        <f t="shared" si="2"/>
        <v>-22824</v>
      </c>
      <c r="H15" s="6"/>
    </row>
    <row r="16" spans="2:8">
      <c r="B16">
        <v>24</v>
      </c>
      <c r="C16" t="str">
        <f>+'[2]Sch 139 Eff 10-15-2020'!C16</f>
        <v>13903SW18</v>
      </c>
      <c r="D16" s="4">
        <f>+'[2]Sch 139 Eff 10-15-2020'!D16</f>
        <v>119378797</v>
      </c>
      <c r="E16" s="5">
        <v>4.4089999999999997E-2</v>
      </c>
      <c r="F16" s="5">
        <f t="shared" si="1"/>
        <v>-4.5634000000000001E-2</v>
      </c>
      <c r="G16" s="6">
        <f t="shared" si="2"/>
        <v>-184321</v>
      </c>
      <c r="H16" s="6"/>
    </row>
    <row r="17" spans="2:8">
      <c r="B17" t="s">
        <v>9</v>
      </c>
      <c r="D17" s="4">
        <f>SUM(D11:D16)</f>
        <v>299952144</v>
      </c>
      <c r="E17" s="5"/>
      <c r="F17" s="5"/>
      <c r="G17" s="6"/>
      <c r="H17" s="6">
        <f>SUM(G11:G16)</f>
        <v>-393006</v>
      </c>
    </row>
    <row r="18" spans="2:8">
      <c r="B18">
        <v>25</v>
      </c>
      <c r="C18" t="str">
        <f>+'[2]Sch 139 Eff 10-15-2020'!C18</f>
        <v>13902SW10</v>
      </c>
      <c r="D18" s="4">
        <f>+'[2]Sch 139 Eff 10-15-2020'!D18</f>
        <v>34489778</v>
      </c>
      <c r="E18" s="5">
        <v>4.4540000000000003E-2</v>
      </c>
      <c r="F18" s="5">
        <f t="shared" ref="F18:F23" si="3">+$F$7</f>
        <v>-4.5634000000000001E-2</v>
      </c>
      <c r="G18" s="6">
        <f t="shared" ref="G18:G23" si="4">ROUND(SUM(E18:F18)*D18,0)</f>
        <v>-37732</v>
      </c>
      <c r="H18" s="6"/>
    </row>
    <row r="19" spans="2:8">
      <c r="B19">
        <v>25</v>
      </c>
      <c r="C19" t="str">
        <f>+'[2]Sch 139 Eff 10-15-2020'!C19</f>
        <v>13902SW15</v>
      </c>
      <c r="D19" s="4">
        <f>+'[2]Sch 139 Eff 10-15-2020'!D19</f>
        <v>2567360</v>
      </c>
      <c r="E19" s="5">
        <v>4.4269999999999997E-2</v>
      </c>
      <c r="F19" s="5">
        <f t="shared" si="3"/>
        <v>-4.5634000000000001E-2</v>
      </c>
      <c r="G19" s="6">
        <f t="shared" si="4"/>
        <v>-3502</v>
      </c>
      <c r="H19" s="6"/>
    </row>
    <row r="20" spans="2:8">
      <c r="B20">
        <v>25</v>
      </c>
      <c r="C20" t="str">
        <f>+'[2]Sch 139 Eff 10-15-2020'!C20</f>
        <v>13902SW20</v>
      </c>
      <c r="D20" s="4">
        <f>+'[2]Sch 139 Eff 10-15-2020'!D20</f>
        <v>22271871</v>
      </c>
      <c r="E20" s="5">
        <v>4.4089999999999997E-2</v>
      </c>
      <c r="F20" s="5">
        <f t="shared" si="3"/>
        <v>-4.5634000000000001E-2</v>
      </c>
      <c r="G20" s="6">
        <f t="shared" si="4"/>
        <v>-34388</v>
      </c>
      <c r="H20" s="6"/>
    </row>
    <row r="21" spans="2:8">
      <c r="B21">
        <v>25</v>
      </c>
      <c r="C21" t="str">
        <f>+'[2]Sch 139 Eff 10-15-2020'!C21</f>
        <v>13903SW10</v>
      </c>
      <c r="D21" s="4">
        <f>+'[2]Sch 139 Eff 10-15-2020'!D21</f>
        <v>15146072.066999998</v>
      </c>
      <c r="E21" s="5">
        <v>4.4540000000000003E-2</v>
      </c>
      <c r="F21" s="5">
        <f t="shared" si="3"/>
        <v>-4.5634000000000001E-2</v>
      </c>
      <c r="G21" s="6">
        <f t="shared" si="4"/>
        <v>-16570</v>
      </c>
      <c r="H21" s="6"/>
    </row>
    <row r="22" spans="2:8">
      <c r="B22">
        <v>25</v>
      </c>
      <c r="C22" t="str">
        <f>+'[2]Sch 139 Eff 10-15-2020'!C22</f>
        <v>13903SW15</v>
      </c>
      <c r="D22" s="4">
        <f>+'[2]Sch 139 Eff 10-15-2020'!D22</f>
        <v>5197067</v>
      </c>
      <c r="E22" s="5">
        <v>4.4269999999999997E-2</v>
      </c>
      <c r="F22" s="5">
        <f t="shared" si="3"/>
        <v>-4.5634000000000001E-2</v>
      </c>
      <c r="G22" s="6">
        <f t="shared" si="4"/>
        <v>-7089</v>
      </c>
      <c r="H22" s="6"/>
    </row>
    <row r="23" spans="2:8">
      <c r="B23">
        <v>25</v>
      </c>
      <c r="C23" t="str">
        <f>+'[2]Sch 139 Eff 10-15-2020'!C23</f>
        <v>13903SW18</v>
      </c>
      <c r="D23" s="4">
        <f>+'[2]Sch 139 Eff 10-15-2020'!D23</f>
        <v>3105262</v>
      </c>
      <c r="E23" s="5">
        <v>4.4089999999999997E-2</v>
      </c>
      <c r="F23" s="5">
        <f t="shared" si="3"/>
        <v>-4.5634000000000001E-2</v>
      </c>
      <c r="G23" s="6">
        <f t="shared" si="4"/>
        <v>-4795</v>
      </c>
      <c r="H23" s="6"/>
    </row>
    <row r="24" spans="2:8">
      <c r="B24" t="s">
        <v>10</v>
      </c>
      <c r="D24" s="4">
        <f>SUM(D18:D23)</f>
        <v>82777410.067000002</v>
      </c>
      <c r="E24" s="5"/>
      <c r="F24" s="5"/>
      <c r="G24" s="6"/>
      <c r="H24" s="6">
        <f>SUM(G18:G23)</f>
        <v>-104076</v>
      </c>
    </row>
    <row r="25" spans="2:8">
      <c r="B25">
        <v>26</v>
      </c>
      <c r="C25" t="str">
        <f>+'[2]Sch 139 Eff 10-15-2020'!C25</f>
        <v>13902SW10</v>
      </c>
      <c r="D25" s="4">
        <f>+'[2]Sch 139 Eff 10-15-2020'!D25</f>
        <v>47638522</v>
      </c>
      <c r="E25" s="5">
        <v>4.4540000000000003E-2</v>
      </c>
      <c r="F25" s="5">
        <f t="shared" ref="F25:F30" si="5">+$F$7</f>
        <v>-4.5634000000000001E-2</v>
      </c>
      <c r="G25" s="6">
        <f t="shared" ref="G25:G30" si="6">ROUND(SUM(E25:F25)*D25,0)</f>
        <v>-52117</v>
      </c>
      <c r="H25" s="6"/>
    </row>
    <row r="26" spans="2:8">
      <c r="B26">
        <v>26</v>
      </c>
      <c r="C26" t="str">
        <f>+'[2]Sch 139 Eff 10-15-2020'!C26</f>
        <v>13902SW15</v>
      </c>
      <c r="D26" s="4">
        <f>+'[2]Sch 139 Eff 10-15-2020'!D26</f>
        <v>12063140</v>
      </c>
      <c r="E26" s="5">
        <v>4.4269999999999997E-2</v>
      </c>
      <c r="F26" s="5">
        <f t="shared" si="5"/>
        <v>-4.5634000000000001E-2</v>
      </c>
      <c r="G26" s="6">
        <f t="shared" si="6"/>
        <v>-16454</v>
      </c>
      <c r="H26" s="6"/>
    </row>
    <row r="27" spans="2:8">
      <c r="B27">
        <v>26</v>
      </c>
      <c r="C27" t="str">
        <f>+'[2]Sch 139 Eff 10-15-2020'!C27</f>
        <v>13902SW20</v>
      </c>
      <c r="D27" s="4">
        <f>+'[2]Sch 139 Eff 10-15-2020'!D27</f>
        <v>1816680</v>
      </c>
      <c r="E27" s="5">
        <v>4.4089999999999997E-2</v>
      </c>
      <c r="F27" s="5">
        <f t="shared" si="5"/>
        <v>-4.5634000000000001E-2</v>
      </c>
      <c r="G27" s="6">
        <f t="shared" si="6"/>
        <v>-2805</v>
      </c>
      <c r="H27" s="6"/>
    </row>
    <row r="28" spans="2:8">
      <c r="B28">
        <v>26</v>
      </c>
      <c r="C28" t="str">
        <f>+'[2]Sch 139 Eff 10-15-2020'!C28</f>
        <v>13903SW10</v>
      </c>
      <c r="D28" s="4">
        <f>+'[2]Sch 139 Eff 10-15-2020'!D28</f>
        <v>19900255.100000001</v>
      </c>
      <c r="E28" s="5">
        <v>4.4540000000000003E-2</v>
      </c>
      <c r="F28" s="5">
        <f t="shared" si="5"/>
        <v>-4.5634000000000001E-2</v>
      </c>
      <c r="G28" s="6">
        <f t="shared" si="6"/>
        <v>-21771</v>
      </c>
      <c r="H28" s="6"/>
    </row>
    <row r="29" spans="2:8">
      <c r="B29">
        <v>26</v>
      </c>
      <c r="C29" t="str">
        <f>+'[2]Sch 139 Eff 10-15-2020'!C29</f>
        <v>13903SW15</v>
      </c>
      <c r="D29" s="4">
        <f>+'[2]Sch 139 Eff 10-15-2020'!D29</f>
        <v>1134408</v>
      </c>
      <c r="E29" s="5">
        <v>4.4269999999999997E-2</v>
      </c>
      <c r="F29" s="5">
        <f t="shared" si="5"/>
        <v>-4.5634000000000001E-2</v>
      </c>
      <c r="G29" s="6">
        <f t="shared" si="6"/>
        <v>-1547</v>
      </c>
      <c r="H29" s="6"/>
    </row>
    <row r="30" spans="2:8">
      <c r="B30">
        <v>26</v>
      </c>
      <c r="C30" t="str">
        <f>+'[2]Sch 139 Eff 10-15-2020'!C30</f>
        <v>13903SW18</v>
      </c>
      <c r="D30" s="4">
        <f>+'[2]Sch 139 Eff 10-15-2020'!D30</f>
        <v>2501209</v>
      </c>
      <c r="E30" s="5">
        <v>4.4089999999999997E-2</v>
      </c>
      <c r="F30" s="5">
        <f t="shared" si="5"/>
        <v>-4.5634000000000001E-2</v>
      </c>
      <c r="G30" s="6">
        <f t="shared" si="6"/>
        <v>-3862</v>
      </c>
      <c r="H30" s="6"/>
    </row>
    <row r="31" spans="2:8">
      <c r="B31" t="s">
        <v>11</v>
      </c>
      <c r="D31" s="4">
        <f>SUM(D25:D30)</f>
        <v>85054214.099999994</v>
      </c>
      <c r="E31" s="5"/>
      <c r="F31" s="5"/>
      <c r="G31" s="6"/>
      <c r="H31" s="6">
        <f>SUM(G25:G30)</f>
        <v>-98556</v>
      </c>
    </row>
    <row r="32" spans="2:8">
      <c r="B32">
        <v>31</v>
      </c>
      <c r="C32" t="str">
        <f>+'[2]Sch 139 Eff 10-15-2020'!C32</f>
        <v>13902SW10</v>
      </c>
      <c r="D32" s="4">
        <f>+'[2]Sch 139 Eff 10-15-2020'!D32</f>
        <v>26141541</v>
      </c>
      <c r="E32" s="5">
        <v>4.4540000000000003E-2</v>
      </c>
      <c r="F32" s="5">
        <f t="shared" ref="F32:F36" si="7">+$F$7</f>
        <v>-4.5634000000000001E-2</v>
      </c>
      <c r="G32" s="6">
        <f t="shared" ref="G32:G36" si="8">ROUND(SUM(E32:F32)*D32,0)</f>
        <v>-28599</v>
      </c>
      <c r="H32" s="6"/>
    </row>
    <row r="33" spans="2:8">
      <c r="B33">
        <v>31</v>
      </c>
      <c r="C33" t="str">
        <f>+'[2]Sch 139 Eff 10-15-2020'!C33</f>
        <v>13902SW20</v>
      </c>
      <c r="D33" s="4">
        <f>+'[2]Sch 139 Eff 10-15-2020'!D33</f>
        <v>23368572</v>
      </c>
      <c r="E33" s="5">
        <v>4.4089999999999997E-2</v>
      </c>
      <c r="F33" s="5">
        <f t="shared" si="7"/>
        <v>-4.5634000000000001E-2</v>
      </c>
      <c r="G33" s="6">
        <f t="shared" si="8"/>
        <v>-36081</v>
      </c>
      <c r="H33" s="6"/>
    </row>
    <row r="34" spans="2:8">
      <c r="B34">
        <v>31</v>
      </c>
      <c r="C34" t="str">
        <f>+'[2]Sch 139 Eff 10-15-2020'!C34</f>
        <v>13903SW10</v>
      </c>
      <c r="D34" s="4">
        <f>+'[2]Sch 139 Eff 10-15-2020'!D34</f>
        <v>20373987</v>
      </c>
      <c r="E34" s="5">
        <v>4.4540000000000003E-2</v>
      </c>
      <c r="F34" s="5">
        <f t="shared" si="7"/>
        <v>-4.5634000000000001E-2</v>
      </c>
      <c r="G34" s="6">
        <f t="shared" si="8"/>
        <v>-22289</v>
      </c>
      <c r="H34" s="6"/>
    </row>
    <row r="35" spans="2:8">
      <c r="B35">
        <v>31</v>
      </c>
      <c r="C35" t="str">
        <f>+'[2]Sch 139 Eff 10-15-2020'!C35</f>
        <v>13903SW15</v>
      </c>
      <c r="D35" s="4">
        <f>+'[2]Sch 139 Eff 10-15-2020'!D35</f>
        <v>45294</v>
      </c>
      <c r="E35" s="5">
        <v>4.4269999999999997E-2</v>
      </c>
      <c r="F35" s="5">
        <f t="shared" si="7"/>
        <v>-4.5634000000000001E-2</v>
      </c>
      <c r="G35" s="6">
        <f t="shared" si="8"/>
        <v>-62</v>
      </c>
      <c r="H35" s="6"/>
    </row>
    <row r="36" spans="2:8">
      <c r="B36">
        <v>31</v>
      </c>
      <c r="C36" t="str">
        <f>+'[2]Sch 139 Eff 10-15-2020'!C36</f>
        <v>13903SW18</v>
      </c>
      <c r="D36" s="4">
        <f>+'[2]Sch 139 Eff 10-15-2020'!D36</f>
        <v>502981</v>
      </c>
      <c r="E36" s="5">
        <v>4.4089999999999997E-2</v>
      </c>
      <c r="F36" s="5">
        <f t="shared" si="7"/>
        <v>-4.5634000000000001E-2</v>
      </c>
      <c r="G36" s="6">
        <f t="shared" si="8"/>
        <v>-777</v>
      </c>
      <c r="H36" s="6"/>
    </row>
    <row r="37" spans="2:8">
      <c r="B37" t="s">
        <v>12</v>
      </c>
      <c r="D37" s="4">
        <f>SUM(D32:D36)</f>
        <v>70432375</v>
      </c>
      <c r="E37" s="5"/>
      <c r="F37" s="5"/>
      <c r="G37" s="6"/>
      <c r="H37" s="6">
        <f>SUM(G32:G36)</f>
        <v>-87808</v>
      </c>
    </row>
    <row r="38" spans="2:8">
      <c r="B38">
        <v>43</v>
      </c>
      <c r="C38" t="str">
        <f>+'[2]Sch 139 Eff 10-15-2020'!C38</f>
        <v>13903SW10</v>
      </c>
      <c r="D38" s="4">
        <f>+'[2]Sch 139 Eff 10-15-2020'!D38</f>
        <v>1472003</v>
      </c>
      <c r="E38" s="5">
        <v>4.4540000000000003E-2</v>
      </c>
      <c r="F38" s="5">
        <f>+$F$7</f>
        <v>-4.5634000000000001E-2</v>
      </c>
      <c r="G38" s="6">
        <f t="shared" ref="G38" si="9">ROUND(SUM(E38:F38)*D38,0)</f>
        <v>-1610</v>
      </c>
      <c r="H38" s="6"/>
    </row>
    <row r="39" spans="2:8">
      <c r="B39" t="s">
        <v>13</v>
      </c>
      <c r="D39" s="4">
        <f>SUM(D38)</f>
        <v>1472003</v>
      </c>
      <c r="E39" s="5"/>
      <c r="F39" s="5"/>
      <c r="G39" s="6"/>
      <c r="H39" s="6">
        <f>SUM(G38)</f>
        <v>-1610</v>
      </c>
    </row>
    <row r="40" spans="2:8">
      <c r="B40">
        <v>46</v>
      </c>
      <c r="C40" t="str">
        <f>+'[2]Sch 139 Eff 10-15-2020'!C40</f>
        <v>13902SW20</v>
      </c>
      <c r="D40" s="4">
        <f>+'[2]Sch 139 Eff 10-15-2020'!D40</f>
        <v>13118192</v>
      </c>
      <c r="E40" s="5">
        <v>4.4089999999999997E-2</v>
      </c>
      <c r="F40" s="5">
        <f>+$F$7</f>
        <v>-4.5634000000000001E-2</v>
      </c>
      <c r="G40" s="6">
        <f t="shared" ref="G40" si="10">ROUND(SUM(E40:F40)*D40,0)</f>
        <v>-20254</v>
      </c>
    </row>
    <row r="41" spans="2:8">
      <c r="B41" t="s">
        <v>14</v>
      </c>
      <c r="D41" s="4">
        <f>SUM(D40)</f>
        <v>13118192</v>
      </c>
      <c r="E41" s="5"/>
      <c r="F41" s="5"/>
      <c r="G41" s="6"/>
      <c r="H41" s="6">
        <f>SUM(G40)</f>
        <v>-20254</v>
      </c>
    </row>
    <row r="42" spans="2:8">
      <c r="B42">
        <v>49</v>
      </c>
      <c r="C42" t="str">
        <f>+'[2]Sch 139 Eff 10-15-2020'!C42</f>
        <v>13902SW10</v>
      </c>
      <c r="D42" s="4">
        <f>+'[2]Sch 139 Eff 10-15-2020'!D42</f>
        <v>98878991</v>
      </c>
      <c r="E42" s="5">
        <v>4.4540000000000003E-2</v>
      </c>
      <c r="F42" s="5">
        <f t="shared" ref="F42:F43" si="11">+$F$7</f>
        <v>-4.5634000000000001E-2</v>
      </c>
      <c r="G42" s="6">
        <f t="shared" ref="G42:G43" si="12">ROUND(SUM(E42:F42)*D42,0)</f>
        <v>-108174</v>
      </c>
    </row>
    <row r="43" spans="2:8">
      <c r="C43" t="str">
        <f>+'[2]Sch 139 Eff 10-15-2020'!C43</f>
        <v>13902SW20</v>
      </c>
      <c r="D43" s="4">
        <f>+'[2]Sch 139 Eff 10-15-2020'!D43</f>
        <v>27474183</v>
      </c>
      <c r="E43" s="5">
        <v>4.4089999999999997E-2</v>
      </c>
      <c r="F43" s="5">
        <f t="shared" si="11"/>
        <v>-4.5634000000000001E-2</v>
      </c>
      <c r="G43" s="6">
        <f t="shared" si="12"/>
        <v>-42420</v>
      </c>
    </row>
    <row r="44" spans="2:8">
      <c r="B44" t="s">
        <v>15</v>
      </c>
      <c r="D44" s="4">
        <f>SUM(D42:D43)</f>
        <v>126353174</v>
      </c>
      <c r="E44" s="5"/>
      <c r="F44" s="5"/>
      <c r="G44" s="6"/>
      <c r="H44" s="6">
        <f>SUM(G42:G43)</f>
        <v>-150594</v>
      </c>
    </row>
    <row r="45" spans="2:8">
      <c r="B45">
        <v>56</v>
      </c>
      <c r="C45" t="str">
        <f>+'[2]Sch 139 Eff 10-15-2020'!C45</f>
        <v>13903SW10</v>
      </c>
      <c r="D45" s="4">
        <f>+'[2]Sch 139 Eff 10-15-2020'!D45</f>
        <v>983.91199999999969</v>
      </c>
      <c r="E45" s="5">
        <v>4.4540000000000003E-2</v>
      </c>
      <c r="F45" s="5">
        <f>+$F$7</f>
        <v>-4.5634000000000001E-2</v>
      </c>
      <c r="G45" s="6">
        <f t="shared" ref="G45" si="13">ROUND(SUM(E45:F45)*D45,0)</f>
        <v>-1</v>
      </c>
      <c r="H45" s="6"/>
    </row>
    <row r="46" spans="2:8">
      <c r="B46" t="s">
        <v>16</v>
      </c>
      <c r="D46" s="4">
        <f>SUM(D45)</f>
        <v>983.91199999999969</v>
      </c>
      <c r="E46" s="5"/>
      <c r="F46" s="5"/>
      <c r="G46" s="6"/>
      <c r="H46" s="6">
        <f>SUM(G45)</f>
        <v>-1</v>
      </c>
    </row>
    <row r="47" spans="2:8">
      <c r="B47" t="s">
        <v>17</v>
      </c>
      <c r="D47" s="4">
        <f>SUM(D46,D44,D41,D39,D37,D31,D24,D17,D10)</f>
        <v>679392876.079</v>
      </c>
      <c r="G47" s="7"/>
      <c r="H47" s="7">
        <f>SUM(H7:H46)</f>
        <v>-856159</v>
      </c>
    </row>
    <row r="48" spans="2:8">
      <c r="H48" s="7"/>
    </row>
    <row r="49" spans="8:8">
      <c r="H49" s="7"/>
    </row>
  </sheetData>
  <mergeCells count="4">
    <mergeCell ref="B3:H3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9"/>
  <sheetViews>
    <sheetView topLeftCell="A2" zoomScale="70" zoomScaleNormal="70" workbookViewId="0">
      <selection activeCell="F5" sqref="F5:F6"/>
    </sheetView>
  </sheetViews>
  <sheetFormatPr defaultRowHeight="14.5"/>
  <cols>
    <col min="2" max="2" width="15.453125" bestFit="1" customWidth="1"/>
    <col min="3" max="3" width="12.81640625" bestFit="1" customWidth="1"/>
    <col min="4" max="4" width="14.81640625" bestFit="1" customWidth="1"/>
    <col min="5" max="5" width="13" bestFit="1" customWidth="1"/>
    <col min="6" max="6" width="13.54296875" bestFit="1" customWidth="1"/>
    <col min="7" max="7" width="14" bestFit="1" customWidth="1"/>
    <col min="8" max="8" width="14.81640625" bestFit="1" customWidth="1"/>
  </cols>
  <sheetData>
    <row r="2" spans="2:8" ht="15" thickBot="1"/>
    <row r="3" spans="2:8" ht="15" thickBot="1">
      <c r="B3" s="138" t="s">
        <v>0</v>
      </c>
      <c r="C3" s="139"/>
      <c r="D3" s="139"/>
      <c r="E3" s="139"/>
      <c r="F3" s="139"/>
      <c r="G3" s="139"/>
      <c r="H3" s="140"/>
    </row>
    <row r="5" spans="2:8" ht="15" customHeight="1">
      <c r="B5" s="1" t="s">
        <v>1</v>
      </c>
      <c r="C5" s="1"/>
      <c r="D5" s="1"/>
      <c r="E5" s="1" t="s">
        <v>2</v>
      </c>
      <c r="F5" s="141" t="s">
        <v>129</v>
      </c>
      <c r="G5" s="143" t="s">
        <v>3</v>
      </c>
      <c r="H5" s="143" t="s">
        <v>3</v>
      </c>
    </row>
    <row r="6" spans="2:8" ht="34.5" customHeight="1">
      <c r="B6" s="2" t="s">
        <v>4</v>
      </c>
      <c r="C6" s="2" t="s">
        <v>5</v>
      </c>
      <c r="D6" s="2" t="s">
        <v>6</v>
      </c>
      <c r="E6" s="3" t="s">
        <v>7</v>
      </c>
      <c r="F6" s="142"/>
      <c r="G6" s="144"/>
      <c r="H6" s="144"/>
    </row>
    <row r="7" spans="2:8">
      <c r="B7">
        <v>7</v>
      </c>
      <c r="C7" t="str">
        <f>+'[2]Sch 139 Eff 10-15-2020'!C7</f>
        <v>13902SW10</v>
      </c>
      <c r="D7" s="4">
        <f>+'[2]Sch 139 Eff 10-15-2020'!D7</f>
        <v>12276</v>
      </c>
      <c r="E7" s="5">
        <v>4.4540000000000003E-2</v>
      </c>
      <c r="F7" s="5">
        <f>-'Sch 139 Credit Calculation'!D10</f>
        <v>-4.4882999999999999E-2</v>
      </c>
      <c r="G7" s="6">
        <f>ROUND(SUM(E7:F7)*D7,0)</f>
        <v>-4</v>
      </c>
    </row>
    <row r="8" spans="2:8">
      <c r="B8">
        <v>7</v>
      </c>
      <c r="C8" t="str">
        <f>+'[2]Sch 139 Eff 10-15-2020'!C8</f>
        <v>13902SW20</v>
      </c>
      <c r="D8" s="4">
        <f>+'[2]Sch 139 Eff 10-15-2020'!D8</f>
        <v>950</v>
      </c>
      <c r="E8" s="5">
        <v>4.4089999999999997E-2</v>
      </c>
      <c r="F8" s="5">
        <f>+$F$7</f>
        <v>-4.4882999999999999E-2</v>
      </c>
      <c r="G8" s="6">
        <f t="shared" ref="G8:G9" si="0">ROUND(SUM(E8:F8)*D8,0)</f>
        <v>-1</v>
      </c>
    </row>
    <row r="9" spans="2:8">
      <c r="B9">
        <v>7</v>
      </c>
      <c r="C9" t="str">
        <f>+'[2]Sch 139 Eff 10-15-2020'!C9</f>
        <v>13903SW10</v>
      </c>
      <c r="D9" s="4">
        <f>+'[2]Sch 139 Eff 10-15-2020'!D9</f>
        <v>219154</v>
      </c>
      <c r="E9" s="5">
        <v>4.4540000000000003E-2</v>
      </c>
      <c r="F9" s="5">
        <f>+$F$7</f>
        <v>-4.4882999999999999E-2</v>
      </c>
      <c r="G9" s="6">
        <f t="shared" si="0"/>
        <v>-75</v>
      </c>
    </row>
    <row r="10" spans="2:8">
      <c r="B10" t="s">
        <v>8</v>
      </c>
      <c r="D10" s="4">
        <f>SUM(D7:D9)</f>
        <v>232380</v>
      </c>
      <c r="E10" s="5"/>
      <c r="F10" s="5"/>
      <c r="G10" s="6"/>
      <c r="H10" s="6">
        <f>SUM(G7:G9)</f>
        <v>-80</v>
      </c>
    </row>
    <row r="11" spans="2:8">
      <c r="B11">
        <v>24</v>
      </c>
      <c r="C11" t="str">
        <f>+'[2]Sch 139 Eff 10-15-2020'!C11</f>
        <v>13902SW10</v>
      </c>
      <c r="D11" s="4">
        <f>+'[2]Sch 139 Eff 10-15-2020'!D11</f>
        <v>19851115</v>
      </c>
      <c r="E11" s="5">
        <v>4.4540000000000003E-2</v>
      </c>
      <c r="F11" s="5">
        <f t="shared" ref="F11:F16" si="1">+$F$7</f>
        <v>-4.4882999999999999E-2</v>
      </c>
      <c r="G11" s="6">
        <f t="shared" ref="G11:G16" si="2">ROUND(SUM(E11:F11)*D11,0)</f>
        <v>-6809</v>
      </c>
      <c r="H11" s="6"/>
    </row>
    <row r="12" spans="2:8">
      <c r="B12">
        <v>24</v>
      </c>
      <c r="C12" t="str">
        <f>+'[2]Sch 139 Eff 10-15-2020'!C12</f>
        <v>13902SW15</v>
      </c>
      <c r="D12" s="4">
        <f>+'[2]Sch 139 Eff 10-15-2020'!D12</f>
        <v>1286627</v>
      </c>
      <c r="E12" s="5">
        <v>4.4269999999999997E-2</v>
      </c>
      <c r="F12" s="5">
        <f t="shared" si="1"/>
        <v>-4.4882999999999999E-2</v>
      </c>
      <c r="G12" s="6">
        <f t="shared" si="2"/>
        <v>-789</v>
      </c>
      <c r="H12" s="6"/>
    </row>
    <row r="13" spans="2:8">
      <c r="B13">
        <v>24</v>
      </c>
      <c r="C13" t="str">
        <f>+'[2]Sch 139 Eff 10-15-2020'!C13</f>
        <v>13902SW20</v>
      </c>
      <c r="D13" s="4">
        <f>+'[2]Sch 139 Eff 10-15-2020'!D13</f>
        <v>13939582</v>
      </c>
      <c r="E13" s="5">
        <v>4.4089999999999997E-2</v>
      </c>
      <c r="F13" s="5">
        <f t="shared" si="1"/>
        <v>-4.4882999999999999E-2</v>
      </c>
      <c r="G13" s="6">
        <f t="shared" si="2"/>
        <v>-11054</v>
      </c>
      <c r="H13" s="6"/>
    </row>
    <row r="14" spans="2:8">
      <c r="B14">
        <v>24</v>
      </c>
      <c r="C14" t="str">
        <f>+'[2]Sch 139 Eff 10-15-2020'!C14</f>
        <v>13903SW10</v>
      </c>
      <c r="D14" s="4">
        <f>+'[2]Sch 139 Eff 10-15-2020'!D14</f>
        <v>128762542</v>
      </c>
      <c r="E14" s="5">
        <v>4.4540000000000003E-2</v>
      </c>
      <c r="F14" s="5">
        <f t="shared" si="1"/>
        <v>-4.4882999999999999E-2</v>
      </c>
      <c r="G14" s="6">
        <f t="shared" si="2"/>
        <v>-44166</v>
      </c>
      <c r="H14" s="6"/>
    </row>
    <row r="15" spans="2:8">
      <c r="B15">
        <v>24</v>
      </c>
      <c r="C15" t="str">
        <f>+'[2]Sch 139 Eff 10-15-2020'!C15</f>
        <v>13903SW15</v>
      </c>
      <c r="D15" s="4">
        <f>+'[2]Sch 139 Eff 10-15-2020'!D15</f>
        <v>16733481</v>
      </c>
      <c r="E15" s="5">
        <v>4.4269999999999997E-2</v>
      </c>
      <c r="F15" s="5">
        <f t="shared" si="1"/>
        <v>-4.4882999999999999E-2</v>
      </c>
      <c r="G15" s="6">
        <f t="shared" si="2"/>
        <v>-10258</v>
      </c>
      <c r="H15" s="6"/>
    </row>
    <row r="16" spans="2:8">
      <c r="B16">
        <v>24</v>
      </c>
      <c r="C16" t="str">
        <f>+'[2]Sch 139 Eff 10-15-2020'!C16</f>
        <v>13903SW18</v>
      </c>
      <c r="D16" s="4">
        <f>+'[2]Sch 139 Eff 10-15-2020'!D16</f>
        <v>119378797</v>
      </c>
      <c r="E16" s="5">
        <v>4.4089999999999997E-2</v>
      </c>
      <c r="F16" s="5">
        <f t="shared" si="1"/>
        <v>-4.4882999999999999E-2</v>
      </c>
      <c r="G16" s="6">
        <f t="shared" si="2"/>
        <v>-94667</v>
      </c>
      <c r="H16" s="6"/>
    </row>
    <row r="17" spans="2:8">
      <c r="B17" t="s">
        <v>9</v>
      </c>
      <c r="D17" s="4">
        <f>SUM(D11:D16)</f>
        <v>299952144</v>
      </c>
      <c r="E17" s="5"/>
      <c r="F17" s="5"/>
      <c r="G17" s="6"/>
      <c r="H17" s="6">
        <f>SUM(G11:G16)</f>
        <v>-167743</v>
      </c>
    </row>
    <row r="18" spans="2:8">
      <c r="B18">
        <v>25</v>
      </c>
      <c r="C18" t="str">
        <f>+'[2]Sch 139 Eff 10-15-2020'!C18</f>
        <v>13902SW10</v>
      </c>
      <c r="D18" s="4">
        <f>+'[2]Sch 139 Eff 10-15-2020'!D18</f>
        <v>34489778</v>
      </c>
      <c r="E18" s="5">
        <v>4.4540000000000003E-2</v>
      </c>
      <c r="F18" s="5">
        <f t="shared" ref="F18:F23" si="3">+$F$7</f>
        <v>-4.4882999999999999E-2</v>
      </c>
      <c r="G18" s="6">
        <f t="shared" ref="G18:G23" si="4">ROUND(SUM(E18:F18)*D18,0)</f>
        <v>-11830</v>
      </c>
      <c r="H18" s="6"/>
    </row>
    <row r="19" spans="2:8">
      <c r="B19">
        <v>25</v>
      </c>
      <c r="C19" t="str">
        <f>+'[2]Sch 139 Eff 10-15-2020'!C19</f>
        <v>13902SW15</v>
      </c>
      <c r="D19" s="4">
        <f>+'[2]Sch 139 Eff 10-15-2020'!D19</f>
        <v>2567360</v>
      </c>
      <c r="E19" s="5">
        <v>4.4269999999999997E-2</v>
      </c>
      <c r="F19" s="5">
        <f t="shared" si="3"/>
        <v>-4.4882999999999999E-2</v>
      </c>
      <c r="G19" s="6">
        <f t="shared" si="4"/>
        <v>-1574</v>
      </c>
      <c r="H19" s="6"/>
    </row>
    <row r="20" spans="2:8">
      <c r="B20">
        <v>25</v>
      </c>
      <c r="C20" t="str">
        <f>+'[2]Sch 139 Eff 10-15-2020'!C20</f>
        <v>13902SW20</v>
      </c>
      <c r="D20" s="4">
        <f>+'[2]Sch 139 Eff 10-15-2020'!D20</f>
        <v>22271871</v>
      </c>
      <c r="E20" s="5">
        <v>4.4089999999999997E-2</v>
      </c>
      <c r="F20" s="5">
        <f t="shared" si="3"/>
        <v>-4.4882999999999999E-2</v>
      </c>
      <c r="G20" s="6">
        <f t="shared" si="4"/>
        <v>-17662</v>
      </c>
      <c r="H20" s="6"/>
    </row>
    <row r="21" spans="2:8">
      <c r="B21">
        <v>25</v>
      </c>
      <c r="C21" t="str">
        <f>+'[2]Sch 139 Eff 10-15-2020'!C21</f>
        <v>13903SW10</v>
      </c>
      <c r="D21" s="4">
        <f>+'[2]Sch 139 Eff 10-15-2020'!D21</f>
        <v>15146072.066999998</v>
      </c>
      <c r="E21" s="5">
        <v>4.4540000000000003E-2</v>
      </c>
      <c r="F21" s="5">
        <f t="shared" si="3"/>
        <v>-4.4882999999999999E-2</v>
      </c>
      <c r="G21" s="6">
        <f t="shared" si="4"/>
        <v>-5195</v>
      </c>
      <c r="H21" s="6"/>
    </row>
    <row r="22" spans="2:8">
      <c r="B22">
        <v>25</v>
      </c>
      <c r="C22" t="str">
        <f>+'[2]Sch 139 Eff 10-15-2020'!C22</f>
        <v>13903SW15</v>
      </c>
      <c r="D22" s="4">
        <f>+'[2]Sch 139 Eff 10-15-2020'!D22</f>
        <v>5197067</v>
      </c>
      <c r="E22" s="5">
        <v>4.4269999999999997E-2</v>
      </c>
      <c r="F22" s="5">
        <f t="shared" si="3"/>
        <v>-4.4882999999999999E-2</v>
      </c>
      <c r="G22" s="6">
        <f t="shared" si="4"/>
        <v>-3186</v>
      </c>
      <c r="H22" s="6"/>
    </row>
    <row r="23" spans="2:8">
      <c r="B23">
        <v>25</v>
      </c>
      <c r="C23" t="str">
        <f>+'[2]Sch 139 Eff 10-15-2020'!C23</f>
        <v>13903SW18</v>
      </c>
      <c r="D23" s="4">
        <f>+'[2]Sch 139 Eff 10-15-2020'!D23</f>
        <v>3105262</v>
      </c>
      <c r="E23" s="5">
        <v>4.4089999999999997E-2</v>
      </c>
      <c r="F23" s="5">
        <f t="shared" si="3"/>
        <v>-4.4882999999999999E-2</v>
      </c>
      <c r="G23" s="6">
        <f t="shared" si="4"/>
        <v>-2462</v>
      </c>
      <c r="H23" s="6"/>
    </row>
    <row r="24" spans="2:8">
      <c r="B24" t="s">
        <v>10</v>
      </c>
      <c r="D24" s="4">
        <f>SUM(D18:D23)</f>
        <v>82777410.067000002</v>
      </c>
      <c r="E24" s="5"/>
      <c r="F24" s="5"/>
      <c r="G24" s="6"/>
      <c r="H24" s="6">
        <f>SUM(G18:G23)</f>
        <v>-41909</v>
      </c>
    </row>
    <row r="25" spans="2:8">
      <c r="B25">
        <v>26</v>
      </c>
      <c r="C25" t="str">
        <f>+'[2]Sch 139 Eff 10-15-2020'!C25</f>
        <v>13902SW10</v>
      </c>
      <c r="D25" s="4">
        <f>+'[2]Sch 139 Eff 10-15-2020'!D25</f>
        <v>47638522</v>
      </c>
      <c r="E25" s="5">
        <v>4.4540000000000003E-2</v>
      </c>
      <c r="F25" s="5">
        <f t="shared" ref="F25:F30" si="5">+$F$7</f>
        <v>-4.4882999999999999E-2</v>
      </c>
      <c r="G25" s="6">
        <f t="shared" ref="G25:G30" si="6">ROUND(SUM(E25:F25)*D25,0)</f>
        <v>-16340</v>
      </c>
      <c r="H25" s="6"/>
    </row>
    <row r="26" spans="2:8">
      <c r="B26">
        <v>26</v>
      </c>
      <c r="C26" t="str">
        <f>+'[2]Sch 139 Eff 10-15-2020'!C26</f>
        <v>13902SW15</v>
      </c>
      <c r="D26" s="4">
        <f>+'[2]Sch 139 Eff 10-15-2020'!D26</f>
        <v>12063140</v>
      </c>
      <c r="E26" s="5">
        <v>4.4269999999999997E-2</v>
      </c>
      <c r="F26" s="5">
        <f t="shared" si="5"/>
        <v>-4.4882999999999999E-2</v>
      </c>
      <c r="G26" s="6">
        <f t="shared" si="6"/>
        <v>-7395</v>
      </c>
      <c r="H26" s="6"/>
    </row>
    <row r="27" spans="2:8">
      <c r="B27">
        <v>26</v>
      </c>
      <c r="C27" t="str">
        <f>+'[2]Sch 139 Eff 10-15-2020'!C27</f>
        <v>13902SW20</v>
      </c>
      <c r="D27" s="4">
        <f>+'[2]Sch 139 Eff 10-15-2020'!D27</f>
        <v>1816680</v>
      </c>
      <c r="E27" s="5">
        <v>4.4089999999999997E-2</v>
      </c>
      <c r="F27" s="5">
        <f t="shared" si="5"/>
        <v>-4.4882999999999999E-2</v>
      </c>
      <c r="G27" s="6">
        <f t="shared" si="6"/>
        <v>-1441</v>
      </c>
      <c r="H27" s="6"/>
    </row>
    <row r="28" spans="2:8">
      <c r="B28">
        <v>26</v>
      </c>
      <c r="C28" t="str">
        <f>+'[2]Sch 139 Eff 10-15-2020'!C28</f>
        <v>13903SW10</v>
      </c>
      <c r="D28" s="4">
        <f>+'[2]Sch 139 Eff 10-15-2020'!D28</f>
        <v>19900255.100000001</v>
      </c>
      <c r="E28" s="5">
        <v>4.4540000000000003E-2</v>
      </c>
      <c r="F28" s="5">
        <f t="shared" si="5"/>
        <v>-4.4882999999999999E-2</v>
      </c>
      <c r="G28" s="6">
        <f t="shared" si="6"/>
        <v>-6826</v>
      </c>
      <c r="H28" s="6"/>
    </row>
    <row r="29" spans="2:8">
      <c r="B29">
        <v>26</v>
      </c>
      <c r="C29" t="str">
        <f>+'[2]Sch 139 Eff 10-15-2020'!C29</f>
        <v>13903SW15</v>
      </c>
      <c r="D29" s="4">
        <f>+'[2]Sch 139 Eff 10-15-2020'!D29</f>
        <v>1134408</v>
      </c>
      <c r="E29" s="5">
        <v>4.4269999999999997E-2</v>
      </c>
      <c r="F29" s="5">
        <f t="shared" si="5"/>
        <v>-4.4882999999999999E-2</v>
      </c>
      <c r="G29" s="6">
        <f t="shared" si="6"/>
        <v>-695</v>
      </c>
      <c r="H29" s="6"/>
    </row>
    <row r="30" spans="2:8">
      <c r="B30">
        <v>26</v>
      </c>
      <c r="C30" t="str">
        <f>+'[2]Sch 139 Eff 10-15-2020'!C30</f>
        <v>13903SW18</v>
      </c>
      <c r="D30" s="4">
        <f>+'[2]Sch 139 Eff 10-15-2020'!D30</f>
        <v>2501209</v>
      </c>
      <c r="E30" s="5">
        <v>4.4089999999999997E-2</v>
      </c>
      <c r="F30" s="5">
        <f t="shared" si="5"/>
        <v>-4.4882999999999999E-2</v>
      </c>
      <c r="G30" s="6">
        <f t="shared" si="6"/>
        <v>-1983</v>
      </c>
      <c r="H30" s="6"/>
    </row>
    <row r="31" spans="2:8">
      <c r="B31" t="s">
        <v>11</v>
      </c>
      <c r="D31" s="4">
        <f>SUM(D25:D30)</f>
        <v>85054214.099999994</v>
      </c>
      <c r="E31" s="5"/>
      <c r="F31" s="5"/>
      <c r="G31" s="6"/>
      <c r="H31" s="6">
        <f>SUM(G25:G30)</f>
        <v>-34680</v>
      </c>
    </row>
    <row r="32" spans="2:8">
      <c r="B32">
        <v>31</v>
      </c>
      <c r="C32" t="str">
        <f>+'[2]Sch 139 Eff 10-15-2020'!C32</f>
        <v>13902SW10</v>
      </c>
      <c r="D32" s="4">
        <f>+'[2]Sch 139 Eff 10-15-2020'!D32</f>
        <v>26141541</v>
      </c>
      <c r="E32" s="5">
        <v>4.4540000000000003E-2</v>
      </c>
      <c r="F32" s="5">
        <f t="shared" ref="F32:F36" si="7">+$F$7</f>
        <v>-4.4882999999999999E-2</v>
      </c>
      <c r="G32" s="6">
        <f t="shared" ref="G32:G36" si="8">ROUND(SUM(E32:F32)*D32,0)</f>
        <v>-8967</v>
      </c>
      <c r="H32" s="6"/>
    </row>
    <row r="33" spans="2:8">
      <c r="B33">
        <v>31</v>
      </c>
      <c r="C33" t="str">
        <f>+'[2]Sch 139 Eff 10-15-2020'!C33</f>
        <v>13902SW20</v>
      </c>
      <c r="D33" s="4">
        <f>+'[2]Sch 139 Eff 10-15-2020'!D33</f>
        <v>23368572</v>
      </c>
      <c r="E33" s="5">
        <v>4.4089999999999997E-2</v>
      </c>
      <c r="F33" s="5">
        <f t="shared" si="7"/>
        <v>-4.4882999999999999E-2</v>
      </c>
      <c r="G33" s="6">
        <f t="shared" si="8"/>
        <v>-18531</v>
      </c>
      <c r="H33" s="6"/>
    </row>
    <row r="34" spans="2:8">
      <c r="B34">
        <v>31</v>
      </c>
      <c r="C34" t="str">
        <f>+'[2]Sch 139 Eff 10-15-2020'!C34</f>
        <v>13903SW10</v>
      </c>
      <c r="D34" s="4">
        <f>+'[2]Sch 139 Eff 10-15-2020'!D34</f>
        <v>20373987</v>
      </c>
      <c r="E34" s="5">
        <v>4.4540000000000003E-2</v>
      </c>
      <c r="F34" s="5">
        <f t="shared" si="7"/>
        <v>-4.4882999999999999E-2</v>
      </c>
      <c r="G34" s="6">
        <f t="shared" si="8"/>
        <v>-6988</v>
      </c>
      <c r="H34" s="6"/>
    </row>
    <row r="35" spans="2:8">
      <c r="B35">
        <v>31</v>
      </c>
      <c r="C35" t="str">
        <f>+'[2]Sch 139 Eff 10-15-2020'!C35</f>
        <v>13903SW15</v>
      </c>
      <c r="D35" s="4">
        <f>+'[2]Sch 139 Eff 10-15-2020'!D35</f>
        <v>45294</v>
      </c>
      <c r="E35" s="5">
        <v>4.4269999999999997E-2</v>
      </c>
      <c r="F35" s="5">
        <f t="shared" si="7"/>
        <v>-4.4882999999999999E-2</v>
      </c>
      <c r="G35" s="6">
        <f t="shared" si="8"/>
        <v>-28</v>
      </c>
      <c r="H35" s="6"/>
    </row>
    <row r="36" spans="2:8">
      <c r="B36">
        <v>31</v>
      </c>
      <c r="C36" t="str">
        <f>+'[2]Sch 139 Eff 10-15-2020'!C36</f>
        <v>13903SW18</v>
      </c>
      <c r="D36" s="4">
        <f>+'[2]Sch 139 Eff 10-15-2020'!D36</f>
        <v>502981</v>
      </c>
      <c r="E36" s="5">
        <v>4.4089999999999997E-2</v>
      </c>
      <c r="F36" s="5">
        <f t="shared" si="7"/>
        <v>-4.4882999999999999E-2</v>
      </c>
      <c r="G36" s="6">
        <f t="shared" si="8"/>
        <v>-399</v>
      </c>
      <c r="H36" s="6"/>
    </row>
    <row r="37" spans="2:8">
      <c r="B37" t="s">
        <v>12</v>
      </c>
      <c r="D37" s="4">
        <f>SUM(D32:D36)</f>
        <v>70432375</v>
      </c>
      <c r="E37" s="5"/>
      <c r="F37" s="5"/>
      <c r="G37" s="6"/>
      <c r="H37" s="6">
        <f>SUM(G32:G36)</f>
        <v>-34913</v>
      </c>
    </row>
    <row r="38" spans="2:8">
      <c r="B38">
        <v>43</v>
      </c>
      <c r="C38" t="str">
        <f>+'[2]Sch 139 Eff 10-15-2020'!C38</f>
        <v>13903SW10</v>
      </c>
      <c r="D38" s="4">
        <f>+'[2]Sch 139 Eff 10-15-2020'!D38</f>
        <v>1472003</v>
      </c>
      <c r="E38" s="5">
        <v>4.4540000000000003E-2</v>
      </c>
      <c r="F38" s="5">
        <f>+$F$7</f>
        <v>-4.4882999999999999E-2</v>
      </c>
      <c r="G38" s="6">
        <f t="shared" ref="G38" si="9">ROUND(SUM(E38:F38)*D38,0)</f>
        <v>-505</v>
      </c>
      <c r="H38" s="6"/>
    </row>
    <row r="39" spans="2:8">
      <c r="B39" t="s">
        <v>13</v>
      </c>
      <c r="D39" s="4">
        <f>SUM(D38)</f>
        <v>1472003</v>
      </c>
      <c r="E39" s="5"/>
      <c r="F39" s="5"/>
      <c r="G39" s="6"/>
      <c r="H39" s="6">
        <f>SUM(G38)</f>
        <v>-505</v>
      </c>
    </row>
    <row r="40" spans="2:8">
      <c r="B40">
        <v>46</v>
      </c>
      <c r="C40" t="str">
        <f>+'[2]Sch 139 Eff 10-15-2020'!C40</f>
        <v>13902SW20</v>
      </c>
      <c r="D40" s="4">
        <f>+'[2]Sch 139 Eff 10-15-2020'!D40</f>
        <v>13118192</v>
      </c>
      <c r="E40" s="5">
        <v>4.4089999999999997E-2</v>
      </c>
      <c r="F40" s="5">
        <f>+$F$7</f>
        <v>-4.4882999999999999E-2</v>
      </c>
      <c r="G40" s="6">
        <f t="shared" ref="G40" si="10">ROUND(SUM(E40:F40)*D40,0)</f>
        <v>-10403</v>
      </c>
    </row>
    <row r="41" spans="2:8">
      <c r="B41" t="s">
        <v>14</v>
      </c>
      <c r="D41" s="4">
        <f>SUM(D40)</f>
        <v>13118192</v>
      </c>
      <c r="E41" s="5"/>
      <c r="F41" s="5"/>
      <c r="G41" s="6"/>
      <c r="H41" s="6">
        <f>SUM(G40)</f>
        <v>-10403</v>
      </c>
    </row>
    <row r="42" spans="2:8">
      <c r="B42">
        <v>49</v>
      </c>
      <c r="C42" t="str">
        <f>+'[2]Sch 139 Eff 10-15-2020'!C42</f>
        <v>13902SW10</v>
      </c>
      <c r="D42" s="4">
        <f>+'[2]Sch 139 Eff 10-15-2020'!D42</f>
        <v>98878991</v>
      </c>
      <c r="E42" s="5">
        <v>4.4540000000000003E-2</v>
      </c>
      <c r="F42" s="5">
        <f t="shared" ref="F42:F43" si="11">+$F$7</f>
        <v>-4.4882999999999999E-2</v>
      </c>
      <c r="G42" s="6">
        <f t="shared" ref="G42:G43" si="12">ROUND(SUM(E42:F42)*D42,0)</f>
        <v>-33915</v>
      </c>
    </row>
    <row r="43" spans="2:8">
      <c r="C43" t="str">
        <f>+'[2]Sch 139 Eff 10-15-2020'!C43</f>
        <v>13902SW20</v>
      </c>
      <c r="D43" s="4">
        <f>+'[2]Sch 139 Eff 10-15-2020'!D43</f>
        <v>27474183</v>
      </c>
      <c r="E43" s="5">
        <v>4.4089999999999997E-2</v>
      </c>
      <c r="F43" s="5">
        <f t="shared" si="11"/>
        <v>-4.4882999999999999E-2</v>
      </c>
      <c r="G43" s="6">
        <f t="shared" si="12"/>
        <v>-21787</v>
      </c>
    </row>
    <row r="44" spans="2:8">
      <c r="B44" t="s">
        <v>15</v>
      </c>
      <c r="D44" s="4">
        <f>SUM(D42:D43)</f>
        <v>126353174</v>
      </c>
      <c r="E44" s="5"/>
      <c r="F44" s="5"/>
      <c r="G44" s="6"/>
      <c r="H44" s="6">
        <f>SUM(G42:G43)</f>
        <v>-55702</v>
      </c>
    </row>
    <row r="45" spans="2:8">
      <c r="B45">
        <v>56</v>
      </c>
      <c r="C45" t="str">
        <f>+'[2]Sch 139 Eff 10-15-2020'!C45</f>
        <v>13903SW10</v>
      </c>
      <c r="D45" s="4">
        <f>+'[2]Sch 139 Eff 10-15-2020'!D45</f>
        <v>983.91199999999969</v>
      </c>
      <c r="E45" s="5">
        <v>4.4540000000000003E-2</v>
      </c>
      <c r="F45" s="5">
        <f>+$F$7</f>
        <v>-4.4882999999999999E-2</v>
      </c>
      <c r="G45" s="6">
        <f t="shared" ref="G45" si="13">ROUND(SUM(E45:F45)*D45,0)</f>
        <v>0</v>
      </c>
      <c r="H45" s="6"/>
    </row>
    <row r="46" spans="2:8">
      <c r="B46" t="s">
        <v>16</v>
      </c>
      <c r="D46" s="4">
        <f>SUM(D45)</f>
        <v>983.91199999999969</v>
      </c>
      <c r="E46" s="5"/>
      <c r="F46" s="5"/>
      <c r="G46" s="6"/>
      <c r="H46" s="6">
        <f>SUM(G45)</f>
        <v>0</v>
      </c>
    </row>
    <row r="47" spans="2:8">
      <c r="B47" t="s">
        <v>17</v>
      </c>
      <c r="D47" s="4">
        <f>SUM(D46,D44,D41,D39,D37,D31,D24,D17,D10)</f>
        <v>679392876.079</v>
      </c>
      <c r="G47" s="7"/>
      <c r="H47" s="7">
        <f>SUM(H7:H46)</f>
        <v>-345935</v>
      </c>
    </row>
    <row r="48" spans="2:8">
      <c r="H48" s="7"/>
    </row>
    <row r="49" spans="8:8">
      <c r="H49" s="7"/>
    </row>
  </sheetData>
  <mergeCells count="4">
    <mergeCell ref="B3:H3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7" sqref="D7"/>
    </sheetView>
  </sheetViews>
  <sheetFormatPr defaultRowHeight="14.5"/>
  <cols>
    <col min="1" max="1" width="8.26953125" bestFit="1" customWidth="1"/>
    <col min="2" max="2" width="43.7265625" bestFit="1" customWidth="1"/>
    <col min="3" max="4" width="11" bestFit="1" customWidth="1"/>
    <col min="5" max="5" width="36.54296875" bestFit="1" customWidth="1"/>
  </cols>
  <sheetData>
    <row r="1" spans="1:5" ht="18">
      <c r="A1" s="145" t="s">
        <v>20</v>
      </c>
      <c r="B1" s="145"/>
      <c r="C1" s="145"/>
      <c r="D1" s="145"/>
      <c r="E1" s="145"/>
    </row>
    <row r="2" spans="1:5">
      <c r="A2" s="146" t="s">
        <v>88</v>
      </c>
      <c r="B2" s="146"/>
      <c r="C2" s="146"/>
      <c r="D2" s="146"/>
      <c r="E2" s="146"/>
    </row>
    <row r="3" spans="1:5">
      <c r="A3" s="146" t="s">
        <v>89</v>
      </c>
      <c r="B3" s="146"/>
      <c r="C3" s="146"/>
      <c r="D3" s="146"/>
      <c r="E3" s="146"/>
    </row>
    <row r="4" spans="1:5">
      <c r="A4" s="146" t="s">
        <v>90</v>
      </c>
      <c r="B4" s="146"/>
      <c r="C4" s="146"/>
      <c r="D4" s="146"/>
      <c r="E4" s="146"/>
    </row>
    <row r="6" spans="1:5" ht="43.5">
      <c r="A6" s="57" t="s">
        <v>91</v>
      </c>
      <c r="B6" s="57" t="s">
        <v>38</v>
      </c>
      <c r="C6" s="58" t="s">
        <v>92</v>
      </c>
      <c r="D6" s="59" t="s">
        <v>93</v>
      </c>
      <c r="E6" s="57" t="s">
        <v>94</v>
      </c>
    </row>
    <row r="7" spans="1:5">
      <c r="A7" s="60">
        <v>1</v>
      </c>
      <c r="B7" t="s">
        <v>95</v>
      </c>
      <c r="C7" s="61">
        <v>60.845300000000002</v>
      </c>
      <c r="D7" s="62">
        <v>59.844000000000001</v>
      </c>
      <c r="E7" s="63" t="s">
        <v>99</v>
      </c>
    </row>
    <row r="8" spans="1:5">
      <c r="A8" s="60">
        <f>+A7+1</f>
        <v>2</v>
      </c>
      <c r="B8" t="s">
        <v>96</v>
      </c>
      <c r="C8" s="64">
        <v>0.75</v>
      </c>
      <c r="D8" s="64">
        <v>0.75</v>
      </c>
      <c r="E8" s="63" t="s">
        <v>100</v>
      </c>
    </row>
    <row r="9" spans="1:5">
      <c r="A9" s="60">
        <f>+A8+1</f>
        <v>3</v>
      </c>
      <c r="B9" s="63" t="s">
        <v>97</v>
      </c>
      <c r="C9" s="60">
        <f>ROUND(C7*C8/10,4)</f>
        <v>4.5633999999999997</v>
      </c>
      <c r="D9" s="60">
        <f>ROUND(D7*D8/10,4)</f>
        <v>4.4882999999999997</v>
      </c>
    </row>
    <row r="10" spans="1:5">
      <c r="A10" s="60">
        <f>+A9+1</f>
        <v>4</v>
      </c>
      <c r="B10" s="63" t="s">
        <v>98</v>
      </c>
      <c r="C10" s="5">
        <f t="shared" ref="C10:D10" si="0">ROUND(+C9/100,6)</f>
        <v>4.5634000000000001E-2</v>
      </c>
      <c r="D10" s="5">
        <f t="shared" si="0"/>
        <v>4.4882999999999999E-2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0" zoomScaleNormal="80" workbookViewId="0">
      <pane xSplit="6" ySplit="14" topLeftCell="G21" activePane="bottomRight" state="frozen"/>
      <selection pane="topRight" activeCell="G1" sqref="G1"/>
      <selection pane="bottomLeft" activeCell="A15" sqref="A15"/>
      <selection pane="bottomRight" activeCell="AB30" sqref="AB30"/>
    </sheetView>
  </sheetViews>
  <sheetFormatPr defaultRowHeight="14.5"/>
  <cols>
    <col min="1" max="1" width="4.7265625" bestFit="1" customWidth="1"/>
    <col min="2" max="2" width="1.54296875" customWidth="1"/>
    <col min="3" max="3" width="36.7265625" bestFit="1" customWidth="1"/>
    <col min="4" max="4" width="1.54296875" customWidth="1"/>
    <col min="5" max="5" width="11.453125" bestFit="1" customWidth="1"/>
    <col min="6" max="6" width="1.54296875" customWidth="1"/>
    <col min="7" max="7" width="11.54296875" bestFit="1" customWidth="1"/>
    <col min="8" max="8" width="1.54296875" customWidth="1"/>
    <col min="9" max="9" width="12" bestFit="1" customWidth="1"/>
    <col min="10" max="10" width="14.26953125" bestFit="1" customWidth="1"/>
    <col min="11" max="11" width="1.54296875" customWidth="1"/>
    <col min="12" max="12" width="11.26953125" bestFit="1" customWidth="1"/>
    <col min="13" max="13" width="1.54296875" customWidth="1"/>
    <col min="14" max="14" width="11.26953125" bestFit="1" customWidth="1"/>
    <col min="15" max="15" width="1.54296875" customWidth="1"/>
    <col min="16" max="16" width="9.54296875" bestFit="1" customWidth="1"/>
    <col min="18" max="18" width="1.54296875" customWidth="1"/>
    <col min="19" max="19" width="11.7265625" bestFit="1" customWidth="1"/>
  </cols>
  <sheetData>
    <row r="1" spans="1:19" ht="17.5">
      <c r="A1" s="8"/>
      <c r="B1" s="9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 t="s">
        <v>18</v>
      </c>
      <c r="O1" s="8"/>
      <c r="P1" s="8"/>
      <c r="Q1" s="8"/>
      <c r="R1" s="8"/>
      <c r="S1" s="8"/>
    </row>
    <row r="2" spans="1:19">
      <c r="A2" s="153" t="s">
        <v>19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0"/>
    </row>
    <row r="3" spans="1:19">
      <c r="A3" s="154" t="s">
        <v>20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1"/>
    </row>
    <row r="4" spans="1:19">
      <c r="A4" s="154" t="s">
        <v>21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1"/>
    </row>
    <row r="5" spans="1:19">
      <c r="A5" s="153" t="s">
        <v>22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1"/>
    </row>
    <row r="6" spans="1:19">
      <c r="A6" s="153" t="s">
        <v>23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1"/>
    </row>
    <row r="7" spans="1:19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0"/>
    </row>
    <row r="8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0"/>
      <c r="S8" s="10"/>
    </row>
    <row r="9" spans="1:19" ht="15.5">
      <c r="A9" s="8"/>
      <c r="B9" s="8"/>
      <c r="C9" s="8"/>
      <c r="D9" s="8"/>
      <c r="E9" s="8"/>
      <c r="F9" s="8"/>
      <c r="G9" s="8"/>
      <c r="H9" s="8"/>
      <c r="I9" s="8"/>
      <c r="J9" s="8"/>
      <c r="K9" s="13"/>
      <c r="L9" s="14"/>
      <c r="M9" s="15"/>
      <c r="N9" s="147" t="s">
        <v>24</v>
      </c>
      <c r="O9" s="148"/>
      <c r="P9" s="148"/>
      <c r="Q9" s="149"/>
      <c r="R9" s="15"/>
      <c r="S9" s="16"/>
    </row>
    <row r="10" spans="1:19" ht="15.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7" t="s">
        <v>25</v>
      </c>
      <c r="M10" s="18"/>
      <c r="N10" s="150" t="s">
        <v>26</v>
      </c>
      <c r="O10" s="151"/>
      <c r="P10" s="151"/>
      <c r="Q10" s="152"/>
      <c r="R10" s="18"/>
      <c r="S10" s="19"/>
    </row>
    <row r="11" spans="1:19" ht="15.5">
      <c r="A11" s="8"/>
      <c r="B11" s="8"/>
      <c r="C11" s="8"/>
      <c r="D11" s="8"/>
      <c r="E11" s="20" t="s">
        <v>27</v>
      </c>
      <c r="F11" s="17"/>
      <c r="G11" s="8"/>
      <c r="H11" s="8"/>
      <c r="I11" s="8"/>
      <c r="J11" s="8"/>
      <c r="K11" s="8"/>
      <c r="L11" s="19" t="s">
        <v>28</v>
      </c>
      <c r="M11" s="21"/>
      <c r="N11" s="19" t="s">
        <v>28</v>
      </c>
      <c r="O11" s="19"/>
      <c r="P11" s="22" t="s">
        <v>18</v>
      </c>
      <c r="Q11" s="22"/>
      <c r="R11" s="22"/>
      <c r="S11" s="19" t="s">
        <v>26</v>
      </c>
    </row>
    <row r="12" spans="1:19" ht="15.5">
      <c r="A12" s="17" t="s">
        <v>29</v>
      </c>
      <c r="B12" s="8"/>
      <c r="C12" s="8"/>
      <c r="D12" s="8"/>
      <c r="E12" s="17" t="s">
        <v>30</v>
      </c>
      <c r="F12" s="17"/>
      <c r="G12" s="20" t="s">
        <v>31</v>
      </c>
      <c r="H12" s="8"/>
      <c r="I12" s="17" t="s">
        <v>32</v>
      </c>
      <c r="J12" s="17" t="s">
        <v>33</v>
      </c>
      <c r="K12" s="8"/>
      <c r="L12" s="17" t="s">
        <v>34</v>
      </c>
      <c r="M12" s="17"/>
      <c r="N12" s="23" t="s">
        <v>34</v>
      </c>
      <c r="O12" s="17"/>
      <c r="P12" s="20" t="s">
        <v>35</v>
      </c>
      <c r="Q12" s="17" t="s">
        <v>28</v>
      </c>
      <c r="R12" s="17"/>
      <c r="S12" s="17" t="s">
        <v>36</v>
      </c>
    </row>
    <row r="13" spans="1:19" ht="15.5">
      <c r="A13" s="24" t="s">
        <v>37</v>
      </c>
      <c r="B13" s="8"/>
      <c r="C13" s="24" t="s">
        <v>38</v>
      </c>
      <c r="D13" s="8"/>
      <c r="E13" s="24" t="s">
        <v>37</v>
      </c>
      <c r="F13" s="19"/>
      <c r="G13" s="25" t="s">
        <v>39</v>
      </c>
      <c r="H13" s="8"/>
      <c r="I13" s="25" t="s">
        <v>40</v>
      </c>
      <c r="J13" s="25" t="s">
        <v>41</v>
      </c>
      <c r="K13" s="8"/>
      <c r="L13" s="26" t="s">
        <v>42</v>
      </c>
      <c r="M13" s="19"/>
      <c r="N13" s="27" t="s">
        <v>42</v>
      </c>
      <c r="O13" s="28"/>
      <c r="P13" s="25" t="s">
        <v>42</v>
      </c>
      <c r="Q13" s="29" t="s">
        <v>43</v>
      </c>
      <c r="R13" s="19"/>
      <c r="S13" s="26" t="s">
        <v>44</v>
      </c>
    </row>
    <row r="14" spans="1:19" ht="15.5">
      <c r="A14" s="30"/>
      <c r="B14" s="8"/>
      <c r="C14" s="20" t="s">
        <v>45</v>
      </c>
      <c r="D14" s="8"/>
      <c r="E14" s="20" t="s">
        <v>46</v>
      </c>
      <c r="F14" s="17"/>
      <c r="G14" s="20" t="s">
        <v>47</v>
      </c>
      <c r="H14" s="8"/>
      <c r="I14" s="20" t="s">
        <v>48</v>
      </c>
      <c r="J14" s="20" t="s">
        <v>48</v>
      </c>
      <c r="K14" s="8"/>
      <c r="L14" s="20" t="s">
        <v>49</v>
      </c>
      <c r="M14" s="20"/>
      <c r="N14" s="20" t="s">
        <v>50</v>
      </c>
      <c r="O14" s="20"/>
      <c r="P14" s="20" t="s">
        <v>51</v>
      </c>
      <c r="Q14" s="20" t="s">
        <v>52</v>
      </c>
      <c r="R14" s="20"/>
      <c r="S14" s="20" t="s">
        <v>53</v>
      </c>
    </row>
    <row r="15" spans="1:19" ht="15.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0"/>
      <c r="N15" s="20" t="s">
        <v>18</v>
      </c>
      <c r="O15" s="8"/>
      <c r="P15" s="20" t="s">
        <v>54</v>
      </c>
      <c r="Q15" s="20" t="s">
        <v>55</v>
      </c>
      <c r="R15" s="8"/>
      <c r="S15" s="20" t="s">
        <v>56</v>
      </c>
    </row>
    <row r="16" spans="1:19" ht="15.5">
      <c r="A16" s="8"/>
      <c r="B16" s="8"/>
      <c r="C16" s="31" t="s">
        <v>57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15.5">
      <c r="A17" s="17">
        <v>1</v>
      </c>
      <c r="B17" s="8"/>
      <c r="C17" s="8" t="s">
        <v>57</v>
      </c>
      <c r="D17" s="8"/>
      <c r="E17" s="20">
        <v>7</v>
      </c>
      <c r="F17" s="20"/>
      <c r="G17" s="32">
        <v>1030110</v>
      </c>
      <c r="H17" s="8"/>
      <c r="I17" s="32">
        <v>10658082.710537091</v>
      </c>
      <c r="J17" s="32"/>
      <c r="K17" s="8"/>
      <c r="L17" s="33">
        <v>1109622.487</v>
      </c>
      <c r="M17" s="33"/>
      <c r="N17" s="33">
        <v>1176406</v>
      </c>
      <c r="O17" s="33"/>
      <c r="P17" s="33">
        <v>66783.513000000035</v>
      </c>
      <c r="Q17" s="34">
        <v>6.0185796324799999E-2</v>
      </c>
      <c r="R17" s="34"/>
      <c r="S17" s="35">
        <v>11.037688784653065</v>
      </c>
    </row>
    <row r="18" spans="1:19" ht="15.5">
      <c r="A18" s="36">
        <v>2</v>
      </c>
      <c r="B18" s="8"/>
      <c r="C18" s="37" t="s">
        <v>58</v>
      </c>
      <c r="D18" s="8"/>
      <c r="E18" s="8"/>
      <c r="F18" s="8"/>
      <c r="G18" s="38">
        <v>1030110</v>
      </c>
      <c r="H18" s="8"/>
      <c r="I18" s="38">
        <v>10658082.710537091</v>
      </c>
      <c r="J18" s="32"/>
      <c r="K18" s="8"/>
      <c r="L18" s="39">
        <v>1109622.487</v>
      </c>
      <c r="M18" s="33"/>
      <c r="N18" s="39">
        <v>1176406</v>
      </c>
      <c r="O18" s="33"/>
      <c r="P18" s="39">
        <v>66783.513000000035</v>
      </c>
      <c r="Q18" s="40">
        <v>6.0185796324799999E-2</v>
      </c>
      <c r="R18" s="34"/>
      <c r="S18" s="41">
        <v>11.037688784653065</v>
      </c>
    </row>
    <row r="19" spans="1:19" ht="15.5">
      <c r="A19" s="8"/>
      <c r="B19" s="8"/>
      <c r="C19" s="8"/>
      <c r="D19" s="8"/>
      <c r="E19" s="8"/>
      <c r="F19" s="8"/>
      <c r="G19" s="8"/>
      <c r="H19" s="8"/>
      <c r="I19" s="8" t="s">
        <v>18</v>
      </c>
      <c r="J19" s="8" t="s">
        <v>18</v>
      </c>
      <c r="K19" s="8"/>
      <c r="L19" s="42"/>
      <c r="M19" s="42"/>
      <c r="N19" s="42"/>
      <c r="O19" s="42"/>
      <c r="P19" s="42"/>
      <c r="Q19" s="43"/>
      <c r="R19" s="8"/>
      <c r="S19" s="8"/>
    </row>
    <row r="20" spans="1:19" ht="15.5">
      <c r="A20" s="8"/>
      <c r="B20" s="8"/>
      <c r="C20" s="44" t="s">
        <v>59</v>
      </c>
      <c r="D20" s="8"/>
      <c r="E20" s="8"/>
      <c r="F20" s="8"/>
      <c r="G20" s="45"/>
      <c r="H20" s="8"/>
      <c r="I20" s="8"/>
      <c r="J20" s="8"/>
      <c r="K20" s="8"/>
      <c r="L20" s="42"/>
      <c r="M20" s="42"/>
      <c r="N20" s="42"/>
      <c r="O20" s="42"/>
      <c r="P20" s="42"/>
      <c r="Q20" s="43"/>
      <c r="R20" s="8"/>
      <c r="S20" s="8"/>
    </row>
    <row r="21" spans="1:19" ht="15.5">
      <c r="A21" s="36">
        <v>3</v>
      </c>
      <c r="B21" s="8"/>
      <c r="C21" s="46" t="s">
        <v>60</v>
      </c>
      <c r="D21" s="8"/>
      <c r="E21" s="20" t="s">
        <v>61</v>
      </c>
      <c r="F21" s="17"/>
      <c r="G21" s="32">
        <v>130674.58333333333</v>
      </c>
      <c r="H21" s="8"/>
      <c r="I21" s="32">
        <v>2700716.8408001168</v>
      </c>
      <c r="J21" s="32"/>
      <c r="K21" s="8"/>
      <c r="L21" s="33">
        <v>263446.49300000002</v>
      </c>
      <c r="M21" s="33"/>
      <c r="N21" s="33">
        <v>279302</v>
      </c>
      <c r="O21" s="33"/>
      <c r="P21" s="33">
        <v>15855.506999999983</v>
      </c>
      <c r="Q21" s="34">
        <v>6.0184923395431127E-2</v>
      </c>
      <c r="R21" s="34"/>
      <c r="S21" s="35">
        <v>10.341772813074833</v>
      </c>
    </row>
    <row r="22" spans="1:19" ht="15.5">
      <c r="A22" s="36">
        <v>4</v>
      </c>
      <c r="B22" s="8"/>
      <c r="C22" s="46" t="s">
        <v>62</v>
      </c>
      <c r="D22" s="47"/>
      <c r="E22" s="20" t="s">
        <v>63</v>
      </c>
      <c r="F22" s="17"/>
      <c r="G22" s="32">
        <v>7793.666666666667</v>
      </c>
      <c r="H22" s="8"/>
      <c r="I22" s="32">
        <v>2988049.5563074257</v>
      </c>
      <c r="J22" s="32">
        <v>4639.3969999999999</v>
      </c>
      <c r="K22" s="8"/>
      <c r="L22" s="33">
        <v>269302.29800000001</v>
      </c>
      <c r="M22" s="33"/>
      <c r="N22" s="33">
        <v>281458</v>
      </c>
      <c r="O22" s="33"/>
      <c r="P22" s="33">
        <v>12155.70199999999</v>
      </c>
      <c r="Q22" s="34">
        <v>4.5137758163504384E-2</v>
      </c>
      <c r="R22" s="34"/>
      <c r="S22" s="35">
        <v>9.4194555577525421</v>
      </c>
    </row>
    <row r="23" spans="1:19" ht="15.5">
      <c r="A23" s="36">
        <v>5</v>
      </c>
      <c r="B23" s="8"/>
      <c r="C23" s="46" t="s">
        <v>64</v>
      </c>
      <c r="D23" s="8"/>
      <c r="E23" s="20" t="s">
        <v>65</v>
      </c>
      <c r="F23" s="17"/>
      <c r="G23" s="32">
        <v>10394</v>
      </c>
      <c r="H23" s="8"/>
      <c r="I23" s="32">
        <v>1939505.2731896485</v>
      </c>
      <c r="J23" s="32">
        <v>4774.6639999999998</v>
      </c>
      <c r="K23" s="8"/>
      <c r="L23" s="33">
        <v>160178.13800000001</v>
      </c>
      <c r="M23" s="33"/>
      <c r="N23" s="33">
        <v>167408.79399999999</v>
      </c>
      <c r="O23" s="33"/>
      <c r="P23" s="33">
        <v>7230.6559999999881</v>
      </c>
      <c r="Q23" s="34">
        <v>4.5141341323370783E-2</v>
      </c>
      <c r="R23" s="34"/>
      <c r="S23" s="35">
        <v>8.6315204353471451</v>
      </c>
    </row>
    <row r="24" spans="1:19" ht="15.5">
      <c r="A24" s="36">
        <v>6</v>
      </c>
      <c r="B24" s="8"/>
      <c r="C24" s="46" t="s">
        <v>66</v>
      </c>
      <c r="D24" s="8"/>
      <c r="E24" s="17">
        <v>29</v>
      </c>
      <c r="F24" s="17"/>
      <c r="G24" s="32">
        <v>658.83333333333337</v>
      </c>
      <c r="H24" s="8"/>
      <c r="I24" s="32">
        <v>16475.530158172358</v>
      </c>
      <c r="J24" s="32">
        <v>5.7590000000000003</v>
      </c>
      <c r="K24" s="8"/>
      <c r="L24" s="33">
        <v>1290.5440000000001</v>
      </c>
      <c r="M24" s="33"/>
      <c r="N24" s="33">
        <v>1348.8009999999999</v>
      </c>
      <c r="O24" s="33"/>
      <c r="P24" s="33">
        <v>58.256999999999834</v>
      </c>
      <c r="Q24" s="34">
        <v>4.5141428730829658E-2</v>
      </c>
      <c r="R24" s="34"/>
      <c r="S24" s="35">
        <v>8.1866925498051675</v>
      </c>
    </row>
    <row r="25" spans="1:19" ht="15.5">
      <c r="A25" s="36">
        <v>7</v>
      </c>
      <c r="B25" s="8"/>
      <c r="C25" s="37" t="s">
        <v>67</v>
      </c>
      <c r="D25" s="8"/>
      <c r="E25" s="17"/>
      <c r="F25" s="17"/>
      <c r="G25" s="38">
        <v>149521.08333333334</v>
      </c>
      <c r="H25" s="8"/>
      <c r="I25" s="38">
        <v>7644747.2004553629</v>
      </c>
      <c r="J25" s="32"/>
      <c r="K25" s="8"/>
      <c r="L25" s="39">
        <v>694217.473</v>
      </c>
      <c r="M25" s="33"/>
      <c r="N25" s="39">
        <v>729517.59499999997</v>
      </c>
      <c r="O25" s="33"/>
      <c r="P25" s="39">
        <v>35300.121999999959</v>
      </c>
      <c r="Q25" s="40">
        <v>5.084879504322122E-2</v>
      </c>
      <c r="R25" s="34"/>
      <c r="S25" s="41">
        <v>9.5427301370612483</v>
      </c>
    </row>
    <row r="26" spans="1:19" ht="15.5">
      <c r="A26" s="36"/>
      <c r="B26" s="8"/>
      <c r="C26" s="46"/>
      <c r="D26" s="8"/>
      <c r="E26" s="17"/>
      <c r="F26" s="17"/>
      <c r="G26" s="32"/>
      <c r="H26" s="8"/>
      <c r="I26" s="32"/>
      <c r="J26" s="32"/>
      <c r="K26" s="8"/>
      <c r="L26" s="33"/>
      <c r="M26" s="33"/>
      <c r="N26" s="33"/>
      <c r="O26" s="33"/>
      <c r="P26" s="33"/>
      <c r="Q26" s="34"/>
      <c r="R26" s="34"/>
      <c r="S26" s="35"/>
    </row>
    <row r="27" spans="1:19" ht="15.5">
      <c r="A27" s="36"/>
      <c r="B27" s="8"/>
      <c r="C27" s="44" t="s">
        <v>68</v>
      </c>
      <c r="D27" s="8"/>
      <c r="E27" s="17"/>
      <c r="F27" s="17"/>
      <c r="G27" s="32"/>
      <c r="H27" s="8"/>
      <c r="I27" s="32"/>
      <c r="J27" s="32"/>
      <c r="K27" s="8"/>
      <c r="L27" s="33"/>
      <c r="M27" s="33"/>
      <c r="N27" s="33"/>
      <c r="O27" s="33"/>
      <c r="P27" s="33"/>
      <c r="Q27" s="34"/>
      <c r="R27" s="34"/>
      <c r="S27" s="35"/>
    </row>
    <row r="28" spans="1:19" ht="15.5">
      <c r="A28" s="36">
        <v>8</v>
      </c>
      <c r="B28" s="8"/>
      <c r="C28" s="46" t="s">
        <v>69</v>
      </c>
      <c r="D28" s="8"/>
      <c r="E28" s="20" t="s">
        <v>70</v>
      </c>
      <c r="F28" s="17"/>
      <c r="G28" s="32">
        <v>495.16666666666669</v>
      </c>
      <c r="H28" s="8"/>
      <c r="I28" s="32">
        <v>1407595.3481703061</v>
      </c>
      <c r="J28" s="32">
        <v>3463.8150000000001</v>
      </c>
      <c r="K28" s="8"/>
      <c r="L28" s="33">
        <v>113234.14599999999</v>
      </c>
      <c r="M28" s="33"/>
      <c r="N28" s="33">
        <v>120049.253</v>
      </c>
      <c r="O28" s="33"/>
      <c r="P28" s="33">
        <v>6815.1070000000036</v>
      </c>
      <c r="Q28" s="34">
        <v>6.0185970758325887E-2</v>
      </c>
      <c r="R28" s="34"/>
      <c r="S28" s="35">
        <v>8.5286764520818199</v>
      </c>
    </row>
    <row r="29" spans="1:19" ht="15.5">
      <c r="A29" s="36">
        <v>9</v>
      </c>
      <c r="B29" s="8"/>
      <c r="C29" s="46" t="s">
        <v>71</v>
      </c>
      <c r="D29" s="8"/>
      <c r="E29" s="17">
        <v>35</v>
      </c>
      <c r="F29" s="17"/>
      <c r="G29" s="32">
        <v>3.25</v>
      </c>
      <c r="H29" s="8"/>
      <c r="I29" s="32">
        <v>4443.66</v>
      </c>
      <c r="J29" s="32">
        <v>9.0990000000000002</v>
      </c>
      <c r="K29" s="8"/>
      <c r="L29" s="33">
        <v>268.01499999999999</v>
      </c>
      <c r="M29" s="33"/>
      <c r="N29" s="33">
        <v>292.21100000000001</v>
      </c>
      <c r="O29" s="33"/>
      <c r="P29" s="33">
        <v>24.196000000000026</v>
      </c>
      <c r="Q29" s="34">
        <v>9.027852918679935E-2</v>
      </c>
      <c r="R29" s="34"/>
      <c r="S29" s="35">
        <v>6.5759081477880859</v>
      </c>
    </row>
    <row r="30" spans="1:19" ht="15.5">
      <c r="A30" s="36">
        <v>10</v>
      </c>
      <c r="B30" s="8"/>
      <c r="C30" s="8" t="s">
        <v>72</v>
      </c>
      <c r="D30" s="8"/>
      <c r="E30" s="20">
        <v>43</v>
      </c>
      <c r="F30" s="17"/>
      <c r="G30" s="32">
        <v>156.16666666666666</v>
      </c>
      <c r="H30" s="8"/>
      <c r="I30" s="32">
        <v>123102.08801083639</v>
      </c>
      <c r="J30" s="32">
        <v>602.303</v>
      </c>
      <c r="K30" s="8"/>
      <c r="L30" s="33">
        <v>10721.509</v>
      </c>
      <c r="M30" s="33"/>
      <c r="N30" s="33">
        <v>11366.849</v>
      </c>
      <c r="O30" s="33"/>
      <c r="P30" s="33">
        <v>645.34000000000015</v>
      </c>
      <c r="Q30" s="34">
        <v>6.0191154062361946E-2</v>
      </c>
      <c r="R30" s="34"/>
      <c r="S30" s="35">
        <v>9.2336768479502975</v>
      </c>
    </row>
    <row r="31" spans="1:19" ht="15.5">
      <c r="A31" s="36">
        <v>11</v>
      </c>
      <c r="B31" s="8"/>
      <c r="C31" s="37" t="s">
        <v>73</v>
      </c>
      <c r="D31" s="8"/>
      <c r="E31" s="17"/>
      <c r="F31" s="17"/>
      <c r="G31" s="38">
        <v>654.58333333333337</v>
      </c>
      <c r="H31" s="8"/>
      <c r="I31" s="38">
        <v>1535141.0961811424</v>
      </c>
      <c r="J31" s="32"/>
      <c r="K31" s="8"/>
      <c r="L31" s="39">
        <v>124223.67</v>
      </c>
      <c r="M31" s="33"/>
      <c r="N31" s="39">
        <v>131708.31299999999</v>
      </c>
      <c r="O31" s="33"/>
      <c r="P31" s="39">
        <v>7484.6430000000037</v>
      </c>
      <c r="Q31" s="40">
        <v>6.0251343403394893E-2</v>
      </c>
      <c r="R31" s="34"/>
      <c r="S31" s="41">
        <v>8.579557496548107</v>
      </c>
    </row>
    <row r="32" spans="1:19" ht="15.5">
      <c r="A32" s="36"/>
      <c r="B32" s="8"/>
      <c r="C32" s="8"/>
      <c r="D32" s="8"/>
      <c r="E32" s="20"/>
      <c r="F32" s="17"/>
      <c r="G32" s="32"/>
      <c r="H32" s="8"/>
      <c r="I32" s="32"/>
      <c r="J32" s="32"/>
      <c r="K32" s="8"/>
      <c r="L32" s="33"/>
      <c r="M32" s="33"/>
      <c r="N32" s="33"/>
      <c r="O32" s="33"/>
      <c r="P32" s="33"/>
      <c r="Q32" s="34"/>
      <c r="R32" s="34"/>
      <c r="S32" s="35"/>
    </row>
    <row r="33" spans="1:19" ht="15.5">
      <c r="A33" s="36"/>
      <c r="B33" s="8"/>
      <c r="C33" s="44" t="s">
        <v>74</v>
      </c>
      <c r="D33" s="8"/>
      <c r="E33" s="20"/>
      <c r="F33" s="17"/>
      <c r="G33" s="32"/>
      <c r="H33" s="8"/>
      <c r="I33" s="32"/>
      <c r="J33" s="32"/>
      <c r="K33" s="8"/>
      <c r="L33" s="33"/>
      <c r="M33" s="33"/>
      <c r="N33" s="33"/>
      <c r="O33" s="33"/>
      <c r="P33" s="33"/>
      <c r="Q33" s="34"/>
      <c r="R33" s="34"/>
      <c r="S33" s="35"/>
    </row>
    <row r="34" spans="1:19" ht="15.5">
      <c r="A34" s="36">
        <v>12</v>
      </c>
      <c r="B34" s="8"/>
      <c r="C34" s="46" t="s">
        <v>75</v>
      </c>
      <c r="D34" s="8"/>
      <c r="E34" s="20">
        <v>46</v>
      </c>
      <c r="F34" s="17"/>
      <c r="G34" s="32">
        <v>6</v>
      </c>
      <c r="H34" s="8"/>
      <c r="I34" s="32">
        <v>78351.491999999998</v>
      </c>
      <c r="J34" s="32">
        <v>397.464</v>
      </c>
      <c r="K34" s="8"/>
      <c r="L34" s="33">
        <v>5190.4359999999997</v>
      </c>
      <c r="M34" s="33"/>
      <c r="N34" s="33">
        <v>5423.1840000000002</v>
      </c>
      <c r="O34" s="33"/>
      <c r="P34" s="33">
        <v>232.7480000000005</v>
      </c>
      <c r="Q34" s="34">
        <v>4.4841705012835242E-2</v>
      </c>
      <c r="R34" s="34"/>
      <c r="S34" s="35">
        <v>6.9216090996710058</v>
      </c>
    </row>
    <row r="35" spans="1:19" ht="15.5">
      <c r="A35" s="36">
        <v>13</v>
      </c>
      <c r="B35" s="8"/>
      <c r="C35" s="8" t="s">
        <v>76</v>
      </c>
      <c r="D35" s="8"/>
      <c r="E35" s="20">
        <v>49</v>
      </c>
      <c r="F35" s="17"/>
      <c r="G35" s="32">
        <v>19</v>
      </c>
      <c r="H35" s="8"/>
      <c r="I35" s="32">
        <v>542259.32140199991</v>
      </c>
      <c r="J35" s="32">
        <v>1344.134</v>
      </c>
      <c r="K35" s="8"/>
      <c r="L35" s="33">
        <v>34937.811999999998</v>
      </c>
      <c r="M35" s="33"/>
      <c r="N35" s="33">
        <v>36516.432000000001</v>
      </c>
      <c r="O35" s="33"/>
      <c r="P35" s="33">
        <v>1578.6200000000026</v>
      </c>
      <c r="Q35" s="34">
        <v>4.5183710989114105E-2</v>
      </c>
      <c r="R35" s="34"/>
      <c r="S35" s="35">
        <v>6.7341271157105327</v>
      </c>
    </row>
    <row r="36" spans="1:19" ht="15.5">
      <c r="A36" s="36">
        <v>14</v>
      </c>
      <c r="B36" s="8"/>
      <c r="C36" s="37" t="s">
        <v>74</v>
      </c>
      <c r="D36" s="8"/>
      <c r="E36" s="17"/>
      <c r="F36" s="17"/>
      <c r="G36" s="38">
        <v>25</v>
      </c>
      <c r="H36" s="8"/>
      <c r="I36" s="38">
        <v>620610.81340199988</v>
      </c>
      <c r="J36" s="32"/>
      <c r="K36" s="8"/>
      <c r="L36" s="39">
        <v>40128.248</v>
      </c>
      <c r="M36" s="33"/>
      <c r="N36" s="39">
        <v>41939.616000000002</v>
      </c>
      <c r="O36" s="33"/>
      <c r="P36" s="39">
        <v>1811.3680000000031</v>
      </c>
      <c r="Q36" s="40">
        <v>4.5139473819041466E-2</v>
      </c>
      <c r="R36" s="34"/>
      <c r="S36" s="41">
        <v>6.7577965279237997</v>
      </c>
    </row>
    <row r="37" spans="1:19" ht="15.5">
      <c r="A37" s="36"/>
      <c r="B37" s="8"/>
      <c r="C37" s="8"/>
      <c r="D37" s="8"/>
      <c r="E37" s="20"/>
      <c r="F37" s="17"/>
      <c r="G37" s="32"/>
      <c r="H37" s="8"/>
      <c r="I37" s="32"/>
      <c r="J37" s="32"/>
      <c r="K37" s="8"/>
      <c r="L37" s="33"/>
      <c r="M37" s="33"/>
      <c r="N37" s="33"/>
      <c r="O37" s="33"/>
      <c r="P37" s="33"/>
      <c r="Q37" s="34"/>
      <c r="R37" s="34"/>
      <c r="S37" s="35"/>
    </row>
    <row r="38" spans="1:19" ht="15.5">
      <c r="A38" s="36"/>
      <c r="B38" s="8"/>
      <c r="C38" s="48" t="s">
        <v>77</v>
      </c>
      <c r="D38" s="8"/>
      <c r="E38" s="20"/>
      <c r="F38" s="17"/>
      <c r="G38" s="32"/>
      <c r="H38" s="8"/>
      <c r="I38" s="32"/>
      <c r="J38" s="32"/>
      <c r="K38" s="8"/>
      <c r="L38" s="33"/>
      <c r="M38" s="33"/>
      <c r="N38" s="33"/>
      <c r="O38" s="33"/>
      <c r="P38" s="33"/>
      <c r="Q38" s="34"/>
      <c r="R38" s="34"/>
      <c r="S38" s="35"/>
    </row>
    <row r="39" spans="1:19" ht="15.5">
      <c r="A39" s="36">
        <v>15</v>
      </c>
      <c r="B39" s="8"/>
      <c r="C39" s="46" t="s">
        <v>78</v>
      </c>
      <c r="D39" s="8"/>
      <c r="E39" s="20" t="s">
        <v>79</v>
      </c>
      <c r="F39" s="17"/>
      <c r="G39" s="32">
        <v>20</v>
      </c>
      <c r="H39" s="8"/>
      <c r="I39" s="32">
        <v>2028727.0061700002</v>
      </c>
      <c r="J39" s="32">
        <v>3557.5250000000001</v>
      </c>
      <c r="K39" s="8"/>
      <c r="L39" s="33">
        <v>10114.356</v>
      </c>
      <c r="M39" s="33"/>
      <c r="N39" s="33">
        <v>10152.037</v>
      </c>
      <c r="O39" s="33"/>
      <c r="P39" s="33">
        <v>37.681000000000495</v>
      </c>
      <c r="Q39" s="34">
        <v>3.7254967098251726E-3</v>
      </c>
      <c r="R39" s="34"/>
      <c r="S39" s="35">
        <v>0.50041414981534948</v>
      </c>
    </row>
    <row r="40" spans="1:19" ht="15.5">
      <c r="A40" s="36">
        <v>16</v>
      </c>
      <c r="B40" s="8"/>
      <c r="C40" s="46" t="s">
        <v>80</v>
      </c>
      <c r="D40" s="8"/>
      <c r="E40" s="20" t="s">
        <v>81</v>
      </c>
      <c r="F40" s="17"/>
      <c r="G40" s="32">
        <v>98.333333333333329</v>
      </c>
      <c r="H40" s="8"/>
      <c r="I40" s="32">
        <v>335987.76400000002</v>
      </c>
      <c r="J40" s="32">
        <v>799.15800000000002</v>
      </c>
      <c r="K40" s="8"/>
      <c r="L40" s="33">
        <v>5493.9070000000002</v>
      </c>
      <c r="M40" s="33"/>
      <c r="N40" s="33">
        <v>4307.4994600000009</v>
      </c>
      <c r="O40" s="33"/>
      <c r="P40" s="33">
        <v>-1186.4075399999992</v>
      </c>
      <c r="Q40" s="34">
        <v>-0.21594969481645743</v>
      </c>
      <c r="R40" s="34"/>
      <c r="S40" s="35">
        <v>1.2820405745490184</v>
      </c>
    </row>
    <row r="41" spans="1:19" ht="15.5">
      <c r="A41" s="36">
        <v>17</v>
      </c>
      <c r="B41" s="8"/>
      <c r="C41" s="37" t="s">
        <v>77</v>
      </c>
      <c r="D41" s="8"/>
      <c r="E41" s="20"/>
      <c r="F41" s="17"/>
      <c r="G41" s="38">
        <v>118.33333333333333</v>
      </c>
      <c r="H41" s="8"/>
      <c r="I41" s="38">
        <v>2364714.7701700004</v>
      </c>
      <c r="J41" s="32"/>
      <c r="K41" s="8"/>
      <c r="L41" s="39">
        <v>15608.262999999999</v>
      </c>
      <c r="M41" s="33"/>
      <c r="N41" s="39">
        <v>14459.536460000001</v>
      </c>
      <c r="O41" s="33"/>
      <c r="P41" s="39">
        <v>-1148.7265399999987</v>
      </c>
      <c r="Q41" s="40">
        <v>-7.3597333668711171E-2</v>
      </c>
      <c r="R41" s="34"/>
      <c r="S41" s="41">
        <v>0.61147063664513335</v>
      </c>
    </row>
    <row r="42" spans="1:19" ht="15.5">
      <c r="A42" s="36"/>
      <c r="B42" s="8"/>
      <c r="C42" s="8"/>
      <c r="D42" s="8"/>
      <c r="E42" s="20"/>
      <c r="F42" s="17"/>
      <c r="G42" s="32"/>
      <c r="H42" s="8"/>
      <c r="I42" s="32"/>
      <c r="J42" s="32"/>
      <c r="K42" s="8"/>
      <c r="L42" s="33"/>
      <c r="M42" s="33"/>
      <c r="N42" s="33"/>
      <c r="O42" s="33"/>
      <c r="P42" s="33"/>
      <c r="Q42" s="34"/>
      <c r="R42" s="34"/>
      <c r="S42" s="35"/>
    </row>
    <row r="43" spans="1:19" ht="15.5">
      <c r="A43" s="36">
        <v>18</v>
      </c>
      <c r="B43" s="8"/>
      <c r="C43" s="8" t="s">
        <v>82</v>
      </c>
      <c r="D43" s="8"/>
      <c r="E43" s="20" t="s">
        <v>83</v>
      </c>
      <c r="F43" s="17"/>
      <c r="G43" s="38">
        <v>7829.166666666667</v>
      </c>
      <c r="H43" s="8"/>
      <c r="I43" s="38">
        <v>69969.105296000009</v>
      </c>
      <c r="J43" s="32"/>
      <c r="K43" s="8"/>
      <c r="L43" s="39">
        <v>16457.504000000001</v>
      </c>
      <c r="M43" s="33"/>
      <c r="N43" s="39">
        <v>17451.405999999999</v>
      </c>
      <c r="O43" s="33"/>
      <c r="P43" s="39">
        <v>993.90199999999822</v>
      </c>
      <c r="Q43" s="40">
        <v>6.0392025424997504E-2</v>
      </c>
      <c r="R43" s="34"/>
      <c r="S43" s="41">
        <v>24.941588042569499</v>
      </c>
    </row>
    <row r="44" spans="1:19" ht="15.5">
      <c r="A44" s="36"/>
      <c r="B44" s="8"/>
      <c r="C44" s="8"/>
      <c r="D44" s="8"/>
      <c r="E44" s="20"/>
      <c r="F44" s="17"/>
      <c r="G44" s="32"/>
      <c r="H44" s="8"/>
      <c r="I44" s="32"/>
      <c r="J44" s="32"/>
      <c r="K44" s="8"/>
      <c r="L44" s="33"/>
      <c r="M44" s="33"/>
      <c r="N44" s="33"/>
      <c r="O44" s="33"/>
      <c r="P44" s="33"/>
      <c r="Q44" s="34"/>
      <c r="R44" s="34"/>
      <c r="S44" s="35"/>
    </row>
    <row r="45" spans="1:19" ht="15.5">
      <c r="A45" s="36">
        <v>19</v>
      </c>
      <c r="B45" s="8"/>
      <c r="C45" s="37" t="s">
        <v>84</v>
      </c>
      <c r="D45" s="8"/>
      <c r="E45" s="8"/>
      <c r="F45" s="8"/>
      <c r="G45" s="38">
        <v>1188258.1666666667</v>
      </c>
      <c r="H45" s="8"/>
      <c r="I45" s="38">
        <v>22893265.696041595</v>
      </c>
      <c r="J45" s="32"/>
      <c r="K45" s="8"/>
      <c r="L45" s="39">
        <v>2000257.645</v>
      </c>
      <c r="M45" s="33"/>
      <c r="N45" s="39">
        <v>2111482.4664599998</v>
      </c>
      <c r="O45" s="33"/>
      <c r="P45" s="39">
        <v>111224.82146000001</v>
      </c>
      <c r="Q45" s="40">
        <v>5.5605247523000972E-2</v>
      </c>
      <c r="R45" s="34"/>
      <c r="S45" s="41">
        <v>9.2231597470390163</v>
      </c>
    </row>
    <row r="46" spans="1:19" ht="15.5">
      <c r="A46" s="17"/>
      <c r="B46" s="8"/>
      <c r="C46" s="8"/>
      <c r="D46" s="8"/>
      <c r="E46" s="8"/>
      <c r="F46" s="8"/>
      <c r="G46" s="8"/>
      <c r="H46" s="8"/>
      <c r="I46" s="8"/>
      <c r="J46" s="8"/>
      <c r="K46" s="8"/>
      <c r="L46" s="42"/>
      <c r="M46" s="42"/>
      <c r="N46" s="42"/>
      <c r="O46" s="42"/>
      <c r="P46" s="42"/>
      <c r="Q46" s="43"/>
      <c r="R46" s="8"/>
      <c r="S46" s="8"/>
    </row>
    <row r="47" spans="1:19" ht="15.5">
      <c r="A47" s="36">
        <v>20</v>
      </c>
      <c r="B47" s="8"/>
      <c r="C47" s="8" t="s">
        <v>85</v>
      </c>
      <c r="D47" s="8"/>
      <c r="E47" s="20" t="s">
        <v>86</v>
      </c>
      <c r="F47" s="17"/>
      <c r="G47" s="38">
        <v>8</v>
      </c>
      <c r="H47" s="8"/>
      <c r="I47" s="38">
        <v>7197.5754843382783</v>
      </c>
      <c r="J47" s="45">
        <v>14.252000000000001</v>
      </c>
      <c r="K47" s="8"/>
      <c r="L47" s="39">
        <v>328.327</v>
      </c>
      <c r="M47" s="42"/>
      <c r="N47" s="39">
        <v>695.63236786198308</v>
      </c>
      <c r="O47" s="33"/>
      <c r="P47" s="39">
        <v>367.30536786198309</v>
      </c>
      <c r="Q47" s="40">
        <v>1.1187181311984182</v>
      </c>
      <c r="R47" s="34"/>
      <c r="S47" s="41">
        <v>9.6648151780507128</v>
      </c>
    </row>
    <row r="48" spans="1:19" ht="15.5">
      <c r="A48" s="17"/>
      <c r="B48" s="8"/>
      <c r="C48" s="8"/>
      <c r="D48" s="8"/>
      <c r="E48" s="8"/>
      <c r="F48" s="8"/>
      <c r="G48" s="8"/>
      <c r="H48" s="8"/>
      <c r="I48" s="8"/>
      <c r="J48" s="8"/>
      <c r="K48" s="8"/>
      <c r="L48" s="42"/>
      <c r="M48" s="42"/>
      <c r="N48" s="42"/>
      <c r="O48" s="42"/>
      <c r="P48" s="42"/>
      <c r="Q48" s="43"/>
      <c r="R48" s="8"/>
      <c r="S48" s="8"/>
    </row>
    <row r="49" spans="1:19" ht="16" thickBot="1">
      <c r="A49" s="36">
        <v>21</v>
      </c>
      <c r="B49" s="8"/>
      <c r="C49" s="49" t="s">
        <v>87</v>
      </c>
      <c r="D49" s="8"/>
      <c r="E49" s="8"/>
      <c r="F49" s="8"/>
      <c r="G49" s="50">
        <v>1188266.1666666667</v>
      </c>
      <c r="H49" s="8"/>
      <c r="I49" s="50">
        <v>22900463.271525934</v>
      </c>
      <c r="J49" s="8"/>
      <c r="K49" s="8"/>
      <c r="L49" s="51">
        <v>2000585.9720000001</v>
      </c>
      <c r="M49" s="52"/>
      <c r="N49" s="51">
        <v>2112178.0988278617</v>
      </c>
      <c r="O49" s="53"/>
      <c r="P49" s="51">
        <v>111592.12682786198</v>
      </c>
      <c r="Q49" s="54">
        <v>5.5779720736671236E-2</v>
      </c>
      <c r="R49" s="55"/>
      <c r="S49" s="56">
        <v>9.2232985585671958</v>
      </c>
    </row>
    <row r="50" spans="1:19" ht="15" thickTop="1"/>
  </sheetData>
  <mergeCells count="8">
    <mergeCell ref="N9:Q9"/>
    <mergeCell ref="N10:Q10"/>
    <mergeCell ref="A2:R2"/>
    <mergeCell ref="A3:R3"/>
    <mergeCell ref="A4:R4"/>
    <mergeCell ref="A5:R5"/>
    <mergeCell ref="A6:R6"/>
    <mergeCell ref="A7:R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2020-12-01T08:00:00+00:00</OpenedDate>
    <SignificantOrder xmlns="dc463f71-b30c-4ab2-9473-d307f9d35888">false</SignificantOrder>
    <Date1 xmlns="dc463f71-b30c-4ab2-9473-d307f9d35888">2020-12-01T08:00:00+00:00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200968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F02ECF3CDF064DAACDAF491663766A" ma:contentTypeVersion="52" ma:contentTypeDescription="" ma:contentTypeScope="" ma:versionID="ff428d01b704b7e9200147bf8d338b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9514D-AB34-4420-B48C-CB0B473594B9}"/>
</file>

<file path=customXml/itemProps2.xml><?xml version="1.0" encoding="utf-8"?>
<ds:datastoreItem xmlns:ds="http://schemas.openxmlformats.org/officeDocument/2006/customXml" ds:itemID="{1D931332-A46E-4B6E-AC25-4350F7EBB909}"/>
</file>

<file path=customXml/itemProps3.xml><?xml version="1.0" encoding="utf-8"?>
<ds:datastoreItem xmlns:ds="http://schemas.openxmlformats.org/officeDocument/2006/customXml" ds:itemID="{BB7915D7-B668-42F8-8283-718C1C6CC74D}"/>
</file>

<file path=customXml/itemProps4.xml><?xml version="1.0" encoding="utf-8"?>
<ds:datastoreItem xmlns:ds="http://schemas.openxmlformats.org/officeDocument/2006/customXml" ds:itemID="{8155CD24-D04C-426B-A604-7C58D8824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Sch 139 Impacts</vt:lpstr>
      <vt:lpstr>Tariff_RateImpacts</vt:lpstr>
      <vt:lpstr>Schedule_RateImpacts</vt:lpstr>
      <vt:lpstr>Sch 139 Eff 10-15-2020</vt:lpstr>
      <vt:lpstr>Sch 139 Eff 12-1-2021</vt:lpstr>
      <vt:lpstr>Sch 139 Credit Calculation</vt:lpstr>
      <vt:lpstr>UE-190529 Proposed Unit Cost</vt:lpstr>
      <vt:lpstr>'Sch 139 Impacts'!Print_Area</vt:lpstr>
      <vt:lpstr>Schedule_RateImpacts!Print_Area</vt:lpstr>
      <vt:lpstr>Tariff_RateImpacts!Print_Area</vt:lpstr>
      <vt:lpstr>'Sch 139 Impacts'!Print_Titles</vt:lpstr>
      <vt:lpstr>Schedule_RateImpacts!Print_Titles</vt:lpstr>
      <vt:lpstr>Tariff_RateImpacts!Print_Titles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dcterms:created xsi:type="dcterms:W3CDTF">2020-11-17T21:10:26Z</dcterms:created>
  <dcterms:modified xsi:type="dcterms:W3CDTF">2020-12-01T01:41:04Z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0x0101006E56B4D1795A2E4DB2F0B01679ED314A00A9F02ECF3CDF064DAACDAF491663766A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