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Schedules\Schedule 137 - REC Revenues (2012 and forward)\Jan 2021 rate\"/>
    </mc:Choice>
  </mc:AlternateContent>
  <bookViews>
    <workbookView xWindow="-15" yWindow="45" windowWidth="14520" windowHeight="13545" tabRatio="762" activeTab="4"/>
  </bookViews>
  <sheets>
    <sheet name="Revenue Requirement" sheetId="1" r:id="rId1"/>
    <sheet name="Tracking Accounts" sheetId="2" r:id="rId2"/>
    <sheet name="Intrst Review for Nov '20 entry" sheetId="6" r:id="rId3"/>
    <sheet name="Conv F and COC UE-180282" sheetId="13" r:id="rId4"/>
    <sheet name="Conv F and COC UE-190529" sheetId="12" r:id="rId5"/>
  </sheets>
  <externalReferences>
    <externalReference r:id="rId6"/>
    <externalReference r:id="rId7"/>
    <externalReference r:id="rId8"/>
  </externalReferences>
  <definedNames>
    <definedName name="_Testyear">'[1]KJB-6,13 Cmn Adj'!$B$7</definedName>
    <definedName name="CASE_E">'[2]Named Ranges E'!$C$4</definedName>
    <definedName name="FIT_E">'[2]Named Ranges E'!$C$3</definedName>
    <definedName name="k_FITrate" localSheetId="3">'Conv F and COC UE-180282'!$L$20</definedName>
    <definedName name="k_FITrate" localSheetId="2">'[3]Conv Factor'!$L$20</definedName>
    <definedName name="k_FITrate">#REF!</definedName>
    <definedName name="_xlnm.Print_Area" localSheetId="0">'Revenue Requirement'!$A$1:$D$16</definedName>
    <definedName name="TESTYEAR_E">'[2]Named Ranges E'!$C$5</definedName>
  </definedNames>
  <calcPr calcId="162913"/>
</workbook>
</file>

<file path=xl/calcChain.xml><?xml version="1.0" encoding="utf-8"?>
<calcChain xmlns="http://schemas.openxmlformats.org/spreadsheetml/2006/main">
  <c r="S17" i="6" l="1"/>
  <c r="E16" i="6"/>
  <c r="Q16" i="6" l="1"/>
  <c r="S16" i="6" s="1"/>
  <c r="P16" i="6"/>
  <c r="M16" i="6"/>
  <c r="N16" i="6" s="1"/>
  <c r="O17" i="6" l="1"/>
  <c r="E17" i="6"/>
  <c r="B14" i="1"/>
  <c r="E15" i="6" l="1"/>
  <c r="E14" i="6"/>
  <c r="E13" i="6"/>
  <c r="E12" i="6"/>
  <c r="E11" i="6"/>
  <c r="E10" i="6"/>
  <c r="E9" i="6"/>
  <c r="E8" i="6"/>
  <c r="E7" i="6"/>
  <c r="E6" i="6"/>
  <c r="E5" i="6"/>
  <c r="D38" i="13"/>
  <c r="C38" i="13"/>
  <c r="E38" i="13" s="1"/>
  <c r="E37" i="13"/>
  <c r="E39" i="13" s="1"/>
  <c r="D37" i="13"/>
  <c r="C37" i="13"/>
  <c r="C39" i="13" s="1"/>
  <c r="C35" i="13"/>
  <c r="E34" i="13"/>
  <c r="E33" i="13"/>
  <c r="E35" i="13" s="1"/>
  <c r="B21" i="13"/>
  <c r="B20" i="13"/>
  <c r="B19" i="13"/>
  <c r="E15" i="13"/>
  <c r="E17" i="13" s="1"/>
  <c r="E19" i="13" s="1"/>
  <c r="B15" i="13"/>
  <c r="E20" i="13" l="1"/>
  <c r="E21" i="13" s="1"/>
  <c r="C16" i="6" l="1"/>
  <c r="D16" i="6" s="1"/>
  <c r="N36" i="2"/>
  <c r="O36" i="2" s="1"/>
  <c r="B12" i="1" s="1"/>
  <c r="F36" i="2"/>
  <c r="G36" i="2" s="1"/>
  <c r="B11" i="1" s="1"/>
  <c r="F18" i="2"/>
  <c r="N18" i="2"/>
  <c r="O17" i="2"/>
  <c r="O18" i="2" l="1"/>
  <c r="C11" i="1"/>
  <c r="K18" i="6"/>
  <c r="K16" i="6"/>
  <c r="K17" i="6"/>
  <c r="G9" i="2"/>
  <c r="G10" i="2" s="1"/>
  <c r="G11" i="2" s="1"/>
  <c r="G12" i="2" s="1"/>
  <c r="G13" i="2" s="1"/>
  <c r="G14" i="2" s="1"/>
  <c r="G15" i="2" s="1"/>
  <c r="G16" i="2" s="1"/>
  <c r="G17" i="2" s="1"/>
  <c r="G18" i="2" s="1"/>
  <c r="O16" i="6" l="1"/>
  <c r="P15" i="6"/>
  <c r="N15" i="6"/>
  <c r="Q15" i="6" s="1"/>
  <c r="S15" i="6" s="1"/>
  <c r="M15" i="6"/>
  <c r="K15" i="6"/>
  <c r="G16" i="6"/>
  <c r="I16" i="6" s="1"/>
  <c r="I17" i="6" s="1"/>
  <c r="C15" i="6"/>
  <c r="D15" i="6" s="1"/>
  <c r="G15" i="6" s="1"/>
  <c r="I15" i="6" s="1"/>
  <c r="P14" i="6"/>
  <c r="M14" i="6"/>
  <c r="N14" i="6" s="1"/>
  <c r="K14" i="6"/>
  <c r="C14" i="6"/>
  <c r="D14" i="6" s="1"/>
  <c r="G14" i="6" s="1"/>
  <c r="I14" i="6" s="1"/>
  <c r="P13" i="6"/>
  <c r="M13" i="6"/>
  <c r="N13" i="6" s="1"/>
  <c r="Q13" i="6" s="1"/>
  <c r="S13" i="6" s="1"/>
  <c r="K13" i="6"/>
  <c r="D13" i="6"/>
  <c r="C13" i="6"/>
  <c r="P12" i="6"/>
  <c r="M12" i="6"/>
  <c r="N12" i="6" s="1"/>
  <c r="Q12" i="6" s="1"/>
  <c r="S12" i="6" s="1"/>
  <c r="K12" i="6"/>
  <c r="C12" i="6"/>
  <c r="D12" i="6" s="1"/>
  <c r="G12" i="6" s="1"/>
  <c r="I12" i="6" s="1"/>
  <c r="P11" i="6"/>
  <c r="N11" i="6"/>
  <c r="M11" i="6"/>
  <c r="K11" i="6"/>
  <c r="C11" i="6"/>
  <c r="D11" i="6" s="1"/>
  <c r="G11" i="6" s="1"/>
  <c r="I11" i="6" s="1"/>
  <c r="P10" i="6"/>
  <c r="M10" i="6"/>
  <c r="N10" i="6" s="1"/>
  <c r="Q10" i="6" s="1"/>
  <c r="S10" i="6" s="1"/>
  <c r="K10" i="6"/>
  <c r="C10" i="6"/>
  <c r="D10" i="6" s="1"/>
  <c r="G10" i="6" s="1"/>
  <c r="I10" i="6" s="1"/>
  <c r="P9" i="6"/>
  <c r="M9" i="6"/>
  <c r="N9" i="6" s="1"/>
  <c r="Q9" i="6" s="1"/>
  <c r="S9" i="6" s="1"/>
  <c r="K9" i="6"/>
  <c r="D9" i="6"/>
  <c r="G9" i="6" s="1"/>
  <c r="I9" i="6" s="1"/>
  <c r="C9" i="6"/>
  <c r="P8" i="6"/>
  <c r="M8" i="6"/>
  <c r="N8" i="6" s="1"/>
  <c r="Q8" i="6" s="1"/>
  <c r="S8" i="6" s="1"/>
  <c r="K8" i="6"/>
  <c r="C8" i="6"/>
  <c r="D8" i="6" s="1"/>
  <c r="G8" i="6" s="1"/>
  <c r="I8" i="6" s="1"/>
  <c r="P7" i="6"/>
  <c r="N7" i="6"/>
  <c r="Q7" i="6" s="1"/>
  <c r="S7" i="6" s="1"/>
  <c r="M7" i="6"/>
  <c r="K7" i="6"/>
  <c r="C7" i="6"/>
  <c r="D7" i="6" s="1"/>
  <c r="G7" i="6" s="1"/>
  <c r="I7" i="6" s="1"/>
  <c r="P6" i="6"/>
  <c r="M6" i="6"/>
  <c r="N6" i="6" s="1"/>
  <c r="Q6" i="6" s="1"/>
  <c r="S6" i="6" s="1"/>
  <c r="K6" i="6"/>
  <c r="G6" i="6"/>
  <c r="I6" i="6" s="1"/>
  <c r="I19" i="6" s="1"/>
  <c r="I20" i="6" s="1"/>
  <c r="D6" i="6"/>
  <c r="C6" i="6"/>
  <c r="P5" i="6"/>
  <c r="M5" i="6"/>
  <c r="N5" i="6" s="1"/>
  <c r="Q5" i="6" s="1"/>
  <c r="S5" i="6" s="1"/>
  <c r="K5" i="6"/>
  <c r="D5" i="6"/>
  <c r="G5" i="6" s="1"/>
  <c r="I5" i="6" s="1"/>
  <c r="C5" i="6"/>
  <c r="M4" i="6"/>
  <c r="N4" i="6" s="1"/>
  <c r="K4" i="6"/>
  <c r="D4" i="6"/>
  <c r="C4" i="6"/>
  <c r="Q11" i="6" l="1"/>
  <c r="S11" i="6" s="1"/>
  <c r="G13" i="6"/>
  <c r="I13" i="6" s="1"/>
  <c r="Q14" i="6"/>
  <c r="S14" i="6" s="1"/>
  <c r="J19" i="12" l="1"/>
  <c r="G18" i="12"/>
  <c r="D17" i="12"/>
  <c r="D16" i="12"/>
  <c r="C16" i="12"/>
  <c r="J14" i="12"/>
  <c r="G14" i="12" s="1"/>
  <c r="F14" i="12"/>
  <c r="F15" i="12" s="1"/>
  <c r="F16" i="12" s="1"/>
  <c r="F17" i="12" s="1"/>
  <c r="F18" i="12" s="1"/>
  <c r="F13" i="12"/>
  <c r="E13" i="12"/>
  <c r="A13" i="12"/>
  <c r="A14" i="12" s="1"/>
  <c r="A15" i="12" s="1"/>
  <c r="A16" i="12" s="1"/>
  <c r="A17" i="12" s="1"/>
  <c r="A18" i="12" s="1"/>
  <c r="C14" i="12"/>
  <c r="F19" i="12" l="1"/>
  <c r="F20" i="12" s="1"/>
  <c r="J16" i="12"/>
  <c r="J18" i="12" s="1"/>
  <c r="J20" i="12" s="1"/>
  <c r="C17" i="12"/>
  <c r="E17" i="12" s="1"/>
  <c r="E12" i="12"/>
  <c r="C18" i="12" l="1"/>
  <c r="G20" i="12"/>
  <c r="E14" i="12"/>
  <c r="E16" i="12"/>
  <c r="E18" i="12" s="1"/>
  <c r="B9" i="1" l="1"/>
  <c r="B10" i="1"/>
  <c r="B13" i="1" l="1"/>
  <c r="C9" i="1"/>
  <c r="C13" i="1" s="1"/>
  <c r="D11" i="1" l="1"/>
  <c r="B15" i="1" l="1"/>
  <c r="D9" i="1"/>
  <c r="D13" i="1" s="1"/>
</calcChain>
</file>

<file path=xl/sharedStrings.xml><?xml version="1.0" encoding="utf-8"?>
<sst xmlns="http://schemas.openxmlformats.org/spreadsheetml/2006/main" count="172" uniqueCount="93">
  <si>
    <t>Gross up for revenue sensitive items</t>
  </si>
  <si>
    <t>Over / under pass back of proceeds from prior rate period</t>
  </si>
  <si>
    <t>Over / under pass back of interest from prior rate period</t>
  </si>
  <si>
    <t>Revenue Requirement</t>
  </si>
  <si>
    <t>Description</t>
  </si>
  <si>
    <t>New net proceeds to be passed back</t>
  </si>
  <si>
    <t>Period</t>
  </si>
  <si>
    <t>Debit</t>
  </si>
  <si>
    <t>Credit</t>
  </si>
  <si>
    <t>Balance</t>
  </si>
  <si>
    <t>Cumulative balance</t>
  </si>
  <si>
    <t>Balance Carryforward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</si>
  <si>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</si>
  <si>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</si>
  <si>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</si>
  <si>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</si>
  <si>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</si>
  <si>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</si>
  <si>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</si>
  <si>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</si>
  <si>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</si>
  <si>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</si>
  <si>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CONVERSION FACTOR</t>
  </si>
  <si>
    <t>LINE</t>
  </si>
  <si>
    <t>NO.</t>
  </si>
  <si>
    <t>DESCRIPTION</t>
  </si>
  <si>
    <t>BAD DEBTS</t>
  </si>
  <si>
    <t>ANNUAL FILING FEE</t>
  </si>
  <si>
    <t>SUM OF TAXES OTHER</t>
  </si>
  <si>
    <t>25400291 Proceeds Already Set in Rates - Currently Amortizing</t>
  </si>
  <si>
    <t>25400221 REC Current Proceeds Not in Rates</t>
  </si>
  <si>
    <t>Revenue Requirement for Schedule 137</t>
  </si>
  <si>
    <t>REC</t>
  </si>
  <si>
    <t>Sched 137</t>
  </si>
  <si>
    <t>Allocation b/w</t>
  </si>
  <si>
    <t>Prin and Int</t>
  </si>
  <si>
    <t>25400301 Interest on RECs IN RATES</t>
  </si>
  <si>
    <t>25400311 Interest on RECs NOT In Rates</t>
  </si>
  <si>
    <t>Interest Review for REC proceeds in and not-yet-in rates:  Account # 25400221 and 25400291</t>
  </si>
  <si>
    <t>Date</t>
  </si>
  <si>
    <t>Accumulated DFIT</t>
  </si>
  <si>
    <t>Proceeds net of DFIT</t>
  </si>
  <si>
    <t>FIT Grossup Factor</t>
  </si>
  <si>
    <t>Monthly Interest on 25400221 S/B CR to 25400311 DR to 43100181</t>
  </si>
  <si>
    <t>Difference S/B recorded to 25400301</t>
  </si>
  <si>
    <t>Net Balance</t>
  </si>
  <si>
    <t>Monthly Interest on 25400291 S/B  CR to 25400301 DR to 43100141</t>
  </si>
  <si>
    <t>Actually Recorded to 25400301</t>
  </si>
  <si>
    <t>COST</t>
  </si>
  <si>
    <t>CAPITAL</t>
  </si>
  <si>
    <t>EQUITY</t>
  </si>
  <si>
    <t>TOTAL AFTER TAX COST OF CAPITAL</t>
  </si>
  <si>
    <t>Based on actual balance using authorized ROR and FIT rate</t>
  </si>
  <si>
    <r>
      <t xml:space="preserve">Balance Proceeds </t>
    </r>
    <r>
      <rPr>
        <sz val="11"/>
        <color rgb="FF0000FF"/>
        <rFont val="Calibri"/>
        <family val="2"/>
      </rPr>
      <t>Not In Rates</t>
    </r>
    <r>
      <rPr>
        <sz val="11"/>
        <color theme="1"/>
        <rFont val="Calibri"/>
        <family val="2"/>
        <scheme val="minor"/>
      </rPr>
      <t xml:space="preserve"> 25400221</t>
    </r>
  </si>
  <si>
    <r>
      <t xml:space="preserve">Balance Proceeds </t>
    </r>
    <r>
      <rPr>
        <sz val="11"/>
        <color rgb="FF0000FF"/>
        <rFont val="Calibri"/>
        <family val="2"/>
      </rPr>
      <t>In Rates</t>
    </r>
    <r>
      <rPr>
        <sz val="11"/>
        <color theme="1"/>
        <rFont val="Calibri"/>
        <family val="2"/>
        <scheme val="minor"/>
      </rPr>
      <t xml:space="preserve"> 25400291</t>
    </r>
  </si>
  <si>
    <t>Difference S/B recorded to 25400311</t>
  </si>
  <si>
    <t>After Tax Interest % UE-180282</t>
  </si>
  <si>
    <t>REC's 2020 Actuals for 2021 rates</t>
  </si>
  <si>
    <t>EXH. SEF-18E page 2 of 6</t>
  </si>
  <si>
    <t>EXH. SEF-18E page 3 of 6</t>
  </si>
  <si>
    <t xml:space="preserve">PUGET SOUND ENERGY </t>
  </si>
  <si>
    <t>ELECTRIC RESULTS OF OPERATIONS</t>
  </si>
  <si>
    <t>COST OF CAPITAL - GRC</t>
  </si>
  <si>
    <t>WEIGHTED</t>
  </si>
  <si>
    <t>STRUCTURE</t>
  </si>
  <si>
    <t>SHORT AND LONG TERM DEBT</t>
  </si>
  <si>
    <t>TOTAL</t>
  </si>
  <si>
    <t>AFTER TAX SHORT TERM DEBT ( (LINE 1)* 79%)</t>
  </si>
  <si>
    <t>12 MONTHS ENDED DECEMBER 31, 2018</t>
  </si>
  <si>
    <t>2019 GENERAL RATE CASE</t>
  </si>
  <si>
    <t>FEDERAL INCOME TAX ( LINE 7  * 21% )</t>
  </si>
  <si>
    <t>UE-190529</t>
  </si>
  <si>
    <t>To Be Effective January 1, 2021</t>
  </si>
  <si>
    <r>
      <t xml:space="preserve">Actually Recorded to 25400311 </t>
    </r>
    <r>
      <rPr>
        <i/>
        <sz val="11"/>
        <color theme="1"/>
        <rFont val="Calibri"/>
        <family val="2"/>
      </rPr>
      <t>excluding prior trueups</t>
    </r>
  </si>
  <si>
    <t>Interest not in rates to be passed back through Oct 2020</t>
  </si>
  <si>
    <t>True-up to be booked in Oct 2020 business</t>
  </si>
  <si>
    <t>Tax Reform 17GRC Filing in UE-180282</t>
  </si>
  <si>
    <t>&lt;== Tax Reform</t>
  </si>
  <si>
    <t>PUGET SOUND ENERGY-ELECTRIC</t>
  </si>
  <si>
    <t>FOR THE TWELVE MONTHS ENDED SEPTEMBER 30, 2016</t>
  </si>
  <si>
    <t>COMMISSION BASIS REPORT</t>
  </si>
  <si>
    <t>USE UNTIL 19GRC, DO NOT USE ERF</t>
  </si>
  <si>
    <t>RATE</t>
  </si>
  <si>
    <t>PRO FORMA COST OF CAPITAL</t>
  </si>
  <si>
    <t>GENERAL RATE CASE</t>
  </si>
  <si>
    <t>PRO FORMA</t>
  </si>
  <si>
    <t>COST OF</t>
  </si>
  <si>
    <t>CAPITAL %</t>
  </si>
  <si>
    <t>%</t>
  </si>
  <si>
    <t>SHORT &amp; LONG TERM DEBT</t>
  </si>
  <si>
    <t>TOTAL COST OF CAPITAL</t>
  </si>
  <si>
    <t>AFTER TAX DEBT</t>
  </si>
  <si>
    <t>check=&gt;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</si>
</sst>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.000000_);[Red]\(#,##0.000000\)"/>
    <numFmt numFmtId="165" formatCode="0.000000"/>
    <numFmt numFmtId="166" formatCode="0.0000%"/>
    <numFmt numFmtId="167" formatCode="_(* #,##0_);_(* \(#,##0\);_(* &quot;-&quot;??_);_(@_)"/>
    <numFmt numFmtId="168" formatCode="&quot;PAGE&quot;\ 0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00FF"/>
      <name val="Calibri"/>
      <family val="2"/>
    </font>
    <font>
      <sz val="8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Calibri"/>
      <family val="2"/>
    </font>
    <font>
      <b/>
      <sz val="10"/>
      <name val="Times New Roman"/>
      <family val="1"/>
    </font>
    <font>
      <b/>
      <sz val="14"/>
      <color rgb="FFFF0000"/>
      <name val="Calibri"/>
      <family val="2"/>
      <scheme val="minor"/>
    </font>
    <font>
      <sz val="10"/>
      <name val="Times New Roman"/>
      <family val="1"/>
    </font>
    <font>
      <b/>
      <i/>
      <sz val="10"/>
      <color rgb="FF0000FF"/>
      <name val="Times New Roman"/>
      <family val="1"/>
    </font>
    <font>
      <b/>
      <sz val="10"/>
      <color rgb="FFFF0000"/>
      <name val="Times New Roman"/>
      <family val="1"/>
    </font>
    <font>
      <sz val="9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" fillId="0" borderId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164" fontId="0" fillId="0" borderId="0" xfId="0" applyNumberFormat="1"/>
    <xf numFmtId="41" fontId="0" fillId="0" borderId="0" xfId="0" applyNumberFormat="1"/>
    <xf numFmtId="42" fontId="0" fillId="0" borderId="0" xfId="0" applyNumberFormat="1"/>
    <xf numFmtId="41" fontId="0" fillId="0" borderId="11" xfId="0" applyNumberFormat="1" applyBorder="1"/>
    <xf numFmtId="42" fontId="0" fillId="0" borderId="12" xfId="0" applyNumberFormat="1" applyBorder="1"/>
    <xf numFmtId="0" fontId="18" fillId="33" borderId="13" xfId="44" applyFont="1" applyFill="1" applyBorder="1"/>
    <xf numFmtId="0" fontId="0" fillId="0" borderId="17" xfId="0" applyBorder="1"/>
    <xf numFmtId="4" fontId="18" fillId="0" borderId="0" xfId="43" applyNumberFormat="1" applyFont="1" applyBorder="1" applyAlignment="1">
      <alignment horizontal="right"/>
    </xf>
    <xf numFmtId="0" fontId="0" fillId="0" borderId="16" xfId="0" applyBorder="1"/>
    <xf numFmtId="0" fontId="0" fillId="0" borderId="15" xfId="0" applyBorder="1"/>
    <xf numFmtId="0" fontId="0" fillId="0" borderId="18" xfId="0" applyBorder="1"/>
    <xf numFmtId="0" fontId="0" fillId="0" borderId="14" xfId="0" applyBorder="1"/>
    <xf numFmtId="0" fontId="0" fillId="0" borderId="0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8" fillId="0" borderId="0" xfId="44" applyFont="1" applyBorder="1"/>
    <xf numFmtId="4" fontId="18" fillId="0" borderId="0" xfId="44" applyNumberFormat="1" applyFont="1" applyBorder="1" applyAlignment="1">
      <alignment horizontal="right"/>
    </xf>
    <xf numFmtId="43" fontId="0" fillId="0" borderId="0" xfId="0" applyNumberFormat="1"/>
    <xf numFmtId="10" fontId="0" fillId="0" borderId="0" xfId="1" applyNumberFormat="1" applyFont="1"/>
    <xf numFmtId="0" fontId="20" fillId="0" borderId="0" xfId="0" applyFont="1"/>
    <xf numFmtId="4" fontId="0" fillId="0" borderId="0" xfId="0" applyNumberFormat="1" applyAlignment="1">
      <alignment horizontal="right" vertical="top"/>
    </xf>
    <xf numFmtId="0" fontId="16" fillId="0" borderId="0" xfId="0" applyFont="1"/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3" fontId="0" fillId="0" borderId="0" xfId="49" applyFont="1"/>
    <xf numFmtId="167" fontId="0" fillId="0" borderId="0" xfId="49" applyNumberFormat="1" applyFont="1"/>
    <xf numFmtId="43" fontId="0" fillId="0" borderId="0" xfId="49" applyNumberFormat="1" applyFont="1"/>
    <xf numFmtId="43" fontId="1" fillId="0" borderId="0" xfId="48" applyFont="1" applyAlignment="1">
      <alignment horizontal="right" vertical="top"/>
    </xf>
    <xf numFmtId="43" fontId="0" fillId="0" borderId="0" xfId="49" applyFont="1" applyFill="1"/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1" fillId="0" borderId="23" xfId="0" applyFont="1" applyBorder="1" applyAlignment="1">
      <alignment horizontal="centerContinuous"/>
    </xf>
    <xf numFmtId="0" fontId="21" fillId="0" borderId="24" xfId="0" applyFont="1" applyBorder="1" applyAlignment="1">
      <alignment horizontal="centerContinuous"/>
    </xf>
    <xf numFmtId="0" fontId="21" fillId="0" borderId="25" xfId="0" applyFont="1" applyBorder="1" applyAlignment="1">
      <alignment horizontal="centerContinuous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Fill="1"/>
    <xf numFmtId="0" fontId="25" fillId="0" borderId="29" xfId="0" applyFont="1" applyFill="1" applyBorder="1" applyAlignment="1">
      <alignment horizontal="centerContinuous"/>
    </xf>
    <xf numFmtId="0" fontId="25" fillId="0" borderId="30" xfId="0" applyFont="1" applyFill="1" applyBorder="1" applyAlignment="1">
      <alignment horizontal="centerContinuous"/>
    </xf>
    <xf numFmtId="0" fontId="25" fillId="0" borderId="22" xfId="0" applyFont="1" applyFill="1" applyBorder="1" applyAlignment="1">
      <alignment horizontal="centerContinuous"/>
    </xf>
    <xf numFmtId="0" fontId="26" fillId="0" borderId="0" xfId="0" applyFont="1" applyFill="1" applyAlignment="1">
      <alignment horizontal="centerContinuous"/>
    </xf>
    <xf numFmtId="0" fontId="24" fillId="0" borderId="0" xfId="0" applyFont="1" applyFill="1" applyAlignment="1">
      <alignment horizontal="centerContinuous"/>
    </xf>
    <xf numFmtId="0" fontId="26" fillId="0" borderId="0" xfId="0" applyNumberFormat="1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6" fillId="0" borderId="10" xfId="0" applyNumberFormat="1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0" fontId="24" fillId="0" borderId="10" xfId="0" applyFont="1" applyFill="1" applyBorder="1"/>
    <xf numFmtId="0" fontId="24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/>
    <xf numFmtId="10" fontId="24" fillId="0" borderId="0" xfId="0" applyNumberFormat="1" applyFont="1" applyFill="1"/>
    <xf numFmtId="0" fontId="24" fillId="0" borderId="0" xfId="0" applyNumberFormat="1" applyFont="1" applyFill="1" applyAlignment="1">
      <alignment horizontal="left"/>
    </xf>
    <xf numFmtId="165" fontId="24" fillId="0" borderId="0" xfId="0" applyNumberFormat="1" applyFont="1" applyFill="1" applyAlignment="1"/>
    <xf numFmtId="9" fontId="24" fillId="0" borderId="11" xfId="0" applyNumberFormat="1" applyFont="1" applyFill="1" applyBorder="1"/>
    <xf numFmtId="0" fontId="24" fillId="0" borderId="11" xfId="0" applyFont="1" applyFill="1" applyBorder="1"/>
    <xf numFmtId="10" fontId="24" fillId="0" borderId="11" xfId="0" applyNumberFormat="1" applyFont="1" applyFill="1" applyBorder="1"/>
    <xf numFmtId="166" fontId="24" fillId="0" borderId="0" xfId="0" applyNumberFormat="1" applyFont="1" applyFill="1" applyAlignment="1"/>
    <xf numFmtId="165" fontId="24" fillId="0" borderId="10" xfId="0" applyNumberFormat="1" applyFont="1" applyFill="1" applyBorder="1" applyAlignment="1"/>
    <xf numFmtId="165" fontId="24" fillId="0" borderId="0" xfId="0" applyNumberFormat="1" applyFont="1" applyFill="1" applyBorder="1" applyAlignment="1"/>
    <xf numFmtId="9" fontId="24" fillId="0" borderId="0" xfId="0" applyNumberFormat="1" applyFont="1" applyFill="1" applyAlignment="1"/>
    <xf numFmtId="41" fontId="24" fillId="0" borderId="0" xfId="0" applyNumberFormat="1" applyFont="1" applyFill="1"/>
    <xf numFmtId="0" fontId="0" fillId="0" borderId="0" xfId="0" applyFont="1" applyFill="1"/>
    <xf numFmtId="0" fontId="27" fillId="0" borderId="0" xfId="0" applyFont="1" applyFill="1"/>
    <xf numFmtId="165" fontId="24" fillId="35" borderId="12" xfId="0" applyNumberFormat="1" applyFont="1" applyFill="1" applyBorder="1" applyAlignment="1" applyProtection="1">
      <protection locked="0"/>
    </xf>
    <xf numFmtId="10" fontId="24" fillId="35" borderId="11" xfId="0" applyNumberFormat="1" applyFont="1" applyFill="1" applyBorder="1"/>
    <xf numFmtId="17" fontId="0" fillId="0" borderId="0" xfId="0" applyNumberFormat="1" applyFill="1"/>
    <xf numFmtId="167" fontId="0" fillId="0" borderId="0" xfId="49" applyNumberFormat="1" applyFont="1" applyAlignment="1">
      <alignment horizontal="right" vertical="top"/>
    </xf>
    <xf numFmtId="167" fontId="0" fillId="0" borderId="0" xfId="49" applyNumberFormat="1" applyFont="1" applyFill="1"/>
    <xf numFmtId="43" fontId="0" fillId="0" borderId="0" xfId="0" applyNumberFormat="1" applyFill="1"/>
    <xf numFmtId="10" fontId="0" fillId="0" borderId="0" xfId="1" applyNumberFormat="1" applyFont="1" applyFill="1"/>
    <xf numFmtId="0" fontId="0" fillId="0" borderId="0" xfId="0" applyFill="1"/>
    <xf numFmtId="43" fontId="0" fillId="0" borderId="0" xfId="49" applyNumberFormat="1" applyFont="1" applyFill="1"/>
    <xf numFmtId="43" fontId="1" fillId="0" borderId="0" xfId="48" applyFont="1" applyFill="1" applyAlignment="1">
      <alignment horizontal="right" vertical="top"/>
    </xf>
    <xf numFmtId="167" fontId="0" fillId="0" borderId="0" xfId="49" applyNumberFormat="1" applyFont="1" applyFill="1" applyAlignment="1">
      <alignment horizontal="right" vertical="top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0" fontId="14" fillId="0" borderId="0" xfId="1" applyNumberFormat="1" applyFont="1" applyFill="1"/>
    <xf numFmtId="0" fontId="0" fillId="0" borderId="0" xfId="0" applyAlignment="1">
      <alignment horizontal="left" wrapText="1"/>
    </xf>
    <xf numFmtId="0" fontId="29" fillId="0" borderId="0" xfId="0" applyNumberFormat="1" applyFont="1" applyFill="1" applyAlignment="1"/>
    <xf numFmtId="168" fontId="29" fillId="0" borderId="0" xfId="0" applyNumberFormat="1" applyFont="1" applyFill="1" applyBorder="1" applyAlignment="1">
      <alignment horizontal="right"/>
    </xf>
    <xf numFmtId="0" fontId="29" fillId="0" borderId="0" xfId="0" applyNumberFormat="1" applyFont="1" applyFill="1" applyAlignment="1" applyProtection="1">
      <alignment horizontal="centerContinuous"/>
      <protection locked="0"/>
    </xf>
    <xf numFmtId="0" fontId="29" fillId="0" borderId="0" xfId="0" applyNumberFormat="1" applyFont="1" applyFill="1" applyAlignment="1">
      <alignment horizontal="centerContinuous"/>
    </xf>
    <xf numFmtId="0" fontId="29" fillId="0" borderId="0" xfId="0" applyNumberFormat="1" applyFont="1" applyFill="1" applyBorder="1" applyAlignment="1">
      <alignment horizontal="centerContinuous"/>
    </xf>
    <xf numFmtId="0" fontId="30" fillId="0" borderId="0" xfId="0" applyFont="1"/>
    <xf numFmtId="0" fontId="29" fillId="0" borderId="0" xfId="0" applyNumberFormat="1" applyFont="1" applyFill="1" applyAlignment="1">
      <alignment horizontal="center"/>
    </xf>
    <xf numFmtId="0" fontId="29" fillId="0" borderId="10" xfId="0" applyNumberFormat="1" applyFont="1" applyFill="1" applyBorder="1" applyAlignment="1">
      <alignment horizontal="center"/>
    </xf>
    <xf numFmtId="0" fontId="29" fillId="0" borderId="10" xfId="0" applyNumberFormat="1" applyFont="1" applyFill="1" applyBorder="1" applyAlignment="1" applyProtection="1">
      <protection locked="0"/>
    </xf>
    <xf numFmtId="0" fontId="29" fillId="0" borderId="10" xfId="0" applyNumberFormat="1" applyFont="1" applyFill="1" applyBorder="1" applyAlignment="1"/>
    <xf numFmtId="0" fontId="29" fillId="0" borderId="10" xfId="0" applyNumberFormat="1" applyFont="1" applyFill="1" applyBorder="1" applyAlignment="1">
      <alignment horizontal="right"/>
    </xf>
    <xf numFmtId="0" fontId="31" fillId="0" borderId="0" xfId="0" applyNumberFormat="1" applyFont="1" applyFill="1" applyAlignment="1"/>
    <xf numFmtId="0" fontId="31" fillId="0" borderId="0" xfId="0" applyNumberFormat="1" applyFont="1" applyFill="1" applyAlignment="1">
      <alignment horizontal="center"/>
    </xf>
    <xf numFmtId="0" fontId="31" fillId="0" borderId="0" xfId="0" applyNumberFormat="1" applyFont="1" applyFill="1" applyAlignment="1">
      <alignment horizontal="left"/>
    </xf>
    <xf numFmtId="165" fontId="31" fillId="0" borderId="0" xfId="0" applyNumberFormat="1" applyFont="1" applyFill="1" applyAlignment="1"/>
    <xf numFmtId="0" fontId="0" fillId="0" borderId="0" xfId="0" applyNumberFormat="1" applyFont="1" applyFill="1" applyAlignment="1"/>
    <xf numFmtId="166" fontId="31" fillId="0" borderId="0" xfId="0" applyNumberFormat="1" applyFont="1" applyFill="1" applyAlignment="1"/>
    <xf numFmtId="165" fontId="31" fillId="0" borderId="10" xfId="0" applyNumberFormat="1" applyFont="1" applyFill="1" applyBorder="1" applyAlignment="1"/>
    <xf numFmtId="165" fontId="31" fillId="0" borderId="0" xfId="0" applyNumberFormat="1" applyFont="1" applyFill="1" applyBorder="1" applyAlignment="1"/>
    <xf numFmtId="9" fontId="32" fillId="36" borderId="0" xfId="0" applyNumberFormat="1" applyFont="1" applyFill="1" applyAlignment="1"/>
    <xf numFmtId="165" fontId="32" fillId="36" borderId="12" xfId="0" applyNumberFormat="1" applyFont="1" applyFill="1" applyBorder="1" applyAlignment="1" applyProtection="1">
      <protection locked="0"/>
    </xf>
    <xf numFmtId="0" fontId="31" fillId="0" borderId="0" xfId="0" applyNumberFormat="1" applyFont="1" applyFill="1" applyAlignment="1">
      <alignment horizontal="centerContinuous"/>
    </xf>
    <xf numFmtId="0" fontId="33" fillId="0" borderId="0" xfId="0" applyNumberFormat="1" applyFont="1" applyFill="1" applyAlignment="1">
      <alignment horizontal="centerContinuous"/>
    </xf>
    <xf numFmtId="0" fontId="31" fillId="0" borderId="0" xfId="0" applyNumberFormat="1" applyFont="1" applyFill="1" applyAlignment="1" applyProtection="1">
      <protection locked="0"/>
    </xf>
    <xf numFmtId="0" fontId="29" fillId="0" borderId="10" xfId="0" applyNumberFormat="1" applyFont="1" applyFill="1" applyBorder="1" applyAlignment="1">
      <alignment horizontal="left"/>
    </xf>
    <xf numFmtId="0" fontId="31" fillId="0" borderId="0" xfId="0" applyNumberFormat="1" applyFont="1" applyFill="1" applyAlignment="1">
      <alignment horizontal="fill"/>
    </xf>
    <xf numFmtId="10" fontId="31" fillId="0" borderId="0" xfId="0" applyNumberFormat="1" applyFont="1" applyFill="1" applyBorder="1" applyAlignment="1"/>
    <xf numFmtId="10" fontId="31" fillId="0" borderId="11" xfId="0" applyNumberFormat="1" applyFont="1" applyFill="1" applyBorder="1" applyAlignment="1"/>
    <xf numFmtId="0" fontId="31" fillId="0" borderId="11" xfId="0" applyNumberFormat="1" applyFont="1" applyFill="1" applyBorder="1" applyAlignment="1"/>
    <xf numFmtId="0" fontId="31" fillId="0" borderId="0" xfId="0" applyNumberFormat="1" applyFont="1" applyFill="1" applyBorder="1" applyAlignment="1"/>
    <xf numFmtId="10" fontId="31" fillId="0" borderId="0" xfId="0" applyNumberFormat="1" applyFont="1" applyFill="1" applyAlignment="1"/>
    <xf numFmtId="10" fontId="32" fillId="36" borderId="0" xfId="0" applyNumberFormat="1" applyFont="1" applyFill="1" applyBorder="1" applyAlignment="1"/>
    <xf numFmtId="10" fontId="32" fillId="36" borderId="11" xfId="0" applyNumberFormat="1" applyFont="1" applyFill="1" applyBorder="1" applyAlignment="1"/>
    <xf numFmtId="167" fontId="1" fillId="0" borderId="0" xfId="48" applyNumberFormat="1" applyFont="1" applyFill="1" applyAlignment="1">
      <alignment horizontal="right" vertical="top"/>
    </xf>
    <xf numFmtId="167" fontId="0" fillId="0" borderId="11" xfId="0" applyNumberFormat="1" applyBorder="1"/>
    <xf numFmtId="9" fontId="0" fillId="0" borderId="11" xfId="0" applyNumberFormat="1" applyBorder="1"/>
    <xf numFmtId="0" fontId="34" fillId="0" borderId="0" xfId="0" applyFont="1"/>
    <xf numFmtId="43" fontId="34" fillId="0" borderId="0" xfId="49" applyNumberFormat="1" applyFont="1" applyFill="1"/>
    <xf numFmtId="43" fontId="34" fillId="0" borderId="0" xfId="0" applyNumberFormat="1" applyFont="1" applyFill="1"/>
    <xf numFmtId="43" fontId="34" fillId="0" borderId="0" xfId="49" applyNumberFormat="1" applyFont="1" applyFill="1" applyAlignment="1">
      <alignment horizontal="right"/>
    </xf>
    <xf numFmtId="43" fontId="34" fillId="0" borderId="0" xfId="48" applyFont="1" applyFill="1" applyAlignment="1">
      <alignment horizontal="right" vertical="top"/>
    </xf>
    <xf numFmtId="167" fontId="34" fillId="0" borderId="0" xfId="48" applyNumberFormat="1" applyFont="1" applyFill="1" applyAlignment="1">
      <alignment horizontal="right" vertical="top"/>
    </xf>
    <xf numFmtId="167" fontId="34" fillId="0" borderId="0" xfId="0" applyNumberFormat="1" applyFont="1"/>
    <xf numFmtId="167" fontId="1" fillId="34" borderId="11" xfId="48" applyNumberFormat="1" applyFont="1" applyFill="1" applyBorder="1" applyAlignment="1">
      <alignment horizontal="right" vertical="top"/>
    </xf>
  </cellXfs>
  <cellStyles count="50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9" builtinId="3"/>
    <cellStyle name="Comma 10" xfId="48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15 2" xfId="46"/>
    <cellStyle name="Normal 125" xfId="45"/>
    <cellStyle name="Normal 126" xfId="47"/>
    <cellStyle name="Normal 129" xfId="44"/>
    <cellStyle name="Normal 2" xfId="43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CCFF33"/>
      <color rgb="FFFF66FF"/>
      <color rgb="FFFF00FF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2018\2018%20Tax%20Reform%20WP\RevReq%20WP\%23Electric%20Model%20Tax%20Reform%202017%20GRC%20(SETTLEMENT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Compliance%20Filing/190529-30-PSE-WP-Cmpl-RevReq-COS-(9-23-20)(C)/190529-30-PSE-WP-SEF-18.00E-ELECTRIC-MODEL-REBUTTAL-19GRC-01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Schedules\Schedule%20137%20-%20REC%20Revenues%20(2012%20and%20forward)\Jan%202019%20rate\Dirty%20Set%20Schedule%20137%20REC%20Rev%20Req%202019%20Workpap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Summary"/>
      <sheetName val="ETR"/>
      <sheetName val="KJB-3,11 Def"/>
      <sheetName val="KJB-6,13 Cmn Adj"/>
      <sheetName val="KJB-7,14 El Adj"/>
      <sheetName val="Power Cost Bridge to A-1"/>
      <sheetName val="Exh.A-1"/>
      <sheetName val="RJR Prod O&amp;M"/>
      <sheetName val="PKW RY PC1"/>
      <sheetName val="MCC-2r page 7-30 Black Box"/>
      <sheetName val="Work Papers==&gt;"/>
      <sheetName val="Verify Pwr Costs"/>
      <sheetName val="Centralia Equity Kicker"/>
      <sheetName val="For Prod Adj Ratebase"/>
      <sheetName val="For Prod Adj Expense"/>
      <sheetName val="Trans Ratebase"/>
      <sheetName val="Trans OATT Revenue"/>
    </sheetNames>
    <sheetDataSet>
      <sheetData sheetId="0"/>
      <sheetData sheetId="1"/>
      <sheetData sheetId="2"/>
      <sheetData sheetId="3"/>
      <sheetData sheetId="4">
        <row r="7">
          <cell r="B7" t="str">
            <v>FOR THE TWELVE MONTHS ENDED SEPTEMBER 30, 2016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Appendix"/>
      <sheetName val="141X&amp;141Z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Requirement"/>
      <sheetName val="Tracking Accounts"/>
      <sheetName val="Conv Factor"/>
      <sheetName val="Interest Review for Jan 2019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workbookViewId="0">
      <selection activeCell="A20" sqref="A20"/>
    </sheetView>
  </sheetViews>
  <sheetFormatPr defaultRowHeight="15" x14ac:dyDescent="0.25"/>
  <cols>
    <col min="1" max="1" width="53" bestFit="1" customWidth="1"/>
    <col min="2" max="2" width="14.140625" customWidth="1"/>
    <col min="3" max="3" width="14" bestFit="1" customWidth="1"/>
    <col min="4" max="4" width="14.140625" bestFit="1" customWidth="1"/>
    <col min="6" max="7" width="12.28515625" bestFit="1" customWidth="1"/>
    <col min="9" max="9" width="10.7109375" bestFit="1" customWidth="1"/>
    <col min="10" max="10" width="9.7109375" bestFit="1" customWidth="1"/>
  </cols>
  <sheetData>
    <row r="1" spans="1:4" x14ac:dyDescent="0.25">
      <c r="A1" t="s">
        <v>31</v>
      </c>
    </row>
    <row r="2" spans="1:4" x14ac:dyDescent="0.25">
      <c r="A2" t="s">
        <v>72</v>
      </c>
    </row>
    <row r="6" spans="1:4" x14ac:dyDescent="0.25">
      <c r="B6" s="1" t="s">
        <v>32</v>
      </c>
    </row>
    <row r="7" spans="1:4" x14ac:dyDescent="0.25">
      <c r="A7" s="2" t="s">
        <v>4</v>
      </c>
      <c r="B7" s="2" t="s">
        <v>33</v>
      </c>
      <c r="D7" s="1" t="s">
        <v>34</v>
      </c>
    </row>
    <row r="8" spans="1:4" x14ac:dyDescent="0.25">
      <c r="D8" s="1" t="s">
        <v>35</v>
      </c>
    </row>
    <row r="9" spans="1:4" x14ac:dyDescent="0.25">
      <c r="A9" t="s">
        <v>5</v>
      </c>
      <c r="B9" s="5">
        <f>'Tracking Accounts'!G18</f>
        <v>-717808.02999999991</v>
      </c>
      <c r="C9" s="5">
        <f>+B9+B10</f>
        <v>-811143.09</v>
      </c>
      <c r="D9" s="22">
        <f>+C9/C13</f>
        <v>0.96286628224967741</v>
      </c>
    </row>
    <row r="10" spans="1:4" x14ac:dyDescent="0.25">
      <c r="A10" t="s">
        <v>1</v>
      </c>
      <c r="B10" s="4">
        <f>'Tracking Accounts'!O18</f>
        <v>-93335.060000000027</v>
      </c>
      <c r="D10" s="22"/>
    </row>
    <row r="11" spans="1:4" x14ac:dyDescent="0.25">
      <c r="A11" t="s">
        <v>74</v>
      </c>
      <c r="B11" s="4">
        <f>+'Tracking Accounts'!G36</f>
        <v>-44753.32</v>
      </c>
      <c r="C11" s="4">
        <f>SUM(B11:B12)</f>
        <v>-31282.39</v>
      </c>
      <c r="D11" s="22">
        <f>+C11/C13</f>
        <v>3.7133717750322558E-2</v>
      </c>
    </row>
    <row r="12" spans="1:4" x14ac:dyDescent="0.25">
      <c r="A12" t="s">
        <v>2</v>
      </c>
      <c r="B12" s="4">
        <f>+'Tracking Accounts'!O36</f>
        <v>13470.93</v>
      </c>
      <c r="C12" s="4"/>
      <c r="D12" s="22"/>
    </row>
    <row r="13" spans="1:4" x14ac:dyDescent="0.25">
      <c r="B13" s="6">
        <f>SUM(B9:B12)</f>
        <v>-842425.47999999986</v>
      </c>
      <c r="C13" s="118">
        <f>SUM(C9:C12)</f>
        <v>-842425.48</v>
      </c>
      <c r="D13" s="119">
        <f>SUM(D9:D12)</f>
        <v>1</v>
      </c>
    </row>
    <row r="14" spans="1:4" x14ac:dyDescent="0.25">
      <c r="A14" t="s">
        <v>0</v>
      </c>
      <c r="B14" s="3">
        <f>+'Conv F and COC UE-190529'!J18</f>
        <v>0.95111500000000004</v>
      </c>
    </row>
    <row r="15" spans="1:4" ht="15.75" thickBot="1" x14ac:dyDescent="0.3">
      <c r="A15" t="s">
        <v>3</v>
      </c>
      <c r="B15" s="7">
        <f>B13/B14</f>
        <v>-885724.10276359832</v>
      </c>
    </row>
    <row r="16" spans="1:4" ht="15.75" thickTop="1" x14ac:dyDescent="0.25">
      <c r="B16" s="4"/>
    </row>
  </sheetData>
  <pageMargins left="0.7" right="0.7" top="0.75" bottom="0.75" header="0.3" footer="0.3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8"/>
  <sheetViews>
    <sheetView zoomScale="85" zoomScaleNormal="85" workbookViewId="0">
      <pane ySplit="1" topLeftCell="A2" activePane="bottomLeft" state="frozen"/>
      <selection activeCell="B12" sqref="B12:H14"/>
      <selection pane="bottomLeft" activeCell="G35" sqref="G35"/>
    </sheetView>
  </sheetViews>
  <sheetFormatPr defaultRowHeight="15" x14ac:dyDescent="0.25"/>
  <cols>
    <col min="3" max="3" width="20.85546875" customWidth="1"/>
    <col min="4" max="5" width="11.7109375" bestFit="1" customWidth="1"/>
    <col min="6" max="6" width="20.140625" customWidth="1"/>
    <col min="7" max="7" width="17.28515625" bestFit="1" customWidth="1"/>
    <col min="11" max="11" width="20" customWidth="1"/>
    <col min="12" max="12" width="10.28515625" bestFit="1" customWidth="1"/>
    <col min="13" max="13" width="11.7109375" bestFit="1" customWidth="1"/>
    <col min="14" max="14" width="12.28515625" bestFit="1" customWidth="1"/>
    <col min="15" max="15" width="17.28515625" bestFit="1" customWidth="1"/>
  </cols>
  <sheetData>
    <row r="1" spans="2:16" x14ac:dyDescent="0.25">
      <c r="B1" s="23" t="s">
        <v>57</v>
      </c>
    </row>
    <row r="4" spans="2:16" x14ac:dyDescent="0.25">
      <c r="B4" s="14"/>
      <c r="C4" s="12"/>
      <c r="D4" s="12"/>
      <c r="E4" s="12"/>
      <c r="F4" s="12"/>
      <c r="G4" s="12"/>
      <c r="H4" s="11"/>
      <c r="J4" s="14"/>
      <c r="K4" s="12"/>
      <c r="L4" s="12"/>
      <c r="M4" s="12"/>
      <c r="N4" s="12"/>
      <c r="O4" s="12"/>
      <c r="P4" s="11"/>
    </row>
    <row r="5" spans="2:16" x14ac:dyDescent="0.25">
      <c r="B5" s="9"/>
      <c r="C5" s="15" t="s">
        <v>30</v>
      </c>
      <c r="D5" s="15"/>
      <c r="E5" s="15"/>
      <c r="F5" s="15"/>
      <c r="G5" s="15"/>
      <c r="H5" s="13"/>
      <c r="J5" s="9"/>
      <c r="K5" s="15" t="s">
        <v>29</v>
      </c>
      <c r="L5" s="15"/>
      <c r="M5" s="15"/>
      <c r="N5" s="15"/>
      <c r="O5" s="15"/>
      <c r="P5" s="13"/>
    </row>
    <row r="6" spans="2:16" x14ac:dyDescent="0.25">
      <c r="B6" s="9"/>
      <c r="C6" s="15"/>
      <c r="D6" s="15"/>
      <c r="E6" s="15"/>
      <c r="F6" s="15"/>
      <c r="G6" s="15"/>
      <c r="H6" s="13"/>
      <c r="J6" s="9"/>
      <c r="K6" s="15"/>
      <c r="L6" s="15"/>
      <c r="M6" s="15"/>
      <c r="N6" s="15"/>
      <c r="O6" s="15"/>
      <c r="P6" s="13"/>
    </row>
    <row r="7" spans="2:16" x14ac:dyDescent="0.25">
      <c r="B7" s="9"/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13"/>
      <c r="J7" s="9"/>
      <c r="K7" s="8" t="s">
        <v>6</v>
      </c>
      <c r="L7" s="8" t="s">
        <v>7</v>
      </c>
      <c r="M7" s="8" t="s">
        <v>8</v>
      </c>
      <c r="N7" s="8" t="s">
        <v>9</v>
      </c>
      <c r="O7" s="8" t="s">
        <v>10</v>
      </c>
      <c r="P7" s="13"/>
    </row>
    <row r="8" spans="2:16" x14ac:dyDescent="0.25">
      <c r="B8" s="9"/>
      <c r="C8" s="19" t="s">
        <v>11</v>
      </c>
      <c r="D8" s="20">
        <v>0</v>
      </c>
      <c r="E8" s="20">
        <v>0</v>
      </c>
      <c r="F8" s="20">
        <v>0</v>
      </c>
      <c r="G8" s="24">
        <v>-1394501.59</v>
      </c>
      <c r="H8" s="13"/>
      <c r="J8" s="9"/>
      <c r="K8" s="19" t="s">
        <v>11</v>
      </c>
      <c r="L8" s="20">
        <v>0</v>
      </c>
      <c r="M8" s="20">
        <v>0</v>
      </c>
      <c r="N8" s="20">
        <v>0</v>
      </c>
      <c r="O8" s="24">
        <v>32567.43</v>
      </c>
      <c r="P8" s="13"/>
    </row>
    <row r="9" spans="2:16" x14ac:dyDescent="0.25">
      <c r="B9" s="9"/>
      <c r="C9" s="19" t="s">
        <v>12</v>
      </c>
      <c r="D9" s="20">
        <v>2037751.36</v>
      </c>
      <c r="E9" s="20">
        <v>230870</v>
      </c>
      <c r="F9" s="10">
        <v>1806881.36</v>
      </c>
      <c r="G9" s="10">
        <f>+G8+F9</f>
        <v>412379.77</v>
      </c>
      <c r="H9" s="13"/>
      <c r="J9" s="9"/>
      <c r="K9" s="19" t="s">
        <v>12</v>
      </c>
      <c r="L9" s="20">
        <v>240141.59</v>
      </c>
      <c r="M9" s="20">
        <v>1340054.3400000001</v>
      </c>
      <c r="N9" s="10">
        <v>-1099912.75</v>
      </c>
      <c r="O9" s="10">
        <v>-1067345.32</v>
      </c>
      <c r="P9" s="13"/>
    </row>
    <row r="10" spans="2:16" x14ac:dyDescent="0.25">
      <c r="B10" s="9"/>
      <c r="C10" s="19" t="s">
        <v>13</v>
      </c>
      <c r="D10" s="20">
        <v>1001.71</v>
      </c>
      <c r="E10" s="20">
        <v>812395</v>
      </c>
      <c r="F10" s="10">
        <v>-811393.29</v>
      </c>
      <c r="G10" s="10">
        <f>+G9+F10</f>
        <v>-399013.52</v>
      </c>
      <c r="H10" s="13"/>
      <c r="J10" s="9"/>
      <c r="K10" s="19" t="s">
        <v>13</v>
      </c>
      <c r="L10" s="20">
        <v>242029.74</v>
      </c>
      <c r="M10" s="20">
        <v>108605.82</v>
      </c>
      <c r="N10" s="10">
        <v>133423.92000000001</v>
      </c>
      <c r="O10" s="10">
        <v>-933921.4</v>
      </c>
      <c r="P10" s="13"/>
    </row>
    <row r="11" spans="2:16" x14ac:dyDescent="0.25">
      <c r="B11" s="9"/>
      <c r="C11" s="19" t="s">
        <v>14</v>
      </c>
      <c r="D11" s="20">
        <v>294133.52</v>
      </c>
      <c r="E11" s="20">
        <v>0</v>
      </c>
      <c r="F11" s="10">
        <v>294133.52</v>
      </c>
      <c r="G11" s="10">
        <f t="shared" ref="G11:G17" si="0">+G10+F11</f>
        <v>-104880</v>
      </c>
      <c r="H11" s="13"/>
      <c r="J11" s="9"/>
      <c r="K11" s="19" t="s">
        <v>14</v>
      </c>
      <c r="L11" s="20">
        <v>231098.53</v>
      </c>
      <c r="M11" s="20">
        <v>101678.76</v>
      </c>
      <c r="N11" s="10">
        <v>129419.77</v>
      </c>
      <c r="O11" s="10">
        <v>-804501.63</v>
      </c>
      <c r="P11" s="13"/>
    </row>
    <row r="12" spans="2:16" x14ac:dyDescent="0.25">
      <c r="B12" s="9"/>
      <c r="C12" s="19" t="s">
        <v>15</v>
      </c>
      <c r="D12" s="20">
        <v>164345.95000000001</v>
      </c>
      <c r="E12" s="20">
        <v>356805</v>
      </c>
      <c r="F12" s="10">
        <v>-192459.05</v>
      </c>
      <c r="G12" s="10">
        <f t="shared" si="0"/>
        <v>-297339.05</v>
      </c>
      <c r="H12" s="13"/>
      <c r="J12" s="9"/>
      <c r="K12" s="19" t="s">
        <v>15</v>
      </c>
      <c r="L12" s="20">
        <v>197946.11</v>
      </c>
      <c r="M12" s="20">
        <v>96717.93</v>
      </c>
      <c r="N12" s="10">
        <v>101228.18</v>
      </c>
      <c r="O12" s="10">
        <v>-703273.45</v>
      </c>
      <c r="P12" s="13"/>
    </row>
    <row r="13" spans="2:16" x14ac:dyDescent="0.25">
      <c r="B13" s="9"/>
      <c r="C13" s="19" t="s">
        <v>16</v>
      </c>
      <c r="D13" s="20">
        <v>7936.34</v>
      </c>
      <c r="E13" s="20">
        <v>0</v>
      </c>
      <c r="F13" s="10">
        <v>7936.34</v>
      </c>
      <c r="G13" s="10">
        <f t="shared" si="0"/>
        <v>-289402.70999999996</v>
      </c>
      <c r="H13" s="13"/>
      <c r="J13" s="9"/>
      <c r="K13" s="19" t="s">
        <v>16</v>
      </c>
      <c r="L13" s="20">
        <v>171454.7</v>
      </c>
      <c r="M13" s="20">
        <v>75806.83</v>
      </c>
      <c r="N13" s="10">
        <v>95647.87</v>
      </c>
      <c r="O13" s="10">
        <v>-607625.57999999996</v>
      </c>
      <c r="P13" s="13"/>
    </row>
    <row r="14" spans="2:16" x14ac:dyDescent="0.25">
      <c r="B14" s="9"/>
      <c r="C14" s="19" t="s">
        <v>17</v>
      </c>
      <c r="D14" s="20">
        <v>436475.65</v>
      </c>
      <c r="E14" s="20">
        <v>536836.4</v>
      </c>
      <c r="F14" s="10">
        <v>-100360.75</v>
      </c>
      <c r="G14" s="10">
        <f t="shared" si="0"/>
        <v>-389763.45999999996</v>
      </c>
      <c r="H14" s="13"/>
      <c r="J14" s="9"/>
      <c r="K14" s="19" t="s">
        <v>17</v>
      </c>
      <c r="L14" s="20">
        <v>163411.91</v>
      </c>
      <c r="M14" s="20">
        <v>69363.570000000007</v>
      </c>
      <c r="N14" s="10">
        <v>94048.34</v>
      </c>
      <c r="O14" s="10">
        <v>-513577.24</v>
      </c>
      <c r="P14" s="13"/>
    </row>
    <row r="15" spans="2:16" x14ac:dyDescent="0.25">
      <c r="B15" s="9"/>
      <c r="C15" s="19" t="s">
        <v>18</v>
      </c>
      <c r="D15" s="20">
        <v>3062.6</v>
      </c>
      <c r="E15" s="20">
        <v>13750</v>
      </c>
      <c r="F15" s="10">
        <v>-10687.4</v>
      </c>
      <c r="G15" s="10">
        <f t="shared" si="0"/>
        <v>-400450.86</v>
      </c>
      <c r="H15" s="13"/>
      <c r="J15" s="9"/>
      <c r="K15" s="19" t="s">
        <v>18</v>
      </c>
      <c r="L15" s="20">
        <v>165509.18</v>
      </c>
      <c r="M15" s="20">
        <v>60095.3</v>
      </c>
      <c r="N15" s="10">
        <v>105413.88</v>
      </c>
      <c r="O15" s="10">
        <v>-408163.36</v>
      </c>
      <c r="P15" s="13"/>
    </row>
    <row r="16" spans="2:16" x14ac:dyDescent="0.25">
      <c r="B16" s="9"/>
      <c r="C16" s="19" t="s">
        <v>19</v>
      </c>
      <c r="D16" s="20">
        <v>275426.90000000002</v>
      </c>
      <c r="E16" s="20">
        <v>353160</v>
      </c>
      <c r="F16" s="10">
        <v>-77733.100000000006</v>
      </c>
      <c r="G16" s="10">
        <f t="shared" si="0"/>
        <v>-478183.95999999996</v>
      </c>
      <c r="H16" s="13"/>
      <c r="J16" s="9"/>
      <c r="K16" s="19" t="s">
        <v>19</v>
      </c>
      <c r="L16" s="20">
        <v>172299.42</v>
      </c>
      <c r="M16" s="20">
        <v>67001.27</v>
      </c>
      <c r="N16" s="10">
        <v>105298.15</v>
      </c>
      <c r="O16" s="10">
        <v>-302865.21000000002</v>
      </c>
      <c r="P16" s="13"/>
    </row>
    <row r="17" spans="2:16" x14ac:dyDescent="0.25">
      <c r="B17" s="9"/>
      <c r="C17" s="19" t="s">
        <v>20</v>
      </c>
      <c r="D17" s="20">
        <v>2940.03</v>
      </c>
      <c r="E17" s="20">
        <v>0</v>
      </c>
      <c r="F17" s="10">
        <v>2940.03</v>
      </c>
      <c r="G17" s="10">
        <f t="shared" si="0"/>
        <v>-475243.92999999993</v>
      </c>
      <c r="H17" s="13"/>
      <c r="J17" s="9"/>
      <c r="K17" s="19" t="s">
        <v>20</v>
      </c>
      <c r="L17" s="20">
        <v>167176.47</v>
      </c>
      <c r="M17" s="20">
        <v>69495.83</v>
      </c>
      <c r="N17" s="10">
        <v>97680.639999999999</v>
      </c>
      <c r="O17" s="10">
        <f>+O16+N17</f>
        <v>-205184.57</v>
      </c>
      <c r="P17" s="13"/>
    </row>
    <row r="18" spans="2:16" x14ac:dyDescent="0.25">
      <c r="B18" s="9"/>
      <c r="C18" s="19" t="s">
        <v>21</v>
      </c>
      <c r="D18" s="20">
        <v>366022.9</v>
      </c>
      <c r="E18" s="20">
        <v>608587</v>
      </c>
      <c r="F18" s="10">
        <f>+D18-E18</f>
        <v>-242564.09999999998</v>
      </c>
      <c r="G18" s="10">
        <f>+G17+F18</f>
        <v>-717808.02999999991</v>
      </c>
      <c r="H18" s="13"/>
      <c r="J18" s="9"/>
      <c r="K18" s="19" t="s">
        <v>21</v>
      </c>
      <c r="L18" s="20">
        <v>174986.23999999999</v>
      </c>
      <c r="M18" s="20">
        <v>63136.73</v>
      </c>
      <c r="N18" s="10">
        <f>+L18-M18</f>
        <v>111849.50999999998</v>
      </c>
      <c r="O18" s="10">
        <f>+O17+N18</f>
        <v>-93335.060000000027</v>
      </c>
      <c r="P18" s="13"/>
    </row>
    <row r="19" spans="2:16" x14ac:dyDescent="0.25">
      <c r="B19" s="9"/>
      <c r="C19" s="19"/>
      <c r="D19" s="20"/>
      <c r="E19" s="20"/>
      <c r="F19" s="10"/>
      <c r="G19" s="10"/>
      <c r="H19" s="13"/>
      <c r="J19" s="9"/>
      <c r="K19" s="19"/>
      <c r="L19" s="20"/>
      <c r="M19" s="20"/>
      <c r="N19" s="10"/>
      <c r="O19" s="10"/>
      <c r="P19" s="13"/>
    </row>
    <row r="20" spans="2:16" x14ac:dyDescent="0.25">
      <c r="B20" s="16"/>
      <c r="C20" s="17"/>
      <c r="D20" s="17"/>
      <c r="E20" s="17"/>
      <c r="F20" s="17"/>
      <c r="G20" s="17"/>
      <c r="H20" s="18"/>
      <c r="J20" s="16"/>
      <c r="K20" s="17"/>
      <c r="L20" s="17"/>
      <c r="M20" s="17"/>
      <c r="N20" s="17"/>
      <c r="O20" s="17"/>
      <c r="P20" s="18"/>
    </row>
    <row r="22" spans="2:16" x14ac:dyDescent="0.25">
      <c r="B22" s="14"/>
      <c r="C22" s="12"/>
      <c r="D22" s="12"/>
      <c r="E22" s="12"/>
      <c r="F22" s="12"/>
      <c r="G22" s="12"/>
      <c r="H22" s="11"/>
      <c r="J22" s="14"/>
      <c r="K22" s="12"/>
      <c r="L22" s="12"/>
      <c r="M22" s="12"/>
      <c r="N22" s="12"/>
      <c r="O22" s="12"/>
      <c r="P22" s="11"/>
    </row>
    <row r="23" spans="2:16" x14ac:dyDescent="0.25">
      <c r="B23" s="9"/>
      <c r="C23" s="15" t="s">
        <v>37</v>
      </c>
      <c r="D23" s="15"/>
      <c r="E23" s="15"/>
      <c r="F23" s="15"/>
      <c r="G23" s="15"/>
      <c r="H23" s="13"/>
      <c r="J23" s="9"/>
      <c r="K23" s="15" t="s">
        <v>36</v>
      </c>
      <c r="L23" s="15"/>
      <c r="M23" s="15"/>
      <c r="N23" s="15"/>
      <c r="O23" s="15"/>
      <c r="P23" s="13"/>
    </row>
    <row r="24" spans="2:16" x14ac:dyDescent="0.25">
      <c r="B24" s="9"/>
      <c r="C24" s="15"/>
      <c r="D24" s="15"/>
      <c r="E24" s="15"/>
      <c r="F24" s="15"/>
      <c r="G24" s="15"/>
      <c r="H24" s="13"/>
      <c r="J24" s="9"/>
      <c r="K24" s="15"/>
      <c r="L24" s="15"/>
      <c r="M24" s="15"/>
      <c r="N24" s="15"/>
      <c r="O24" s="15"/>
      <c r="P24" s="13"/>
    </row>
    <row r="25" spans="2:16" x14ac:dyDescent="0.25">
      <c r="B25" s="9"/>
      <c r="C25" s="8" t="s">
        <v>6</v>
      </c>
      <c r="D25" s="8" t="s">
        <v>7</v>
      </c>
      <c r="E25" s="8" t="s">
        <v>8</v>
      </c>
      <c r="F25" s="8" t="s">
        <v>9</v>
      </c>
      <c r="G25" s="8" t="s">
        <v>10</v>
      </c>
      <c r="H25" s="13"/>
      <c r="J25" s="9"/>
      <c r="K25" s="8" t="s">
        <v>6</v>
      </c>
      <c r="L25" s="8" t="s">
        <v>7</v>
      </c>
      <c r="M25" s="8" t="s">
        <v>8</v>
      </c>
      <c r="N25" s="8" t="s">
        <v>9</v>
      </c>
      <c r="O25" s="8" t="s">
        <v>10</v>
      </c>
      <c r="P25" s="13"/>
    </row>
    <row r="26" spans="2:16" x14ac:dyDescent="0.25">
      <c r="B26" s="9"/>
      <c r="C26" s="19" t="s">
        <v>11</v>
      </c>
      <c r="D26" s="20">
        <v>0</v>
      </c>
      <c r="E26" s="20">
        <v>0</v>
      </c>
      <c r="F26" s="20">
        <v>0</v>
      </c>
      <c r="G26" s="24">
        <v>-81660.59</v>
      </c>
      <c r="H26" s="13"/>
      <c r="J26" s="9"/>
      <c r="K26" s="19" t="s">
        <v>11</v>
      </c>
      <c r="L26" s="20">
        <v>0</v>
      </c>
      <c r="M26" s="20">
        <v>0</v>
      </c>
      <c r="N26" s="20">
        <v>0</v>
      </c>
      <c r="O26" s="24">
        <v>26147.08</v>
      </c>
      <c r="P26" s="13"/>
    </row>
    <row r="27" spans="2:16" x14ac:dyDescent="0.25">
      <c r="B27" s="9"/>
      <c r="C27" s="19" t="s">
        <v>12</v>
      </c>
      <c r="D27" s="20">
        <v>62587.11</v>
      </c>
      <c r="E27" s="20">
        <v>5012.8599999999997</v>
      </c>
      <c r="F27" s="10">
        <v>57574.25</v>
      </c>
      <c r="G27" s="10">
        <v>-24086.34</v>
      </c>
      <c r="H27" s="13"/>
      <c r="J27" s="9"/>
      <c r="K27" s="19" t="s">
        <v>12</v>
      </c>
      <c r="L27" s="20">
        <v>18193.599999999999</v>
      </c>
      <c r="M27" s="20">
        <v>75286.929999999993</v>
      </c>
      <c r="N27" s="10">
        <v>-57093.33</v>
      </c>
      <c r="O27" s="10">
        <v>-30946.25</v>
      </c>
      <c r="P27" s="13"/>
    </row>
    <row r="28" spans="2:16" x14ac:dyDescent="0.25">
      <c r="B28" s="9"/>
      <c r="C28" s="19" t="s">
        <v>13</v>
      </c>
      <c r="D28" s="20">
        <v>2398.15</v>
      </c>
      <c r="E28" s="20">
        <v>0</v>
      </c>
      <c r="F28" s="10">
        <v>2398.15</v>
      </c>
      <c r="G28" s="10">
        <v>-21688.19</v>
      </c>
      <c r="H28" s="13"/>
      <c r="J28" s="9"/>
      <c r="K28" s="19" t="s">
        <v>13</v>
      </c>
      <c r="L28" s="20">
        <v>18336.66</v>
      </c>
      <c r="M28" s="20">
        <v>14040.2</v>
      </c>
      <c r="N28" s="10">
        <v>4296.46</v>
      </c>
      <c r="O28" s="10">
        <v>-26649.79</v>
      </c>
      <c r="P28" s="13"/>
    </row>
    <row r="29" spans="2:16" x14ac:dyDescent="0.25">
      <c r="B29" s="9"/>
      <c r="C29" s="19" t="s">
        <v>14</v>
      </c>
      <c r="D29" s="20">
        <v>71.12</v>
      </c>
      <c r="E29" s="20">
        <v>0</v>
      </c>
      <c r="F29" s="10">
        <v>71.12</v>
      </c>
      <c r="G29" s="10">
        <v>-21617.07</v>
      </c>
      <c r="H29" s="13"/>
      <c r="J29" s="9"/>
      <c r="K29" s="19" t="s">
        <v>14</v>
      </c>
      <c r="L29" s="20">
        <v>17508.48</v>
      </c>
      <c r="M29" s="20">
        <v>12752.06</v>
      </c>
      <c r="N29" s="10">
        <v>4756.42</v>
      </c>
      <c r="O29" s="10">
        <v>-21893.37</v>
      </c>
      <c r="P29" s="13"/>
    </row>
    <row r="30" spans="2:16" x14ac:dyDescent="0.25">
      <c r="B30" s="9"/>
      <c r="C30" s="19" t="s">
        <v>15</v>
      </c>
      <c r="D30" s="20">
        <v>0</v>
      </c>
      <c r="E30" s="20">
        <v>5061.95</v>
      </c>
      <c r="F30" s="10">
        <v>-5061.95</v>
      </c>
      <c r="G30" s="10">
        <v>-26679.02</v>
      </c>
      <c r="H30" s="13"/>
      <c r="J30" s="9"/>
      <c r="K30" s="19" t="s">
        <v>15</v>
      </c>
      <c r="L30" s="20">
        <v>14996.8</v>
      </c>
      <c r="M30" s="20">
        <v>11706.37</v>
      </c>
      <c r="N30" s="10">
        <v>3290.43</v>
      </c>
      <c r="O30" s="10">
        <v>-18602.939999999999</v>
      </c>
      <c r="P30" s="13"/>
    </row>
    <row r="31" spans="2:16" x14ac:dyDescent="0.25">
      <c r="B31" s="9"/>
      <c r="C31" s="19" t="s">
        <v>16</v>
      </c>
      <c r="D31" s="20">
        <v>0</v>
      </c>
      <c r="E31" s="20">
        <v>1704</v>
      </c>
      <c r="F31" s="10">
        <v>-1704</v>
      </c>
      <c r="G31" s="10">
        <v>-28383.02</v>
      </c>
      <c r="H31" s="13"/>
      <c r="J31" s="9"/>
      <c r="K31" s="19" t="s">
        <v>16</v>
      </c>
      <c r="L31" s="20">
        <v>12989.75</v>
      </c>
      <c r="M31" s="20">
        <v>9550.35</v>
      </c>
      <c r="N31" s="10">
        <v>3439.4</v>
      </c>
      <c r="O31" s="10">
        <v>-15163.54</v>
      </c>
      <c r="P31" s="13"/>
    </row>
    <row r="32" spans="2:16" x14ac:dyDescent="0.25">
      <c r="B32" s="9"/>
      <c r="C32" s="19" t="s">
        <v>17</v>
      </c>
      <c r="D32" s="20">
        <v>0</v>
      </c>
      <c r="E32" s="20">
        <v>1972.41</v>
      </c>
      <c r="F32" s="10">
        <v>-1972.41</v>
      </c>
      <c r="G32" s="10">
        <v>-30355.43</v>
      </c>
      <c r="H32" s="13"/>
      <c r="J32" s="9"/>
      <c r="K32" s="19" t="s">
        <v>17</v>
      </c>
      <c r="L32" s="20">
        <v>12380.41</v>
      </c>
      <c r="M32" s="20">
        <v>8511.2800000000007</v>
      </c>
      <c r="N32" s="10">
        <v>3869.13</v>
      </c>
      <c r="O32" s="10">
        <v>-11294.41</v>
      </c>
      <c r="P32" s="13"/>
    </row>
    <row r="33" spans="2:16" x14ac:dyDescent="0.25">
      <c r="B33" s="9"/>
      <c r="C33" s="19" t="s">
        <v>18</v>
      </c>
      <c r="D33" s="20">
        <v>0</v>
      </c>
      <c r="E33" s="20">
        <v>2294.91</v>
      </c>
      <c r="F33" s="10">
        <v>-2294.91</v>
      </c>
      <c r="G33" s="10">
        <v>-32650.34</v>
      </c>
      <c r="H33" s="13"/>
      <c r="J33" s="9"/>
      <c r="K33" s="19" t="s">
        <v>18</v>
      </c>
      <c r="L33" s="20">
        <v>12539.31</v>
      </c>
      <c r="M33" s="20">
        <v>7229.83</v>
      </c>
      <c r="N33" s="10">
        <v>5309.48</v>
      </c>
      <c r="O33" s="10">
        <v>-5984.93</v>
      </c>
      <c r="P33" s="13"/>
    </row>
    <row r="34" spans="2:16" x14ac:dyDescent="0.25">
      <c r="B34" s="9"/>
      <c r="C34" s="19" t="s">
        <v>19</v>
      </c>
      <c r="D34" s="20">
        <v>0</v>
      </c>
      <c r="E34" s="20">
        <v>2551.6999999999998</v>
      </c>
      <c r="F34" s="10">
        <v>-2551.6999999999998</v>
      </c>
      <c r="G34" s="10">
        <v>-35202.04</v>
      </c>
      <c r="H34" s="13"/>
      <c r="J34" s="9"/>
      <c r="K34" s="19" t="s">
        <v>19</v>
      </c>
      <c r="L34" s="20">
        <v>13053.75</v>
      </c>
      <c r="M34" s="20">
        <v>7141.1</v>
      </c>
      <c r="N34" s="10">
        <v>5912.65</v>
      </c>
      <c r="O34" s="10">
        <v>-72.28</v>
      </c>
      <c r="P34" s="13"/>
    </row>
    <row r="35" spans="2:16" x14ac:dyDescent="0.25">
      <c r="B35" s="9"/>
      <c r="C35" s="19" t="s">
        <v>20</v>
      </c>
      <c r="D35" s="20">
        <v>0</v>
      </c>
      <c r="E35" s="20">
        <v>2768.91</v>
      </c>
      <c r="F35" s="10">
        <v>-2768.91</v>
      </c>
      <c r="G35" s="10">
        <v>-37970.949999999997</v>
      </c>
      <c r="H35" s="13"/>
      <c r="J35" s="9"/>
      <c r="K35" s="19" t="s">
        <v>20</v>
      </c>
      <c r="L35" s="20">
        <v>12665.63</v>
      </c>
      <c r="M35" s="20">
        <v>6740.6</v>
      </c>
      <c r="N35" s="10">
        <v>5925.03</v>
      </c>
      <c r="O35" s="10">
        <v>5852.75</v>
      </c>
      <c r="P35" s="13"/>
    </row>
    <row r="36" spans="2:16" x14ac:dyDescent="0.25">
      <c r="B36" s="9"/>
      <c r="C36" s="19" t="s">
        <v>21</v>
      </c>
      <c r="D36" s="20">
        <v>0</v>
      </c>
      <c r="E36" s="20">
        <v>6782.37</v>
      </c>
      <c r="F36" s="10">
        <f>+D36-E36</f>
        <v>-6782.37</v>
      </c>
      <c r="G36" s="10">
        <f>+G35+F36</f>
        <v>-44753.32</v>
      </c>
      <c r="H36" s="13"/>
      <c r="J36" s="9"/>
      <c r="K36" s="19" t="s">
        <v>21</v>
      </c>
      <c r="L36" s="20">
        <v>13257.31</v>
      </c>
      <c r="M36" s="20">
        <v>5639.13</v>
      </c>
      <c r="N36" s="10">
        <f>+L36-M36</f>
        <v>7618.1799999999994</v>
      </c>
      <c r="O36" s="10">
        <f>+O35+N36</f>
        <v>13470.93</v>
      </c>
      <c r="P36" s="13"/>
    </row>
    <row r="37" spans="2:16" x14ac:dyDescent="0.25">
      <c r="B37" s="9"/>
      <c r="C37" s="19"/>
      <c r="D37" s="20"/>
      <c r="E37" s="20"/>
      <c r="F37" s="10"/>
      <c r="G37" s="10"/>
      <c r="H37" s="13"/>
      <c r="J37" s="9"/>
      <c r="K37" s="19"/>
      <c r="L37" s="20"/>
      <c r="M37" s="20"/>
      <c r="N37" s="10"/>
      <c r="O37" s="10"/>
      <c r="P37" s="13"/>
    </row>
    <row r="38" spans="2:16" x14ac:dyDescent="0.25">
      <c r="B38" s="16"/>
      <c r="C38" s="17"/>
      <c r="D38" s="17"/>
      <c r="E38" s="17"/>
      <c r="F38" s="17"/>
      <c r="G38" s="17"/>
      <c r="H38" s="18"/>
      <c r="J38" s="16"/>
      <c r="K38" s="17"/>
      <c r="L38" s="17"/>
      <c r="M38" s="17"/>
      <c r="N38" s="17"/>
      <c r="O38" s="17"/>
      <c r="P38" s="1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zoomScaleNormal="100" workbookViewId="0">
      <selection activeCell="J33" sqref="J33"/>
    </sheetView>
  </sheetViews>
  <sheetFormatPr defaultRowHeight="15" x14ac:dyDescent="0.25"/>
  <cols>
    <col min="1" max="1" width="9.7109375" customWidth="1"/>
    <col min="2" max="2" width="14" bestFit="1" customWidth="1"/>
    <col min="3" max="3" width="12.28515625" bestFit="1" customWidth="1"/>
    <col min="4" max="4" width="14" bestFit="1" customWidth="1"/>
    <col min="5" max="5" width="14.7109375" customWidth="1"/>
    <col min="6" max="6" width="8.140625" bestFit="1" customWidth="1"/>
    <col min="7" max="7" width="11.7109375" customWidth="1"/>
    <col min="8" max="8" width="12.28515625" customWidth="1"/>
    <col min="9" max="9" width="14" bestFit="1" customWidth="1"/>
    <col min="10" max="10" width="10.85546875" customWidth="1"/>
    <col min="12" max="12" width="14" bestFit="1" customWidth="1"/>
    <col min="13" max="13" width="9" bestFit="1" customWidth="1"/>
    <col min="14" max="14" width="12.28515625" bestFit="1" customWidth="1"/>
    <col min="15" max="15" width="8" bestFit="1" customWidth="1"/>
    <col min="16" max="16" width="8.7109375" customWidth="1"/>
    <col min="17" max="17" width="11.28515625" bestFit="1" customWidth="1"/>
    <col min="18" max="18" width="13.42578125" bestFit="1" customWidth="1"/>
    <col min="19" max="20" width="14" bestFit="1" customWidth="1"/>
  </cols>
  <sheetData>
    <row r="1" spans="1:20" ht="15.75" thickBot="1" x14ac:dyDescent="0.3">
      <c r="A1" s="25" t="s">
        <v>38</v>
      </c>
    </row>
    <row r="2" spans="1:20" ht="15.75" thickBot="1" x14ac:dyDescent="0.3">
      <c r="B2" s="39" t="s">
        <v>52</v>
      </c>
      <c r="C2" s="40"/>
      <c r="D2" s="40"/>
      <c r="E2" s="40"/>
      <c r="F2" s="40"/>
      <c r="G2" s="41"/>
      <c r="L2" s="39" t="s">
        <v>52</v>
      </c>
      <c r="M2" s="40"/>
      <c r="N2" s="40"/>
      <c r="O2" s="40"/>
      <c r="P2" s="40"/>
      <c r="Q2" s="41"/>
    </row>
    <row r="3" spans="1:20" s="26" customFormat="1" ht="105.75" thickBot="1" x14ac:dyDescent="0.3">
      <c r="A3" s="26" t="s">
        <v>39</v>
      </c>
      <c r="B3" s="36" t="s">
        <v>53</v>
      </c>
      <c r="C3" s="37" t="s">
        <v>40</v>
      </c>
      <c r="D3" s="37" t="s">
        <v>41</v>
      </c>
      <c r="E3" s="37" t="s">
        <v>56</v>
      </c>
      <c r="F3" s="37" t="s">
        <v>42</v>
      </c>
      <c r="G3" s="38" t="s">
        <v>43</v>
      </c>
      <c r="H3" s="27" t="s">
        <v>73</v>
      </c>
      <c r="I3" s="29" t="s">
        <v>55</v>
      </c>
      <c r="J3" s="30"/>
      <c r="L3" s="27" t="s">
        <v>54</v>
      </c>
      <c r="M3" s="28" t="s">
        <v>40</v>
      </c>
      <c r="N3" s="28" t="s">
        <v>45</v>
      </c>
      <c r="O3" s="37" t="s">
        <v>56</v>
      </c>
      <c r="P3" s="28" t="s">
        <v>42</v>
      </c>
      <c r="Q3" s="29" t="s">
        <v>46</v>
      </c>
      <c r="R3" s="27" t="s">
        <v>47</v>
      </c>
      <c r="S3" s="29" t="s">
        <v>44</v>
      </c>
    </row>
    <row r="4" spans="1:20" s="26" customFormat="1" x14ac:dyDescent="0.25">
      <c r="A4" s="71">
        <v>43739</v>
      </c>
      <c r="B4" s="35">
        <v>-1247711.95</v>
      </c>
      <c r="C4" s="73">
        <f>-B4*0.21</f>
        <v>262019.50949999999</v>
      </c>
      <c r="D4" s="74">
        <f>+B4+C4</f>
        <v>-985692.44050000003</v>
      </c>
      <c r="E4" s="22"/>
      <c r="F4" s="30"/>
      <c r="G4" s="30"/>
      <c r="H4" s="30"/>
      <c r="I4" s="30"/>
      <c r="J4" s="30"/>
      <c r="K4" s="71">
        <f>+A4</f>
        <v>43739</v>
      </c>
      <c r="L4" s="35">
        <v>-196119.37</v>
      </c>
      <c r="M4" s="73">
        <f>-L4*0.21</f>
        <v>41185.0677</v>
      </c>
      <c r="N4" s="74">
        <f>+L4+M4</f>
        <v>-154934.30229999998</v>
      </c>
      <c r="O4" s="75"/>
      <c r="P4" s="80"/>
      <c r="Q4" s="80"/>
      <c r="R4" s="81"/>
      <c r="S4" s="81"/>
    </row>
    <row r="5" spans="1:20" s="26" customFormat="1" x14ac:dyDescent="0.25">
      <c r="A5" s="71">
        <v>43770</v>
      </c>
      <c r="B5" s="35">
        <v>-871383.21</v>
      </c>
      <c r="C5" s="73">
        <f>-B5*0.21</f>
        <v>182990.47409999999</v>
      </c>
      <c r="D5" s="74">
        <f>+B5+C5</f>
        <v>-688392.73589999997</v>
      </c>
      <c r="E5" s="75">
        <f>+'Conv F and COC UE-180282'!$E$39</f>
        <v>6.9699999999999998E-2</v>
      </c>
      <c r="F5" s="76">
        <v>0.79</v>
      </c>
      <c r="G5" s="77">
        <f>(D5+D4)/2*E5/12/F5</f>
        <v>-6154.2055271666659</v>
      </c>
      <c r="H5" s="73">
        <v>-6154.21</v>
      </c>
      <c r="I5" s="117">
        <f t="shared" ref="I5:I6" si="0">+G5-H5</f>
        <v>4.472833334148163E-3</v>
      </c>
      <c r="J5" s="42"/>
      <c r="K5" s="71">
        <f t="shared" ref="K5:K18" si="1">+A5</f>
        <v>43770</v>
      </c>
      <c r="L5" s="35">
        <v>-92251.91</v>
      </c>
      <c r="M5" s="73">
        <f t="shared" ref="M5:M6" si="2">-L5*0.21</f>
        <v>19372.901099999999</v>
      </c>
      <c r="N5" s="74">
        <f t="shared" ref="N5:N6" si="3">+L5+M5</f>
        <v>-72879.008900000001</v>
      </c>
      <c r="O5" s="75">
        <v>6.9699999999999998E-2</v>
      </c>
      <c r="P5" s="76">
        <f t="shared" ref="P5:P6" si="4">F5</f>
        <v>0.79</v>
      </c>
      <c r="Q5" s="77">
        <f t="shared" ref="Q5:Q7" si="5">(N5+N4)/2*O5/12/P5</f>
        <v>-837.47825899999987</v>
      </c>
      <c r="R5" s="77">
        <v>-837.48</v>
      </c>
      <c r="S5" s="117">
        <f t="shared" ref="S5:S6" si="6">+Q5-R5</f>
        <v>1.7410000001518711E-3</v>
      </c>
      <c r="T5" s="42"/>
    </row>
    <row r="6" spans="1:20" s="26" customFormat="1" x14ac:dyDescent="0.25">
      <c r="A6" s="71">
        <v>43800</v>
      </c>
      <c r="B6" s="35">
        <v>-1394501.59</v>
      </c>
      <c r="C6" s="73">
        <f>-B6*0.21</f>
        <v>292845.33390000003</v>
      </c>
      <c r="D6" s="74">
        <f>+B6+C6</f>
        <v>-1101656.2561000001</v>
      </c>
      <c r="E6" s="75">
        <f>+'Conv F and COC UE-180282'!$E$39</f>
        <v>6.9699999999999998E-2</v>
      </c>
      <c r="F6" s="76">
        <v>0.79</v>
      </c>
      <c r="G6" s="77">
        <f>(D6+D5)/2*E6/12/F6</f>
        <v>-6580.507106666666</v>
      </c>
      <c r="H6" s="73">
        <v>-4899.3599999999997</v>
      </c>
      <c r="I6" s="117">
        <f t="shared" si="0"/>
        <v>-1681.1471066666663</v>
      </c>
      <c r="J6" s="42"/>
      <c r="K6" s="71">
        <f t="shared" si="1"/>
        <v>43800</v>
      </c>
      <c r="L6" s="35">
        <v>32567.43</v>
      </c>
      <c r="M6" s="73">
        <f t="shared" si="2"/>
        <v>-6839.1602999999996</v>
      </c>
      <c r="N6" s="74">
        <f t="shared" si="3"/>
        <v>25728.269700000001</v>
      </c>
      <c r="O6" s="75">
        <v>6.9699999999999998E-2</v>
      </c>
      <c r="P6" s="76">
        <f t="shared" si="4"/>
        <v>0.79</v>
      </c>
      <c r="Q6" s="77">
        <f t="shared" si="5"/>
        <v>-173.3336773333333</v>
      </c>
      <c r="R6" s="77">
        <v>-173.33</v>
      </c>
      <c r="S6" s="117">
        <f t="shared" si="6"/>
        <v>-3.6773333332860147E-3</v>
      </c>
      <c r="T6" s="42"/>
    </row>
    <row r="7" spans="1:20" x14ac:dyDescent="0.25">
      <c r="A7" s="71">
        <v>43831</v>
      </c>
      <c r="B7" s="72">
        <v>412379.77</v>
      </c>
      <c r="C7" s="73">
        <f>-B7*0.21</f>
        <v>-86599.751699999993</v>
      </c>
      <c r="D7" s="74">
        <f>+B7+C7</f>
        <v>325780.0183</v>
      </c>
      <c r="E7" s="75">
        <f>+'Conv F and COC UE-180282'!$E$39</f>
        <v>6.9699999999999998E-2</v>
      </c>
      <c r="F7" s="76">
        <v>0.79</v>
      </c>
      <c r="G7" s="77">
        <f>(D7+D6)/2*E7/12/F7</f>
        <v>-2852.2454522500002</v>
      </c>
      <c r="H7" s="117">
        <v>-1171.0999999999999</v>
      </c>
      <c r="I7" s="117">
        <f>+G7-H7</f>
        <v>-1681.1454522500003</v>
      </c>
      <c r="J7" s="34"/>
      <c r="K7" s="71">
        <f t="shared" si="1"/>
        <v>43831</v>
      </c>
      <c r="L7" s="72">
        <v>-1067345.32</v>
      </c>
      <c r="M7" s="32">
        <f>-L7*0.21</f>
        <v>224142.5172</v>
      </c>
      <c r="N7" s="21">
        <f>+L7+M7</f>
        <v>-843202.80280000006</v>
      </c>
      <c r="O7" s="22">
        <v>6.9699999999999998E-2</v>
      </c>
      <c r="P7">
        <f>F7</f>
        <v>0.79</v>
      </c>
      <c r="Q7" s="33">
        <f t="shared" si="5"/>
        <v>-3005.1674555416671</v>
      </c>
      <c r="R7" s="35">
        <v>-3005.17</v>
      </c>
      <c r="S7" s="117">
        <f>+Q7-R7</f>
        <v>2.5444583329772286E-3</v>
      </c>
      <c r="T7" s="21"/>
    </row>
    <row r="8" spans="1:20" x14ac:dyDescent="0.25">
      <c r="A8" s="71">
        <v>43862</v>
      </c>
      <c r="B8" s="72">
        <v>-399013.52</v>
      </c>
      <c r="C8" s="73">
        <f t="shared" ref="C8:C15" si="7">-B8*0.21</f>
        <v>83792.839200000002</v>
      </c>
      <c r="D8" s="74">
        <f t="shared" ref="D8:D15" si="8">+B8+C8</f>
        <v>-315220.68080000003</v>
      </c>
      <c r="E8" s="75">
        <f>+'Conv F and COC UE-180282'!$E$39</f>
        <v>6.9699999999999998E-2</v>
      </c>
      <c r="F8" s="76">
        <v>0.79</v>
      </c>
      <c r="G8" s="77">
        <f t="shared" ref="G8:G15" si="9">(D8+D7)/2*E8/12/F8</f>
        <v>38.817817708333202</v>
      </c>
      <c r="H8" s="117">
        <v>38.82</v>
      </c>
      <c r="I8" s="117">
        <f t="shared" ref="I8:I15" si="10">+G8-H8</f>
        <v>-2.1822916667986192E-3</v>
      </c>
      <c r="J8" s="34"/>
      <c r="K8" s="71">
        <f t="shared" si="1"/>
        <v>43862</v>
      </c>
      <c r="L8" s="72">
        <v>-933921.4</v>
      </c>
      <c r="M8" s="32">
        <f t="shared" ref="M8:M15" si="11">-L8*0.21</f>
        <v>196123.49400000001</v>
      </c>
      <c r="N8" s="21">
        <f t="shared" ref="N8:N15" si="12">+L8+M8</f>
        <v>-737797.90599999996</v>
      </c>
      <c r="O8" s="22">
        <v>6.9699999999999998E-2</v>
      </c>
      <c r="P8">
        <f t="shared" ref="P8:P15" si="13">F8</f>
        <v>0.79</v>
      </c>
      <c r="Q8" s="33">
        <f>(N8+N7)/2*O8/12/P8</f>
        <v>-5812.0120993333339</v>
      </c>
      <c r="R8" s="35">
        <v>-5812.01</v>
      </c>
      <c r="S8" s="117">
        <f t="shared" ref="S8:S15" si="14">+Q8-R8</f>
        <v>-2.0993333337173681E-3</v>
      </c>
      <c r="T8" s="21"/>
    </row>
    <row r="9" spans="1:20" x14ac:dyDescent="0.25">
      <c r="A9" s="71">
        <v>43891</v>
      </c>
      <c r="B9" s="72">
        <v>-104880</v>
      </c>
      <c r="C9" s="73">
        <f t="shared" si="7"/>
        <v>22024.799999999999</v>
      </c>
      <c r="D9" s="74">
        <f t="shared" si="8"/>
        <v>-82855.199999999997</v>
      </c>
      <c r="E9" s="75">
        <f>+'Conv F and COC UE-180282'!$E$39</f>
        <v>6.9699999999999998E-2</v>
      </c>
      <c r="F9" s="76">
        <v>0.79</v>
      </c>
      <c r="G9" s="77">
        <f t="shared" si="9"/>
        <v>-1463.3907643333334</v>
      </c>
      <c r="H9" s="117">
        <v>-1463.39</v>
      </c>
      <c r="I9" s="117">
        <f t="shared" si="10"/>
        <v>-7.6433333333625342E-4</v>
      </c>
      <c r="J9" s="34"/>
      <c r="K9" s="71">
        <f t="shared" si="1"/>
        <v>43891</v>
      </c>
      <c r="L9" s="72">
        <v>-804501.63</v>
      </c>
      <c r="M9" s="32">
        <f t="shared" si="11"/>
        <v>168945.34229999999</v>
      </c>
      <c r="N9" s="21">
        <f t="shared" si="12"/>
        <v>-635556.28769999999</v>
      </c>
      <c r="O9" s="22">
        <v>6.9699999999999998E-2</v>
      </c>
      <c r="P9">
        <f t="shared" si="13"/>
        <v>0.79</v>
      </c>
      <c r="Q9" s="33">
        <f t="shared" ref="Q9:Q15" si="15">(N9+N8)/2*O9/12/P9</f>
        <v>-5048.6702162916663</v>
      </c>
      <c r="R9" s="35">
        <v>-5048.67</v>
      </c>
      <c r="S9" s="117">
        <f t="shared" si="14"/>
        <v>-2.1629166622005869E-4</v>
      </c>
      <c r="T9" s="21"/>
    </row>
    <row r="10" spans="1:20" x14ac:dyDescent="0.25">
      <c r="A10" s="71">
        <v>43922</v>
      </c>
      <c r="B10" s="72">
        <v>-297339.05</v>
      </c>
      <c r="C10" s="73">
        <f t="shared" si="7"/>
        <v>62441.200499999992</v>
      </c>
      <c r="D10" s="74">
        <f t="shared" si="8"/>
        <v>-234897.84950000001</v>
      </c>
      <c r="E10" s="75">
        <f>+'Conv F and COC UE-180282'!$E$39</f>
        <v>6.9699999999999998E-2</v>
      </c>
      <c r="F10" s="76">
        <v>0.79</v>
      </c>
      <c r="G10" s="77">
        <f t="shared" si="9"/>
        <v>-1168.1111577083334</v>
      </c>
      <c r="H10" s="117">
        <v>-1168.1099999999999</v>
      </c>
      <c r="I10" s="117">
        <f t="shared" si="10"/>
        <v>-1.1577083334941562E-3</v>
      </c>
      <c r="J10" s="34"/>
      <c r="K10" s="71">
        <f t="shared" si="1"/>
        <v>43922</v>
      </c>
      <c r="L10" s="72">
        <v>-703273.45</v>
      </c>
      <c r="M10" s="32">
        <f t="shared" si="11"/>
        <v>147687.42449999999</v>
      </c>
      <c r="N10" s="21">
        <f t="shared" si="12"/>
        <v>-555586.02549999999</v>
      </c>
      <c r="O10" s="22">
        <v>6.9699999999999998E-2</v>
      </c>
      <c r="P10">
        <f t="shared" si="13"/>
        <v>0.79</v>
      </c>
      <c r="Q10" s="33">
        <f t="shared" si="15"/>
        <v>-4378.8301281666663</v>
      </c>
      <c r="R10" s="35">
        <v>-4378.83</v>
      </c>
      <c r="S10" s="117">
        <f t="shared" si="14"/>
        <v>-1.2816666639992036E-4</v>
      </c>
      <c r="T10" s="21"/>
    </row>
    <row r="11" spans="1:20" x14ac:dyDescent="0.25">
      <c r="A11" s="71">
        <v>43952</v>
      </c>
      <c r="B11" s="72">
        <v>-289402.71000000002</v>
      </c>
      <c r="C11" s="73">
        <f t="shared" si="7"/>
        <v>60774.569100000001</v>
      </c>
      <c r="D11" s="74">
        <f t="shared" si="8"/>
        <v>-228628.14090000003</v>
      </c>
      <c r="E11" s="75">
        <f>+'Conv F and COC UE-180282'!$E$39</f>
        <v>6.9699999999999998E-2</v>
      </c>
      <c r="F11" s="76">
        <v>0.79</v>
      </c>
      <c r="G11" s="77">
        <f t="shared" si="9"/>
        <v>-1703.9958613333333</v>
      </c>
      <c r="H11" s="117">
        <v>-1704</v>
      </c>
      <c r="I11" s="117">
        <f t="shared" si="10"/>
        <v>4.1386666666767269E-3</v>
      </c>
      <c r="J11" s="34"/>
      <c r="K11" s="71">
        <f t="shared" si="1"/>
        <v>43952</v>
      </c>
      <c r="L11" s="72">
        <v>-607625.57999999996</v>
      </c>
      <c r="M11" s="32">
        <f t="shared" si="11"/>
        <v>127601.37179999999</v>
      </c>
      <c r="N11" s="21">
        <f t="shared" si="12"/>
        <v>-480024.20819999999</v>
      </c>
      <c r="O11" s="22">
        <v>6.9699999999999998E-2</v>
      </c>
      <c r="P11">
        <f t="shared" si="13"/>
        <v>0.79</v>
      </c>
      <c r="Q11" s="33">
        <f t="shared" si="15"/>
        <v>-3807.0692662916663</v>
      </c>
      <c r="R11" s="35">
        <v>-3807.07</v>
      </c>
      <c r="S11" s="117">
        <f t="shared" si="14"/>
        <v>7.3370833388253232E-4</v>
      </c>
      <c r="T11" s="21"/>
    </row>
    <row r="12" spans="1:20" x14ac:dyDescent="0.25">
      <c r="A12" s="71">
        <v>43983</v>
      </c>
      <c r="B12" s="72">
        <v>-389763.46</v>
      </c>
      <c r="C12" s="73">
        <f t="shared" si="7"/>
        <v>81850.3266</v>
      </c>
      <c r="D12" s="74">
        <f t="shared" si="8"/>
        <v>-307913.13340000005</v>
      </c>
      <c r="E12" s="75">
        <f>+'Conv F and COC UE-180282'!$E$39</f>
        <v>6.9699999999999998E-2</v>
      </c>
      <c r="F12" s="76">
        <v>0.79</v>
      </c>
      <c r="G12" s="77">
        <f t="shared" si="9"/>
        <v>-1972.4117520416669</v>
      </c>
      <c r="H12" s="117">
        <v>-1972.41</v>
      </c>
      <c r="I12" s="117">
        <f t="shared" si="10"/>
        <v>-1.7520416668048711E-3</v>
      </c>
      <c r="J12" s="34"/>
      <c r="K12" s="71">
        <f t="shared" si="1"/>
        <v>43983</v>
      </c>
      <c r="L12" s="72">
        <v>-513577.24</v>
      </c>
      <c r="M12" s="32">
        <f t="shared" si="11"/>
        <v>107851.22039999999</v>
      </c>
      <c r="N12" s="21">
        <f t="shared" si="12"/>
        <v>-405726.0196</v>
      </c>
      <c r="O12" s="22">
        <v>6.9699999999999998E-2</v>
      </c>
      <c r="P12">
        <f t="shared" si="13"/>
        <v>0.79</v>
      </c>
      <c r="Q12" s="33">
        <f t="shared" si="15"/>
        <v>-3256.1598564166661</v>
      </c>
      <c r="R12" s="35">
        <v>-3256.16</v>
      </c>
      <c r="S12" s="117">
        <f t="shared" si="14"/>
        <v>1.4358333373820642E-4</v>
      </c>
      <c r="T12" s="21"/>
    </row>
    <row r="13" spans="1:20" x14ac:dyDescent="0.25">
      <c r="A13" s="71">
        <v>44013</v>
      </c>
      <c r="B13" s="72">
        <v>-400450.86</v>
      </c>
      <c r="C13" s="73">
        <f t="shared" si="7"/>
        <v>84094.680599999992</v>
      </c>
      <c r="D13" s="74">
        <f t="shared" si="8"/>
        <v>-316356.17940000002</v>
      </c>
      <c r="E13" s="75">
        <f>+'Conv F and COC UE-180282'!$E$39</f>
        <v>6.9699999999999998E-2</v>
      </c>
      <c r="F13" s="76">
        <v>0.79</v>
      </c>
      <c r="G13" s="77">
        <f t="shared" si="9"/>
        <v>-2294.914087666667</v>
      </c>
      <c r="H13" s="117">
        <v>-2294.91</v>
      </c>
      <c r="I13" s="117">
        <f t="shared" si="10"/>
        <v>-4.08766666714655E-3</v>
      </c>
      <c r="J13" s="34"/>
      <c r="K13" s="71">
        <f t="shared" si="1"/>
        <v>44013</v>
      </c>
      <c r="L13" s="72">
        <v>-408163.36</v>
      </c>
      <c r="M13" s="32">
        <f t="shared" si="11"/>
        <v>85714.305599999992</v>
      </c>
      <c r="N13" s="21">
        <f t="shared" si="12"/>
        <v>-322449.05440000002</v>
      </c>
      <c r="O13" s="22">
        <v>6.9699999999999998E-2</v>
      </c>
      <c r="P13">
        <f t="shared" si="13"/>
        <v>0.79</v>
      </c>
      <c r="Q13" s="33">
        <f t="shared" si="15"/>
        <v>-2676.8883258333331</v>
      </c>
      <c r="R13" s="35">
        <v>-2676.89</v>
      </c>
      <c r="S13" s="117">
        <f t="shared" si="14"/>
        <v>1.6741666668167454E-3</v>
      </c>
      <c r="T13" s="21"/>
    </row>
    <row r="14" spans="1:20" x14ac:dyDescent="0.25">
      <c r="A14" s="71">
        <v>44044</v>
      </c>
      <c r="B14" s="72">
        <v>-478183.96</v>
      </c>
      <c r="C14" s="73">
        <f t="shared" si="7"/>
        <v>100418.63160000001</v>
      </c>
      <c r="D14" s="74">
        <f t="shared" si="8"/>
        <v>-377765.3284</v>
      </c>
      <c r="E14" s="75">
        <f>+'Conv F and COC UE-180282'!$E$39</f>
        <v>6.9699999999999998E-2</v>
      </c>
      <c r="F14" s="76">
        <v>0.79</v>
      </c>
      <c r="G14" s="77">
        <f t="shared" si="9"/>
        <v>-2551.7019564166662</v>
      </c>
      <c r="H14" s="117">
        <v>-2551.6999999999998</v>
      </c>
      <c r="I14" s="117">
        <f t="shared" si="10"/>
        <v>-1.9564166664167715E-3</v>
      </c>
      <c r="J14" s="34"/>
      <c r="K14" s="71">
        <f t="shared" si="1"/>
        <v>44044</v>
      </c>
      <c r="L14" s="72">
        <v>-302865.21000000002</v>
      </c>
      <c r="M14" s="32">
        <f t="shared" si="11"/>
        <v>63601.694100000001</v>
      </c>
      <c r="N14" s="21">
        <f t="shared" si="12"/>
        <v>-239263.51590000003</v>
      </c>
      <c r="O14" s="22">
        <v>6.9699999999999998E-2</v>
      </c>
      <c r="P14">
        <f t="shared" si="13"/>
        <v>0.79</v>
      </c>
      <c r="Q14" s="33">
        <f t="shared" si="15"/>
        <v>-2064.9454720416666</v>
      </c>
      <c r="R14" s="35">
        <v>-2064.9499999999998</v>
      </c>
      <c r="S14" s="117">
        <f t="shared" si="14"/>
        <v>4.5279583332558104E-3</v>
      </c>
      <c r="T14" s="21"/>
    </row>
    <row r="15" spans="1:20" x14ac:dyDescent="0.25">
      <c r="A15" s="71">
        <v>44075</v>
      </c>
      <c r="B15" s="79">
        <v>-475243.93</v>
      </c>
      <c r="C15" s="73">
        <f t="shared" si="7"/>
        <v>99801.225299999991</v>
      </c>
      <c r="D15" s="74">
        <f t="shared" si="8"/>
        <v>-375442.7047</v>
      </c>
      <c r="E15" s="75">
        <f>+'Conv F and COC UE-180282'!$E$39</f>
        <v>6.9699999999999998E-2</v>
      </c>
      <c r="F15" s="76">
        <v>0.79</v>
      </c>
      <c r="G15" s="77">
        <f t="shared" si="9"/>
        <v>-2768.9134972083334</v>
      </c>
      <c r="H15" s="117">
        <v>-2768.91</v>
      </c>
      <c r="I15" s="117">
        <f t="shared" si="10"/>
        <v>-3.4972083335560455E-3</v>
      </c>
      <c r="J15" s="34"/>
      <c r="K15" s="71">
        <f t="shared" si="1"/>
        <v>44075</v>
      </c>
      <c r="L15" s="72">
        <v>-205184.57</v>
      </c>
      <c r="M15" s="32">
        <f t="shared" si="11"/>
        <v>43088.759700000002</v>
      </c>
      <c r="N15" s="21">
        <f t="shared" si="12"/>
        <v>-162095.81030000001</v>
      </c>
      <c r="O15" s="22">
        <v>6.9699999999999998E-2</v>
      </c>
      <c r="P15">
        <f t="shared" si="13"/>
        <v>0.79</v>
      </c>
      <c r="Q15" s="33">
        <f t="shared" si="15"/>
        <v>-1475.4612360833335</v>
      </c>
      <c r="R15" s="35">
        <v>-1475.46</v>
      </c>
      <c r="S15" s="117">
        <f t="shared" si="14"/>
        <v>-1.2360833334241761E-3</v>
      </c>
      <c r="T15" s="21"/>
    </row>
    <row r="16" spans="1:20" x14ac:dyDescent="0.25">
      <c r="A16" s="71">
        <v>44105</v>
      </c>
      <c r="B16" s="72">
        <v>-717808.02999999991</v>
      </c>
      <c r="C16" s="73">
        <f t="shared" ref="C16" si="16">-B16*0.21</f>
        <v>150739.68629999997</v>
      </c>
      <c r="D16" s="74">
        <f t="shared" ref="D16" si="17">+B16+C16</f>
        <v>-567068.34369999997</v>
      </c>
      <c r="E16" s="75">
        <f>+E15*(14/31)+E17*(17/31)</f>
        <v>6.8767741935483864E-2</v>
      </c>
      <c r="F16" s="76">
        <v>0.79</v>
      </c>
      <c r="G16" s="77">
        <f t="shared" ref="G16" si="18">(D16+D15)/2*E16/12/F16</f>
        <v>-3418.4787208709672</v>
      </c>
      <c r="H16" s="117">
        <v>-6780.7699999999995</v>
      </c>
      <c r="I16" s="117">
        <f t="shared" ref="I16" si="19">+G16-H16</f>
        <v>3362.2912791290323</v>
      </c>
      <c r="J16" s="34"/>
      <c r="K16" s="71">
        <f t="shared" si="1"/>
        <v>44105</v>
      </c>
      <c r="L16" s="72">
        <v>-93335.060000000027</v>
      </c>
      <c r="M16" s="32">
        <f t="shared" ref="M16" si="20">-L16*0.21</f>
        <v>19600.362600000004</v>
      </c>
      <c r="N16" s="21">
        <f t="shared" ref="N16" si="21">+L16+M16</f>
        <v>-73734.697400000019</v>
      </c>
      <c r="O16" s="82">
        <f>+O15*(14/31)+O17*(17/31)</f>
        <v>6.8767741935483864E-2</v>
      </c>
      <c r="P16">
        <f t="shared" ref="P16" si="22">F16</f>
        <v>0.79</v>
      </c>
      <c r="Q16" s="33">
        <f t="shared" ref="Q16" si="23">(N16+N15)/2*O16/12/P16</f>
        <v>-855.35503660483869</v>
      </c>
      <c r="R16" s="35">
        <v>-855.76</v>
      </c>
      <c r="S16" s="117">
        <f t="shared" ref="S16" si="24">+Q16-R16</f>
        <v>0.4049633951613032</v>
      </c>
      <c r="T16" s="21"/>
    </row>
    <row r="17" spans="1:19" x14ac:dyDescent="0.25">
      <c r="A17" s="71">
        <v>44136</v>
      </c>
      <c r="B17" s="35"/>
      <c r="C17" s="73"/>
      <c r="D17" s="74"/>
      <c r="E17" s="82">
        <f>'Conv F and COC UE-190529'!E18</f>
        <v>6.8000000000000005E-2</v>
      </c>
      <c r="F17" s="76"/>
      <c r="G17" s="77"/>
      <c r="H17" s="123" t="s">
        <v>92</v>
      </c>
      <c r="I17" s="127">
        <f>SUM(I5:I16)</f>
        <v>-8.0659543009460322E-3</v>
      </c>
      <c r="J17" s="34"/>
      <c r="K17" s="71">
        <f t="shared" si="1"/>
        <v>44136</v>
      </c>
      <c r="L17" s="31"/>
      <c r="M17" s="32"/>
      <c r="N17" s="21"/>
      <c r="O17" s="82">
        <f>'Conv F and COC UE-190529'!E18</f>
        <v>6.8000000000000005E-2</v>
      </c>
      <c r="Q17" s="33"/>
      <c r="R17" s="123" t="s">
        <v>92</v>
      </c>
      <c r="S17" s="127">
        <f>SUM(S5:S16)</f>
        <v>0.40897106182907805</v>
      </c>
    </row>
    <row r="18" spans="1:19" x14ac:dyDescent="0.25">
      <c r="A18" s="71">
        <v>44166</v>
      </c>
      <c r="B18" s="35"/>
      <c r="J18" s="34"/>
      <c r="K18" s="71">
        <f t="shared" si="1"/>
        <v>44166</v>
      </c>
      <c r="L18" s="31"/>
      <c r="M18" s="32"/>
      <c r="N18" s="21"/>
      <c r="O18" s="22"/>
      <c r="Q18" s="33"/>
      <c r="R18" s="31"/>
      <c r="S18" s="78"/>
    </row>
    <row r="19" spans="1:19" x14ac:dyDescent="0.25">
      <c r="C19" s="120"/>
      <c r="D19" s="121"/>
      <c r="E19" s="122"/>
      <c r="F19" s="123" t="s">
        <v>75</v>
      </c>
      <c r="G19" s="120">
        <v>43100181</v>
      </c>
      <c r="H19" s="124"/>
      <c r="I19" s="125">
        <f>-I6-I7</f>
        <v>3362.2925589166666</v>
      </c>
      <c r="S19" s="76"/>
    </row>
    <row r="20" spans="1:19" x14ac:dyDescent="0.25">
      <c r="C20" s="120"/>
      <c r="D20" s="120"/>
      <c r="E20" s="120"/>
      <c r="F20" s="120"/>
      <c r="G20" s="120">
        <v>25400311</v>
      </c>
      <c r="H20" s="120"/>
      <c r="I20" s="126">
        <f>-I19</f>
        <v>-3362.2925589166666</v>
      </c>
      <c r="S20" s="76"/>
    </row>
    <row r="21" spans="1:19" x14ac:dyDescent="0.25">
      <c r="S21" s="76"/>
    </row>
    <row r="28" spans="1:19" ht="11.25" customHeight="1" x14ac:dyDescent="0.25"/>
    <row r="29" spans="1:19" hidden="1" x14ac:dyDescent="0.25"/>
  </sheetData>
  <pageMargins left="0.7" right="0.7" top="0.75" bottom="0.75" header="0.3" footer="0.3"/>
  <pageSetup scale="57" fitToHeight="2" orientation="landscape" r:id="rId1"/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E44" sqref="E44"/>
    </sheetView>
  </sheetViews>
  <sheetFormatPr defaultRowHeight="15" x14ac:dyDescent="0.25"/>
  <cols>
    <col min="1" max="1" width="5" bestFit="1" customWidth="1"/>
    <col min="2" max="2" width="61.7109375" bestFit="1" customWidth="1"/>
    <col min="3" max="3" width="11.85546875" bestFit="1" customWidth="1"/>
    <col min="4" max="4" width="7.28515625" bestFit="1" customWidth="1"/>
    <col min="5" max="5" width="27" bestFit="1" customWidth="1"/>
  </cols>
  <sheetData>
    <row r="1" spans="1:7" x14ac:dyDescent="0.25">
      <c r="A1" s="83"/>
      <c r="B1" s="83"/>
      <c r="C1" s="83"/>
      <c r="D1" s="83"/>
      <c r="E1" s="83"/>
    </row>
    <row r="2" spans="1:7" x14ac:dyDescent="0.25">
      <c r="A2" s="83"/>
      <c r="B2" s="83"/>
      <c r="C2" s="83"/>
      <c r="D2" s="83"/>
      <c r="E2" s="83"/>
    </row>
    <row r="3" spans="1:7" x14ac:dyDescent="0.25">
      <c r="A3" s="83"/>
      <c r="B3" s="83"/>
      <c r="C3" s="83"/>
      <c r="D3" s="83"/>
      <c r="E3" s="83"/>
    </row>
    <row r="4" spans="1:7" x14ac:dyDescent="0.25">
      <c r="A4" s="84"/>
      <c r="B4" s="84"/>
      <c r="C4" s="84"/>
      <c r="D4" s="84"/>
      <c r="E4" s="85" t="s">
        <v>76</v>
      </c>
      <c r="F4" t="s">
        <v>77</v>
      </c>
    </row>
    <row r="5" spans="1:7" x14ac:dyDescent="0.25">
      <c r="A5" s="86" t="s">
        <v>78</v>
      </c>
      <c r="B5" s="87"/>
      <c r="C5" s="87"/>
      <c r="D5" s="87"/>
      <c r="E5" s="88"/>
    </row>
    <row r="6" spans="1:7" x14ac:dyDescent="0.25">
      <c r="A6" s="87" t="s">
        <v>22</v>
      </c>
      <c r="B6" s="87"/>
      <c r="C6" s="87"/>
      <c r="D6" s="87"/>
      <c r="E6" s="87"/>
    </row>
    <row r="7" spans="1:7" x14ac:dyDescent="0.25">
      <c r="A7" s="87" t="s">
        <v>79</v>
      </c>
      <c r="B7" s="87"/>
      <c r="C7" s="87"/>
      <c r="D7" s="87"/>
      <c r="E7" s="87"/>
    </row>
    <row r="8" spans="1:7" x14ac:dyDescent="0.25">
      <c r="A8" s="86" t="s">
        <v>80</v>
      </c>
      <c r="B8" s="87"/>
      <c r="C8" s="87"/>
      <c r="D8" s="87"/>
      <c r="E8" s="87"/>
    </row>
    <row r="9" spans="1:7" ht="18.75" x14ac:dyDescent="0.3">
      <c r="A9" s="89" t="s">
        <v>81</v>
      </c>
      <c r="B9" s="84"/>
      <c r="C9" s="84"/>
      <c r="D9" s="84"/>
      <c r="E9" s="84"/>
    </row>
    <row r="10" spans="1:7" x14ac:dyDescent="0.25">
      <c r="A10" s="90" t="s">
        <v>23</v>
      </c>
      <c r="B10" s="84"/>
      <c r="C10" s="84"/>
      <c r="D10" s="84"/>
      <c r="E10" s="84"/>
    </row>
    <row r="11" spans="1:7" x14ac:dyDescent="0.25">
      <c r="A11" s="91" t="s">
        <v>24</v>
      </c>
      <c r="B11" s="92" t="s">
        <v>25</v>
      </c>
      <c r="C11" s="93"/>
      <c r="D11" s="93"/>
      <c r="E11" s="94" t="s">
        <v>82</v>
      </c>
    </row>
    <row r="12" spans="1:7" x14ac:dyDescent="0.25">
      <c r="A12" s="95"/>
      <c r="B12" s="95"/>
      <c r="C12" s="95"/>
      <c r="D12" s="95"/>
      <c r="E12" s="96"/>
      <c r="G12" s="23"/>
    </row>
    <row r="13" spans="1:7" x14ac:dyDescent="0.25">
      <c r="A13" s="96">
        <v>1</v>
      </c>
      <c r="B13" s="97" t="s">
        <v>26</v>
      </c>
      <c r="C13" s="95"/>
      <c r="D13" s="95"/>
      <c r="E13" s="98">
        <v>7.1570000000000002E-3</v>
      </c>
    </row>
    <row r="14" spans="1:7" x14ac:dyDescent="0.25">
      <c r="A14" s="96">
        <v>2</v>
      </c>
      <c r="B14" s="97" t="s">
        <v>27</v>
      </c>
      <c r="C14" s="95"/>
      <c r="D14" s="95"/>
      <c r="E14" s="98">
        <v>2E-3</v>
      </c>
    </row>
    <row r="15" spans="1:7" x14ac:dyDescent="0.25">
      <c r="A15" s="96">
        <v>3</v>
      </c>
      <c r="B15" s="97" t="str">
        <f>"STATE UTILITY TAX ( "&amp;D15*100&amp;"% - ( LINE 1 * "&amp;D15*100&amp;"% )  )"</f>
        <v>STATE UTILITY TAX ( 3.8734% - ( LINE 1 * 3.8734% )  )</v>
      </c>
      <c r="C15" s="99"/>
      <c r="D15" s="100">
        <v>3.8733999999999998E-2</v>
      </c>
      <c r="E15" s="101">
        <f>ROUND(D15-(D15*E13),6)</f>
        <v>3.8456999999999998E-2</v>
      </c>
    </row>
    <row r="16" spans="1:7" x14ac:dyDescent="0.25">
      <c r="A16" s="96">
        <v>4</v>
      </c>
      <c r="B16" s="97"/>
      <c r="C16" s="95"/>
      <c r="D16" s="95"/>
      <c r="E16" s="102"/>
    </row>
    <row r="17" spans="1:5" x14ac:dyDescent="0.25">
      <c r="A17" s="96">
        <v>5</v>
      </c>
      <c r="B17" s="97" t="s">
        <v>28</v>
      </c>
      <c r="C17" s="95"/>
      <c r="D17" s="95"/>
      <c r="E17" s="98">
        <f>ROUND(SUM(E13:E15),6)</f>
        <v>4.7613999999999997E-2</v>
      </c>
    </row>
    <row r="18" spans="1:5" x14ac:dyDescent="0.25">
      <c r="A18" s="96">
        <v>6</v>
      </c>
      <c r="B18" s="95"/>
      <c r="C18" s="95"/>
      <c r="D18" s="95"/>
      <c r="E18" s="98"/>
    </row>
    <row r="19" spans="1:5" x14ac:dyDescent="0.25">
      <c r="A19" s="96">
        <v>7</v>
      </c>
      <c r="B19" s="95" t="str">
        <f>"CONVERSION FACTOR EXCLUDING FEDERAL INCOME TAX ( 1 - LINE "&amp;$I$17&amp;" )"</f>
        <v>CONVERSION FACTOR EXCLUDING FEDERAL INCOME TAX ( 1 - LINE  )</v>
      </c>
      <c r="C19" s="95"/>
      <c r="D19" s="95"/>
      <c r="E19" s="98">
        <f>ROUND(1-E17,6)</f>
        <v>0.95238599999999995</v>
      </c>
    </row>
    <row r="20" spans="1:5" ht="15.75" thickBot="1" x14ac:dyDescent="0.3">
      <c r="A20" s="96">
        <v>8</v>
      </c>
      <c r="B20" s="97" t="str">
        <f>"FEDERAL INCOME TAX ( LINE "&amp;A19&amp;"  * "&amp;k_FITrate*100&amp;"% )"</f>
        <v>FEDERAL INCOME TAX ( LINE 7  * 0% )</v>
      </c>
      <c r="C20" s="95"/>
      <c r="D20" s="103">
        <v>0.21</v>
      </c>
      <c r="E20" s="104">
        <f>ROUND((E19)*D20,6)</f>
        <v>0.20000100000000001</v>
      </c>
    </row>
    <row r="21" spans="1:5" ht="16.5" thickTop="1" thickBot="1" x14ac:dyDescent="0.3">
      <c r="A21" s="96">
        <v>9</v>
      </c>
      <c r="B21" s="97" t="str">
        <f>"CONVERSION FACTOR INCL FEDERAL INCOME TAX ( LINE "&amp;A19&amp;" - LINE "&amp;A20&amp;" ) "</f>
        <v xml:space="preserve">CONVERSION FACTOR INCL FEDERAL INCOME TAX ( LINE 7 - LINE 8 ) </v>
      </c>
      <c r="C21" s="95"/>
      <c r="D21" s="95"/>
      <c r="E21" s="104">
        <f>E19-E20</f>
        <v>0.75238499999999997</v>
      </c>
    </row>
    <row r="22" spans="1:5" ht="15.75" thickTop="1" x14ac:dyDescent="0.25"/>
    <row r="25" spans="1:5" x14ac:dyDescent="0.25">
      <c r="A25" s="86" t="s">
        <v>78</v>
      </c>
      <c r="B25" s="105"/>
      <c r="C25" s="87"/>
      <c r="D25" s="87"/>
      <c r="E25" s="87"/>
    </row>
    <row r="26" spans="1:5" x14ac:dyDescent="0.25">
      <c r="A26" s="106" t="s">
        <v>83</v>
      </c>
      <c r="B26" s="105"/>
      <c r="C26" s="87"/>
      <c r="D26" s="87"/>
      <c r="E26" s="87"/>
    </row>
    <row r="27" spans="1:5" x14ac:dyDescent="0.25">
      <c r="A27" s="87" t="s">
        <v>79</v>
      </c>
      <c r="B27" s="105"/>
      <c r="C27" s="87"/>
      <c r="D27" s="87"/>
      <c r="E27" s="87"/>
    </row>
    <row r="28" spans="1:5" x14ac:dyDescent="0.25">
      <c r="A28" s="86" t="s">
        <v>84</v>
      </c>
      <c r="B28" s="105"/>
      <c r="C28" s="87"/>
      <c r="D28" s="87"/>
      <c r="E28" s="87"/>
    </row>
    <row r="29" spans="1:5" x14ac:dyDescent="0.25">
      <c r="A29" s="107"/>
      <c r="B29" s="95"/>
      <c r="C29" s="95"/>
      <c r="D29" s="90"/>
      <c r="E29" s="90"/>
    </row>
    <row r="30" spans="1:5" x14ac:dyDescent="0.25">
      <c r="A30" s="90" t="s">
        <v>23</v>
      </c>
      <c r="B30" s="95"/>
      <c r="C30" s="90" t="s">
        <v>85</v>
      </c>
      <c r="D30" s="90" t="s">
        <v>48</v>
      </c>
      <c r="E30" s="90" t="s">
        <v>86</v>
      </c>
    </row>
    <row r="31" spans="1:5" x14ac:dyDescent="0.25">
      <c r="A31" s="91" t="s">
        <v>24</v>
      </c>
      <c r="B31" s="108" t="s">
        <v>25</v>
      </c>
      <c r="C31" s="91" t="s">
        <v>87</v>
      </c>
      <c r="D31" s="91" t="s">
        <v>88</v>
      </c>
      <c r="E31" s="91" t="s">
        <v>49</v>
      </c>
    </row>
    <row r="32" spans="1:5" x14ac:dyDescent="0.25">
      <c r="A32" s="109"/>
      <c r="B32" s="109"/>
      <c r="C32" s="109"/>
      <c r="D32" s="109"/>
      <c r="E32" s="109"/>
    </row>
    <row r="33" spans="1:5" x14ac:dyDescent="0.25">
      <c r="A33" s="96">
        <v>1</v>
      </c>
      <c r="B33" s="95" t="s">
        <v>89</v>
      </c>
      <c r="C33" s="110">
        <v>0.51500000000000001</v>
      </c>
      <c r="D33" s="110">
        <v>5.8058252427184473E-2</v>
      </c>
      <c r="E33" s="110">
        <f>ROUND(+C33*D33,4)</f>
        <v>2.9899999999999999E-2</v>
      </c>
    </row>
    <row r="34" spans="1:5" x14ac:dyDescent="0.25">
      <c r="A34" s="96">
        <v>2</v>
      </c>
      <c r="B34" s="95" t="s">
        <v>50</v>
      </c>
      <c r="C34" s="110">
        <v>0.48499999999999999</v>
      </c>
      <c r="D34" s="110">
        <v>9.5000000000000001E-2</v>
      </c>
      <c r="E34" s="110">
        <f>ROUND(+C34*D34,4)</f>
        <v>4.6100000000000002E-2</v>
      </c>
    </row>
    <row r="35" spans="1:5" x14ac:dyDescent="0.25">
      <c r="A35" s="96">
        <v>3</v>
      </c>
      <c r="B35" s="95" t="s">
        <v>90</v>
      </c>
      <c r="C35" s="111">
        <f>SUM(C33:C34)</f>
        <v>1</v>
      </c>
      <c r="D35" s="112"/>
      <c r="E35" s="111">
        <f>SUM(E33:E34)</f>
        <v>7.5999999999999998E-2</v>
      </c>
    </row>
    <row r="36" spans="1:5" x14ac:dyDescent="0.25">
      <c r="A36" s="96">
        <v>4</v>
      </c>
      <c r="B36" s="99"/>
      <c r="C36" s="95"/>
      <c r="D36" s="95"/>
      <c r="E36" s="113"/>
    </row>
    <row r="37" spans="1:5" x14ac:dyDescent="0.25">
      <c r="A37" s="96">
        <v>5</v>
      </c>
      <c r="B37" s="95" t="s">
        <v>91</v>
      </c>
      <c r="C37" s="114">
        <f>+C33</f>
        <v>0.51500000000000001</v>
      </c>
      <c r="D37" s="114">
        <f>+D33</f>
        <v>5.8058252427184473E-2</v>
      </c>
      <c r="E37" s="115">
        <f>ROUND(E33*0.79,4)</f>
        <v>2.3599999999999999E-2</v>
      </c>
    </row>
    <row r="38" spans="1:5" x14ac:dyDescent="0.25">
      <c r="A38" s="96">
        <v>6</v>
      </c>
      <c r="B38" s="95" t="s">
        <v>50</v>
      </c>
      <c r="C38" s="114">
        <f>+C34</f>
        <v>0.48499999999999999</v>
      </c>
      <c r="D38" s="114">
        <f>+D34</f>
        <v>9.5000000000000001E-2</v>
      </c>
      <c r="E38" s="110">
        <f>ROUND(C38*D38,4)</f>
        <v>4.6100000000000002E-2</v>
      </c>
    </row>
    <row r="39" spans="1:5" x14ac:dyDescent="0.25">
      <c r="A39" s="96">
        <v>7</v>
      </c>
      <c r="B39" s="95" t="s">
        <v>51</v>
      </c>
      <c r="C39" s="111">
        <f>SUM(C37:C38)</f>
        <v>1</v>
      </c>
      <c r="D39" s="112"/>
      <c r="E39" s="116">
        <f>SUM(E37:E38)</f>
        <v>6.9699999999999998E-2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H34" sqref="H34"/>
    </sheetView>
  </sheetViews>
  <sheetFormatPr defaultRowHeight="15" x14ac:dyDescent="0.25"/>
  <cols>
    <col min="2" max="2" width="41.7109375" bestFit="1" customWidth="1"/>
    <col min="6" max="6" width="6" customWidth="1"/>
    <col min="7" max="7" width="60.85546875" bestFit="1" customWidth="1"/>
    <col min="8" max="8" width="3.140625" customWidth="1"/>
  </cols>
  <sheetData>
    <row r="1" spans="1:10" ht="18.75" x14ac:dyDescent="0.3">
      <c r="A1" s="68" t="s">
        <v>71</v>
      </c>
      <c r="B1" s="43"/>
      <c r="C1" s="43"/>
      <c r="D1" s="44" t="s">
        <v>58</v>
      </c>
      <c r="E1" s="45"/>
      <c r="F1" s="43"/>
      <c r="G1" s="43"/>
      <c r="H1" s="44" t="s">
        <v>59</v>
      </c>
      <c r="I1" s="46"/>
      <c r="J1" s="45"/>
    </row>
    <row r="2" spans="1:10" x14ac:dyDescent="0.25">
      <c r="A2" s="47" t="s">
        <v>60</v>
      </c>
      <c r="B2" s="47"/>
      <c r="C2" s="47"/>
      <c r="D2" s="47"/>
      <c r="E2" s="47"/>
      <c r="F2" s="47"/>
      <c r="G2" s="47" t="s">
        <v>60</v>
      </c>
      <c r="H2" s="48"/>
      <c r="I2" s="48"/>
      <c r="J2" s="48"/>
    </row>
    <row r="3" spans="1:10" x14ac:dyDescent="0.25">
      <c r="A3" s="47" t="s">
        <v>61</v>
      </c>
      <c r="B3" s="47"/>
      <c r="C3" s="47"/>
      <c r="D3" s="47"/>
      <c r="E3" s="47"/>
      <c r="F3" s="47"/>
      <c r="G3" s="47" t="s">
        <v>61</v>
      </c>
      <c r="H3" s="48"/>
      <c r="I3" s="48"/>
      <c r="J3" s="48"/>
    </row>
    <row r="4" spans="1:10" x14ac:dyDescent="0.25">
      <c r="A4" s="47" t="s">
        <v>69</v>
      </c>
      <c r="B4" s="47"/>
      <c r="C4" s="47"/>
      <c r="D4" s="47"/>
      <c r="E4" s="47"/>
      <c r="F4" s="47"/>
      <c r="G4" s="47" t="s">
        <v>69</v>
      </c>
      <c r="H4" s="48"/>
      <c r="I4" s="48"/>
      <c r="J4" s="48"/>
    </row>
    <row r="5" spans="1:10" x14ac:dyDescent="0.25">
      <c r="A5" s="47" t="s">
        <v>68</v>
      </c>
      <c r="B5" s="47"/>
      <c r="C5" s="47"/>
      <c r="D5" s="47"/>
      <c r="E5" s="47"/>
      <c r="F5" s="47"/>
      <c r="G5" s="47" t="s">
        <v>68</v>
      </c>
      <c r="H5" s="48"/>
      <c r="I5" s="48"/>
      <c r="J5" s="48"/>
    </row>
    <row r="6" spans="1:10" x14ac:dyDescent="0.25">
      <c r="A6" s="47" t="s">
        <v>62</v>
      </c>
      <c r="B6" s="47"/>
      <c r="C6" s="47"/>
      <c r="D6" s="47"/>
      <c r="E6" s="47"/>
      <c r="F6" s="47"/>
      <c r="G6" s="47" t="s">
        <v>22</v>
      </c>
      <c r="H6" s="47"/>
      <c r="I6" s="47"/>
      <c r="J6" s="47"/>
    </row>
    <row r="7" spans="1:10" x14ac:dyDescent="0.25">
      <c r="A7" s="43"/>
      <c r="B7" s="48"/>
      <c r="C7" s="48"/>
      <c r="D7" s="48"/>
      <c r="E7" s="48"/>
      <c r="F7" s="48"/>
      <c r="G7" s="48"/>
      <c r="H7" s="48"/>
      <c r="I7" s="48"/>
      <c r="J7" s="48"/>
    </row>
    <row r="8" spans="1:10" x14ac:dyDescent="0.25">
      <c r="A8" s="43"/>
      <c r="B8" s="43"/>
      <c r="C8" s="43"/>
      <c r="D8" s="43"/>
      <c r="E8" s="43"/>
      <c r="F8" s="48"/>
      <c r="G8" s="48"/>
      <c r="H8" s="48"/>
      <c r="I8" s="48"/>
      <c r="J8" s="43"/>
    </row>
    <row r="9" spans="1:10" x14ac:dyDescent="0.25">
      <c r="A9" s="49" t="s">
        <v>23</v>
      </c>
      <c r="B9" s="49"/>
      <c r="C9" s="50" t="s">
        <v>49</v>
      </c>
      <c r="D9" s="43"/>
      <c r="E9" s="50" t="s">
        <v>63</v>
      </c>
      <c r="F9" s="49" t="s">
        <v>23</v>
      </c>
      <c r="G9" s="49"/>
      <c r="H9" s="49"/>
      <c r="I9" s="43"/>
      <c r="J9" s="43"/>
    </row>
    <row r="10" spans="1:10" x14ac:dyDescent="0.25">
      <c r="A10" s="51" t="s">
        <v>24</v>
      </c>
      <c r="B10" s="51" t="s">
        <v>25</v>
      </c>
      <c r="C10" s="52" t="s">
        <v>64</v>
      </c>
      <c r="D10" s="52" t="s">
        <v>48</v>
      </c>
      <c r="E10" s="52" t="s">
        <v>48</v>
      </c>
      <c r="F10" s="51" t="s">
        <v>24</v>
      </c>
      <c r="G10" s="51" t="s">
        <v>25</v>
      </c>
      <c r="H10" s="51"/>
      <c r="I10" s="53"/>
      <c r="J10" s="53"/>
    </row>
    <row r="11" spans="1:10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</row>
    <row r="12" spans="1:10" x14ac:dyDescent="0.25">
      <c r="A12" s="54">
        <v>1</v>
      </c>
      <c r="B12" s="55" t="s">
        <v>65</v>
      </c>
      <c r="C12" s="56">
        <v>0.51500000000000001</v>
      </c>
      <c r="D12" s="56">
        <v>5.4951456310679617E-2</v>
      </c>
      <c r="E12" s="56">
        <f>ROUND(C12*D12,4)</f>
        <v>2.8299999999999999E-2</v>
      </c>
      <c r="F12" s="54">
        <v>1</v>
      </c>
      <c r="G12" s="57" t="s">
        <v>26</v>
      </c>
      <c r="H12" s="55"/>
      <c r="I12" s="55"/>
      <c r="J12" s="58">
        <v>8.4790000000000004E-3</v>
      </c>
    </row>
    <row r="13" spans="1:10" x14ac:dyDescent="0.25">
      <c r="A13" s="54">
        <f t="shared" ref="A13:A18" si="0">A12+1</f>
        <v>2</v>
      </c>
      <c r="B13" s="55" t="s">
        <v>50</v>
      </c>
      <c r="C13" s="56">
        <v>0.48499999999999999</v>
      </c>
      <c r="D13" s="56">
        <v>9.4E-2</v>
      </c>
      <c r="E13" s="56">
        <f>ROUND(C13*D13,4)</f>
        <v>4.5600000000000002E-2</v>
      </c>
      <c r="F13" s="54">
        <f t="shared" ref="F13:F20" si="1">F12+1</f>
        <v>2</v>
      </c>
      <c r="G13" s="57" t="s">
        <v>27</v>
      </c>
      <c r="H13" s="55"/>
      <c r="I13" s="55"/>
      <c r="J13" s="58">
        <v>2E-3</v>
      </c>
    </row>
    <row r="14" spans="1:10" x14ac:dyDescent="0.25">
      <c r="A14" s="54">
        <f t="shared" si="0"/>
        <v>3</v>
      </c>
      <c r="B14" s="55" t="s">
        <v>66</v>
      </c>
      <c r="C14" s="59">
        <f>SUM(C12:C13)</f>
        <v>1</v>
      </c>
      <c r="D14" s="60"/>
      <c r="E14" s="61">
        <f>SUM(E12:E13)</f>
        <v>7.3899999999999993E-2</v>
      </c>
      <c r="F14" s="54">
        <f t="shared" si="1"/>
        <v>3</v>
      </c>
      <c r="G14" s="57" t="str">
        <f>"STATE UTILITY TAX ( "&amp;J14*100&amp;"% - ( LINE 1 * "&amp;J14*100&amp;"% )  )"</f>
        <v>STATE UTILITY TAX ( 3.8406% - ( LINE 1 * 3.8406% )  )</v>
      </c>
      <c r="H14" s="43"/>
      <c r="I14" s="62">
        <v>3.8733999999999998E-2</v>
      </c>
      <c r="J14" s="63">
        <f>ROUND(I14-(I14*J12),6)</f>
        <v>3.8406000000000003E-2</v>
      </c>
    </row>
    <row r="15" spans="1:10" x14ac:dyDescent="0.25">
      <c r="A15" s="54">
        <f t="shared" si="0"/>
        <v>4</v>
      </c>
      <c r="B15" s="55"/>
      <c r="C15" s="43"/>
      <c r="D15" s="43"/>
      <c r="E15" s="43"/>
      <c r="F15" s="54">
        <f t="shared" si="1"/>
        <v>4</v>
      </c>
      <c r="G15" s="57"/>
      <c r="H15" s="55"/>
      <c r="I15" s="55"/>
      <c r="J15" s="64"/>
    </row>
    <row r="16" spans="1:10" x14ac:dyDescent="0.25">
      <c r="A16" s="54">
        <f t="shared" si="0"/>
        <v>5</v>
      </c>
      <c r="B16" s="55" t="s">
        <v>67</v>
      </c>
      <c r="C16" s="56">
        <f>+C12</f>
        <v>0.51500000000000001</v>
      </c>
      <c r="D16" s="56">
        <f>D12*0.79</f>
        <v>4.3411650485436902E-2</v>
      </c>
      <c r="E16" s="56">
        <f>ROUND(E12*0.79,4)</f>
        <v>2.24E-2</v>
      </c>
      <c r="F16" s="54">
        <f t="shared" si="1"/>
        <v>5</v>
      </c>
      <c r="G16" s="57" t="s">
        <v>28</v>
      </c>
      <c r="H16" s="55"/>
      <c r="I16" s="55"/>
      <c r="J16" s="58">
        <f>ROUND(SUM(J12:J14),6)</f>
        <v>4.8884999999999998E-2</v>
      </c>
    </row>
    <row r="17" spans="1:10" x14ac:dyDescent="0.25">
      <c r="A17" s="54">
        <f t="shared" si="0"/>
        <v>6</v>
      </c>
      <c r="B17" s="55" t="s">
        <v>50</v>
      </c>
      <c r="C17" s="56">
        <f>+C13</f>
        <v>0.48499999999999999</v>
      </c>
      <c r="D17" s="56">
        <f>+D13</f>
        <v>9.4E-2</v>
      </c>
      <c r="E17" s="56">
        <f>ROUND(C17*D17,4)</f>
        <v>4.5600000000000002E-2</v>
      </c>
      <c r="F17" s="54">
        <f t="shared" si="1"/>
        <v>6</v>
      </c>
      <c r="G17" s="55"/>
      <c r="H17" s="55"/>
      <c r="I17" s="55"/>
      <c r="J17" s="58"/>
    </row>
    <row r="18" spans="1:10" x14ac:dyDescent="0.25">
      <c r="A18" s="54">
        <f t="shared" si="0"/>
        <v>7</v>
      </c>
      <c r="B18" s="55" t="s">
        <v>51</v>
      </c>
      <c r="C18" s="59">
        <f>SUM(C16:C17)</f>
        <v>1</v>
      </c>
      <c r="D18" s="60"/>
      <c r="E18" s="70">
        <f>SUM(E16:E17)</f>
        <v>6.8000000000000005E-2</v>
      </c>
      <c r="F18" s="54">
        <f t="shared" si="1"/>
        <v>7</v>
      </c>
      <c r="G18" s="55" t="str">
        <f>"CONVERSION FACTOR EXCLUDING FEDERAL INCOME TAX ( 1 - LINE "&amp;$I$17&amp;" )"</f>
        <v>CONVERSION FACTOR EXCLUDING FEDERAL INCOME TAX ( 1 - LINE  )</v>
      </c>
      <c r="H18" s="55"/>
      <c r="I18" s="55"/>
      <c r="J18" s="58">
        <f>ROUND(1-J16,6)</f>
        <v>0.95111500000000004</v>
      </c>
    </row>
    <row r="19" spans="1:10" x14ac:dyDescent="0.25">
      <c r="A19" s="54"/>
      <c r="B19" s="43"/>
      <c r="C19" s="43"/>
      <c r="D19" s="43"/>
      <c r="E19" s="43"/>
      <c r="F19" s="54">
        <f t="shared" si="1"/>
        <v>8</v>
      </c>
      <c r="G19" s="57" t="s">
        <v>70</v>
      </c>
      <c r="H19" s="55"/>
      <c r="I19" s="65">
        <v>0.21</v>
      </c>
      <c r="J19" s="58">
        <f>ROUND((J18)*I19,6)</f>
        <v>0.19973399999999999</v>
      </c>
    </row>
    <row r="20" spans="1:10" ht="15.75" thickBot="1" x14ac:dyDescent="0.3">
      <c r="A20" s="54"/>
      <c r="B20" s="43"/>
      <c r="C20" s="43"/>
      <c r="D20" s="43"/>
      <c r="E20" s="43"/>
      <c r="F20" s="54">
        <f t="shared" si="1"/>
        <v>9</v>
      </c>
      <c r="G20" s="57" t="str">
        <f>"CONVERSION FACTOR INCL FEDERAL INCOME TAX ( LINE "&amp;F18&amp;" - LINE "&amp;F19&amp;" ) "</f>
        <v xml:space="preserve">CONVERSION FACTOR INCL FEDERAL INCOME TAX ( LINE 7 - LINE 8 ) </v>
      </c>
      <c r="H20" s="55"/>
      <c r="I20" s="55"/>
      <c r="J20" s="69">
        <f>ROUND(1-J19-J16,6)</f>
        <v>0.75138099999999997</v>
      </c>
    </row>
    <row r="21" spans="1:10" ht="15.75" thickTop="1" x14ac:dyDescent="0.25">
      <c r="A21" s="54"/>
      <c r="B21" s="66"/>
      <c r="C21" s="67"/>
      <c r="D21" s="43"/>
      <c r="E21" s="43"/>
      <c r="F21" s="54"/>
      <c r="G21" s="43"/>
      <c r="H21" s="55"/>
      <c r="I21" s="55"/>
      <c r="J21" s="55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E64FA89157B95418C4812EEAE92800F" ma:contentTypeVersion="44" ma:contentTypeDescription="" ma:contentTypeScope="" ma:versionID="69c4549587cfcb1771c188a4daab11d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2020-12-01T08:00:00+00:00</OpenedDate>
    <SignificantOrder xmlns="dc463f71-b30c-4ab2-9473-d307f9d35888">false</SignificantOrder>
    <Date1 xmlns="dc463f71-b30c-4ab2-9473-d307f9d35888">2020-12-01T08:00:00+00:00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200967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6E1F4BB-0757-4618-B023-35D990B87012}"/>
</file>

<file path=customXml/itemProps2.xml><?xml version="1.0" encoding="utf-8"?>
<ds:datastoreItem xmlns:ds="http://schemas.openxmlformats.org/officeDocument/2006/customXml" ds:itemID="{5A4B9C83-F097-4769-98AF-4A7AE639CF0C}"/>
</file>

<file path=customXml/itemProps3.xml><?xml version="1.0" encoding="utf-8"?>
<ds:datastoreItem xmlns:ds="http://schemas.openxmlformats.org/officeDocument/2006/customXml" ds:itemID="{031EA631-D441-4011-815D-D1892748FB60}"/>
</file>

<file path=customXml/itemProps4.xml><?xml version="1.0" encoding="utf-8"?>
<ds:datastoreItem xmlns:ds="http://schemas.openxmlformats.org/officeDocument/2006/customXml" ds:itemID="{CB1BC362-A3E5-4B1D-BBCA-98643A4EEA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Revenue Requirement</vt:lpstr>
      <vt:lpstr>Tracking Accounts</vt:lpstr>
      <vt:lpstr>Intrst Review for Nov '20 entry</vt:lpstr>
      <vt:lpstr>Conv F and COC UE-180282</vt:lpstr>
      <vt:lpstr>Conv F and COC UE-190529</vt:lpstr>
      <vt:lpstr>'Conv F and COC UE-180282'!k_FITrate</vt:lpstr>
      <vt:lpstr>'Revenue Requirement'!Print_Area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NC</cp:lastModifiedBy>
  <cp:lastPrinted>2018-11-09T22:24:05Z</cp:lastPrinted>
  <dcterms:created xsi:type="dcterms:W3CDTF">2017-11-21T20:51:05Z</dcterms:created>
  <dcterms:modified xsi:type="dcterms:W3CDTF">2020-11-12T15:35:28Z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0x0101006E56B4D1795A2E4DB2F0B01679ED314A00BE64FA89157B95418C4812EEAE92800F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