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Decoupling\2020 Decoupling filing - 2019 GRC Billing correction\Filed on 11-30-2020\"/>
    </mc:Choice>
  </mc:AlternateContent>
  <bookViews>
    <workbookView xWindow="690" yWindow="1635" windowWidth="21570" windowHeight="9270" tabRatio="943"/>
  </bookViews>
  <sheets>
    <sheet name="Summary of Rates" sheetId="12" r:id="rId1"/>
    <sheet name="Rate Impacts Sch 142 Amort" sheetId="18" r:id="rId2"/>
    <sheet name="Typical Residential Notice" sheetId="25" r:id="rId3"/>
    <sheet name="Revenue Over Collection Summary" sheetId="21" r:id="rId4"/>
    <sheet name="Work Papers--&gt;" sheetId="16" r:id="rId5"/>
    <sheet name="BW Actual Bills (October 2020)" sheetId="22" r:id="rId6"/>
    <sheet name="Change in Unbilled(October2020)" sheetId="24" r:id="rId7"/>
    <sheet name="F2020 Electric Forecast" sheetId="23" r:id="rId8"/>
  </sheets>
  <definedNames>
    <definedName name="_xlnm._FilterDatabase" localSheetId="5" hidden="1">'BW Actual Bills (October 2020)'!$A$1:$H$184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e" localSheetId="5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HTML_CodePage">1252</definedName>
    <definedName name="HTML_Control" localSheetId="5">{"'Sheet1'!$A$1:$J$121"}</definedName>
    <definedName name="HTML_Control" localSheetId="3">{"'Sheet1'!$A$1:$J$121"}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'Rate Impacts Sch 142 Amort'!$A$1:$U$34</definedName>
    <definedName name="_xlnm.Print_Area" localSheetId="2">'Typical Residential Notice'!$A$1:$N$93</definedName>
    <definedName name="_xlnm.Print_Titles" localSheetId="1">'Rate Impacts Sch 142 Amort'!$A:$B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e" localSheetId="5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5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MARGIN_WO_QTR." localSheetId="5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</definedNames>
  <calcPr calcId="162913"/>
</workbook>
</file>

<file path=xl/calcChain.xml><?xml version="1.0" encoding="utf-8"?>
<calcChain xmlns="http://schemas.openxmlformats.org/spreadsheetml/2006/main">
  <c r="A3" i="25" l="1"/>
  <c r="A4" i="18" l="1"/>
  <c r="A2" i="18"/>
  <c r="A1" i="18"/>
  <c r="E76" i="25"/>
  <c r="B17" i="25" s="1"/>
  <c r="E75" i="25"/>
  <c r="B16" i="25" s="1"/>
  <c r="E74" i="25"/>
  <c r="B15" i="25" s="1"/>
  <c r="E72" i="25"/>
  <c r="B13" i="25" s="1"/>
  <c r="E68" i="25"/>
  <c r="B9" i="25" s="1"/>
  <c r="F54" i="25"/>
  <c r="F53" i="25"/>
  <c r="F52" i="25"/>
  <c r="F51" i="25"/>
  <c r="F48" i="25"/>
  <c r="F39" i="25"/>
  <c r="F45" i="25"/>
  <c r="E45" i="25"/>
  <c r="E44" i="25"/>
  <c r="F44" i="25" s="1"/>
  <c r="F34" i="25"/>
  <c r="F33" i="25"/>
  <c r="F32" i="25"/>
  <c r="E40" i="25"/>
  <c r="F40" i="25" s="1"/>
  <c r="F30" i="25"/>
  <c r="F28" i="25"/>
  <c r="E28" i="25"/>
  <c r="F27" i="25"/>
  <c r="H23" i="25"/>
  <c r="C23" i="25"/>
  <c r="H22" i="25"/>
  <c r="C22" i="25"/>
  <c r="H18" i="25"/>
  <c r="C18" i="25"/>
  <c r="H17" i="25"/>
  <c r="C17" i="25"/>
  <c r="H16" i="25"/>
  <c r="C16" i="25"/>
  <c r="H15" i="25"/>
  <c r="C15" i="25"/>
  <c r="H14" i="25"/>
  <c r="C14" i="25"/>
  <c r="H13" i="25"/>
  <c r="C13" i="25"/>
  <c r="H12" i="25"/>
  <c r="C12" i="25"/>
  <c r="H11" i="25"/>
  <c r="C11" i="25"/>
  <c r="H10" i="25"/>
  <c r="C10" i="25"/>
  <c r="H9" i="25"/>
  <c r="C9" i="25"/>
  <c r="H8" i="25"/>
  <c r="C8" i="25"/>
  <c r="H7" i="25"/>
  <c r="C7" i="25"/>
  <c r="C20" i="25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V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E42" i="25" l="1"/>
  <c r="F42" i="25" s="1"/>
  <c r="F31" i="25"/>
  <c r="F37" i="25" s="1"/>
  <c r="W18" i="18"/>
  <c r="E69" i="25"/>
  <c r="B10" i="25" s="1"/>
  <c r="F35" i="25"/>
  <c r="E66" i="25"/>
  <c r="B7" i="25" s="1"/>
  <c r="E71" i="25"/>
  <c r="B12" i="25" s="1"/>
  <c r="E73" i="25"/>
  <c r="B14" i="25" s="1"/>
  <c r="E37" i="25"/>
  <c r="E41" i="25"/>
  <c r="F41" i="25" s="1"/>
  <c r="D78" i="25"/>
  <c r="E70" i="25"/>
  <c r="B11" i="25" s="1"/>
  <c r="E77" i="25"/>
  <c r="B18" i="25" s="1"/>
  <c r="E43" i="25"/>
  <c r="F43" i="25" s="1"/>
  <c r="E67" i="25"/>
  <c r="B8" i="25" s="1"/>
  <c r="W11" i="18"/>
  <c r="V20" i="18"/>
  <c r="I24" i="18"/>
  <c r="M24" i="18"/>
  <c r="Q24" i="18"/>
  <c r="W27" i="18"/>
  <c r="I15" i="18"/>
  <c r="M15" i="18"/>
  <c r="Q15" i="18"/>
  <c r="W26" i="18"/>
  <c r="W14" i="18"/>
  <c r="W19" i="18"/>
  <c r="F20" i="18"/>
  <c r="J20" i="18"/>
  <c r="N20" i="18"/>
  <c r="U20" i="18"/>
  <c r="F24" i="18"/>
  <c r="J24" i="18"/>
  <c r="N24" i="18"/>
  <c r="U24" i="18"/>
  <c r="F55" i="25"/>
  <c r="H20" i="25"/>
  <c r="E46" i="25"/>
  <c r="E55" i="25"/>
  <c r="C78" i="25"/>
  <c r="E20" i="18"/>
  <c r="I20" i="18"/>
  <c r="I30" i="18" s="1"/>
  <c r="I34" i="18" s="1"/>
  <c r="M20" i="18"/>
  <c r="Q20" i="18"/>
  <c r="W8" i="18"/>
  <c r="W9" i="18" s="1"/>
  <c r="C20" i="18"/>
  <c r="G20" i="18"/>
  <c r="K20" i="18"/>
  <c r="O20" i="18"/>
  <c r="C24" i="18"/>
  <c r="G24" i="18"/>
  <c r="K24" i="18"/>
  <c r="O24" i="18"/>
  <c r="V24" i="18"/>
  <c r="W23" i="18"/>
  <c r="U15" i="18"/>
  <c r="R14" i="18"/>
  <c r="S14" i="18" s="1"/>
  <c r="D20" i="18"/>
  <c r="H20" i="18"/>
  <c r="L20" i="18"/>
  <c r="P20" i="18"/>
  <c r="R18" i="18"/>
  <c r="S18" i="18" s="1"/>
  <c r="Y18" i="18" s="1"/>
  <c r="D24" i="18"/>
  <c r="H24" i="18"/>
  <c r="L24" i="18"/>
  <c r="P24" i="18"/>
  <c r="D15" i="18"/>
  <c r="H15" i="18"/>
  <c r="L15" i="18"/>
  <c r="P15" i="18"/>
  <c r="R19" i="18"/>
  <c r="S19" i="18" s="1"/>
  <c r="Y19" i="18" s="1"/>
  <c r="R28" i="18"/>
  <c r="S28" i="18" s="1"/>
  <c r="Y28" i="18" s="1"/>
  <c r="U9" i="18"/>
  <c r="R13" i="18"/>
  <c r="S13" i="18" s="1"/>
  <c r="Y13" i="18" s="1"/>
  <c r="W13" i="18"/>
  <c r="R8" i="18"/>
  <c r="R11" i="18"/>
  <c r="W12" i="18"/>
  <c r="R26" i="18"/>
  <c r="S26" i="18" s="1"/>
  <c r="W17" i="18"/>
  <c r="E24" i="18"/>
  <c r="R22" i="18"/>
  <c r="F15" i="18"/>
  <c r="J15" i="18"/>
  <c r="N15" i="18"/>
  <c r="R17" i="18"/>
  <c r="Y32" i="18"/>
  <c r="C15" i="18"/>
  <c r="G15" i="18"/>
  <c r="K15" i="18"/>
  <c r="O15" i="18"/>
  <c r="V15" i="18"/>
  <c r="R12" i="18"/>
  <c r="S12" i="18" s="1"/>
  <c r="R23" i="18"/>
  <c r="S23" i="18" s="1"/>
  <c r="R27" i="18"/>
  <c r="S27" i="18" s="1"/>
  <c r="AA27" i="18" s="1"/>
  <c r="W28" i="18"/>
  <c r="W32" i="18"/>
  <c r="E15" i="18"/>
  <c r="W22" i="18"/>
  <c r="F46" i="25" l="1"/>
  <c r="AA13" i="18"/>
  <c r="M30" i="18"/>
  <c r="M34" i="18" s="1"/>
  <c r="E57" i="25"/>
  <c r="D11" i="25" s="1"/>
  <c r="F57" i="25"/>
  <c r="E78" i="25"/>
  <c r="E80" i="25"/>
  <c r="U30" i="18"/>
  <c r="U34" i="18" s="1"/>
  <c r="AA14" i="18"/>
  <c r="N30" i="18"/>
  <c r="N34" i="18" s="1"/>
  <c r="V30" i="18"/>
  <c r="V34" i="18" s="1"/>
  <c r="Q30" i="18"/>
  <c r="Q34" i="18" s="1"/>
  <c r="X19" i="18"/>
  <c r="Z19" i="18" s="1"/>
  <c r="J30" i="18"/>
  <c r="J34" i="18" s="1"/>
  <c r="X14" i="18"/>
  <c r="Z14" i="18" s="1"/>
  <c r="O30" i="18"/>
  <c r="O34" i="18" s="1"/>
  <c r="F30" i="18"/>
  <c r="F34" i="18" s="1"/>
  <c r="X28" i="18"/>
  <c r="Z28" i="18" s="1"/>
  <c r="Y14" i="18"/>
  <c r="K30" i="18"/>
  <c r="K34" i="18" s="1"/>
  <c r="W15" i="18"/>
  <c r="P30" i="18"/>
  <c r="P34" i="18" s="1"/>
  <c r="F58" i="25"/>
  <c r="J23" i="25" s="1"/>
  <c r="D23" i="25"/>
  <c r="I18" i="25"/>
  <c r="I14" i="25"/>
  <c r="I15" i="25"/>
  <c r="I11" i="25"/>
  <c r="I23" i="25"/>
  <c r="I8" i="25"/>
  <c r="I17" i="25"/>
  <c r="I16" i="25"/>
  <c r="I9" i="25"/>
  <c r="I13" i="25"/>
  <c r="I10" i="25"/>
  <c r="I12" i="25"/>
  <c r="E58" i="25"/>
  <c r="E7" i="25" s="1"/>
  <c r="G30" i="18"/>
  <c r="G34" i="18" s="1"/>
  <c r="J11" i="25"/>
  <c r="J15" i="25"/>
  <c r="J16" i="25"/>
  <c r="B20" i="25"/>
  <c r="B22" i="25"/>
  <c r="J7" i="25"/>
  <c r="I7" i="25"/>
  <c r="E30" i="18"/>
  <c r="E34" i="18" s="1"/>
  <c r="C30" i="18"/>
  <c r="C34" i="18" s="1"/>
  <c r="J13" i="25"/>
  <c r="J12" i="25"/>
  <c r="L30" i="18"/>
  <c r="L34" i="18" s="1"/>
  <c r="H30" i="18"/>
  <c r="H34" i="18" s="1"/>
  <c r="D30" i="18"/>
  <c r="D34" i="18" s="1"/>
  <c r="X18" i="18"/>
  <c r="Z18" i="18" s="1"/>
  <c r="AA19" i="18"/>
  <c r="X13" i="18"/>
  <c r="Z13" i="18" s="1"/>
  <c r="AA18" i="18"/>
  <c r="AA28" i="18"/>
  <c r="W20" i="18"/>
  <c r="S11" i="18"/>
  <c r="R15" i="18"/>
  <c r="X27" i="18"/>
  <c r="Z27" i="18" s="1"/>
  <c r="Y27" i="18"/>
  <c r="Y26" i="18"/>
  <c r="X26" i="18"/>
  <c r="Z26" i="18" s="1"/>
  <c r="X23" i="18"/>
  <c r="Z23" i="18" s="1"/>
  <c r="Y23" i="18"/>
  <c r="W24" i="18"/>
  <c r="AA32" i="18"/>
  <c r="X32" i="18"/>
  <c r="Z32" i="18" s="1"/>
  <c r="AA26" i="18"/>
  <c r="R20" i="18"/>
  <c r="S17" i="18"/>
  <c r="Y12" i="18"/>
  <c r="X12" i="18"/>
  <c r="Z12" i="18" s="1"/>
  <c r="R24" i="18"/>
  <c r="S22" i="18"/>
  <c r="AA22" i="18" s="1"/>
  <c r="AA12" i="18"/>
  <c r="AA23" i="18"/>
  <c r="R9" i="18"/>
  <c r="S8" i="18"/>
  <c r="D9" i="25" l="1"/>
  <c r="J9" i="25"/>
  <c r="J18" i="25"/>
  <c r="D8" i="25"/>
  <c r="D14" i="25"/>
  <c r="D16" i="25"/>
  <c r="D15" i="25"/>
  <c r="D12" i="25"/>
  <c r="D17" i="25"/>
  <c r="D18" i="25"/>
  <c r="D7" i="25"/>
  <c r="F7" i="25" s="1"/>
  <c r="D13" i="25"/>
  <c r="D10" i="25"/>
  <c r="K15" i="25"/>
  <c r="K12" i="25"/>
  <c r="K16" i="25"/>
  <c r="J8" i="25"/>
  <c r="J17" i="25"/>
  <c r="K17" i="25" s="1"/>
  <c r="J10" i="25"/>
  <c r="K10" i="25" s="1"/>
  <c r="J14" i="25"/>
  <c r="K14" i="25" s="1"/>
  <c r="K11" i="25"/>
  <c r="K13" i="25"/>
  <c r="K7" i="25"/>
  <c r="I20" i="25"/>
  <c r="I22" i="25"/>
  <c r="D22" i="25"/>
  <c r="E22" i="25"/>
  <c r="J22" i="25"/>
  <c r="E23" i="25"/>
  <c r="E15" i="25"/>
  <c r="E16" i="25"/>
  <c r="F16" i="25" s="1"/>
  <c r="E11" i="25"/>
  <c r="F11" i="25" s="1"/>
  <c r="E10" i="25"/>
  <c r="F10" i="25" s="1"/>
  <c r="E12" i="25"/>
  <c r="E9" i="25"/>
  <c r="E13" i="25"/>
  <c r="E8" i="25"/>
  <c r="E18" i="25"/>
  <c r="F18" i="25" s="1"/>
  <c r="E14" i="25"/>
  <c r="F14" i="25" s="1"/>
  <c r="E17" i="25"/>
  <c r="F17" i="25" s="1"/>
  <c r="K9" i="25"/>
  <c r="K23" i="25"/>
  <c r="K18" i="25"/>
  <c r="F9" i="25"/>
  <c r="F23" i="25"/>
  <c r="R30" i="18"/>
  <c r="R34" i="18" s="1"/>
  <c r="S15" i="18"/>
  <c r="X11" i="18"/>
  <c r="Y11" i="18"/>
  <c r="AA11" i="18"/>
  <c r="Y22" i="18"/>
  <c r="X22" i="18"/>
  <c r="S24" i="18"/>
  <c r="Y24" i="18" s="1"/>
  <c r="Y17" i="18"/>
  <c r="X17" i="18"/>
  <c r="S20" i="18"/>
  <c r="Y20" i="18" s="1"/>
  <c r="AA17" i="18"/>
  <c r="S9" i="18"/>
  <c r="Y8" i="18"/>
  <c r="X8" i="18"/>
  <c r="AA8" i="18"/>
  <c r="W30" i="18"/>
  <c r="D20" i="25" l="1"/>
  <c r="L9" i="25"/>
  <c r="M9" i="25" s="1"/>
  <c r="F8" i="25"/>
  <c r="F13" i="25"/>
  <c r="L13" i="25" s="1"/>
  <c r="M13" i="25" s="1"/>
  <c r="L16" i="25"/>
  <c r="M16" i="25" s="1"/>
  <c r="L23" i="25"/>
  <c r="M23" i="25" s="1"/>
  <c r="E20" i="25"/>
  <c r="F15" i="25"/>
  <c r="L15" i="25" s="1"/>
  <c r="M15" i="25" s="1"/>
  <c r="F22" i="25"/>
  <c r="J20" i="25"/>
  <c r="K8" i="25"/>
  <c r="L8" i="25" s="1"/>
  <c r="M8" i="25" s="1"/>
  <c r="L17" i="25"/>
  <c r="M17" i="25" s="1"/>
  <c r="L14" i="25"/>
  <c r="M14" i="25" s="1"/>
  <c r="L10" i="25"/>
  <c r="M10" i="25" s="1"/>
  <c r="K22" i="25"/>
  <c r="L22" i="25" s="1"/>
  <c r="M22" i="25" s="1"/>
  <c r="F12" i="25"/>
  <c r="L12" i="25" s="1"/>
  <c r="M12" i="25" s="1"/>
  <c r="L11" i="25"/>
  <c r="M11" i="25" s="1"/>
  <c r="L18" i="25"/>
  <c r="M18" i="25" s="1"/>
  <c r="L7" i="25"/>
  <c r="M7" i="25" s="1"/>
  <c r="AA20" i="18"/>
  <c r="AA24" i="18"/>
  <c r="X9" i="18"/>
  <c r="Z8" i="18"/>
  <c r="X24" i="18"/>
  <c r="Z24" i="18" s="1"/>
  <c r="Z22" i="18"/>
  <c r="X15" i="18"/>
  <c r="Z15" i="18" s="1"/>
  <c r="Z11" i="18"/>
  <c r="S30" i="18"/>
  <c r="AA30" i="18" s="1"/>
  <c r="Y9" i="18"/>
  <c r="AA9" i="18"/>
  <c r="W34" i="18"/>
  <c r="Z17" i="18"/>
  <c r="X20" i="18"/>
  <c r="Z20" i="18" s="1"/>
  <c r="Y15" i="18"/>
  <c r="AA15" i="18"/>
  <c r="K20" i="25" l="1"/>
  <c r="F20" i="25"/>
  <c r="L20" i="25"/>
  <c r="M20" i="25" s="1"/>
  <c r="Y30" i="18"/>
  <c r="S34" i="18"/>
  <c r="AA34" i="18" s="1"/>
  <c r="Z9" i="18"/>
  <c r="X30" i="18"/>
  <c r="X34" i="18" l="1"/>
  <c r="Z30" i="18"/>
  <c r="Y34" i="18"/>
  <c r="Z34" i="18" l="1"/>
  <c r="M27" i="21" l="1"/>
  <c r="M24" i="21"/>
  <c r="M21" i="21"/>
  <c r="L21" i="21"/>
  <c r="M17" i="21"/>
  <c r="L17" i="21"/>
  <c r="M15" i="21"/>
  <c r="L15" i="21"/>
  <c r="M13" i="21"/>
  <c r="L13" i="21"/>
  <c r="N17" i="24"/>
  <c r="N16" i="24"/>
  <c r="N15" i="24"/>
  <c r="N14" i="24"/>
  <c r="N13" i="24"/>
  <c r="N12" i="24"/>
  <c r="N11" i="24"/>
  <c r="M17" i="24"/>
  <c r="M16" i="24"/>
  <c r="M15" i="24"/>
  <c r="M14" i="24"/>
  <c r="M13" i="24"/>
  <c r="M12" i="24"/>
  <c r="M11" i="24"/>
  <c r="J11" i="24"/>
  <c r="J17" i="24"/>
  <c r="J16" i="24"/>
  <c r="J15" i="24"/>
  <c r="J14" i="24"/>
  <c r="J13" i="24"/>
  <c r="J12" i="24"/>
  <c r="N18" i="24" l="1"/>
  <c r="N19" i="24" s="1"/>
  <c r="M29" i="21" l="1"/>
  <c r="L29" i="21"/>
  <c r="R27" i="21"/>
  <c r="Q26" i="21"/>
  <c r="R24" i="21"/>
  <c r="Q23" i="21"/>
  <c r="R21" i="21"/>
  <c r="Q21" i="21"/>
  <c r="R17" i="21"/>
  <c r="Q17" i="21"/>
  <c r="R15" i="21"/>
  <c r="Q15" i="21"/>
  <c r="R13" i="21"/>
  <c r="Q13" i="21"/>
  <c r="A4" i="21"/>
  <c r="A1" i="21"/>
  <c r="A2" i="21"/>
  <c r="A13" i="21" l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P27" i="21"/>
  <c r="O26" i="21"/>
  <c r="P24" i="21"/>
  <c r="O23" i="21"/>
  <c r="P21" i="21"/>
  <c r="O21" i="21"/>
  <c r="T19" i="21"/>
  <c r="P17" i="21"/>
  <c r="O17" i="21"/>
  <c r="P15" i="21"/>
  <c r="O15" i="21"/>
  <c r="P13" i="21"/>
  <c r="O13" i="21"/>
  <c r="B64" i="23"/>
  <c r="B65" i="23"/>
  <c r="B63" i="23"/>
  <c r="B61" i="23"/>
  <c r="B60" i="23"/>
  <c r="B59" i="23"/>
  <c r="B62" i="23"/>
  <c r="B39" i="23"/>
  <c r="B33" i="23"/>
  <c r="B28" i="23"/>
  <c r="B27" i="23"/>
  <c r="B24" i="23"/>
  <c r="C5" i="23"/>
  <c r="P29" i="21" l="1"/>
  <c r="T21" i="21"/>
  <c r="R29" i="21"/>
  <c r="O29" i="21"/>
  <c r="Q29" i="21"/>
  <c r="B58" i="23"/>
  <c r="B56" i="23"/>
  <c r="C33" i="23"/>
  <c r="C39" i="23"/>
  <c r="D5" i="23"/>
  <c r="B29" i="23"/>
  <c r="D33" i="23" l="1"/>
  <c r="D39" i="23"/>
  <c r="E5" i="23"/>
  <c r="D64" i="23" l="1"/>
  <c r="C64" i="23"/>
  <c r="E39" i="23"/>
  <c r="E33" i="23"/>
  <c r="F5" i="23"/>
  <c r="D28" i="23"/>
  <c r="F39" i="23" l="1"/>
  <c r="F33" i="23"/>
  <c r="G5" i="23"/>
  <c r="G33" i="23" l="1"/>
  <c r="H5" i="23"/>
  <c r="G39" i="23"/>
  <c r="H33" i="23" l="1"/>
  <c r="H39" i="23"/>
  <c r="I5" i="23"/>
  <c r="I39" i="23" l="1"/>
  <c r="I33" i="23"/>
  <c r="J5" i="23"/>
  <c r="J39" i="23" l="1"/>
  <c r="J33" i="23"/>
  <c r="K5" i="23"/>
  <c r="K33" i="23" l="1"/>
  <c r="K39" i="23"/>
  <c r="L5" i="23"/>
  <c r="L33" i="23" l="1"/>
  <c r="L39" i="23"/>
  <c r="M5" i="23"/>
  <c r="M39" i="23" l="1"/>
  <c r="N5" i="23"/>
  <c r="M33" i="23"/>
  <c r="N39" i="23" l="1"/>
  <c r="N33" i="23"/>
  <c r="O5" i="23"/>
  <c r="O33" i="23" l="1"/>
  <c r="O39" i="23"/>
  <c r="P5" i="23"/>
  <c r="P33" i="23" l="1"/>
  <c r="P39" i="23"/>
  <c r="Q5" i="23"/>
  <c r="Q39" i="23" l="1"/>
  <c r="Q33" i="23"/>
  <c r="R5" i="23"/>
  <c r="R39" i="23" l="1"/>
  <c r="R33" i="23"/>
  <c r="S5" i="23"/>
  <c r="S39" i="23" l="1"/>
  <c r="S33" i="23"/>
  <c r="T5" i="23"/>
  <c r="T39" i="23" l="1"/>
  <c r="T33" i="23"/>
  <c r="U5" i="23"/>
  <c r="U39" i="23" l="1"/>
  <c r="U33" i="23"/>
  <c r="V5" i="23"/>
  <c r="V39" i="23" l="1"/>
  <c r="V33" i="23"/>
  <c r="W5" i="23"/>
  <c r="W39" i="23" l="1"/>
  <c r="W33" i="23"/>
  <c r="X5" i="23"/>
  <c r="X39" i="23" l="1"/>
  <c r="X33" i="23"/>
  <c r="Y5" i="23"/>
  <c r="Y39" i="23" l="1"/>
  <c r="Y33" i="23"/>
  <c r="Z5" i="23"/>
  <c r="Z39" i="23" l="1"/>
  <c r="Z33" i="23"/>
  <c r="AA5" i="23"/>
  <c r="AA39" i="23" l="1"/>
  <c r="AA33" i="23"/>
  <c r="AB5" i="23"/>
  <c r="AB39" i="23" l="1"/>
  <c r="AB33" i="23"/>
  <c r="AC5" i="23"/>
  <c r="AC33" i="23" l="1"/>
  <c r="AD5" i="23"/>
  <c r="AC39" i="23"/>
  <c r="AD39" i="23" l="1"/>
  <c r="AD33" i="23"/>
  <c r="AE5" i="23"/>
  <c r="AE39" i="23" l="1"/>
  <c r="AE33" i="23"/>
  <c r="AF5" i="23"/>
  <c r="AF39" i="23" l="1"/>
  <c r="AF33" i="23"/>
  <c r="AG5" i="23"/>
  <c r="AG39" i="23" l="1"/>
  <c r="AG33" i="23"/>
  <c r="AH5" i="23"/>
  <c r="AH39" i="23" l="1"/>
  <c r="AH33" i="23"/>
  <c r="AI5" i="23"/>
  <c r="AI39" i="23" l="1"/>
  <c r="AI33" i="23"/>
  <c r="AJ5" i="23"/>
  <c r="AJ39" i="23" l="1"/>
  <c r="AJ33" i="23"/>
  <c r="AK5" i="23"/>
  <c r="AK33" i="23" l="1"/>
  <c r="AK39" i="23"/>
  <c r="AL5" i="23"/>
  <c r="AL39" i="23" l="1"/>
  <c r="AL33" i="23"/>
  <c r="AM5" i="23"/>
  <c r="AM39" i="23" l="1"/>
  <c r="AM33" i="23"/>
  <c r="AN5" i="23"/>
  <c r="AN39" i="23" l="1"/>
  <c r="AN33" i="23"/>
  <c r="AO5" i="23"/>
  <c r="AO39" i="23" l="1"/>
  <c r="AO33" i="23"/>
  <c r="AP5" i="23"/>
  <c r="AP39" i="23" l="1"/>
  <c r="AP33" i="23"/>
  <c r="AQ5" i="23"/>
  <c r="AQ39" i="23" l="1"/>
  <c r="AQ33" i="23"/>
  <c r="AR5" i="23"/>
  <c r="AR39" i="23" l="1"/>
  <c r="AR33" i="23"/>
  <c r="AS5" i="23"/>
  <c r="AS39" i="23" l="1"/>
  <c r="AT5" i="23"/>
  <c r="AS33" i="23"/>
  <c r="AT39" i="23" l="1"/>
  <c r="AT33" i="23"/>
  <c r="AU5" i="23"/>
  <c r="AU39" i="23" l="1"/>
  <c r="AU33" i="23"/>
  <c r="AV5" i="23"/>
  <c r="AV39" i="23" l="1"/>
  <c r="AV33" i="23"/>
  <c r="AW5" i="23"/>
  <c r="AW39" i="23" l="1"/>
  <c r="AW33" i="23"/>
  <c r="AX5" i="23"/>
  <c r="AX39" i="23" l="1"/>
  <c r="AX33" i="23"/>
  <c r="AY5" i="23"/>
  <c r="AY39" i="23" l="1"/>
  <c r="AY33" i="23"/>
  <c r="AZ5" i="23"/>
  <c r="AZ39" i="23" l="1"/>
  <c r="AZ33" i="23"/>
  <c r="BA5" i="23"/>
  <c r="BA39" i="23" l="1"/>
  <c r="BA33" i="23"/>
  <c r="BB5" i="23"/>
  <c r="BB39" i="23" l="1"/>
  <c r="BB33" i="23"/>
  <c r="BC5" i="23"/>
  <c r="BC39" i="23" l="1"/>
  <c r="BC33" i="23"/>
  <c r="BD5" i="23"/>
  <c r="BD39" i="23" l="1"/>
  <c r="BD33" i="23"/>
  <c r="BE5" i="23"/>
  <c r="BE39" i="23" l="1"/>
  <c r="BE33" i="23"/>
  <c r="BF5" i="23"/>
  <c r="BF33" i="23" l="1"/>
  <c r="BF39" i="23"/>
  <c r="BG5" i="23"/>
  <c r="BG39" i="23" l="1"/>
  <c r="BG33" i="23"/>
  <c r="BH5" i="23"/>
  <c r="BH39" i="23" l="1"/>
  <c r="BH33" i="23"/>
  <c r="BI5" i="23"/>
  <c r="BI39" i="23" l="1"/>
  <c r="BI33" i="23"/>
  <c r="BJ5" i="23"/>
  <c r="BJ39" i="23" l="1"/>
  <c r="BJ33" i="23"/>
  <c r="BK5" i="23"/>
  <c r="BK39" i="23" l="1"/>
  <c r="BK33" i="23"/>
  <c r="BL5" i="23"/>
  <c r="BL39" i="23" l="1"/>
  <c r="BL33" i="23"/>
  <c r="BM5" i="23"/>
  <c r="BM39" i="23" l="1"/>
  <c r="BM33" i="23"/>
  <c r="BN5" i="23"/>
  <c r="BN39" i="23" l="1"/>
  <c r="BN33" i="23"/>
  <c r="BO5" i="23"/>
  <c r="BO39" i="23" l="1"/>
  <c r="BO33" i="23"/>
  <c r="BP5" i="23"/>
  <c r="BP39" i="23" l="1"/>
  <c r="BP33" i="23"/>
  <c r="BQ5" i="23"/>
  <c r="BQ39" i="23" l="1"/>
  <c r="BQ33" i="23"/>
  <c r="BR5" i="23"/>
  <c r="BR39" i="23" l="1"/>
  <c r="BR33" i="23"/>
  <c r="BS5" i="23"/>
  <c r="BS39" i="23" l="1"/>
  <c r="BS33" i="23"/>
  <c r="BT5" i="23"/>
  <c r="BT39" i="23" l="1"/>
  <c r="BT33" i="23"/>
  <c r="BU5" i="23"/>
  <c r="BU39" i="23" l="1"/>
  <c r="BU33" i="23"/>
  <c r="C28" i="23" l="1"/>
  <c r="D27" i="23" l="1"/>
  <c r="C27" i="23"/>
  <c r="D29" i="23" l="1"/>
  <c r="C29" i="23"/>
  <c r="D25" i="23" l="1"/>
  <c r="C25" i="23"/>
  <c r="B26" i="23"/>
  <c r="D26" i="23" l="1"/>
  <c r="C26" i="23"/>
  <c r="B25" i="23"/>
  <c r="B22" i="23"/>
  <c r="D59" i="23" l="1"/>
  <c r="C59" i="23"/>
  <c r="D58" i="23"/>
  <c r="D63" i="23"/>
  <c r="C58" i="23"/>
  <c r="C63" i="23"/>
  <c r="C60" i="23"/>
  <c r="D62" i="23"/>
  <c r="D60" i="23"/>
  <c r="C61" i="23" l="1"/>
  <c r="C65" i="23"/>
  <c r="D65" i="23"/>
  <c r="C62" i="23"/>
  <c r="D61" i="23"/>
  <c r="E59" i="23"/>
  <c r="E63" i="23"/>
  <c r="E60" i="23"/>
  <c r="E64" i="23"/>
  <c r="AH59" i="23" l="1"/>
  <c r="U58" i="23"/>
  <c r="BN63" i="23"/>
  <c r="BS61" i="23"/>
  <c r="Q58" i="23"/>
  <c r="AR64" i="23"/>
  <c r="AA63" i="23"/>
  <c r="BI63" i="23"/>
  <c r="AL59" i="23"/>
  <c r="BR59" i="23"/>
  <c r="AF65" i="23"/>
  <c r="BB61" i="23"/>
  <c r="T58" i="23"/>
  <c r="BL60" i="23"/>
  <c r="AU65" i="23"/>
  <c r="BO64" i="23"/>
  <c r="O60" i="23"/>
  <c r="AS62" i="23"/>
  <c r="BM63" i="23"/>
  <c r="BI62" i="23"/>
  <c r="Q65" i="23"/>
  <c r="BC61" i="23"/>
  <c r="G61" i="23"/>
  <c r="BM60" i="23"/>
  <c r="BB59" i="23"/>
  <c r="V61" i="23"/>
  <c r="L64" i="23"/>
  <c r="M63" i="23"/>
  <c r="AW58" i="23"/>
  <c r="F61" i="23"/>
  <c r="BA61" i="23"/>
  <c r="AC62" i="23"/>
  <c r="AM60" i="23"/>
  <c r="BM58" i="23"/>
  <c r="Z63" i="23"/>
  <c r="BP64" i="23"/>
  <c r="AR60" i="23"/>
  <c r="BO63" i="23"/>
  <c r="AC58" i="23"/>
  <c r="BQ58" i="23"/>
  <c r="N60" i="23"/>
  <c r="AR58" i="23"/>
  <c r="BT61" i="23"/>
  <c r="BR56" i="23"/>
  <c r="AI59" i="23"/>
  <c r="AM59" i="23"/>
  <c r="I59" i="23"/>
  <c r="BA59" i="23"/>
  <c r="Y63" i="23"/>
  <c r="X58" i="23"/>
  <c r="AT60" i="23"/>
  <c r="S61" i="23"/>
  <c r="AS65" i="23"/>
  <c r="BI61" i="23"/>
  <c r="AF59" i="23"/>
  <c r="BI60" i="23"/>
  <c r="AN59" i="23"/>
  <c r="BL59" i="23"/>
  <c r="AE63" i="23"/>
  <c r="BH60" i="23"/>
  <c r="AK64" i="23"/>
  <c r="BL64" i="23"/>
  <c r="BR64" i="23"/>
  <c r="I64" i="23"/>
  <c r="F64" i="23"/>
  <c r="BL58" i="23"/>
  <c r="AY63" i="23"/>
  <c r="AM63" i="23"/>
  <c r="AB58" i="23"/>
  <c r="AQ62" i="23"/>
  <c r="AF60" i="23"/>
  <c r="AX63" i="23"/>
  <c r="AL63" i="23"/>
  <c r="Z58" i="23"/>
  <c r="AG59" i="23"/>
  <c r="Y59" i="23"/>
  <c r="Q59" i="23"/>
  <c r="BM64" i="23"/>
  <c r="BC64" i="23"/>
  <c r="X64" i="23"/>
  <c r="M64" i="23"/>
  <c r="L60" i="23"/>
  <c r="AP58" i="23"/>
  <c r="AG60" i="23"/>
  <c r="AB56" i="23"/>
  <c r="BA58" i="23"/>
  <c r="AO58" i="23"/>
  <c r="O63" i="23"/>
  <c r="H63" i="23"/>
  <c r="BJ65" i="23"/>
  <c r="BH61" i="23"/>
  <c r="AL65" i="23"/>
  <c r="R65" i="23"/>
  <c r="AW59" i="23"/>
  <c r="BK60" i="23"/>
  <c r="BD63" i="23"/>
  <c r="X61" i="23"/>
  <c r="BG59" i="23"/>
  <c r="BO60" i="23"/>
  <c r="M61" i="23"/>
  <c r="AI58" i="23"/>
  <c r="AB59" i="23"/>
  <c r="Z64" i="23"/>
  <c r="AZ61" i="23"/>
  <c r="BK59" i="23"/>
  <c r="BS60" i="23"/>
  <c r="BT64" i="23"/>
  <c r="P61" i="23"/>
  <c r="AS59" i="23"/>
  <c r="BG60" i="23"/>
  <c r="AZ63" i="23"/>
  <c r="N59" i="23"/>
  <c r="C56" i="23"/>
  <c r="AG58" i="23"/>
  <c r="F59" i="23"/>
  <c r="H61" i="23"/>
  <c r="BN60" i="23"/>
  <c r="W61" i="23"/>
  <c r="AM61" i="23"/>
  <c r="P59" i="23"/>
  <c r="BJ59" i="23"/>
  <c r="AK58" i="23"/>
  <c r="AK61" i="23"/>
  <c r="AS64" i="23"/>
  <c r="AE64" i="23"/>
  <c r="AH60" i="23"/>
  <c r="O58" i="23"/>
  <c r="AP64" i="23"/>
  <c r="AH64" i="23"/>
  <c r="AB64" i="23"/>
  <c r="V64" i="23"/>
  <c r="AP63" i="23"/>
  <c r="AB60" i="23"/>
  <c r="BA63" i="23"/>
  <c r="AA59" i="23"/>
  <c r="BA64" i="23"/>
  <c r="BS64" i="23"/>
  <c r="P60" i="23"/>
  <c r="AS58" i="23"/>
  <c r="AS60" i="23"/>
  <c r="BR58" i="23"/>
  <c r="BE59" i="23"/>
  <c r="BP63" i="23"/>
  <c r="AY60" i="23"/>
  <c r="AJ61" i="23"/>
  <c r="BC60" i="23"/>
  <c r="BH58" i="23"/>
  <c r="Z59" i="23"/>
  <c r="AI63" i="23"/>
  <c r="BE63" i="23"/>
  <c r="AI61" i="23"/>
  <c r="AY61" i="23"/>
  <c r="BO61" i="23"/>
  <c r="BN61" i="23"/>
  <c r="T59" i="23"/>
  <c r="AD63" i="23"/>
  <c r="BB58" i="23"/>
  <c r="G59" i="23"/>
  <c r="BD59" i="23"/>
  <c r="R61" i="23"/>
  <c r="AB65" i="23"/>
  <c r="BJ61" i="23"/>
  <c r="F60" i="23"/>
  <c r="P63" i="23"/>
  <c r="AN58" i="23"/>
  <c r="L65" i="23"/>
  <c r="AW61" i="23"/>
  <c r="AY64" i="23"/>
  <c r="O64" i="23"/>
  <c r="K64" i="23"/>
  <c r="BJ63" i="23"/>
  <c r="L58" i="23"/>
  <c r="F63" i="23"/>
  <c r="AA60" i="23"/>
  <c r="H60" i="23"/>
  <c r="W63" i="23"/>
  <c r="AA58" i="23"/>
  <c r="BT63" i="23"/>
  <c r="O61" i="23"/>
  <c r="AE61" i="23"/>
  <c r="AU61" i="23"/>
  <c r="BK61" i="23"/>
  <c r="BM61" i="23"/>
  <c r="AQ64" i="23"/>
  <c r="BQ64" i="23"/>
  <c r="X59" i="23"/>
  <c r="U63" i="23"/>
  <c r="AG63" i="23"/>
  <c r="BC63" i="23"/>
  <c r="I60" i="23"/>
  <c r="K59" i="23"/>
  <c r="I65" i="23"/>
  <c r="BE60" i="23"/>
  <c r="BU60" i="23"/>
  <c r="AP59" i="23"/>
  <c r="AX59" i="23"/>
  <c r="BF59" i="23"/>
  <c r="BN59" i="23"/>
  <c r="N61" i="23"/>
  <c r="AD61" i="23"/>
  <c r="AT61" i="23"/>
  <c r="BK65" i="23"/>
  <c r="J64" i="23"/>
  <c r="BE64" i="23"/>
  <c r="S63" i="23"/>
  <c r="AQ58" i="23"/>
  <c r="BB63" i="23"/>
  <c r="J60" i="23"/>
  <c r="L59" i="23"/>
  <c r="BD60" i="23"/>
  <c r="BT60" i="23"/>
  <c r="AC61" i="23"/>
  <c r="AM65" i="23"/>
  <c r="AS61" i="23"/>
  <c r="BC65" i="23"/>
  <c r="U64" i="23"/>
  <c r="W64" i="23"/>
  <c r="N64" i="23"/>
  <c r="G60" i="23"/>
  <c r="N63" i="23"/>
  <c r="AP60" i="23"/>
  <c r="Z60" i="23"/>
  <c r="N58" i="23"/>
  <c r="AP56" i="23"/>
  <c r="AE60" i="23"/>
  <c r="T56" i="23"/>
  <c r="AF63" i="23"/>
  <c r="G63" i="23"/>
  <c r="BI64" i="23"/>
  <c r="Q64" i="23"/>
  <c r="BB64" i="23"/>
  <c r="AM64" i="23"/>
  <c r="Q60" i="23"/>
  <c r="BH63" i="23"/>
  <c r="AV63" i="23"/>
  <c r="AJ63" i="23"/>
  <c r="Y58" i="23"/>
  <c r="AJ60" i="23"/>
  <c r="BU63" i="23"/>
  <c r="AU63" i="23"/>
  <c r="V63" i="23"/>
  <c r="J63" i="23"/>
  <c r="I58" i="23"/>
  <c r="AE59" i="23"/>
  <c r="W59" i="23"/>
  <c r="O59" i="23"/>
  <c r="AC64" i="23"/>
  <c r="BH64" i="23"/>
  <c r="AG64" i="23"/>
  <c r="Y64" i="23"/>
  <c r="R64" i="23"/>
  <c r="BK58" i="23"/>
  <c r="AY58" i="23"/>
  <c r="AM58" i="23"/>
  <c r="AA56" i="23"/>
  <c r="AK60" i="23"/>
  <c r="U60" i="23"/>
  <c r="E62" i="23"/>
  <c r="AX58" i="23"/>
  <c r="AL58" i="23"/>
  <c r="L63" i="23"/>
  <c r="H58" i="23"/>
  <c r="BP61" i="23"/>
  <c r="BR65" i="23"/>
  <c r="BB65" i="23"/>
  <c r="BU59" i="23"/>
  <c r="AO59" i="23"/>
  <c r="E61" i="23"/>
  <c r="AN61" i="23"/>
  <c r="T61" i="23"/>
  <c r="AY59" i="23"/>
  <c r="G65" i="23"/>
  <c r="BC58" i="23"/>
  <c r="R59" i="23"/>
  <c r="AT65" i="23"/>
  <c r="BC59" i="23"/>
  <c r="BN58" i="23"/>
  <c r="AF61" i="23"/>
  <c r="BQ59" i="23"/>
  <c r="AK59" i="23"/>
  <c r="S62" i="23"/>
  <c r="AT63" i="23"/>
  <c r="S64" i="23"/>
  <c r="BU61" i="23"/>
  <c r="AL64" i="23"/>
  <c r="AZ64" i="23"/>
  <c r="AX60" i="23"/>
  <c r="BM65" i="23"/>
  <c r="BL63" i="23"/>
  <c r="P58" i="23"/>
  <c r="AW60" i="23"/>
  <c r="AT59" i="23"/>
  <c r="AL61" i="23"/>
  <c r="AV60" i="23"/>
  <c r="BG62" i="23"/>
  <c r="U61" i="23"/>
  <c r="T63" i="23"/>
  <c r="G58" i="23"/>
  <c r="W60" i="23"/>
  <c r="J58" i="23"/>
  <c r="BO58" i="23"/>
  <c r="AE58" i="23"/>
  <c r="K60" i="23"/>
  <c r="AO63" i="23"/>
  <c r="S59" i="23"/>
  <c r="AX64" i="23"/>
  <c r="AI64" i="23"/>
  <c r="BE58" i="23"/>
  <c r="U56" i="23"/>
  <c r="AC60" i="23"/>
  <c r="BF58" i="23"/>
  <c r="R63" i="23"/>
  <c r="AR61" i="23"/>
  <c r="AU60" i="23"/>
  <c r="BO59" i="23"/>
  <c r="AN63" i="23"/>
  <c r="AO64" i="23"/>
  <c r="BS59" i="23"/>
  <c r="BS65" i="23"/>
  <c r="BN56" i="23"/>
  <c r="K65" i="23"/>
  <c r="BU56" i="23"/>
  <c r="BK64" i="23"/>
  <c r="L56" i="23"/>
  <c r="J59" i="23"/>
  <c r="BJ60" i="23"/>
  <c r="AB63" i="23"/>
  <c r="AW64" i="23"/>
  <c r="S58" i="23"/>
  <c r="BD62" i="23"/>
  <c r="AV59" i="23"/>
  <c r="BT59" i="23"/>
  <c r="AH61" i="23"/>
  <c r="AX61" i="23"/>
  <c r="AV64" i="23"/>
  <c r="AD59" i="23"/>
  <c r="AZ58" i="23"/>
  <c r="H59" i="23"/>
  <c r="BS62" i="23"/>
  <c r="Q61" i="23"/>
  <c r="AG61" i="23"/>
  <c r="Q63" i="23"/>
  <c r="AL60" i="23"/>
  <c r="V60" i="23"/>
  <c r="AW56" i="23"/>
  <c r="AQ60" i="23"/>
  <c r="BJ58" i="23"/>
  <c r="K56" i="23"/>
  <c r="F58" i="23"/>
  <c r="N62" i="23"/>
  <c r="BI58" i="23"/>
  <c r="BF60" i="23"/>
  <c r="AA64" i="23"/>
  <c r="AN64" i="23"/>
  <c r="AD58" i="23"/>
  <c r="BK63" i="23"/>
  <c r="F65" i="23"/>
  <c r="L61" i="23"/>
  <c r="BB60" i="23"/>
  <c r="BM62" i="23"/>
  <c r="BR60" i="23"/>
  <c r="U65" i="23"/>
  <c r="AA61" i="23"/>
  <c r="AK65" i="23"/>
  <c r="AQ61" i="23"/>
  <c r="BA65" i="23"/>
  <c r="BG61" i="23"/>
  <c r="BH65" i="23"/>
  <c r="BR61" i="23"/>
  <c r="BQ61" i="23"/>
  <c r="BF64" i="23"/>
  <c r="M58" i="23"/>
  <c r="X63" i="23"/>
  <c r="M60" i="23"/>
  <c r="E65" i="23"/>
  <c r="K61" i="23"/>
  <c r="AV62" i="23"/>
  <c r="BA60" i="23"/>
  <c r="BQ60" i="23"/>
  <c r="AJ59" i="23"/>
  <c r="AR59" i="23"/>
  <c r="AZ59" i="23"/>
  <c r="BH59" i="23"/>
  <c r="BP59" i="23"/>
  <c r="Z61" i="23"/>
  <c r="AE56" i="23"/>
  <c r="AJ65" i="23"/>
  <c r="AP61" i="23"/>
  <c r="AZ65" i="23"/>
  <c r="BF61" i="23"/>
  <c r="BO65" i="23"/>
  <c r="BD58" i="23"/>
  <c r="P64" i="23"/>
  <c r="H64" i="23"/>
  <c r="AS63" i="23"/>
  <c r="BP58" i="23"/>
  <c r="J61" i="23"/>
  <c r="AZ60" i="23"/>
  <c r="BK62" i="23"/>
  <c r="BP60" i="23"/>
  <c r="S65" i="23"/>
  <c r="Y61" i="23"/>
  <c r="AO61" i="23"/>
  <c r="AY65" i="23"/>
  <c r="BE61" i="23"/>
  <c r="BJ64" i="23"/>
  <c r="AU64" i="23"/>
  <c r="S60" i="23"/>
  <c r="BS58" i="23"/>
  <c r="BG58" i="23"/>
  <c r="K63" i="23"/>
  <c r="AO62" i="23"/>
  <c r="AD60" i="23"/>
  <c r="Y56" i="23"/>
  <c r="BE56" i="23"/>
  <c r="R58" i="23"/>
  <c r="K58" i="23"/>
  <c r="AI60" i="23"/>
  <c r="P62" i="23"/>
  <c r="AC63" i="23"/>
  <c r="BU64" i="23"/>
  <c r="BG64" i="23"/>
  <c r="AJ64" i="23"/>
  <c r="T64" i="23"/>
  <c r="BQ63" i="23"/>
  <c r="AT58" i="23"/>
  <c r="AT56" i="23"/>
  <c r="AH58" i="23"/>
  <c r="AN60" i="23"/>
  <c r="X60" i="23"/>
  <c r="BR63" i="23"/>
  <c r="BF63" i="23"/>
  <c r="AR63" i="23"/>
  <c r="AF58" i="23"/>
  <c r="E58" i="23"/>
  <c r="AC59" i="23"/>
  <c r="U59" i="23"/>
  <c r="M59" i="23"/>
  <c r="AD64" i="23"/>
  <c r="BD64" i="23"/>
  <c r="BN64" i="23"/>
  <c r="G64" i="23"/>
  <c r="T60" i="23"/>
  <c r="BS63" i="23"/>
  <c r="BG63" i="23"/>
  <c r="AV58" i="23"/>
  <c r="AJ58" i="23"/>
  <c r="AO60" i="23"/>
  <c r="AJ62" i="23"/>
  <c r="Y60" i="23"/>
  <c r="R60" i="23"/>
  <c r="BU58" i="23"/>
  <c r="AU58" i="23"/>
  <c r="AH63" i="23"/>
  <c r="V58" i="23"/>
  <c r="I63" i="23"/>
  <c r="G56" i="23"/>
  <c r="BL61" i="23"/>
  <c r="BN65" i="23"/>
  <c r="AB61" i="23"/>
  <c r="BM59" i="23"/>
  <c r="BB62" i="23"/>
  <c r="O56" i="23"/>
  <c r="BD61" i="23"/>
  <c r="N65" i="23"/>
  <c r="AQ59" i="23"/>
  <c r="BF62" i="23"/>
  <c r="AW63" i="23"/>
  <c r="AT64" i="23"/>
  <c r="W58" i="23"/>
  <c r="W56" i="23"/>
  <c r="AU59" i="23"/>
  <c r="BJ62" i="23"/>
  <c r="I61" i="23"/>
  <c r="AK63" i="23"/>
  <c r="V59" i="23"/>
  <c r="AV61" i="23"/>
  <c r="Z65" i="23"/>
  <c r="BI59" i="23"/>
  <c r="BP56" i="23"/>
  <c r="BT58" i="23"/>
  <c r="AQ63" i="23"/>
  <c r="AF64" i="23"/>
  <c r="D56" i="23"/>
  <c r="BJ56" i="23" l="1"/>
  <c r="AH62" i="23"/>
  <c r="BH62" i="23"/>
  <c r="AR62" i="23"/>
  <c r="O65" i="23"/>
  <c r="H62" i="23"/>
  <c r="BT56" i="23"/>
  <c r="AV56" i="23"/>
  <c r="AF56" i="23"/>
  <c r="AZ56" i="23"/>
  <c r="H56" i="23"/>
  <c r="AF62" i="23"/>
  <c r="AY56" i="23"/>
  <c r="AE62" i="23"/>
  <c r="Z62" i="23"/>
  <c r="N56" i="23"/>
  <c r="AK62" i="23"/>
  <c r="W65" i="23"/>
  <c r="BO62" i="23"/>
  <c r="AQ56" i="23"/>
  <c r="BD65" i="23"/>
  <c r="X65" i="23"/>
  <c r="BP62" i="23"/>
  <c r="BU65" i="23"/>
  <c r="AO65" i="23"/>
  <c r="BA62" i="23"/>
  <c r="AG62" i="23"/>
  <c r="K62" i="23"/>
  <c r="AR65" i="23"/>
  <c r="BT62" i="23"/>
  <c r="M65" i="23"/>
  <c r="BB56" i="23"/>
  <c r="BE62" i="23"/>
  <c r="W62" i="23"/>
  <c r="I62" i="23"/>
  <c r="AK56" i="23"/>
  <c r="P65" i="23"/>
  <c r="AG56" i="23"/>
  <c r="AD62" i="23"/>
  <c r="Q62" i="23"/>
  <c r="BS56" i="23"/>
  <c r="AD56" i="23"/>
  <c r="F62" i="23"/>
  <c r="S56" i="23"/>
  <c r="BN62" i="23"/>
  <c r="BF56" i="23"/>
  <c r="BO56" i="23"/>
  <c r="AX56" i="23"/>
  <c r="AN56" i="23"/>
  <c r="BF65" i="23"/>
  <c r="AO56" i="23"/>
  <c r="BR62" i="23"/>
  <c r="BQ56" i="23"/>
  <c r="AX62" i="23"/>
  <c r="AH65" i="23"/>
  <c r="O62" i="23"/>
  <c r="V56" i="23"/>
  <c r="AU56" i="23"/>
  <c r="E56" i="23"/>
  <c r="AI62" i="23"/>
  <c r="AH56" i="23"/>
  <c r="R56" i="23"/>
  <c r="Y62" i="23"/>
  <c r="BG56" i="23"/>
  <c r="AI65" i="23"/>
  <c r="AU62" i="23"/>
  <c r="T65" i="23"/>
  <c r="BL62" i="23"/>
  <c r="M56" i="23"/>
  <c r="BQ65" i="23"/>
  <c r="AW62" i="23"/>
  <c r="BQ62" i="23"/>
  <c r="BI56" i="23"/>
  <c r="F56" i="23"/>
  <c r="BC62" i="23"/>
  <c r="BG65" i="23"/>
  <c r="J56" i="23"/>
  <c r="M62" i="23"/>
  <c r="AT62" i="23"/>
  <c r="BC56" i="23"/>
  <c r="AL56" i="23"/>
  <c r="BH56" i="23"/>
  <c r="AD65" i="23"/>
  <c r="AI56" i="23"/>
  <c r="BA56" i="23"/>
  <c r="J62" i="23"/>
  <c r="AB62" i="23"/>
  <c r="Z56" i="23"/>
  <c r="G62" i="23"/>
  <c r="AA62" i="23"/>
  <c r="AQ65" i="23"/>
  <c r="R62" i="23"/>
  <c r="BI65" i="23"/>
  <c r="AC65" i="23"/>
  <c r="AX65" i="23"/>
  <c r="V65" i="23"/>
  <c r="X62" i="23"/>
  <c r="AC56" i="23"/>
  <c r="AM62" i="23"/>
  <c r="BM56" i="23"/>
  <c r="BT65" i="23"/>
  <c r="AG65" i="23"/>
  <c r="AE65" i="23"/>
  <c r="Q56" i="23"/>
  <c r="AW65" i="23"/>
  <c r="AJ56" i="23"/>
  <c r="BD56" i="23"/>
  <c r="P56" i="23"/>
  <c r="AM56" i="23"/>
  <c r="BK56" i="23"/>
  <c r="I56" i="23"/>
  <c r="T62" i="23"/>
  <c r="AP62" i="23"/>
  <c r="U62" i="23"/>
  <c r="AY62" i="23"/>
  <c r="H65" i="23"/>
  <c r="BL65" i="23"/>
  <c r="AN65" i="23"/>
  <c r="AZ62" i="23"/>
  <c r="BP65" i="23"/>
  <c r="BE65" i="23"/>
  <c r="Y65" i="23"/>
  <c r="J65" i="23"/>
  <c r="V62" i="23"/>
  <c r="AL62" i="23"/>
  <c r="AA65" i="23"/>
  <c r="BU62" i="23"/>
  <c r="L62" i="23"/>
  <c r="AP65" i="23"/>
  <c r="AN62" i="23"/>
  <c r="AS56" i="23"/>
  <c r="AV65" i="23"/>
  <c r="BL56" i="23"/>
  <c r="X56" i="23"/>
  <c r="AR56" i="23"/>
  <c r="C24" i="23" l="1"/>
  <c r="C22" i="23"/>
  <c r="D22" i="23"/>
  <c r="D24" i="23"/>
  <c r="E28" i="23"/>
  <c r="K28" i="23"/>
  <c r="BE28" i="23"/>
  <c r="BM28" i="23"/>
  <c r="BU28" i="23"/>
  <c r="AM28" i="23"/>
  <c r="AU28" i="23"/>
  <c r="X28" i="23"/>
  <c r="M28" i="23"/>
  <c r="S28" i="23"/>
  <c r="AY28" i="23"/>
  <c r="BG28" i="23"/>
  <c r="BO28" i="23"/>
  <c r="AG28" i="23"/>
  <c r="AO28" i="23"/>
  <c r="AW28" i="23"/>
  <c r="AB28" i="23"/>
  <c r="J28" i="23"/>
  <c r="F28" i="23"/>
  <c r="U28" i="23"/>
  <c r="BA28" i="23"/>
  <c r="BI28" i="23"/>
  <c r="BQ28" i="23"/>
  <c r="AI28" i="23"/>
  <c r="AQ28" i="23"/>
  <c r="H28" i="23"/>
  <c r="BC28" i="23"/>
  <c r="BK28" i="23"/>
  <c r="BS28" i="23"/>
  <c r="AK28" i="23"/>
  <c r="AS28" i="23"/>
  <c r="P28" i="23"/>
  <c r="Y28" i="23"/>
  <c r="AH28" i="23"/>
  <c r="Z28" i="23"/>
  <c r="AT28" i="23"/>
  <c r="AJ28" i="23"/>
  <c r="BP28" i="23"/>
  <c r="BH28" i="23"/>
  <c r="AZ28" i="23"/>
  <c r="W28" i="23"/>
  <c r="Q28" i="23"/>
  <c r="AV28" i="23"/>
  <c r="AA28" i="23"/>
  <c r="AL28" i="23"/>
  <c r="BN28" i="23"/>
  <c r="BF28" i="23"/>
  <c r="O28" i="23"/>
  <c r="I28" i="23"/>
  <c r="AX28" i="23"/>
  <c r="AN28" i="23"/>
  <c r="AD28" i="23"/>
  <c r="N28" i="23"/>
  <c r="L28" i="23"/>
  <c r="BT28" i="23"/>
  <c r="BL28" i="23"/>
  <c r="BD28" i="23"/>
  <c r="G28" i="23"/>
  <c r="AE28" i="23"/>
  <c r="AC28" i="23"/>
  <c r="V28" i="23"/>
  <c r="AP28" i="23"/>
  <c r="AF28" i="23"/>
  <c r="T28" i="23"/>
  <c r="AR28" i="23"/>
  <c r="R28" i="23"/>
  <c r="BR28" i="23"/>
  <c r="BJ28" i="23"/>
  <c r="BB28" i="23"/>
  <c r="BS24" i="23" l="1"/>
  <c r="S24" i="23"/>
  <c r="W24" i="23"/>
  <c r="BA24" i="23"/>
  <c r="Q24" i="23"/>
  <c r="BF24" i="23"/>
  <c r="AN24" i="23"/>
  <c r="AG25" i="23"/>
  <c r="AP29" i="23"/>
  <c r="T25" i="23"/>
  <c r="BA25" i="23"/>
  <c r="AV27" i="23"/>
  <c r="AR29" i="23"/>
  <c r="AF25" i="23"/>
  <c r="BN25" i="23"/>
  <c r="BS27" i="23"/>
  <c r="BT29" i="23"/>
  <c r="I29" i="23"/>
  <c r="X25" i="23"/>
  <c r="G27" i="23"/>
  <c r="P22" i="23"/>
  <c r="BH25" i="23"/>
  <c r="BL27" i="23"/>
  <c r="AK29" i="23"/>
  <c r="S25" i="23"/>
  <c r="AO27" i="23"/>
  <c r="AC25" i="23"/>
  <c r="BJ27" i="23"/>
  <c r="X27" i="23"/>
  <c r="BU25" i="23"/>
  <c r="AM27" i="23"/>
  <c r="AB25" i="23"/>
  <c r="AZ27" i="23"/>
  <c r="V27" i="23"/>
  <c r="S29" i="23"/>
  <c r="AE24" i="23"/>
  <c r="BM24" i="23"/>
  <c r="AS24" i="23"/>
  <c r="E24" i="23"/>
  <c r="BL24" i="23"/>
  <c r="AQ25" i="23"/>
  <c r="BM27" i="23"/>
  <c r="AR24" i="23"/>
  <c r="P24" i="23"/>
  <c r="BN24" i="23"/>
  <c r="AD24" i="23"/>
  <c r="AP24" i="23"/>
  <c r="BG24" i="23"/>
  <c r="AU24" i="23"/>
  <c r="AI24" i="23"/>
  <c r="AM24" i="23"/>
  <c r="K24" i="23"/>
  <c r="Z24" i="23"/>
  <c r="BQ24" i="23"/>
  <c r="BE24" i="23"/>
  <c r="BI24" i="23"/>
  <c r="AG24" i="23"/>
  <c r="U24" i="23"/>
  <c r="I24" i="23"/>
  <c r="AC27" i="23"/>
  <c r="BC29" i="23"/>
  <c r="J27" i="23"/>
  <c r="AH25" i="23"/>
  <c r="X22" i="23"/>
  <c r="BQ27" i="23"/>
  <c r="BP25" i="23"/>
  <c r="AM25" i="23"/>
  <c r="BE29" i="23"/>
  <c r="BL25" i="23"/>
  <c r="AD25" i="23"/>
  <c r="AT27" i="23"/>
  <c r="AQ22" i="23"/>
  <c r="BR25" i="23"/>
  <c r="Y26" i="23"/>
  <c r="AP25" i="23"/>
  <c r="BK27" i="23"/>
  <c r="Y27" i="23"/>
  <c r="BA22" i="23"/>
  <c r="AW25" i="23"/>
  <c r="BU29" i="23"/>
  <c r="AB22" i="23"/>
  <c r="AB29" i="23"/>
  <c r="BI27" i="23"/>
  <c r="BP22" i="23"/>
  <c r="F25" i="23"/>
  <c r="BN27" i="23"/>
  <c r="AI25" i="23"/>
  <c r="Z27" i="23"/>
  <c r="AP26" i="23"/>
  <c r="AQ27" i="23"/>
  <c r="BD27" i="23"/>
  <c r="W29" i="23"/>
  <c r="BE25" i="23"/>
  <c r="E27" i="23"/>
  <c r="AG27" i="23"/>
  <c r="G22" i="23"/>
  <c r="L25" i="23"/>
  <c r="BS25" i="23"/>
  <c r="AU22" i="23"/>
  <c r="BB27" i="23"/>
  <c r="O26" i="23"/>
  <c r="BD25" i="23"/>
  <c r="AU25" i="23"/>
  <c r="BK25" i="23"/>
  <c r="F22" i="23"/>
  <c r="Y25" i="23"/>
  <c r="AE27" i="23"/>
  <c r="O27" i="23"/>
  <c r="BI25" i="23"/>
  <c r="G25" i="23"/>
  <c r="AL25" i="23"/>
  <c r="AQ24" i="23"/>
  <c r="BJ24" i="23"/>
  <c r="AO24" i="23"/>
  <c r="AT24" i="23"/>
  <c r="AZ24" i="23"/>
  <c r="AJ25" i="23"/>
  <c r="AX27" i="23"/>
  <c r="L27" i="23"/>
  <c r="R25" i="23"/>
  <c r="AU29" i="23"/>
  <c r="M24" i="23"/>
  <c r="V24" i="23"/>
  <c r="BP24" i="23"/>
  <c r="BD24" i="23"/>
  <c r="BH24" i="23"/>
  <c r="AF24" i="23"/>
  <c r="T24" i="23"/>
  <c r="H24" i="23"/>
  <c r="L24" i="23"/>
  <c r="J24" i="23"/>
  <c r="BK24" i="23"/>
  <c r="AY24" i="23"/>
  <c r="BC24" i="23"/>
  <c r="BC22" i="23"/>
  <c r="AA24" i="23"/>
  <c r="O24" i="23"/>
  <c r="AL24" i="23"/>
  <c r="BU24" i="23"/>
  <c r="AH27" i="23"/>
  <c r="AJ26" i="23"/>
  <c r="U27" i="23"/>
  <c r="K25" i="23"/>
  <c r="P29" i="23"/>
  <c r="AT25" i="23"/>
  <c r="J25" i="23"/>
  <c r="BL29" i="23"/>
  <c r="AJ27" i="23"/>
  <c r="AA25" i="23"/>
  <c r="X29" i="23"/>
  <c r="BE27" i="23"/>
  <c r="O22" i="23"/>
  <c r="V25" i="23"/>
  <c r="BQ25" i="23"/>
  <c r="S27" i="23"/>
  <c r="AV25" i="23"/>
  <c r="BK26" i="23"/>
  <c r="N25" i="23"/>
  <c r="BA27" i="23"/>
  <c r="BQ26" i="23"/>
  <c r="AX25" i="23"/>
  <c r="AF27" i="23"/>
  <c r="R27" i="23"/>
  <c r="T27" i="23"/>
  <c r="BL22" i="23"/>
  <c r="BF27" i="23"/>
  <c r="AF26" i="23"/>
  <c r="H27" i="23"/>
  <c r="BJ22" i="23"/>
  <c r="AB27" i="23"/>
  <c r="AI27" i="23"/>
  <c r="M25" i="23"/>
  <c r="F27" i="23"/>
  <c r="K26" i="23"/>
  <c r="AN25" i="23"/>
  <c r="BB29" i="23"/>
  <c r="AA27" i="23"/>
  <c r="T26" i="23"/>
  <c r="O25" i="23"/>
  <c r="M27" i="23"/>
  <c r="AO26" i="23"/>
  <c r="M29" i="23"/>
  <c r="AZ29" i="23"/>
  <c r="W27" i="23"/>
  <c r="W25" i="23"/>
  <c r="BF26" i="23"/>
  <c r="BP27" i="23"/>
  <c r="AO29" i="23"/>
  <c r="AY25" i="23"/>
  <c r="BO25" i="23"/>
  <c r="H25" i="23"/>
  <c r="AS27" i="23"/>
  <c r="L22" i="23"/>
  <c r="AR25" i="23"/>
  <c r="G24" i="23"/>
  <c r="AA26" i="23"/>
  <c r="K27" i="23"/>
  <c r="AX26" i="23"/>
  <c r="BF25" i="23"/>
  <c r="AL27" i="23"/>
  <c r="N24" i="23"/>
  <c r="AW24" i="23"/>
  <c r="AK24" i="23"/>
  <c r="Y24" i="23"/>
  <c r="AC24" i="23"/>
  <c r="BR24" i="23"/>
  <c r="AH24" i="23"/>
  <c r="BT24" i="23"/>
  <c r="F24" i="23"/>
  <c r="AV24" i="23"/>
  <c r="AJ24" i="23"/>
  <c r="X24" i="23"/>
  <c r="AB24" i="23"/>
  <c r="BB24" i="23"/>
  <c r="R24" i="23"/>
  <c r="BO24" i="23"/>
  <c r="AE22" i="23"/>
  <c r="AP27" i="23"/>
  <c r="Q27" i="23"/>
  <c r="P25" i="23"/>
  <c r="BG27" i="23"/>
  <c r="BR22" i="23"/>
  <c r="N29" i="23"/>
  <c r="AT29" i="23"/>
  <c r="AE25" i="23"/>
  <c r="AK25" i="23"/>
  <c r="AR27" i="23"/>
  <c r="U22" i="23"/>
  <c r="Q25" i="23"/>
  <c r="BO27" i="23"/>
  <c r="BU26" i="23"/>
  <c r="V29" i="23"/>
  <c r="BC27" i="23"/>
  <c r="AX24" i="23"/>
  <c r="BC25" i="23"/>
  <c r="BM25" i="23"/>
  <c r="AL29" i="23"/>
  <c r="AM26" i="23"/>
  <c r="BK29" i="23"/>
  <c r="BI22" i="23"/>
  <c r="BB25" i="23"/>
  <c r="AD27" i="23"/>
  <c r="U25" i="23"/>
  <c r="AN27" i="23"/>
  <c r="AN26" i="23"/>
  <c r="E25" i="23"/>
  <c r="BG25" i="23"/>
  <c r="BU27" i="23"/>
  <c r="I27" i="23"/>
  <c r="R29" i="23"/>
  <c r="AY27" i="23"/>
  <c r="BJ25" i="23"/>
  <c r="Z25" i="23"/>
  <c r="AS22" i="23"/>
  <c r="N27" i="23"/>
  <c r="Q29" i="23"/>
  <c r="AO25" i="23"/>
  <c r="BD29" i="23"/>
  <c r="BT27" i="23"/>
  <c r="G29" i="23"/>
  <c r="R22" i="23"/>
  <c r="AW27" i="23"/>
  <c r="AX22" i="23"/>
  <c r="AZ25" i="23"/>
  <c r="BR27" i="23"/>
  <c r="E29" i="23"/>
  <c r="I25" i="23"/>
  <c r="AQ29" i="23"/>
  <c r="AU27" i="23"/>
  <c r="AS25" i="23"/>
  <c r="AW22" i="23"/>
  <c r="BH27" i="23"/>
  <c r="P27" i="23"/>
  <c r="AA29" i="23"/>
  <c r="S26" i="23"/>
  <c r="BT25" i="23"/>
  <c r="AL26" i="23"/>
  <c r="AK27" i="23"/>
  <c r="E26" i="23" l="1"/>
  <c r="BB22" i="23"/>
  <c r="BI29" i="23"/>
  <c r="Z26" i="23"/>
  <c r="BN26" i="23"/>
  <c r="BK22" i="23"/>
  <c r="M22" i="23"/>
  <c r="AH26" i="23"/>
  <c r="M26" i="23"/>
  <c r="AD29" i="23"/>
  <c r="BG29" i="23"/>
  <c r="BR26" i="23"/>
  <c r="K22" i="23"/>
  <c r="BG22" i="23"/>
  <c r="BF29" i="23"/>
  <c r="AH29" i="23"/>
  <c r="AJ29" i="23"/>
  <c r="AS26" i="23"/>
  <c r="I26" i="23"/>
  <c r="S22" i="23"/>
  <c r="BT22" i="23"/>
  <c r="Y22" i="23"/>
  <c r="BU22" i="23"/>
  <c r="T22" i="23"/>
  <c r="BH22" i="23"/>
  <c r="AI26" i="23"/>
  <c r="BO22" i="23"/>
  <c r="L26" i="23"/>
  <c r="AY29" i="23"/>
  <c r="AV26" i="23"/>
  <c r="AT22" i="23"/>
  <c r="BJ29" i="23"/>
  <c r="AC26" i="23"/>
  <c r="AG26" i="23"/>
  <c r="AW29" i="23"/>
  <c r="BS26" i="23"/>
  <c r="AX29" i="23"/>
  <c r="BQ22" i="23"/>
  <c r="AI22" i="23"/>
  <c r="AD22" i="23"/>
  <c r="AV22" i="23"/>
  <c r="AG29" i="23"/>
  <c r="AK26" i="23"/>
  <c r="AE26" i="23"/>
  <c r="BC26" i="23"/>
  <c r="F29" i="23"/>
  <c r="AT26" i="23"/>
  <c r="BE26" i="23"/>
  <c r="AW26" i="23"/>
  <c r="Z29" i="23"/>
  <c r="J26" i="23"/>
  <c r="AH22" i="23"/>
  <c r="AC22" i="23"/>
  <c r="AK22" i="23"/>
  <c r="N22" i="23"/>
  <c r="AZ26" i="23"/>
  <c r="O29" i="23"/>
  <c r="H29" i="23"/>
  <c r="T29" i="23"/>
  <c r="R26" i="23"/>
  <c r="BO29" i="23"/>
  <c r="BP29" i="23"/>
  <c r="BI26" i="23"/>
  <c r="F26" i="23"/>
  <c r="AF29" i="23"/>
  <c r="AL22" i="23"/>
  <c r="AA22" i="23"/>
  <c r="AY22" i="23"/>
  <c r="J22" i="23"/>
  <c r="V22" i="23"/>
  <c r="AY26" i="23"/>
  <c r="K29" i="23"/>
  <c r="BM26" i="23"/>
  <c r="X26" i="23"/>
  <c r="BH29" i="23"/>
  <c r="U29" i="23"/>
  <c r="BG26" i="23"/>
  <c r="AV29" i="23"/>
  <c r="W26" i="23"/>
  <c r="AD26" i="23"/>
  <c r="AM29" i="23"/>
  <c r="BH26" i="23"/>
  <c r="BR29" i="23"/>
  <c r="BA29" i="23"/>
  <c r="BN29" i="23"/>
  <c r="BL26" i="23"/>
  <c r="BS29" i="23"/>
  <c r="BD26" i="23"/>
  <c r="BT26" i="23"/>
  <c r="BQ29" i="23"/>
  <c r="Q26" i="23"/>
  <c r="AB26" i="23"/>
  <c r="V26" i="23"/>
  <c r="BP26" i="23"/>
  <c r="BM29" i="23"/>
  <c r="Z22" i="23"/>
  <c r="AM22" i="23"/>
  <c r="AP22" i="23"/>
  <c r="BN22" i="23"/>
  <c r="E22" i="23"/>
  <c r="H26" i="23"/>
  <c r="AC29" i="23"/>
  <c r="AI29" i="23"/>
  <c r="BB26" i="23"/>
  <c r="BO26" i="23"/>
  <c r="AE29" i="23"/>
  <c r="G26" i="23"/>
  <c r="BJ26" i="23"/>
  <c r="AR26" i="23"/>
  <c r="N26" i="23"/>
  <c r="AS29" i="23"/>
  <c r="U26" i="23"/>
  <c r="J29" i="23"/>
  <c r="L29" i="23"/>
  <c r="W22" i="23"/>
  <c r="BS22" i="23"/>
  <c r="Y29" i="23"/>
  <c r="AN29" i="23"/>
  <c r="AU26" i="23"/>
  <c r="BA26" i="23"/>
  <c r="AQ26" i="23"/>
  <c r="P26" i="23"/>
  <c r="BF22" i="23"/>
  <c r="AJ22" i="23"/>
  <c r="H22" i="23"/>
  <c r="AF22" i="23"/>
  <c r="BD22" i="23"/>
  <c r="AZ22" i="23"/>
  <c r="AO22" i="23"/>
  <c r="I22" i="23"/>
  <c r="AG22" i="23"/>
  <c r="BE22" i="23"/>
  <c r="AR22" i="23"/>
  <c r="BM22" i="23"/>
  <c r="AN22" i="23"/>
  <c r="Q22" i="23"/>
  <c r="H186" i="22" l="1"/>
  <c r="E13" i="21"/>
  <c r="I13" i="21"/>
  <c r="J13" i="21"/>
  <c r="E15" i="21"/>
  <c r="I15" i="21"/>
  <c r="J15" i="21"/>
  <c r="E17" i="21"/>
  <c r="I17" i="21"/>
  <c r="J17" i="21"/>
  <c r="E19" i="21"/>
  <c r="E21" i="21"/>
  <c r="E23" i="21"/>
  <c r="I23" i="21"/>
  <c r="T23" i="21" s="1"/>
  <c r="E24" i="21"/>
  <c r="J24" i="21"/>
  <c r="T24" i="21" s="1"/>
  <c r="E26" i="21"/>
  <c r="I26" i="21"/>
  <c r="T26" i="21" s="1"/>
  <c r="E27" i="21"/>
  <c r="J27" i="21"/>
  <c r="T27" i="21" s="1"/>
  <c r="T15" i="21" l="1"/>
  <c r="T13" i="21"/>
  <c r="T17" i="21"/>
  <c r="J29" i="21"/>
  <c r="I29" i="21"/>
  <c r="T29" i="21" l="1"/>
  <c r="J30" i="21"/>
  <c r="Q33" i="12" l="1"/>
  <c r="M33" i="12"/>
  <c r="Q32" i="12"/>
  <c r="M32" i="12"/>
  <c r="Q29" i="12"/>
  <c r="M29" i="12"/>
  <c r="Q28" i="12"/>
  <c r="M28" i="12"/>
  <c r="Q25" i="12"/>
  <c r="M25" i="12"/>
  <c r="Q22" i="12"/>
  <c r="M22" i="12"/>
  <c r="Q19" i="12"/>
  <c r="M19" i="12"/>
  <c r="Q16" i="12"/>
  <c r="M16" i="12"/>
  <c r="Q13" i="12"/>
  <c r="M13" i="12"/>
  <c r="I33" i="12" l="1"/>
  <c r="I32" i="12"/>
  <c r="I29" i="12"/>
  <c r="I28" i="12"/>
  <c r="I25" i="12"/>
  <c r="I22" i="12"/>
  <c r="I19" i="12"/>
  <c r="I16" i="12"/>
  <c r="I13" i="12"/>
  <c r="E33" i="12" l="1"/>
  <c r="U33" i="12" s="1"/>
  <c r="V33" i="12" s="1"/>
  <c r="E29" i="12"/>
  <c r="U29" i="12" s="1"/>
  <c r="V29" i="12" s="1"/>
  <c r="E22" i="12"/>
  <c r="U22" i="12" s="1"/>
  <c r="V22" i="12" s="1"/>
  <c r="E25" i="12" l="1"/>
  <c r="U25" i="12" s="1"/>
  <c r="V25" i="12" s="1"/>
  <c r="E19" i="12"/>
  <c r="U19" i="12" s="1"/>
  <c r="V19" i="12" s="1"/>
  <c r="E32" i="12"/>
  <c r="U32" i="12" s="1"/>
  <c r="V32" i="12" s="1"/>
  <c r="E16" i="12"/>
  <c r="U16" i="12" s="1"/>
  <c r="V16" i="12" s="1"/>
  <c r="E28" i="12"/>
  <c r="U28" i="12" s="1"/>
  <c r="V28" i="12" s="1"/>
  <c r="E13" i="12" l="1"/>
  <c r="U13" i="12" s="1"/>
  <c r="V13" i="12" s="1"/>
  <c r="A13" i="12" l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l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</calcChain>
</file>

<file path=xl/sharedStrings.xml><?xml version="1.0" encoding="utf-8"?>
<sst xmlns="http://schemas.openxmlformats.org/spreadsheetml/2006/main" count="817" uniqueCount="298">
  <si>
    <t>Puget Sound Energy</t>
  </si>
  <si>
    <t>Line</t>
  </si>
  <si>
    <t>No.</t>
  </si>
  <si>
    <t>Schedule 142 Rate</t>
  </si>
  <si>
    <t>Schedule 142</t>
  </si>
  <si>
    <t>Delivery Margin</t>
  </si>
  <si>
    <t>Fixed Power Cost</t>
  </si>
  <si>
    <t>Units</t>
  </si>
  <si>
    <t>Adjusting Rates</t>
  </si>
  <si>
    <t>Amortization</t>
  </si>
  <si>
    <t>Schedules 7</t>
  </si>
  <si>
    <t>Energy Charge</t>
  </si>
  <si>
    <t>$/kWh</t>
  </si>
  <si>
    <t>Schedules 8 &amp; 24</t>
  </si>
  <si>
    <t>Schedules 7A, 11, 25, 29, 35 &amp; 43</t>
  </si>
  <si>
    <t>Schedule 12 &amp; 26</t>
  </si>
  <si>
    <t>Demand Charge</t>
  </si>
  <si>
    <t xml:space="preserve">$/KW </t>
  </si>
  <si>
    <t>$kWh</t>
  </si>
  <si>
    <t>Schedule 10 &amp; 31</t>
  </si>
  <si>
    <t>$/KW</t>
  </si>
  <si>
    <t>Summary of Proposed Rates</t>
  </si>
  <si>
    <t>Schedule 40*</t>
  </si>
  <si>
    <t>Schedule SC</t>
  </si>
  <si>
    <t>CURRENT</t>
  </si>
  <si>
    <t>TOTAL</t>
  </si>
  <si>
    <t>PROPOSED</t>
  </si>
  <si>
    <t xml:space="preserve">SCH 142 Amortization </t>
  </si>
  <si>
    <t xml:space="preserve">DIFFERENCE </t>
  </si>
  <si>
    <t>(%)</t>
  </si>
  <si>
    <t>Total</t>
  </si>
  <si>
    <t>Total Transportation</t>
  </si>
  <si>
    <t>Special Contract</t>
  </si>
  <si>
    <t>50-59</t>
  </si>
  <si>
    <t>Total High Voltage</t>
  </si>
  <si>
    <t>Total Primary</t>
  </si>
  <si>
    <t>31 (10)</t>
  </si>
  <si>
    <t>Total Secondary</t>
  </si>
  <si>
    <t>26 (12,26P)</t>
  </si>
  <si>
    <t>25 (11, 7A)</t>
  </si>
  <si>
    <t>24 (8)</t>
  </si>
  <si>
    <t>Residential</t>
  </si>
  <si>
    <t>Tariff</t>
  </si>
  <si>
    <t>Line No.</t>
  </si>
  <si>
    <t>Remove:</t>
  </si>
  <si>
    <t>Add:</t>
  </si>
  <si>
    <t xml:space="preserve">      0.00296700</t>
  </si>
  <si>
    <t>SCH_MSOFT</t>
  </si>
  <si>
    <t xml:space="preserve">      0.00219400</t>
  </si>
  <si>
    <t xml:space="preserve">      0.00286200</t>
  </si>
  <si>
    <t>SCH_8E</t>
  </si>
  <si>
    <t xml:space="preserve">      0.00254700</t>
  </si>
  <si>
    <t xml:space="preserve">      0.00197600</t>
  </si>
  <si>
    <t xml:space="preserve">      0.00152400</t>
  </si>
  <si>
    <t xml:space="preserve">      0.00141700</t>
  </si>
  <si>
    <t xml:space="preserve">      0.00133500</t>
  </si>
  <si>
    <t xml:space="preserve">      0.00131300</t>
  </si>
  <si>
    <t xml:space="preserve">      0.00120100</t>
  </si>
  <si>
    <t xml:space="preserve">      0.00107300</t>
  </si>
  <si>
    <t xml:space="preserve">      0.00089900</t>
  </si>
  <si>
    <t xml:space="preserve">      0.00084100</t>
  </si>
  <si>
    <t xml:space="preserve">      0.00046200</t>
  </si>
  <si>
    <t xml:space="preserve">      0.00010300-</t>
  </si>
  <si>
    <t xml:space="preserve">      0.00006200-</t>
  </si>
  <si>
    <t xml:space="preserve">      0.00800300</t>
  </si>
  <si>
    <t>SCH_7E</t>
  </si>
  <si>
    <t xml:space="preserve">      0.00545800</t>
  </si>
  <si>
    <t xml:space="preserve">      0.00403700</t>
  </si>
  <si>
    <t xml:space="preserve">      0.00307700</t>
  </si>
  <si>
    <t xml:space="preserve">      0.00139200-</t>
  </si>
  <si>
    <t xml:space="preserve">      0.00111500-</t>
  </si>
  <si>
    <t xml:space="preserve">      0.00092400</t>
  </si>
  <si>
    <t xml:space="preserve">      0.00076800</t>
  </si>
  <si>
    <t xml:space="preserve">      0.00069200</t>
  </si>
  <si>
    <t xml:space="preserve">      0.00059500</t>
  </si>
  <si>
    <t xml:space="preserve">      0.00031400</t>
  </si>
  <si>
    <t xml:space="preserve">      0.00014700-</t>
  </si>
  <si>
    <t xml:space="preserve">      0.00014500</t>
  </si>
  <si>
    <t xml:space="preserve">      0.00012200-</t>
  </si>
  <si>
    <t xml:space="preserve">      0.00074900-</t>
  </si>
  <si>
    <t>SCH_7AE</t>
  </si>
  <si>
    <t xml:space="preserve">      0.00062800</t>
  </si>
  <si>
    <t xml:space="preserve">      0.00006100-</t>
  </si>
  <si>
    <t xml:space="preserve">      0.88000000</t>
  </si>
  <si>
    <t>SCH_56E</t>
  </si>
  <si>
    <t xml:space="preserve">      1.31000000</t>
  </si>
  <si>
    <t>SCH_53E</t>
  </si>
  <si>
    <t>SCH_43E</t>
  </si>
  <si>
    <t>SCH_40EI</t>
  </si>
  <si>
    <t xml:space="preserve">      0.00009300-</t>
  </si>
  <si>
    <t xml:space="preserve">      0.00239700</t>
  </si>
  <si>
    <t>SCH_40EC</t>
  </si>
  <si>
    <t xml:space="preserve">      0.00178500</t>
  </si>
  <si>
    <t>SCH_35E</t>
  </si>
  <si>
    <t xml:space="preserve">      0.38000000</t>
  </si>
  <si>
    <t>SCH_31EI</t>
  </si>
  <si>
    <t xml:space="preserve">      0.21000000</t>
  </si>
  <si>
    <t xml:space="preserve">      0.00082200</t>
  </si>
  <si>
    <t xml:space="preserve">      0.00034600</t>
  </si>
  <si>
    <t>SCH_31EC</t>
  </si>
  <si>
    <t xml:space="preserve">      0.00025400-</t>
  </si>
  <si>
    <t xml:space="preserve">      0.00114000-</t>
  </si>
  <si>
    <t>SCH_29E</t>
  </si>
  <si>
    <t xml:space="preserve">      0.00048300</t>
  </si>
  <si>
    <t xml:space="preserve">      0.23000000</t>
  </si>
  <si>
    <t>SCH_26EI</t>
  </si>
  <si>
    <t xml:space="preserve">      0.10000000</t>
  </si>
  <si>
    <t xml:space="preserve">      0.00013800</t>
  </si>
  <si>
    <t xml:space="preserve">      0.00005600</t>
  </si>
  <si>
    <t>SCH_26EC</t>
  </si>
  <si>
    <t>SCH_25EL</t>
  </si>
  <si>
    <t>SCH_25EI</t>
  </si>
  <si>
    <t>SCH_25EC</t>
  </si>
  <si>
    <t>SCH_24EL</t>
  </si>
  <si>
    <t>SCH_24EI</t>
  </si>
  <si>
    <t>SCH_24EC</t>
  </si>
  <si>
    <t>SCH_12E</t>
  </si>
  <si>
    <t>SCH_11E</t>
  </si>
  <si>
    <t>SCH_10E</t>
  </si>
  <si>
    <t>TOTAL SCH 142</t>
  </si>
  <si>
    <t>Sch 142: R5 - Non-Decoupled Rate Plan</t>
  </si>
  <si>
    <t>Sch 142: R4 - Amortization</t>
  </si>
  <si>
    <t>Sch 142: R3 - Deferral</t>
  </si>
  <si>
    <t>Valid To</t>
  </si>
  <si>
    <t>Valid From</t>
  </si>
  <si>
    <t>Rider Price Amt</t>
  </si>
  <si>
    <t>Rate Category</t>
  </si>
  <si>
    <t>Crosscheck</t>
  </si>
  <si>
    <t>Forecast Delivered Sales Volumes and Customer Counts</t>
  </si>
  <si>
    <t>Projected Delivered Sales Volume by Month (kWh)</t>
  </si>
  <si>
    <t>Rate Schedule</t>
  </si>
  <si>
    <t>check</t>
  </si>
  <si>
    <t>7A</t>
  </si>
  <si>
    <t>8 &amp; 24</t>
  </si>
  <si>
    <t>11 &amp; 25</t>
  </si>
  <si>
    <t>12 &amp; 26</t>
  </si>
  <si>
    <t>10 &amp; 31</t>
  </si>
  <si>
    <t xml:space="preserve">Special Contracts </t>
  </si>
  <si>
    <t xml:space="preserve">Lighting </t>
  </si>
  <si>
    <t>Transportation 449-459</t>
  </si>
  <si>
    <t>Resale</t>
  </si>
  <si>
    <t>Schedule 7</t>
  </si>
  <si>
    <t>Schedules 7A,11,25,29,35&amp;43</t>
  </si>
  <si>
    <t>Schedules 40</t>
  </si>
  <si>
    <t>Schedules Special Contracts</t>
  </si>
  <si>
    <t>Schedules 46&amp;49</t>
  </si>
  <si>
    <t>Projected Demand by Month (KW)</t>
  </si>
  <si>
    <t xml:space="preserve">Projected Customers by Month </t>
  </si>
  <si>
    <t>Schedules 12 &amp; 26</t>
  </si>
  <si>
    <t>Schedules 10 &amp; 31</t>
  </si>
  <si>
    <t>Source: F2020 Load forecast (07-23-2020)</t>
  </si>
  <si>
    <t>FORECAST</t>
  </si>
  <si>
    <t>SCH 142 Amortization CURRENT RATES</t>
  </si>
  <si>
    <t xml:space="preserve">SCH 142 Amortization (Supplemental) </t>
  </si>
  <si>
    <t>*Note: SCH 40 does no longer exists after October 15, 2020.</t>
  </si>
  <si>
    <t>Proposed Effective Date of January 1, 2021</t>
  </si>
  <si>
    <t>PUGET SOUND ENERGY</t>
  </si>
  <si>
    <t>SUMMARY OF ELECTRIC REVENUE</t>
  </si>
  <si>
    <t>Category</t>
  </si>
  <si>
    <t>Change in Unbilled</t>
  </si>
  <si>
    <t>Total Residential</t>
  </si>
  <si>
    <t>Commercial</t>
  </si>
  <si>
    <t>SCH_46EC</t>
  </si>
  <si>
    <t>SCH_49EC</t>
  </si>
  <si>
    <t>SCH_55E</t>
  </si>
  <si>
    <t>SCH_58E</t>
  </si>
  <si>
    <t>SCH_59E</t>
  </si>
  <si>
    <t>Total Commercial</t>
  </si>
  <si>
    <t>Industrial</t>
  </si>
  <si>
    <t>SCH_46EI</t>
  </si>
  <si>
    <t>SCH_49EI</t>
  </si>
  <si>
    <t>Total Industrial</t>
  </si>
  <si>
    <t>Lighting</t>
  </si>
  <si>
    <t>SCH_03E</t>
  </si>
  <si>
    <t>SCH_50E</t>
  </si>
  <si>
    <t>SCH_51E</t>
  </si>
  <si>
    <t>SCH_52E</t>
  </si>
  <si>
    <t>SCH_54E</t>
  </si>
  <si>
    <t>SCH_57E</t>
  </si>
  <si>
    <t>Total Lighting</t>
  </si>
  <si>
    <t>Wholesale</t>
  </si>
  <si>
    <t>SCH_05E</t>
  </si>
  <si>
    <t>Total Retail Sales</t>
  </si>
  <si>
    <t>Transportation</t>
  </si>
  <si>
    <t>SCH_449EC</t>
  </si>
  <si>
    <t>SCH_449EI</t>
  </si>
  <si>
    <t>SCH_459EI</t>
  </si>
  <si>
    <t>Total Electric Revenue *</t>
  </si>
  <si>
    <t>* Excludes Sales to Other Utilities.</t>
  </si>
  <si>
    <t>Included Schedules</t>
  </si>
  <si>
    <t>SCH 7E</t>
  </si>
  <si>
    <t>SCH 8 &amp; 24</t>
  </si>
  <si>
    <t>SCH 7AE, 11, 25, 29, 35 &amp; 43</t>
  </si>
  <si>
    <t>SCH 40</t>
  </si>
  <si>
    <t>SCH 12 &amp; 26</t>
  </si>
  <si>
    <t>SCH 10 &amp; 31</t>
  </si>
  <si>
    <t>KWHs</t>
  </si>
  <si>
    <t xml:space="preserve">Revenue OverCollected </t>
  </si>
  <si>
    <t>ACTUAL billed</t>
  </si>
  <si>
    <t>September (trough October 14, 2020)</t>
  </si>
  <si>
    <t>October (October 15, 2020 and after)</t>
  </si>
  <si>
    <t>Unbilled</t>
  </si>
  <si>
    <t xml:space="preserve">Time Slice Unbilled </t>
  </si>
  <si>
    <t xml:space="preserve">Pended Time Slice </t>
  </si>
  <si>
    <t xml:space="preserve">Change in Unbilled </t>
  </si>
  <si>
    <t>SCH SC</t>
  </si>
  <si>
    <t>Cross check</t>
  </si>
  <si>
    <t>KWHs:</t>
  </si>
  <si>
    <t>OLD rate</t>
  </si>
  <si>
    <t>NEW Rate</t>
  </si>
  <si>
    <t>Net Adjustments</t>
  </si>
  <si>
    <t>% Change (Net)</t>
  </si>
  <si>
    <t>Retail Sales</t>
  </si>
  <si>
    <t>Total Sales</t>
  </si>
  <si>
    <t>Residential Customer Impacts</t>
  </si>
  <si>
    <t>Current Customer Bill in Notice</t>
  </si>
  <si>
    <t>Proposed Customer Bill in Notice</t>
  </si>
  <si>
    <t>Month</t>
  </si>
  <si>
    <t>kWh</t>
  </si>
  <si>
    <t>Basic Charge</t>
  </si>
  <si>
    <t>First 600 kWh</t>
  </si>
  <si>
    <t>Over 600 kWh</t>
  </si>
  <si>
    <t>Bill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</si>
  <si>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</si>
  <si>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</si>
  <si>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</si>
  <si>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</si>
  <si>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</si>
  <si>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</si>
  <si>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</si>
  <si>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</si>
  <si>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</si>
  <si>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</si>
  <si>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</si>
  <si>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</si>
  <si>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</si>
  <si>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</si>
  <si>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</si>
  <si>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 xml:space="preserve">Typical Residential </t>
  </si>
  <si>
    <t>Residential Schedule 7 Rates</t>
  </si>
  <si>
    <t>Present Rates Effective 10/15/2020</t>
  </si>
  <si>
    <t>Customer Monthly Charge:</t>
  </si>
  <si>
    <t>One Phase Basic Charge</t>
  </si>
  <si>
    <t>per Month</t>
  </si>
  <si>
    <t>Subtotal Base Monthly Charge</t>
  </si>
  <si>
    <t>Energy Charge:</t>
  </si>
  <si>
    <t>Schedule 7 first 600 kWh</t>
  </si>
  <si>
    <t>$ / kWh</t>
  </si>
  <si>
    <t>Schedule 129 - Low Income</t>
  </si>
  <si>
    <t>Schedule 140 - Property Tax Rider</t>
  </si>
  <si>
    <t>Schedule 141X EDIT Rider - First 600 kWh</t>
  </si>
  <si>
    <t>Schedule 141Y - Tax Over Collection Rider</t>
  </si>
  <si>
    <t>Schedule 141Z - EDIT Rider</t>
  </si>
  <si>
    <t>Schedule 142 - Decoupling Rider</t>
  </si>
  <si>
    <t>Subtotal Base First 600 kWh Charge</t>
  </si>
  <si>
    <t>Schedule 7 over 600 kWh</t>
  </si>
  <si>
    <t>Schedule 141X EDIT Rider - Over 600 kWh</t>
  </si>
  <si>
    <t>Subtotal Base Over 600 kWh Charge</t>
  </si>
  <si>
    <t>Schedule 194 - BPA Exchange Credit</t>
  </si>
  <si>
    <t>Other Electric Charges and Credits</t>
  </si>
  <si>
    <t>Schedule 95 - Power Cost Adjustment Clause</t>
  </si>
  <si>
    <t>Schedule 95A - Wind Power Production Credit</t>
  </si>
  <si>
    <t>Schedule 120 - Conservation Rider</t>
  </si>
  <si>
    <t>Schedule 137 - Renewable Energy Credit</t>
  </si>
  <si>
    <t>Subtotal Other Charges</t>
  </si>
  <si>
    <t>Total Block 1 Energy Charge</t>
  </si>
  <si>
    <t>Total Block 2 Energy Charge</t>
  </si>
  <si>
    <t>Year</t>
  </si>
  <si>
    <t>Month No.</t>
  </si>
  <si>
    <t>Forecast kWh</t>
  </si>
  <si>
    <t>Forecast Customer Count</t>
  </si>
  <si>
    <t>Average Use per Customer</t>
  </si>
  <si>
    <t>Average</t>
  </si>
  <si>
    <t xml:space="preserve">2019 GRC Compliance Electric SCH 142 Decoupling Filing Correction </t>
  </si>
  <si>
    <t xml:space="preserve">Rate Impact </t>
  </si>
  <si>
    <t>Projected Revenue Overcollection for period of October 15, 2020 through December 31, 2020</t>
  </si>
  <si>
    <t>Annual kWh Delivered Sales  01/01/21 to 12/31/21 (F2020)</t>
  </si>
  <si>
    <t>Estimated Annual
Base Revenue
Rates Effective
10/15/20</t>
  </si>
  <si>
    <t>Schedule 95
PCA/PCORC</t>
  </si>
  <si>
    <t>Schedule 95A
Federal Incentive Credit</t>
  </si>
  <si>
    <t>Schedule 120
Conservation</t>
  </si>
  <si>
    <t>Schedule 129
Low Income</t>
  </si>
  <si>
    <t>Schedule 132
Merger Credit</t>
  </si>
  <si>
    <t>Schedule 137 REC's</t>
  </si>
  <si>
    <t>Schedule 140
Property Tax</t>
  </si>
  <si>
    <t>Schedule 141
ERF</t>
  </si>
  <si>
    <t>Schedule 141X (Pass-back)
ERF</t>
  </si>
  <si>
    <t>Schedule 
141Y Tax Over Collection</t>
  </si>
  <si>
    <t>Schedule 141Z (Unprotected)
EDIT</t>
  </si>
  <si>
    <t>Schedule 142
 Deferral</t>
  </si>
  <si>
    <t>Schedule 194
BPA Res &amp; Farm Credit</t>
  </si>
  <si>
    <t>Subtotal
Rider
Rates</t>
  </si>
  <si>
    <t>Annual Estimated Revenue @ Rates Effective 10/15/20</t>
  </si>
  <si>
    <t>Total 
Proposed
Rates at 01/01/2021</t>
  </si>
  <si>
    <t>Current  Average 
Rates per KWHs</t>
  </si>
  <si>
    <t>Proposed Average 
Rates per KWHs</t>
  </si>
  <si>
    <t>Proposed Rates Effective 01/01/2021</t>
  </si>
  <si>
    <t>Average Residential Usage Test Year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</si>
</sst>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&quot;$&quot;#,##0\ ;\(&quot;$&quot;#,##0\)"/>
    <numFmt numFmtId="166" formatCode="0.000000"/>
    <numFmt numFmtId="167" formatCode="_(&quot;$&quot;* #,##0.0000_);_(&quot;$&quot;* \(#,##0.0000\);_(&quot;$&quot;* &quot;-&quot;????_);_(@_)"/>
    <numFmt numFmtId="168" formatCode="00000"/>
    <numFmt numFmtId="169" formatCode="#,##0.00000000000;[Red]\-#,##0.00000000000"/>
    <numFmt numFmtId="170" formatCode="&quot;$&quot;#,##0.00"/>
    <numFmt numFmtId="171" formatCode="_(&quot;$&quot;* #,##0_);_(&quot;$&quot;* \(#,##0\);_(&quot;$&quot;* &quot;-&quot;??_);_(@_)"/>
    <numFmt numFmtId="172" formatCode="_(* #,##0_);_(* \(#,##0\);_(* &quot;-&quot;??_);_(@_)"/>
    <numFmt numFmtId="173" formatCode="0.0%"/>
    <numFmt numFmtId="174" formatCode="&quot;$ &quot;#,##0.00;&quot;$ -&quot;#,##0.00"/>
    <numFmt numFmtId="175" formatCode="mm/dd/yyyy"/>
    <numFmt numFmtId="176" formatCode="&quot;For the Month Ended&quot;\ mmmm\ yyyy"/>
    <numFmt numFmtId="177" formatCode="0.000%"/>
    <numFmt numFmtId="178" formatCode="_(&quot;$&quot;* #,##0.000000_);_(&quot;$&quot;* \(#,##0.000000\);_(&quot;$&quot;* &quot;-&quot;??????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sz val="11"/>
      <color indexed="8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008080"/>
      <name val="Arial"/>
      <family val="2"/>
    </font>
    <font>
      <u/>
      <sz val="8"/>
      <name val="Arial"/>
      <family val="2"/>
    </font>
    <font>
      <b/>
      <sz val="8"/>
      <color rgb="FF008080"/>
      <name val="Arial"/>
      <family val="2"/>
    </font>
    <font>
      <b/>
      <sz val="8"/>
      <color rgb="FF0000FF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Helv"/>
    </font>
    <font>
      <sz val="10.5"/>
      <color theme="1"/>
      <name val="Calibri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8"/>
      <color indexed="12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rgb="FF333333"/>
      <name val="Arial"/>
      <family val="2"/>
    </font>
    <font>
      <sz val="10"/>
      <name val="Arial"/>
    </font>
    <font>
      <sz val="8"/>
      <color rgb="FF0070C0"/>
      <name val="Arial"/>
      <family val="2"/>
    </font>
    <font>
      <sz val="11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43" fontId="15" fillId="0" borderId="0" applyFont="0" applyFill="0" applyBorder="0" applyAlignment="0" applyProtection="0"/>
    <xf numFmtId="167" fontId="2" fillId="0" borderId="0">
      <alignment horizontal="left" wrapText="1"/>
    </xf>
    <xf numFmtId="43" fontId="2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4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/>
    <xf numFmtId="2" fontId="16" fillId="0" borderId="0" applyFont="0" applyFill="0" applyBorder="0" applyAlignment="0" applyProtection="0"/>
    <xf numFmtId="38" fontId="3" fillId="3" borderId="0" applyNumberFormat="0" applyBorder="0" applyAlignment="0" applyProtection="0"/>
    <xf numFmtId="38" fontId="9" fillId="0" borderId="0"/>
    <xf numFmtId="40" fontId="9" fillId="0" borderId="0"/>
    <xf numFmtId="10" fontId="3" fillId="2" borderId="4" applyNumberFormat="0" applyBorder="0" applyAlignment="0" applyProtection="0"/>
    <xf numFmtId="44" fontId="1" fillId="0" borderId="7" applyNumberFormat="0" applyFont="0" applyAlignment="0">
      <alignment horizontal="center"/>
    </xf>
    <xf numFmtId="44" fontId="1" fillId="0" borderId="8" applyNumberFormat="0" applyFont="0" applyAlignment="0">
      <alignment horizontal="center"/>
    </xf>
    <xf numFmtId="169" fontId="2" fillId="0" borderId="0"/>
    <xf numFmtId="0" fontId="18" fillId="0" borderId="0"/>
    <xf numFmtId="0" fontId="5" fillId="0" borderId="0"/>
    <xf numFmtId="0" fontId="8" fillId="0" borderId="0"/>
    <xf numFmtId="0" fontId="2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2" fontId="2" fillId="2" borderId="0"/>
    <xf numFmtId="0" fontId="17" fillId="4" borderId="0"/>
    <xf numFmtId="0" fontId="19" fillId="4" borderId="9"/>
    <xf numFmtId="0" fontId="20" fillId="5" borderId="10"/>
    <xf numFmtId="0" fontId="21" fillId="4" borderId="11"/>
    <xf numFmtId="42" fontId="7" fillId="6" borderId="2">
      <alignment vertical="center"/>
    </xf>
    <xf numFmtId="0" fontId="1" fillId="2" borderId="1" applyNumberFormat="0">
      <alignment horizontal="center" vertical="center" wrapText="1"/>
    </xf>
    <xf numFmtId="167" fontId="2" fillId="2" borderId="0"/>
    <xf numFmtId="42" fontId="6" fillId="2" borderId="3">
      <alignment horizontal="left"/>
    </xf>
    <xf numFmtId="38" fontId="3" fillId="0" borderId="12"/>
    <xf numFmtId="38" fontId="9" fillId="0" borderId="3"/>
    <xf numFmtId="166" fontId="2" fillId="0" borderId="0">
      <alignment horizontal="left" wrapText="1"/>
    </xf>
    <xf numFmtId="0" fontId="2" fillId="0" borderId="0" applyNumberFormat="0" applyBorder="0" applyAlignment="0"/>
    <xf numFmtId="0" fontId="17" fillId="0" borderId="0"/>
    <xf numFmtId="0" fontId="19" fillId="4" borderId="0"/>
    <xf numFmtId="170" fontId="22" fillId="0" borderId="0">
      <alignment horizontal="left" vertical="center"/>
    </xf>
    <xf numFmtId="0" fontId="1" fillId="2" borderId="0">
      <alignment horizontal="left" wrapText="1"/>
    </xf>
    <xf numFmtId="0" fontId="23" fillId="0" borderId="0">
      <alignment horizontal="left" vertical="center"/>
    </xf>
    <xf numFmtId="0" fontId="2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6" fillId="0" borderId="0"/>
    <xf numFmtId="0" fontId="31" fillId="0" borderId="0" applyNumberFormat="0" applyFill="0" applyBorder="0" applyAlignment="0" applyProtection="0"/>
    <xf numFmtId="0" fontId="34" fillId="0" borderId="0"/>
    <xf numFmtId="44" fontId="2" fillId="0" borderId="0" applyFont="0" applyFill="0" applyBorder="0" applyAlignment="0" applyProtection="0"/>
  </cellStyleXfs>
  <cellXfs count="247">
    <xf numFmtId="0" fontId="0" fillId="0" borderId="0" xfId="0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9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41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9" fillId="0" borderId="0" xfId="0" applyFont="1" applyBorder="1" applyProtection="1">
      <protection locked="0"/>
    </xf>
    <xf numFmtId="0" fontId="3" fillId="0" borderId="0" xfId="0" applyFont="1"/>
    <xf numFmtId="0" fontId="3" fillId="0" borderId="0" xfId="0" applyFont="1" applyBorder="1"/>
    <xf numFmtId="164" fontId="10" fillId="0" borderId="0" xfId="0" applyNumberFormat="1" applyFont="1" applyFill="1" applyAlignment="1"/>
    <xf numFmtId="164" fontId="11" fillId="0" borderId="0" xfId="0" applyNumberFormat="1" applyFont="1" applyFill="1" applyAlignment="1"/>
    <xf numFmtId="0" fontId="9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/>
    <xf numFmtId="44" fontId="10" fillId="0" borderId="0" xfId="0" applyNumberFormat="1" applyFont="1" applyFill="1" applyAlignment="1"/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 applyAlignment="1"/>
    <xf numFmtId="164" fontId="4" fillId="0" borderId="0" xfId="0" applyNumberFormat="1" applyFont="1" applyFill="1" applyBorder="1"/>
    <xf numFmtId="44" fontId="4" fillId="0" borderId="0" xfId="0" applyNumberFormat="1" applyFont="1" applyFill="1" applyAlignment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9" fontId="10" fillId="0" borderId="0" xfId="54" applyFont="1" applyFill="1" applyAlignment="1"/>
    <xf numFmtId="0" fontId="3" fillId="0" borderId="0" xfId="23" applyFont="1" applyFill="1" applyBorder="1"/>
    <xf numFmtId="0" fontId="3" fillId="0" borderId="0" xfId="23" applyFont="1" applyFill="1" applyBorder="1" applyAlignment="1">
      <alignment horizontal="left" vertical="top"/>
    </xf>
    <xf numFmtId="175" fontId="3" fillId="0" borderId="0" xfId="23" applyNumberFormat="1" applyFont="1" applyFill="1" applyBorder="1" applyAlignment="1">
      <alignment horizontal="right" vertical="top"/>
    </xf>
    <xf numFmtId="174" fontId="3" fillId="0" borderId="0" xfId="23" applyNumberFormat="1" applyFont="1" applyFill="1" applyBorder="1" applyAlignment="1">
      <alignment horizontal="right" vertical="top"/>
    </xf>
    <xf numFmtId="0" fontId="3" fillId="7" borderId="0" xfId="23" applyFont="1" applyFill="1" applyBorder="1" applyAlignment="1">
      <alignment horizontal="left" vertical="top"/>
    </xf>
    <xf numFmtId="174" fontId="3" fillId="7" borderId="0" xfId="23" applyNumberFormat="1" applyFont="1" applyFill="1" applyBorder="1" applyAlignment="1">
      <alignment horizontal="right" vertical="top"/>
    </xf>
    <xf numFmtId="44" fontId="10" fillId="0" borderId="0" xfId="55" applyFont="1"/>
    <xf numFmtId="44" fontId="27" fillId="0" borderId="0" xfId="55" applyFont="1"/>
    <xf numFmtId="44" fontId="3" fillId="0" borderId="13" xfId="55" applyFont="1" applyFill="1" applyBorder="1" applyAlignment="1">
      <alignment horizontal="center"/>
    </xf>
    <xf numFmtId="0" fontId="3" fillId="0" borderId="13" xfId="0" applyFont="1" applyFill="1" applyBorder="1"/>
    <xf numFmtId="17" fontId="10" fillId="0" borderId="0" xfId="55" applyNumberFormat="1" applyFont="1" applyAlignment="1">
      <alignment horizontal="center"/>
    </xf>
    <xf numFmtId="174" fontId="9" fillId="0" borderId="14" xfId="23" applyNumberFormat="1" applyFont="1" applyFill="1" applyBorder="1"/>
    <xf numFmtId="0" fontId="9" fillId="0" borderId="14" xfId="23" applyFont="1" applyFill="1" applyBorder="1"/>
    <xf numFmtId="175" fontId="3" fillId="7" borderId="0" xfId="23" applyNumberFormat="1" applyFont="1" applyFill="1" applyBorder="1" applyAlignment="1">
      <alignment horizontal="right" vertical="top"/>
    </xf>
    <xf numFmtId="0" fontId="9" fillId="0" borderId="0" xfId="23" applyFont="1" applyFill="1" applyBorder="1" applyAlignment="1">
      <alignment horizontal="center" vertical="top" wrapText="1"/>
    </xf>
    <xf numFmtId="0" fontId="3" fillId="0" borderId="0" xfId="23" applyFont="1" applyFill="1" applyBorder="1" applyAlignment="1">
      <alignment wrapText="1"/>
    </xf>
    <xf numFmtId="0" fontId="27" fillId="0" borderId="0" xfId="0" applyFont="1" applyFill="1"/>
    <xf numFmtId="0" fontId="9" fillId="0" borderId="0" xfId="0" applyFont="1" applyFill="1" applyAlignment="1">
      <alignment horizontal="centerContinuous"/>
    </xf>
    <xf numFmtId="17" fontId="4" fillId="0" borderId="13" xfId="0" applyNumberFormat="1" applyFont="1" applyFill="1" applyBorder="1" applyAlignment="1">
      <alignment horizontal="center"/>
    </xf>
    <xf numFmtId="17" fontId="3" fillId="0" borderId="13" xfId="0" applyNumberFormat="1" applyFont="1" applyFill="1" applyBorder="1" applyAlignment="1">
      <alignment horizontal="center"/>
    </xf>
    <xf numFmtId="172" fontId="11" fillId="0" borderId="0" xfId="0" applyNumberFormat="1" applyFont="1" applyFill="1" applyBorder="1"/>
    <xf numFmtId="172" fontId="27" fillId="0" borderId="0" xfId="0" applyNumberFormat="1" applyFont="1" applyFill="1"/>
    <xf numFmtId="172" fontId="11" fillId="0" borderId="13" xfId="0" applyNumberFormat="1" applyFont="1" applyFill="1" applyBorder="1"/>
    <xf numFmtId="172" fontId="3" fillId="0" borderId="3" xfId="0" applyNumberFormat="1" applyFont="1" applyFill="1" applyBorder="1"/>
    <xf numFmtId="172" fontId="28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172" fontId="3" fillId="0" borderId="0" xfId="0" applyNumberFormat="1" applyFont="1" applyFill="1"/>
    <xf numFmtId="0" fontId="27" fillId="0" borderId="0" xfId="0" applyFont="1" applyFill="1" applyAlignment="1">
      <alignment horizontal="right"/>
    </xf>
    <xf numFmtId="172" fontId="27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/>
    <xf numFmtId="0" fontId="24" fillId="0" borderId="0" xfId="0" applyFont="1"/>
    <xf numFmtId="0" fontId="25" fillId="0" borderId="0" xfId="0" applyFont="1"/>
    <xf numFmtId="44" fontId="9" fillId="0" borderId="0" xfId="55" applyFont="1" applyFill="1" applyBorder="1" applyAlignment="1">
      <alignment horizontal="center"/>
    </xf>
    <xf numFmtId="44" fontId="29" fillId="0" borderId="0" xfId="55" applyFont="1"/>
    <xf numFmtId="44" fontId="11" fillId="0" borderId="0" xfId="55" applyFont="1"/>
    <xf numFmtId="44" fontId="29" fillId="0" borderId="14" xfId="55" applyFont="1" applyBorder="1"/>
    <xf numFmtId="0" fontId="9" fillId="0" borderId="13" xfId="56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30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32" fillId="0" borderId="0" xfId="57" applyFont="1" applyFill="1"/>
    <xf numFmtId="0" fontId="9" fillId="0" borderId="0" xfId="0" applyFont="1" applyAlignment="1">
      <alignment horizontal="center" wrapText="1"/>
    </xf>
    <xf numFmtId="0" fontId="10" fillId="0" borderId="0" xfId="0" applyFont="1" applyFill="1" applyBorder="1"/>
    <xf numFmtId="49" fontId="33" fillId="0" borderId="18" xfId="0" applyNumberFormat="1" applyFont="1" applyFill="1" applyBorder="1" applyAlignment="1">
      <alignment horizontal="left"/>
    </xf>
    <xf numFmtId="172" fontId="3" fillId="0" borderId="0" xfId="0" applyNumberFormat="1" applyFont="1" applyFill="1" applyBorder="1"/>
    <xf numFmtId="172" fontId="3" fillId="0" borderId="2" xfId="0" applyNumberFormat="1" applyFont="1" applyFill="1" applyBorder="1"/>
    <xf numFmtId="0" fontId="10" fillId="0" borderId="0" xfId="0" applyFont="1" applyFill="1" applyBorder="1" applyAlignment="1"/>
    <xf numFmtId="172" fontId="10" fillId="0" borderId="0" xfId="0" applyNumberFormat="1" applyFont="1" applyFill="1" applyBorder="1"/>
    <xf numFmtId="49" fontId="33" fillId="8" borderId="18" xfId="0" applyNumberFormat="1" applyFont="1" applyFill="1" applyBorder="1" applyAlignment="1">
      <alignment horizontal="left"/>
    </xf>
    <xf numFmtId="0" fontId="10" fillId="0" borderId="0" xfId="0" applyFont="1" applyBorder="1"/>
    <xf numFmtId="172" fontId="3" fillId="0" borderId="0" xfId="0" applyNumberFormat="1" applyFont="1" applyBorder="1"/>
    <xf numFmtId="172" fontId="9" fillId="0" borderId="0" xfId="0" applyNumberFormat="1" applyFont="1" applyFill="1" applyBorder="1"/>
    <xf numFmtId="0" fontId="10" fillId="0" borderId="0" xfId="0" applyFont="1" applyBorder="1" applyAlignment="1"/>
    <xf numFmtId="0" fontId="3" fillId="0" borderId="0" xfId="0" applyFont="1" applyBorder="1" applyAlignment="1"/>
    <xf numFmtId="49" fontId="33" fillId="9" borderId="18" xfId="0" applyNumberFormat="1" applyFont="1" applyFill="1" applyBorder="1" applyAlignment="1">
      <alignment horizontal="left"/>
    </xf>
    <xf numFmtId="172" fontId="3" fillId="0" borderId="2" xfId="0" applyNumberFormat="1" applyFont="1" applyBorder="1"/>
    <xf numFmtId="172" fontId="9" fillId="0" borderId="19" xfId="0" applyNumberFormat="1" applyFont="1" applyFill="1" applyBorder="1"/>
    <xf numFmtId="0" fontId="9" fillId="0" borderId="0" xfId="0" applyFont="1" applyBorder="1" applyAlignment="1">
      <alignment horizontal="center"/>
    </xf>
    <xf numFmtId="172" fontId="9" fillId="0" borderId="0" xfId="0" applyNumberFormat="1" applyFont="1" applyBorder="1"/>
    <xf numFmtId="0" fontId="10" fillId="0" borderId="0" xfId="0" applyFont="1" applyFill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172" fontId="3" fillId="10" borderId="0" xfId="0" applyNumberFormat="1" applyFont="1" applyFill="1" applyBorder="1"/>
    <xf numFmtId="0" fontId="9" fillId="10" borderId="0" xfId="0" applyFont="1" applyFill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10" fillId="0" borderId="20" xfId="0" applyFont="1" applyFill="1" applyBorder="1"/>
    <xf numFmtId="0" fontId="10" fillId="0" borderId="22" xfId="0" applyFont="1" applyFill="1" applyBorder="1"/>
    <xf numFmtId="172" fontId="10" fillId="0" borderId="0" xfId="0" applyNumberFormat="1" applyFont="1" applyFill="1"/>
    <xf numFmtId="0" fontId="29" fillId="0" borderId="26" xfId="0" applyFont="1" applyFill="1" applyBorder="1" applyAlignment="1">
      <alignment horizontal="center" wrapText="1"/>
    </xf>
    <xf numFmtId="172" fontId="10" fillId="0" borderId="21" xfId="0" applyNumberFormat="1" applyFont="1" applyBorder="1"/>
    <xf numFmtId="172" fontId="10" fillId="0" borderId="24" xfId="0" applyNumberFormat="1" applyFont="1" applyBorder="1"/>
    <xf numFmtId="172" fontId="10" fillId="0" borderId="23" xfId="0" applyNumberFormat="1" applyFont="1" applyFill="1" applyBorder="1"/>
    <xf numFmtId="0" fontId="29" fillId="0" borderId="27" xfId="0" applyFont="1" applyBorder="1" applyAlignment="1">
      <alignment horizontal="center" wrapText="1"/>
    </xf>
    <xf numFmtId="172" fontId="10" fillId="0" borderId="21" xfId="0" applyNumberFormat="1" applyFont="1" applyFill="1" applyBorder="1"/>
    <xf numFmtId="172" fontId="10" fillId="0" borderId="20" xfId="0" applyNumberFormat="1" applyFont="1" applyFill="1" applyBorder="1"/>
    <xf numFmtId="0" fontId="29" fillId="0" borderId="25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172" fontId="29" fillId="0" borderId="21" xfId="0" applyNumberFormat="1" applyFont="1" applyFill="1" applyBorder="1"/>
    <xf numFmtId="172" fontId="29" fillId="0" borderId="0" xfId="0" applyNumberFormat="1" applyFont="1" applyFill="1" applyBorder="1"/>
    <xf numFmtId="172" fontId="10" fillId="0" borderId="22" xfId="0" applyNumberFormat="1" applyFont="1" applyFill="1" applyBorder="1"/>
    <xf numFmtId="172" fontId="29" fillId="0" borderId="24" xfId="0" applyNumberFormat="1" applyFont="1" applyFill="1" applyBorder="1"/>
    <xf numFmtId="172" fontId="29" fillId="0" borderId="23" xfId="0" applyNumberFormat="1" applyFont="1" applyFill="1" applyBorder="1"/>
    <xf numFmtId="0" fontId="3" fillId="0" borderId="0" xfId="0" quotePrefix="1" applyFont="1" applyFill="1" applyAlignment="1">
      <alignment horizontal="center"/>
    </xf>
    <xf numFmtId="14" fontId="3" fillId="0" borderId="0" xfId="0" applyNumberFormat="1" applyFont="1" applyFill="1"/>
    <xf numFmtId="17" fontId="9" fillId="11" borderId="28" xfId="0" quotePrefix="1" applyNumberFormat="1" applyFont="1" applyFill="1" applyBorder="1" applyAlignment="1">
      <alignment horizontal="center" wrapText="1"/>
    </xf>
    <xf numFmtId="0" fontId="9" fillId="11" borderId="29" xfId="0" quotePrefix="1" applyFont="1" applyFill="1" applyBorder="1" applyAlignment="1">
      <alignment horizontal="center" wrapText="1"/>
    </xf>
    <xf numFmtId="171" fontId="3" fillId="0" borderId="0" xfId="8" applyNumberFormat="1" applyFont="1" applyFill="1"/>
    <xf numFmtId="171" fontId="3" fillId="0" borderId="0" xfId="0" applyNumberFormat="1" applyFont="1" applyFill="1"/>
    <xf numFmtId="171" fontId="3" fillId="0" borderId="0" xfId="0" applyNumberFormat="1" applyFont="1" applyFill="1" applyBorder="1"/>
    <xf numFmtId="171" fontId="3" fillId="0" borderId="21" xfId="0" applyNumberFormat="1" applyFont="1" applyFill="1" applyBorder="1"/>
    <xf numFmtId="171" fontId="3" fillId="11" borderId="0" xfId="0" applyNumberFormat="1" applyFont="1" applyFill="1" applyBorder="1"/>
    <xf numFmtId="164" fontId="3" fillId="11" borderId="0" xfId="0" applyNumberFormat="1" applyFont="1" applyFill="1" applyBorder="1"/>
    <xf numFmtId="10" fontId="3" fillId="11" borderId="21" xfId="0" applyNumberFormat="1" applyFont="1" applyFill="1" applyBorder="1"/>
    <xf numFmtId="173" fontId="3" fillId="0" borderId="0" xfId="0" applyNumberFormat="1" applyFont="1" applyFill="1"/>
    <xf numFmtId="171" fontId="3" fillId="0" borderId="2" xfId="8" applyNumberFormat="1" applyFont="1" applyFill="1" applyBorder="1"/>
    <xf numFmtId="171" fontId="3" fillId="0" borderId="2" xfId="0" applyNumberFormat="1" applyFont="1" applyFill="1" applyBorder="1"/>
    <xf numFmtId="171" fontId="3" fillId="0" borderId="30" xfId="0" applyNumberFormat="1" applyFont="1" applyFill="1" applyBorder="1"/>
    <xf numFmtId="171" fontId="3" fillId="11" borderId="2" xfId="0" applyNumberFormat="1" applyFont="1" applyFill="1" applyBorder="1"/>
    <xf numFmtId="164" fontId="3" fillId="11" borderId="2" xfId="0" applyNumberFormat="1" applyFont="1" applyFill="1" applyBorder="1"/>
    <xf numFmtId="10" fontId="3" fillId="11" borderId="30" xfId="0" applyNumberFormat="1" applyFont="1" applyFill="1" applyBorder="1"/>
    <xf numFmtId="171" fontId="3" fillId="0" borderId="0" xfId="8" applyNumberFormat="1" applyFont="1" applyFill="1" applyBorder="1"/>
    <xf numFmtId="172" fontId="3" fillId="0" borderId="14" xfId="0" applyNumberFormat="1" applyFont="1" applyFill="1" applyBorder="1"/>
    <xf numFmtId="171" fontId="3" fillId="0" borderId="14" xfId="8" applyNumberFormat="1" applyFont="1" applyFill="1" applyBorder="1"/>
    <xf numFmtId="171" fontId="3" fillId="0" borderId="31" xfId="8" applyNumberFormat="1" applyFont="1" applyFill="1" applyBorder="1"/>
    <xf numFmtId="171" fontId="3" fillId="11" borderId="14" xfId="8" applyNumberFormat="1" applyFont="1" applyFill="1" applyBorder="1"/>
    <xf numFmtId="164" fontId="3" fillId="11" borderId="14" xfId="0" applyNumberFormat="1" applyFont="1" applyFill="1" applyBorder="1"/>
    <xf numFmtId="10" fontId="3" fillId="11" borderId="31" xfId="0" applyNumberFormat="1" applyFont="1" applyFill="1" applyBorder="1"/>
    <xf numFmtId="171" fontId="3" fillId="11" borderId="23" xfId="0" applyNumberFormat="1" applyFont="1" applyFill="1" applyBorder="1"/>
    <xf numFmtId="164" fontId="3" fillId="11" borderId="32" xfId="0" applyNumberFormat="1" applyFont="1" applyFill="1" applyBorder="1"/>
    <xf numFmtId="10" fontId="3" fillId="11" borderId="33" xfId="0" applyNumberFormat="1" applyFont="1" applyFill="1" applyBorder="1"/>
    <xf numFmtId="171" fontId="3" fillId="11" borderId="23" xfId="8" applyNumberFormat="1" applyFont="1" applyFill="1" applyBorder="1"/>
    <xf numFmtId="10" fontId="3" fillId="11" borderId="24" xfId="0" applyNumberFormat="1" applyFont="1" applyFill="1" applyBorder="1"/>
    <xf numFmtId="0" fontId="9" fillId="0" borderId="2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71" fontId="3" fillId="0" borderId="16" xfId="0" applyNumberFormat="1" applyFont="1" applyFill="1" applyBorder="1"/>
    <xf numFmtId="171" fontId="3" fillId="0" borderId="34" xfId="0" applyNumberFormat="1" applyFont="1" applyFill="1" applyBorder="1"/>
    <xf numFmtId="171" fontId="3" fillId="0" borderId="35" xfId="8" applyNumberFormat="1" applyFont="1" applyFill="1" applyBorder="1"/>
    <xf numFmtId="0" fontId="9" fillId="0" borderId="0" xfId="58" applyFont="1" applyAlignment="1">
      <alignment horizontal="centerContinuous" vertical="center"/>
    </xf>
    <xf numFmtId="0" fontId="9" fillId="0" borderId="0" xfId="58" applyFont="1" applyAlignment="1">
      <alignment horizontal="centerContinuous"/>
    </xf>
    <xf numFmtId="0" fontId="9" fillId="0" borderId="0" xfId="58" applyFont="1"/>
    <xf numFmtId="0" fontId="3" fillId="0" borderId="0" xfId="58" applyFont="1" applyAlignment="1">
      <alignment horizontal="centerContinuous" vertical="center"/>
    </xf>
    <xf numFmtId="0" fontId="3" fillId="0" borderId="0" xfId="58" applyFont="1"/>
    <xf numFmtId="0" fontId="3" fillId="0" borderId="0" xfId="58" applyFont="1" applyBorder="1" applyAlignment="1"/>
    <xf numFmtId="0" fontId="3" fillId="0" borderId="0" xfId="58" quotePrefix="1" applyFont="1" applyBorder="1" applyAlignment="1">
      <alignment horizontal="center"/>
    </xf>
    <xf numFmtId="0" fontId="3" fillId="0" borderId="0" xfId="58" applyFont="1" applyAlignment="1"/>
    <xf numFmtId="0" fontId="3" fillId="0" borderId="13" xfId="58" applyFont="1" applyBorder="1" applyAlignment="1">
      <alignment horizontal="center" wrapText="1"/>
    </xf>
    <xf numFmtId="0" fontId="3" fillId="0" borderId="13" xfId="58" quotePrefix="1" applyFont="1" applyBorder="1" applyAlignment="1">
      <alignment horizontal="center" wrapText="1"/>
    </xf>
    <xf numFmtId="172" fontId="3" fillId="0" borderId="0" xfId="58" applyNumberFormat="1" applyFont="1"/>
    <xf numFmtId="44" fontId="3" fillId="0" borderId="0" xfId="59" applyFont="1"/>
    <xf numFmtId="44" fontId="3" fillId="0" borderId="0" xfId="58" applyNumberFormat="1" applyFont="1"/>
    <xf numFmtId="177" fontId="3" fillId="0" borderId="0" xfId="34" applyNumberFormat="1" applyFont="1"/>
    <xf numFmtId="0" fontId="3" fillId="0" borderId="0" xfId="58" quotePrefix="1" applyFont="1" applyAlignment="1">
      <alignment horizontal="left"/>
    </xf>
    <xf numFmtId="172" fontId="3" fillId="0" borderId="14" xfId="58" applyNumberFormat="1" applyFont="1" applyBorder="1"/>
    <xf numFmtId="44" fontId="3" fillId="0" borderId="14" xfId="59" applyFont="1" applyBorder="1"/>
    <xf numFmtId="177" fontId="3" fillId="0" borderId="14" xfId="34" applyNumberFormat="1" applyFont="1" applyBorder="1"/>
    <xf numFmtId="0" fontId="3" fillId="0" borderId="0" xfId="58" applyFont="1" applyFill="1" applyAlignment="1">
      <alignment horizontal="left"/>
    </xf>
    <xf numFmtId="172" fontId="3" fillId="0" borderId="14" xfId="58" applyNumberFormat="1" applyFont="1" applyFill="1" applyBorder="1"/>
    <xf numFmtId="44" fontId="3" fillId="0" borderId="14" xfId="58" applyNumberFormat="1" applyFont="1" applyBorder="1"/>
    <xf numFmtId="0" fontId="3" fillId="0" borderId="0" xfId="58" applyFont="1" applyAlignment="1">
      <alignment horizontal="left"/>
    </xf>
    <xf numFmtId="0" fontId="3" fillId="0" borderId="36" xfId="58" quotePrefix="1" applyFont="1" applyBorder="1" applyAlignment="1">
      <alignment horizontal="center" wrapText="1"/>
    </xf>
    <xf numFmtId="164" fontId="3" fillId="0" borderId="36" xfId="58" applyNumberFormat="1" applyFont="1" applyFill="1" applyBorder="1"/>
    <xf numFmtId="164" fontId="3" fillId="0" borderId="37" xfId="58" applyNumberFormat="1" applyFont="1" applyFill="1" applyBorder="1"/>
    <xf numFmtId="0" fontId="3" fillId="0" borderId="36" xfId="58" applyFont="1" applyFill="1" applyBorder="1"/>
    <xf numFmtId="164" fontId="3" fillId="0" borderId="38" xfId="58" quotePrefix="1" applyNumberFormat="1" applyFont="1" applyFill="1" applyBorder="1" applyAlignment="1"/>
    <xf numFmtId="0" fontId="3" fillId="0" borderId="0" xfId="58" applyFont="1" applyFill="1"/>
    <xf numFmtId="164" fontId="3" fillId="10" borderId="38" xfId="58" quotePrefix="1" applyNumberFormat="1" applyFont="1" applyFill="1" applyBorder="1" applyAlignment="1"/>
    <xf numFmtId="164" fontId="3" fillId="0" borderId="37" xfId="58" quotePrefix="1" applyNumberFormat="1" applyFont="1" applyFill="1" applyBorder="1" applyAlignment="1"/>
    <xf numFmtId="0" fontId="3" fillId="0" borderId="0" xfId="58" quotePrefix="1" applyFont="1" applyAlignment="1">
      <alignment horizontal="left" indent="2"/>
    </xf>
    <xf numFmtId="164" fontId="3" fillId="0" borderId="38" xfId="58" applyNumberFormat="1" applyFont="1" applyFill="1" applyBorder="1"/>
    <xf numFmtId="178" fontId="3" fillId="0" borderId="0" xfId="58" applyNumberFormat="1" applyFont="1"/>
    <xf numFmtId="164" fontId="3" fillId="0" borderId="39" xfId="58" applyNumberFormat="1" applyFont="1" applyFill="1" applyBorder="1"/>
    <xf numFmtId="0" fontId="3" fillId="13" borderId="17" xfId="58" quotePrefix="1" applyFont="1" applyFill="1" applyBorder="1" applyAlignment="1">
      <alignment horizontal="centerContinuous"/>
    </xf>
    <xf numFmtId="0" fontId="3" fillId="13" borderId="26" xfId="58" quotePrefix="1" applyFont="1" applyFill="1" applyBorder="1" applyAlignment="1">
      <alignment horizontal="centerContinuous"/>
    </xf>
    <xf numFmtId="0" fontId="3" fillId="13" borderId="27" xfId="58" quotePrefix="1" applyFont="1" applyFill="1" applyBorder="1" applyAlignment="1">
      <alignment horizontal="centerContinuous"/>
    </xf>
    <xf numFmtId="0" fontId="3" fillId="13" borderId="23" xfId="58" applyFont="1" applyFill="1" applyBorder="1" applyAlignment="1">
      <alignment horizontal="center" vertical="center" wrapText="1"/>
    </xf>
    <xf numFmtId="0" fontId="3" fillId="13" borderId="24" xfId="58" applyFont="1" applyFill="1" applyBorder="1" applyAlignment="1">
      <alignment horizontal="center" vertical="center" wrapText="1"/>
    </xf>
    <xf numFmtId="0" fontId="3" fillId="0" borderId="0" xfId="58" applyFont="1" applyAlignment="1">
      <alignment horizontal="center" wrapText="1"/>
    </xf>
    <xf numFmtId="0" fontId="35" fillId="13" borderId="0" xfId="58" applyFont="1" applyFill="1" applyBorder="1"/>
    <xf numFmtId="172" fontId="3" fillId="13" borderId="0" xfId="58" applyNumberFormat="1" applyFont="1" applyFill="1" applyBorder="1"/>
    <xf numFmtId="172" fontId="3" fillId="13" borderId="21" xfId="58" applyNumberFormat="1" applyFont="1" applyFill="1" applyBorder="1"/>
    <xf numFmtId="0" fontId="3" fillId="13" borderId="0" xfId="58" applyFont="1" applyFill="1" applyBorder="1"/>
    <xf numFmtId="0" fontId="3" fillId="13" borderId="23" xfId="58" applyFont="1" applyFill="1" applyBorder="1"/>
    <xf numFmtId="172" fontId="3" fillId="13" borderId="23" xfId="58" applyNumberFormat="1" applyFont="1" applyFill="1" applyBorder="1"/>
    <xf numFmtId="172" fontId="3" fillId="13" borderId="24" xfId="58" applyNumberFormat="1" applyFont="1" applyFill="1" applyBorder="1"/>
    <xf numFmtId="0" fontId="9" fillId="0" borderId="13" xfId="0" applyFont="1" applyFill="1" applyBorder="1" applyAlignment="1">
      <alignment horizontal="center" wrapText="1"/>
    </xf>
    <xf numFmtId="0" fontId="9" fillId="0" borderId="13" xfId="0" quotePrefix="1" applyFont="1" applyFill="1" applyBorder="1" applyAlignment="1">
      <alignment horizontal="center" wrapText="1"/>
    </xf>
    <xf numFmtId="17" fontId="9" fillId="0" borderId="13" xfId="0" quotePrefix="1" applyNumberFormat="1" applyFont="1" applyFill="1" applyBorder="1" applyAlignment="1">
      <alignment horizontal="center" wrapText="1"/>
    </xf>
    <xf numFmtId="17" fontId="9" fillId="0" borderId="0" xfId="0" quotePrefix="1" applyNumberFormat="1" applyFont="1" applyFill="1" applyBorder="1" applyAlignment="1">
      <alignment horizontal="center" wrapText="1"/>
    </xf>
    <xf numFmtId="17" fontId="9" fillId="0" borderId="15" xfId="0" quotePrefix="1" applyNumberFormat="1" applyFont="1" applyFill="1" applyBorder="1" applyAlignment="1">
      <alignment horizontal="center" wrapText="1"/>
    </xf>
    <xf numFmtId="17" fontId="9" fillId="0" borderId="24" xfId="0" quotePrefix="1" applyNumberFormat="1" applyFont="1" applyFill="1" applyBorder="1" applyAlignment="1">
      <alignment horizontal="center" wrapText="1"/>
    </xf>
    <xf numFmtId="172" fontId="11" fillId="0" borderId="0" xfId="0" applyNumberFormat="1" applyFont="1" applyFill="1"/>
    <xf numFmtId="171" fontId="11" fillId="0" borderId="0" xfId="8" applyNumberFormat="1" applyFont="1" applyFill="1"/>
    <xf numFmtId="171" fontId="11" fillId="0" borderId="16" xfId="0" applyNumberFormat="1" applyFont="1" applyFill="1" applyBorder="1"/>
    <xf numFmtId="171" fontId="11" fillId="0" borderId="21" xfId="0" applyNumberFormat="1" applyFont="1" applyFill="1" applyBorder="1"/>
    <xf numFmtId="171" fontId="11" fillId="0" borderId="34" xfId="8" applyNumberFormat="1" applyFont="1" applyFill="1" applyBorder="1"/>
    <xf numFmtId="171" fontId="11" fillId="0" borderId="30" xfId="8" applyNumberFormat="1" applyFont="1" applyFill="1" applyBorder="1"/>
    <xf numFmtId="172" fontId="11" fillId="0" borderId="2" xfId="0" applyNumberFormat="1" applyFont="1" applyFill="1" applyBorder="1"/>
    <xf numFmtId="171" fontId="11" fillId="0" borderId="2" xfId="8" applyNumberFormat="1" applyFont="1" applyFill="1" applyBorder="1"/>
    <xf numFmtId="0" fontId="9" fillId="0" borderId="13" xfId="58" quotePrefix="1" applyFont="1" applyBorder="1" applyAlignment="1">
      <alignment horizontal="left"/>
    </xf>
    <xf numFmtId="0" fontId="9" fillId="0" borderId="13" xfId="58" applyFont="1" applyBorder="1"/>
    <xf numFmtId="0" fontId="9" fillId="12" borderId="4" xfId="58" quotePrefix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wrapText="1"/>
    </xf>
    <xf numFmtId="0" fontId="3" fillId="0" borderId="0" xfId="58" quotePrefix="1" applyFont="1" applyAlignment="1">
      <alignment horizontal="left" indent="2"/>
    </xf>
    <xf numFmtId="0" fontId="3" fillId="0" borderId="13" xfId="58" quotePrefix="1" applyFont="1" applyBorder="1" applyAlignment="1">
      <alignment horizontal="center"/>
    </xf>
    <xf numFmtId="0" fontId="3" fillId="0" borderId="0" xfId="58" quotePrefix="1" applyFont="1" applyAlignment="1">
      <alignment horizontal="left" indent="1"/>
    </xf>
    <xf numFmtId="0" fontId="3" fillId="0" borderId="0" xfId="58" quotePrefix="1" applyFont="1" applyAlignment="1">
      <alignment horizontal="left" indent="3"/>
    </xf>
    <xf numFmtId="0" fontId="3" fillId="10" borderId="0" xfId="58" quotePrefix="1" applyFont="1" applyFill="1" applyAlignment="1">
      <alignment horizontal="left" indent="2"/>
    </xf>
    <xf numFmtId="0" fontId="3" fillId="0" borderId="0" xfId="58" quotePrefix="1" applyFont="1" applyFill="1" applyAlignment="1">
      <alignment horizontal="left" indent="3"/>
    </xf>
    <xf numFmtId="0" fontId="3" fillId="0" borderId="0" xfId="58" quotePrefix="1" applyFont="1" applyFill="1" applyAlignment="1">
      <alignment horizontal="left" indent="2"/>
    </xf>
    <xf numFmtId="0" fontId="30" fillId="0" borderId="0" xfId="0" applyFont="1" applyAlignment="1">
      <alignment wrapText="1"/>
    </xf>
    <xf numFmtId="0" fontId="12" fillId="0" borderId="13" xfId="0" applyFont="1" applyFill="1" applyBorder="1" applyAlignment="1">
      <alignment horizontal="center"/>
    </xf>
    <xf numFmtId="0" fontId="3" fillId="0" borderId="0" xfId="23" applyFont="1" applyFill="1" applyBorder="1" applyAlignment="1">
      <alignment horizontal="left" vertical="top"/>
    </xf>
    <xf numFmtId="0" fontId="10" fillId="10" borderId="25" xfId="0" applyFont="1" applyFill="1" applyBorder="1" applyAlignment="1">
      <alignment horizontal="center" wrapText="1"/>
    </xf>
    <xf numFmtId="0" fontId="0" fillId="10" borderId="26" xfId="0" applyFill="1" applyBorder="1" applyAlignment="1">
      <alignment horizontal="center" wrapText="1"/>
    </xf>
    <xf numFmtId="0" fontId="0" fillId="10" borderId="27" xfId="0" applyFill="1" applyBorder="1" applyAlignment="1">
      <alignment horizontal="center" wrapText="1"/>
    </xf>
    <xf numFmtId="0" fontId="10" fillId="10" borderId="26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60">
    <cellStyle name="Comma 18" xfId="1"/>
    <cellStyle name="Comma 2" xfId="3"/>
    <cellStyle name="Comma0" xfId="4"/>
    <cellStyle name="Comma0 - Style4" xfId="5"/>
    <cellStyle name="Comma1 - Style1" xfId="6"/>
    <cellStyle name="Curren - Style2" xfId="7"/>
    <cellStyle name="Currency" xfId="55" builtinId="4"/>
    <cellStyle name="Currency 2" xfId="8"/>
    <cellStyle name="Currency 2 12" xfId="59"/>
    <cellStyle name="Currency0" xfId="9"/>
    <cellStyle name="Date" xfId="10"/>
    <cellStyle name="Entered" xfId="11"/>
    <cellStyle name="Fixed" xfId="12"/>
    <cellStyle name="Grey" xfId="13"/>
    <cellStyle name="Heading1" xfId="14"/>
    <cellStyle name="Heading2" xfId="15"/>
    <cellStyle name="Hyperlink" xfId="57" builtinId="8"/>
    <cellStyle name="Input [yellow]" xfId="16"/>
    <cellStyle name="modified border" xfId="17"/>
    <cellStyle name="modified border1" xfId="18"/>
    <cellStyle name="Normal" xfId="0" builtinId="0"/>
    <cellStyle name="Normal - Style1" xfId="19"/>
    <cellStyle name="Normal 10" xfId="20"/>
    <cellStyle name="Normal 11" xfId="56"/>
    <cellStyle name="Normal 118" xfId="21"/>
    <cellStyle name="Normal 12" xfId="58"/>
    <cellStyle name="Normal 2" xfId="22"/>
    <cellStyle name="Normal 2 11" xfId="23"/>
    <cellStyle name="Normal 2 2" xfId="24"/>
    <cellStyle name="Normal 3" xfId="25"/>
    <cellStyle name="Normal 3 2" xfId="53"/>
    <cellStyle name="Normal 4" xfId="26"/>
    <cellStyle name="Normal 5" xfId="27"/>
    <cellStyle name="Normal 6" xfId="28"/>
    <cellStyle name="Normal 7" xfId="29"/>
    <cellStyle name="Normal 8" xfId="2"/>
    <cellStyle name="Normal 9" xfId="30"/>
    <cellStyle name="Percen - Style2" xfId="31"/>
    <cellStyle name="Percen - Style3" xfId="32"/>
    <cellStyle name="Percent" xfId="54" builtinId="5"/>
    <cellStyle name="Percent [2]" xfId="33"/>
    <cellStyle name="Percent 2" xfId="34"/>
    <cellStyle name="Report" xfId="35"/>
    <cellStyle name="Report - Style5" xfId="36"/>
    <cellStyle name="Report - Style6" xfId="37"/>
    <cellStyle name="Report - Style7" xfId="38"/>
    <cellStyle name="Report - Style8" xfId="39"/>
    <cellStyle name="Report Bar" xfId="40"/>
    <cellStyle name="Report Heading" xfId="41"/>
    <cellStyle name="Report Unit Cost" xfId="42"/>
    <cellStyle name="Reports Total" xfId="43"/>
    <cellStyle name="StmtTtl1" xfId="44"/>
    <cellStyle name="StmtTtl2" xfId="45"/>
    <cellStyle name="Style 1" xfId="46"/>
    <cellStyle name="Test" xfId="47"/>
    <cellStyle name="Title: - Style3" xfId="48"/>
    <cellStyle name="Title: - Style4" xfId="49"/>
    <cellStyle name="Title: Major" xfId="50"/>
    <cellStyle name="Title: Minor" xfId="51"/>
    <cellStyle name="Title: Worksheet" xfId="52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36"/>
  <sheetViews>
    <sheetView tabSelected="1" zoomScaleNormal="100" workbookViewId="0">
      <selection activeCell="F47" sqref="F47"/>
    </sheetView>
  </sheetViews>
  <sheetFormatPr defaultColWidth="9.140625" defaultRowHeight="11.25" x14ac:dyDescent="0.2"/>
  <cols>
    <col min="1" max="1" width="3.85546875" style="5" bestFit="1" customWidth="1"/>
    <col min="2" max="2" width="28" style="5" customWidth="1"/>
    <col min="3" max="3" width="12" style="14" bestFit="1" customWidth="1"/>
    <col min="4" max="4" width="5.28515625" style="14" bestFit="1" customWidth="1"/>
    <col min="5" max="6" width="11.85546875" style="14" bestFit="1" customWidth="1"/>
    <col min="7" max="7" width="13.42578125" style="14" bestFit="1" customWidth="1"/>
    <col min="8" max="8" width="1" style="5" customWidth="1"/>
    <col min="9" max="9" width="11.85546875" style="5" bestFit="1" customWidth="1"/>
    <col min="10" max="10" width="11.5703125" style="5" bestFit="1" customWidth="1"/>
    <col min="11" max="11" width="13.42578125" style="5" bestFit="1" customWidth="1"/>
    <col min="12" max="12" width="0.85546875" style="14" customWidth="1"/>
    <col min="13" max="13" width="11.85546875" style="14" bestFit="1" customWidth="1"/>
    <col min="14" max="14" width="11.5703125" style="5" bestFit="1" customWidth="1"/>
    <col min="15" max="15" width="13.42578125" style="5" bestFit="1" customWidth="1"/>
    <col min="16" max="16" width="1" style="5" customWidth="1"/>
    <col min="17" max="17" width="11.85546875" style="5" bestFit="1" customWidth="1"/>
    <col min="18" max="18" width="11.5703125" style="5" bestFit="1" customWidth="1"/>
    <col min="19" max="19" width="13.42578125" style="5" bestFit="1" customWidth="1"/>
    <col min="20" max="20" width="1.5703125" style="5" customWidth="1"/>
    <col min="21" max="21" width="11.85546875" style="5" bestFit="1" customWidth="1"/>
    <col min="22" max="22" width="10" style="5" bestFit="1" customWidth="1"/>
    <col min="23" max="16384" width="9.140625" style="5"/>
  </cols>
  <sheetData>
    <row r="1" spans="1:22" ht="15" x14ac:dyDescent="0.25">
      <c r="A1" s="220" t="s">
        <v>0</v>
      </c>
      <c r="B1" s="220"/>
      <c r="C1" s="220"/>
      <c r="D1" s="220"/>
      <c r="E1" s="220"/>
      <c r="F1" s="220"/>
      <c r="G1" s="220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1:22" ht="15" x14ac:dyDescent="0.25">
      <c r="A2" s="222" t="s">
        <v>273</v>
      </c>
      <c r="B2" s="222"/>
      <c r="C2" s="222"/>
      <c r="D2" s="222"/>
      <c r="E2" s="222"/>
      <c r="F2" s="222"/>
      <c r="G2" s="222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3" spans="1:22" ht="15" x14ac:dyDescent="0.25">
      <c r="A3" s="220" t="s">
        <v>21</v>
      </c>
      <c r="B3" s="220"/>
      <c r="C3" s="220"/>
      <c r="D3" s="220"/>
      <c r="E3" s="220"/>
      <c r="F3" s="220"/>
      <c r="G3" s="220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</row>
    <row r="4" spans="1:22" ht="15" x14ac:dyDescent="0.25">
      <c r="A4" s="222" t="s">
        <v>155</v>
      </c>
      <c r="B4" s="222"/>
      <c r="C4" s="222"/>
      <c r="D4" s="222"/>
      <c r="E4" s="222"/>
      <c r="F4" s="222"/>
      <c r="G4" s="222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</row>
    <row r="5" spans="1:22" x14ac:dyDescent="0.2">
      <c r="A5" s="226"/>
      <c r="B5" s="226"/>
      <c r="C5" s="226"/>
      <c r="D5" s="226"/>
      <c r="E5" s="226"/>
      <c r="F5" s="226"/>
      <c r="G5" s="226"/>
      <c r="H5" s="6"/>
      <c r="I5" s="6"/>
      <c r="J5" s="6"/>
      <c r="K5" s="6"/>
      <c r="L5" s="6"/>
      <c r="M5" s="7"/>
      <c r="N5" s="7"/>
      <c r="O5" s="7"/>
      <c r="P5" s="6"/>
      <c r="Q5" s="6"/>
      <c r="R5" s="6"/>
      <c r="S5" s="6"/>
      <c r="U5" s="6"/>
    </row>
    <row r="6" spans="1:22" ht="30.75" customHeight="1" x14ac:dyDescent="0.25">
      <c r="B6" s="8"/>
      <c r="C6" s="8"/>
      <c r="D6" s="8"/>
      <c r="E6" s="217" t="s">
        <v>27</v>
      </c>
      <c r="F6" s="224"/>
      <c r="G6" s="225"/>
      <c r="H6" s="6"/>
      <c r="I6" s="217" t="s">
        <v>153</v>
      </c>
      <c r="J6" s="224"/>
      <c r="K6" s="225"/>
      <c r="L6" s="8"/>
      <c r="M6" s="217" t="s">
        <v>27</v>
      </c>
      <c r="N6" s="224"/>
      <c r="O6" s="225"/>
      <c r="P6" s="6"/>
      <c r="Q6" s="217" t="s">
        <v>153</v>
      </c>
      <c r="R6" s="224"/>
      <c r="S6" s="225"/>
    </row>
    <row r="7" spans="1:22" ht="15" x14ac:dyDescent="0.25">
      <c r="B7" s="8"/>
      <c r="C7" s="8"/>
      <c r="D7" s="8"/>
      <c r="E7" s="217" t="s">
        <v>24</v>
      </c>
      <c r="F7" s="218"/>
      <c r="G7" s="219"/>
      <c r="H7" s="6"/>
      <c r="I7" s="217" t="s">
        <v>24</v>
      </c>
      <c r="J7" s="218"/>
      <c r="K7" s="219"/>
      <c r="L7" s="8"/>
      <c r="M7" s="217" t="s">
        <v>26</v>
      </c>
      <c r="N7" s="218"/>
      <c r="O7" s="219"/>
      <c r="P7" s="6"/>
      <c r="Q7" s="217" t="s">
        <v>26</v>
      </c>
      <c r="R7" s="218"/>
      <c r="S7" s="219"/>
    </row>
    <row r="8" spans="1:22" x14ac:dyDescent="0.2">
      <c r="B8" s="8"/>
      <c r="C8" s="8"/>
      <c r="D8" s="8"/>
      <c r="E8" s="9" t="s">
        <v>25</v>
      </c>
      <c r="F8" s="223" t="s">
        <v>3</v>
      </c>
      <c r="G8" s="223"/>
      <c r="H8" s="6"/>
      <c r="I8" s="9" t="s">
        <v>25</v>
      </c>
      <c r="J8" s="223" t="s">
        <v>3</v>
      </c>
      <c r="K8" s="223"/>
      <c r="L8" s="26"/>
      <c r="M8" s="9" t="s">
        <v>25</v>
      </c>
      <c r="N8" s="223" t="s">
        <v>3</v>
      </c>
      <c r="O8" s="223"/>
      <c r="P8" s="6"/>
      <c r="Q8" s="9" t="s">
        <v>25</v>
      </c>
      <c r="R8" s="223" t="s">
        <v>3</v>
      </c>
      <c r="S8" s="223"/>
      <c r="U8" s="9"/>
    </row>
    <row r="9" spans="1:22" x14ac:dyDescent="0.2">
      <c r="A9" s="1" t="s">
        <v>1</v>
      </c>
      <c r="C9" s="9"/>
      <c r="D9" s="9"/>
      <c r="E9" s="9" t="s">
        <v>4</v>
      </c>
      <c r="F9" s="25" t="s">
        <v>5</v>
      </c>
      <c r="G9" s="5" t="s">
        <v>6</v>
      </c>
      <c r="H9" s="4"/>
      <c r="I9" s="9" t="s">
        <v>4</v>
      </c>
      <c r="J9" s="27" t="s">
        <v>5</v>
      </c>
      <c r="K9" s="5" t="s">
        <v>6</v>
      </c>
      <c r="L9" s="5"/>
      <c r="M9" s="9" t="s">
        <v>4</v>
      </c>
      <c r="N9" s="27" t="s">
        <v>5</v>
      </c>
      <c r="O9" s="5" t="s">
        <v>6</v>
      </c>
      <c r="P9" s="4"/>
      <c r="Q9" s="9" t="s">
        <v>4</v>
      </c>
      <c r="R9" s="27" t="s">
        <v>5</v>
      </c>
      <c r="S9" s="5" t="s">
        <v>6</v>
      </c>
      <c r="U9" s="9" t="s">
        <v>28</v>
      </c>
      <c r="V9" s="9" t="s">
        <v>28</v>
      </c>
    </row>
    <row r="10" spans="1:22" x14ac:dyDescent="0.2">
      <c r="A10" s="10" t="s">
        <v>2</v>
      </c>
      <c r="B10" s="11"/>
      <c r="C10" s="12"/>
      <c r="D10" s="12" t="s">
        <v>7</v>
      </c>
      <c r="E10" s="12" t="s">
        <v>8</v>
      </c>
      <c r="F10" s="12" t="s">
        <v>9</v>
      </c>
      <c r="G10" s="12" t="s">
        <v>9</v>
      </c>
      <c r="H10" s="4"/>
      <c r="I10" s="12" t="s">
        <v>8</v>
      </c>
      <c r="J10" s="12" t="s">
        <v>9</v>
      </c>
      <c r="K10" s="12" t="s">
        <v>9</v>
      </c>
      <c r="L10" s="24"/>
      <c r="M10" s="12" t="s">
        <v>8</v>
      </c>
      <c r="N10" s="12" t="s">
        <v>9</v>
      </c>
      <c r="O10" s="12" t="s">
        <v>9</v>
      </c>
      <c r="P10" s="4"/>
      <c r="Q10" s="12" t="s">
        <v>8</v>
      </c>
      <c r="R10" s="12" t="s">
        <v>9</v>
      </c>
      <c r="S10" s="12" t="s">
        <v>9</v>
      </c>
      <c r="U10" s="12"/>
      <c r="V10" s="12" t="s">
        <v>29</v>
      </c>
    </row>
    <row r="11" spans="1:22" x14ac:dyDescent="0.2">
      <c r="A11" s="13"/>
      <c r="B11" s="14"/>
      <c r="C11" s="9"/>
      <c r="D11" s="9"/>
      <c r="E11" s="3"/>
      <c r="F11" s="3"/>
      <c r="G11" s="3"/>
      <c r="H11" s="4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U11" s="3"/>
      <c r="V11" s="3"/>
    </row>
    <row r="12" spans="1:22" x14ac:dyDescent="0.2">
      <c r="A12" s="3">
        <v>1</v>
      </c>
      <c r="B12" s="15" t="s">
        <v>10</v>
      </c>
      <c r="C12" s="16"/>
      <c r="D12" s="9"/>
      <c r="E12" s="3"/>
      <c r="F12" s="3"/>
      <c r="G12" s="3"/>
      <c r="H12" s="4"/>
      <c r="I12" s="3"/>
      <c r="J12" s="4"/>
      <c r="K12" s="4"/>
      <c r="L12" s="3"/>
      <c r="M12" s="3"/>
      <c r="N12" s="4"/>
      <c r="O12" s="4"/>
      <c r="P12" s="4"/>
      <c r="Q12" s="3"/>
      <c r="R12" s="4"/>
      <c r="S12" s="4"/>
      <c r="U12" s="3"/>
      <c r="V12" s="3"/>
    </row>
    <row r="13" spans="1:22" x14ac:dyDescent="0.2">
      <c r="A13" s="3">
        <f>A12+1</f>
        <v>2</v>
      </c>
      <c r="B13" s="16"/>
      <c r="C13" s="17" t="s">
        <v>11</v>
      </c>
      <c r="D13" s="14" t="s">
        <v>12</v>
      </c>
      <c r="E13" s="18">
        <f>SUM(F13:G13)</f>
        <v>7.3999999999999999E-4</v>
      </c>
      <c r="F13" s="28">
        <v>5.9500000000000004E-4</v>
      </c>
      <c r="G13" s="28">
        <v>1.45E-4</v>
      </c>
      <c r="H13" s="4"/>
      <c r="I13" s="18">
        <f>SUM(J13:K13)</f>
        <v>3.1400000000000004E-4</v>
      </c>
      <c r="J13" s="28">
        <v>2.5300000000000002E-4</v>
      </c>
      <c r="K13" s="28">
        <v>6.0999999999999999E-5</v>
      </c>
      <c r="L13" s="18"/>
      <c r="M13" s="18">
        <f>SUM(N13:O13)</f>
        <v>0</v>
      </c>
      <c r="N13" s="28">
        <v>0</v>
      </c>
      <c r="O13" s="28">
        <v>0</v>
      </c>
      <c r="P13" s="4"/>
      <c r="Q13" s="18">
        <f>SUM(R13:S13)</f>
        <v>3.1400000000000004E-4</v>
      </c>
      <c r="R13" s="28">
        <v>2.5300000000000002E-4</v>
      </c>
      <c r="S13" s="28">
        <v>6.0999999999999999E-5</v>
      </c>
      <c r="U13" s="18">
        <f>SUM(Q13+M13)-SUM(I13+E13)</f>
        <v>-7.3999999999999999E-4</v>
      </c>
      <c r="V13" s="33">
        <f>U13/(SUM(E13+I13))</f>
        <v>-0.70208728652751418</v>
      </c>
    </row>
    <row r="14" spans="1:22" x14ac:dyDescent="0.2">
      <c r="A14" s="3">
        <f t="shared" ref="A14:A36" si="0">A13+1</f>
        <v>3</v>
      </c>
      <c r="B14" s="16"/>
      <c r="C14" s="5"/>
      <c r="E14" s="19"/>
      <c r="F14" s="28"/>
      <c r="G14" s="28"/>
      <c r="H14" s="4"/>
      <c r="I14" s="19"/>
      <c r="J14" s="28"/>
      <c r="K14" s="28"/>
      <c r="L14" s="19"/>
      <c r="M14" s="19"/>
      <c r="N14" s="28"/>
      <c r="O14" s="28"/>
      <c r="P14" s="4"/>
      <c r="Q14" s="19"/>
      <c r="R14" s="28"/>
      <c r="S14" s="28"/>
      <c r="U14" s="19"/>
      <c r="V14" s="19"/>
    </row>
    <row r="15" spans="1:22" x14ac:dyDescent="0.2">
      <c r="A15" s="3">
        <f t="shared" si="0"/>
        <v>4</v>
      </c>
      <c r="B15" s="15" t="s">
        <v>13</v>
      </c>
      <c r="C15" s="16"/>
      <c r="D15" s="9"/>
      <c r="E15" s="19"/>
      <c r="F15" s="28"/>
      <c r="G15" s="28"/>
      <c r="H15" s="4"/>
      <c r="I15" s="19"/>
      <c r="J15" s="28"/>
      <c r="K15" s="28"/>
      <c r="L15" s="19"/>
      <c r="M15" s="19"/>
      <c r="N15" s="28"/>
      <c r="O15" s="28"/>
      <c r="P15" s="4"/>
      <c r="Q15" s="19"/>
      <c r="R15" s="28"/>
      <c r="S15" s="28"/>
      <c r="U15" s="19"/>
      <c r="V15" s="19"/>
    </row>
    <row r="16" spans="1:22" x14ac:dyDescent="0.2">
      <c r="A16" s="3">
        <f t="shared" si="0"/>
        <v>5</v>
      </c>
      <c r="B16" s="16"/>
      <c r="C16" s="17" t="s">
        <v>11</v>
      </c>
      <c r="D16" s="14" t="s">
        <v>12</v>
      </c>
      <c r="E16" s="18">
        <f>SUM(F16:G16)</f>
        <v>2.5969999999999999E-3</v>
      </c>
      <c r="F16" s="28">
        <v>1.524E-3</v>
      </c>
      <c r="G16" s="28">
        <v>1.073E-3</v>
      </c>
      <c r="H16" s="4"/>
      <c r="I16" s="18">
        <f>SUM(J16:K16)</f>
        <v>1.201E-3</v>
      </c>
      <c r="J16" s="28">
        <v>7.1299999999999998E-4</v>
      </c>
      <c r="K16" s="28">
        <v>4.8799999999999999E-4</v>
      </c>
      <c r="L16" s="18"/>
      <c r="M16" s="18">
        <f>SUM(N16:O16)</f>
        <v>0</v>
      </c>
      <c r="N16" s="28">
        <v>0</v>
      </c>
      <c r="O16" s="28">
        <v>0</v>
      </c>
      <c r="P16" s="4"/>
      <c r="Q16" s="18">
        <f>SUM(R16:S16)</f>
        <v>1.201E-3</v>
      </c>
      <c r="R16" s="28">
        <v>7.1299999999999998E-4</v>
      </c>
      <c r="S16" s="28">
        <v>4.8799999999999999E-4</v>
      </c>
      <c r="U16" s="18">
        <f>SUM(Q16+M16)-SUM(I16+E16)</f>
        <v>-2.5970000000000003E-3</v>
      </c>
      <c r="V16" s="33">
        <f>U16/(SUM(E16+I16))</f>
        <v>-0.68378093733543976</v>
      </c>
    </row>
    <row r="17" spans="1:22" x14ac:dyDescent="0.2">
      <c r="A17" s="3">
        <f t="shared" si="0"/>
        <v>6</v>
      </c>
      <c r="B17" s="16"/>
      <c r="C17" s="5"/>
      <c r="E17" s="19"/>
      <c r="F17" s="28"/>
      <c r="G17" s="28"/>
      <c r="H17" s="4"/>
      <c r="I17" s="19"/>
      <c r="J17" s="28"/>
      <c r="K17" s="28"/>
      <c r="L17" s="19"/>
      <c r="M17" s="19"/>
      <c r="N17" s="28"/>
      <c r="O17" s="28"/>
      <c r="P17" s="4"/>
      <c r="Q17" s="19"/>
      <c r="R17" s="28"/>
      <c r="S17" s="28"/>
      <c r="U17" s="19"/>
      <c r="V17" s="19"/>
    </row>
    <row r="18" spans="1:22" x14ac:dyDescent="0.2">
      <c r="A18" s="3">
        <f t="shared" si="0"/>
        <v>7</v>
      </c>
      <c r="B18" s="15" t="s">
        <v>14</v>
      </c>
      <c r="C18" s="16"/>
      <c r="D18" s="9"/>
      <c r="E18" s="19"/>
      <c r="F18" s="28"/>
      <c r="G18" s="28"/>
      <c r="H18" s="4"/>
      <c r="I18" s="19"/>
      <c r="J18" s="28"/>
      <c r="K18" s="28"/>
      <c r="L18" s="19"/>
      <c r="M18" s="19"/>
      <c r="N18" s="28"/>
      <c r="O18" s="28"/>
      <c r="P18" s="4"/>
      <c r="Q18" s="19"/>
      <c r="R18" s="28"/>
      <c r="S18" s="28"/>
      <c r="U18" s="19"/>
      <c r="V18" s="19"/>
    </row>
    <row r="19" spans="1:22" x14ac:dyDescent="0.2">
      <c r="A19" s="3">
        <f t="shared" si="0"/>
        <v>8</v>
      </c>
      <c r="B19" s="16"/>
      <c r="C19" s="17" t="s">
        <v>11</v>
      </c>
      <c r="D19" s="14" t="s">
        <v>12</v>
      </c>
      <c r="E19" s="18">
        <f>SUM(F19:G19)</f>
        <v>-1.2100000000000001E-4</v>
      </c>
      <c r="F19" s="28">
        <v>6.2799999999999998E-4</v>
      </c>
      <c r="G19" s="28">
        <v>-7.4899999999999999E-4</v>
      </c>
      <c r="H19" s="4"/>
      <c r="I19" s="18">
        <f>SUM(J19:K19)</f>
        <v>-6.1000000000000019E-5</v>
      </c>
      <c r="J19" s="28">
        <v>2.8299999999999999E-4</v>
      </c>
      <c r="K19" s="28">
        <v>-3.4400000000000001E-4</v>
      </c>
      <c r="L19" s="18"/>
      <c r="M19" s="18">
        <f>SUM(N19:O19)</f>
        <v>0</v>
      </c>
      <c r="N19" s="28">
        <v>0</v>
      </c>
      <c r="O19" s="28">
        <v>0</v>
      </c>
      <c r="P19" s="4"/>
      <c r="Q19" s="18">
        <f>SUM(R19:S19)</f>
        <v>-6.1000000000000019E-5</v>
      </c>
      <c r="R19" s="28">
        <v>2.8299999999999999E-4</v>
      </c>
      <c r="S19" s="28">
        <v>-3.4400000000000001E-4</v>
      </c>
      <c r="U19" s="18">
        <f>SUM(Q19+M19)-SUM(I19+E19)</f>
        <v>1.2100000000000001E-4</v>
      </c>
      <c r="V19" s="33">
        <f>U19/(SUM(E19+I19))</f>
        <v>-0.6648351648351648</v>
      </c>
    </row>
    <row r="20" spans="1:22" x14ac:dyDescent="0.2">
      <c r="A20" s="3">
        <f t="shared" si="0"/>
        <v>9</v>
      </c>
      <c r="B20" s="16"/>
      <c r="C20" s="5"/>
      <c r="E20" s="19"/>
      <c r="F20" s="28"/>
      <c r="G20" s="28"/>
      <c r="H20" s="4"/>
      <c r="I20" s="19"/>
      <c r="J20" s="28"/>
      <c r="K20" s="28"/>
      <c r="L20" s="19"/>
      <c r="M20" s="19"/>
      <c r="N20" s="28"/>
      <c r="O20" s="28"/>
      <c r="P20" s="4"/>
      <c r="Q20" s="19"/>
      <c r="R20" s="28"/>
      <c r="S20" s="28"/>
      <c r="U20" s="19"/>
      <c r="V20" s="19"/>
    </row>
    <row r="21" spans="1:22" x14ac:dyDescent="0.2">
      <c r="A21" s="3">
        <f t="shared" si="0"/>
        <v>10</v>
      </c>
      <c r="B21" s="15" t="s">
        <v>22</v>
      </c>
      <c r="C21" s="16"/>
      <c r="D21" s="5"/>
      <c r="E21" s="19"/>
      <c r="F21" s="28"/>
      <c r="G21" s="28"/>
      <c r="H21" s="4"/>
      <c r="I21" s="19"/>
      <c r="J21" s="31"/>
      <c r="K21" s="28"/>
      <c r="L21" s="19"/>
      <c r="M21" s="19"/>
      <c r="N21" s="31"/>
      <c r="O21" s="28"/>
      <c r="P21" s="4"/>
      <c r="Q21" s="19"/>
      <c r="R21" s="31"/>
      <c r="S21" s="28"/>
      <c r="U21" s="19"/>
      <c r="V21" s="19"/>
    </row>
    <row r="22" spans="1:22" x14ac:dyDescent="0.2">
      <c r="A22" s="3">
        <f t="shared" si="0"/>
        <v>11</v>
      </c>
      <c r="B22" s="16"/>
      <c r="C22" s="17" t="s">
        <v>11</v>
      </c>
      <c r="D22" s="14" t="s">
        <v>12</v>
      </c>
      <c r="E22" s="18">
        <f>SUM(F22:G22)</f>
        <v>2.101E-3</v>
      </c>
      <c r="F22" s="28">
        <v>2.1940000000000002E-3</v>
      </c>
      <c r="G22" s="28">
        <v>-9.2999999999999997E-5</v>
      </c>
      <c r="H22" s="4"/>
      <c r="I22" s="18">
        <f>SUM(J22:K22)</f>
        <v>0</v>
      </c>
      <c r="J22" s="28">
        <v>0</v>
      </c>
      <c r="K22" s="28">
        <v>0</v>
      </c>
      <c r="L22" s="18"/>
      <c r="M22" s="18">
        <f>SUM(N22:O22)</f>
        <v>0</v>
      </c>
      <c r="N22" s="28">
        <v>0</v>
      </c>
      <c r="O22" s="28">
        <v>0</v>
      </c>
      <c r="P22" s="4"/>
      <c r="Q22" s="18">
        <f>SUM(R22:S22)</f>
        <v>0</v>
      </c>
      <c r="R22" s="28">
        <v>0</v>
      </c>
      <c r="S22" s="28">
        <v>0</v>
      </c>
      <c r="U22" s="18">
        <f>SUM(Q22+M22)-SUM(I22+E22)</f>
        <v>-2.101E-3</v>
      </c>
      <c r="V22" s="33">
        <f>U22/(SUM(E22+I22))</f>
        <v>-1</v>
      </c>
    </row>
    <row r="23" spans="1:22" x14ac:dyDescent="0.2">
      <c r="A23" s="3">
        <f t="shared" si="0"/>
        <v>12</v>
      </c>
      <c r="E23" s="22"/>
      <c r="F23" s="29"/>
      <c r="G23" s="29"/>
      <c r="H23" s="4"/>
      <c r="I23" s="22"/>
      <c r="J23" s="31"/>
      <c r="K23" s="31"/>
      <c r="L23" s="22"/>
      <c r="M23" s="22"/>
      <c r="N23" s="31"/>
      <c r="O23" s="31"/>
      <c r="P23" s="4"/>
      <c r="Q23" s="22"/>
      <c r="R23" s="31"/>
      <c r="S23" s="31"/>
      <c r="U23" s="22"/>
      <c r="V23" s="22"/>
    </row>
    <row r="24" spans="1:22" x14ac:dyDescent="0.2">
      <c r="A24" s="3">
        <f t="shared" si="0"/>
        <v>13</v>
      </c>
      <c r="B24" s="15" t="s">
        <v>23</v>
      </c>
      <c r="C24" s="16"/>
      <c r="D24" s="5"/>
      <c r="E24" s="19"/>
      <c r="F24" s="28"/>
      <c r="G24" s="28"/>
      <c r="H24" s="4"/>
      <c r="I24" s="19"/>
      <c r="J24" s="31"/>
      <c r="K24" s="28"/>
      <c r="L24" s="19"/>
      <c r="M24" s="19"/>
      <c r="N24" s="31"/>
      <c r="O24" s="28"/>
      <c r="P24" s="4"/>
      <c r="Q24" s="19"/>
      <c r="R24" s="31"/>
      <c r="S24" s="28"/>
      <c r="U24" s="19"/>
      <c r="V24" s="19"/>
    </row>
    <row r="25" spans="1:22" x14ac:dyDescent="0.2">
      <c r="A25" s="3">
        <f t="shared" si="0"/>
        <v>14</v>
      </c>
      <c r="B25" s="16"/>
      <c r="C25" s="17" t="s">
        <v>11</v>
      </c>
      <c r="D25" s="14" t="s">
        <v>12</v>
      </c>
      <c r="E25" s="18">
        <f>SUM(F25:G25)</f>
        <v>5.1610000000000007E-3</v>
      </c>
      <c r="F25" s="28">
        <v>2.1940000000000002E-3</v>
      </c>
      <c r="G25" s="28">
        <v>2.967E-3</v>
      </c>
      <c r="H25" s="4"/>
      <c r="I25" s="18">
        <f>SUM(J25:K25)</f>
        <v>2.5769999999999999E-3</v>
      </c>
      <c r="J25" s="32">
        <v>9.5699999999999995E-4</v>
      </c>
      <c r="K25" s="28">
        <v>1.6199999999999999E-3</v>
      </c>
      <c r="L25" s="18"/>
      <c r="M25" s="18">
        <f>SUM(N25:O25)</f>
        <v>0</v>
      </c>
      <c r="N25" s="32">
        <v>0</v>
      </c>
      <c r="O25" s="28">
        <v>0</v>
      </c>
      <c r="P25" s="4"/>
      <c r="Q25" s="18">
        <f>SUM(R25:S25)</f>
        <v>2.5769999999999999E-3</v>
      </c>
      <c r="R25" s="32">
        <v>9.5699999999999995E-4</v>
      </c>
      <c r="S25" s="28">
        <v>1.6199999999999999E-3</v>
      </c>
      <c r="U25" s="18">
        <f>SUM(Q25+M25)-SUM(I25+E25)</f>
        <v>-5.1610000000000007E-3</v>
      </c>
      <c r="V25" s="33">
        <f>U25/(SUM(E25+I25))</f>
        <v>-0.66696820883949348</v>
      </c>
    </row>
    <row r="26" spans="1:22" x14ac:dyDescent="0.2">
      <c r="A26" s="3">
        <f t="shared" si="0"/>
        <v>15</v>
      </c>
      <c r="E26" s="22"/>
      <c r="F26" s="29"/>
      <c r="G26" s="29"/>
      <c r="H26" s="4"/>
      <c r="I26" s="22"/>
      <c r="J26" s="31"/>
      <c r="K26" s="31"/>
      <c r="L26" s="22"/>
      <c r="M26" s="22"/>
      <c r="N26" s="31"/>
      <c r="O26" s="31"/>
      <c r="P26" s="4"/>
      <c r="Q26" s="22"/>
      <c r="R26" s="31"/>
      <c r="S26" s="31"/>
      <c r="U26" s="22"/>
      <c r="V26" s="22"/>
    </row>
    <row r="27" spans="1:22" x14ac:dyDescent="0.2">
      <c r="A27" s="3">
        <f t="shared" si="0"/>
        <v>16</v>
      </c>
      <c r="B27" s="20" t="s">
        <v>15</v>
      </c>
      <c r="C27" s="5"/>
      <c r="D27" s="21"/>
      <c r="E27" s="19"/>
      <c r="F27" s="28"/>
      <c r="G27" s="28"/>
      <c r="I27" s="19"/>
      <c r="J27" s="28"/>
      <c r="K27" s="28"/>
      <c r="L27" s="19"/>
      <c r="M27" s="19"/>
      <c r="N27" s="28"/>
      <c r="O27" s="28"/>
      <c r="Q27" s="19"/>
      <c r="R27" s="28"/>
      <c r="S27" s="28"/>
      <c r="U27" s="19"/>
      <c r="V27" s="19"/>
    </row>
    <row r="28" spans="1:22" x14ac:dyDescent="0.2">
      <c r="A28" s="3">
        <f t="shared" si="0"/>
        <v>17</v>
      </c>
      <c r="C28" s="14" t="s">
        <v>16</v>
      </c>
      <c r="D28" s="14" t="s">
        <v>17</v>
      </c>
      <c r="E28" s="23">
        <f>SUM(F28:G28)</f>
        <v>0.23</v>
      </c>
      <c r="F28" s="30">
        <v>0.23</v>
      </c>
      <c r="G28" s="30"/>
      <c r="I28" s="23">
        <f>SUM(J28:K28)</f>
        <v>0.1</v>
      </c>
      <c r="J28" s="30">
        <v>0.1</v>
      </c>
      <c r="K28" s="28"/>
      <c r="L28" s="23"/>
      <c r="M28" s="23">
        <f>SUM(N28:O28)</f>
        <v>0</v>
      </c>
      <c r="N28" s="30">
        <v>0</v>
      </c>
      <c r="O28" s="28"/>
      <c r="Q28" s="23">
        <f>SUM(R28:S28)</f>
        <v>0.1</v>
      </c>
      <c r="R28" s="30">
        <v>0.1</v>
      </c>
      <c r="S28" s="28"/>
      <c r="U28" s="23">
        <f>SUM(Q28+M28)-SUM(I28+E28)</f>
        <v>-0.23</v>
      </c>
      <c r="V28" s="33">
        <f>U28/(SUM(E28+I28))</f>
        <v>-0.69696969696969702</v>
      </c>
    </row>
    <row r="29" spans="1:22" x14ac:dyDescent="0.2">
      <c r="A29" s="3">
        <f t="shared" si="0"/>
        <v>18</v>
      </c>
      <c r="C29" s="14" t="s">
        <v>11</v>
      </c>
      <c r="D29" s="14" t="s">
        <v>18</v>
      </c>
      <c r="E29" s="18">
        <f>SUM(F29:G29)</f>
        <v>1.3799999999999999E-4</v>
      </c>
      <c r="F29" s="30"/>
      <c r="G29" s="28">
        <v>1.3799999999999999E-4</v>
      </c>
      <c r="I29" s="18">
        <f>SUM(J29:K29)</f>
        <v>5.5999999999999999E-5</v>
      </c>
      <c r="J29" s="28"/>
      <c r="K29" s="28">
        <v>5.5999999999999999E-5</v>
      </c>
      <c r="L29" s="18"/>
      <c r="M29" s="18">
        <f>SUM(N29:O29)</f>
        <v>0</v>
      </c>
      <c r="N29" s="28"/>
      <c r="O29" s="28">
        <v>0</v>
      </c>
      <c r="Q29" s="18">
        <f>SUM(R29:S29)</f>
        <v>5.5999999999999999E-5</v>
      </c>
      <c r="R29" s="28"/>
      <c r="S29" s="28">
        <v>5.5999999999999999E-5</v>
      </c>
      <c r="U29" s="18">
        <f>SUM(Q29+M29)-SUM(I29+E29)</f>
        <v>-1.3799999999999999E-4</v>
      </c>
      <c r="V29" s="33">
        <f>U29/(SUM(E29+I29))</f>
        <v>-0.71134020618556693</v>
      </c>
    </row>
    <row r="30" spans="1:22" x14ac:dyDescent="0.2">
      <c r="A30" s="3">
        <f t="shared" si="0"/>
        <v>19</v>
      </c>
      <c r="E30" s="19"/>
      <c r="F30" s="28"/>
      <c r="G30" s="28"/>
      <c r="I30" s="19"/>
      <c r="J30" s="28"/>
      <c r="K30" s="28"/>
      <c r="L30" s="19"/>
      <c r="M30" s="19"/>
      <c r="N30" s="28"/>
      <c r="O30" s="28"/>
      <c r="Q30" s="19"/>
      <c r="R30" s="28"/>
      <c r="S30" s="28"/>
      <c r="U30" s="19"/>
      <c r="V30" s="19"/>
    </row>
    <row r="31" spans="1:22" x14ac:dyDescent="0.2">
      <c r="A31" s="3">
        <f t="shared" si="0"/>
        <v>20</v>
      </c>
      <c r="B31" s="20" t="s">
        <v>19</v>
      </c>
      <c r="C31" s="5"/>
      <c r="D31" s="21"/>
      <c r="E31" s="19"/>
      <c r="F31" s="28"/>
      <c r="G31" s="28"/>
      <c r="I31" s="19"/>
      <c r="J31" s="31"/>
      <c r="K31" s="28"/>
      <c r="L31" s="19"/>
      <c r="M31" s="19"/>
      <c r="N31" s="31"/>
      <c r="O31" s="28"/>
      <c r="Q31" s="19"/>
      <c r="R31" s="31"/>
      <c r="S31" s="28"/>
      <c r="U31" s="19"/>
      <c r="V31" s="19"/>
    </row>
    <row r="32" spans="1:22" x14ac:dyDescent="0.2">
      <c r="A32" s="3">
        <f t="shared" si="0"/>
        <v>21</v>
      </c>
      <c r="B32" s="14"/>
      <c r="C32" s="14" t="s">
        <v>16</v>
      </c>
      <c r="D32" s="14" t="s">
        <v>20</v>
      </c>
      <c r="E32" s="23">
        <f>SUM(F32:G32)</f>
        <v>0.38</v>
      </c>
      <c r="F32" s="30">
        <v>0.38</v>
      </c>
      <c r="G32" s="30"/>
      <c r="I32" s="23">
        <f>SUM(J32:K32)</f>
        <v>0.21</v>
      </c>
      <c r="J32" s="30">
        <v>0.21</v>
      </c>
      <c r="K32" s="28"/>
      <c r="L32" s="23"/>
      <c r="M32" s="23">
        <f>SUM(N32:O32)</f>
        <v>0</v>
      </c>
      <c r="N32" s="30">
        <v>0</v>
      </c>
      <c r="O32" s="28"/>
      <c r="Q32" s="23">
        <f>SUM(R32:S32)</f>
        <v>0.21</v>
      </c>
      <c r="R32" s="30">
        <v>0.21</v>
      </c>
      <c r="S32" s="28"/>
      <c r="U32" s="23">
        <f>SUM(Q32+M32)-SUM(I32+E32)</f>
        <v>-0.38</v>
      </c>
      <c r="V32" s="33">
        <f>U32/(SUM(E32+I32))</f>
        <v>-0.64406779661016955</v>
      </c>
    </row>
    <row r="33" spans="1:22" x14ac:dyDescent="0.2">
      <c r="A33" s="3">
        <f t="shared" si="0"/>
        <v>22</v>
      </c>
      <c r="B33" s="14"/>
      <c r="C33" s="21" t="s">
        <v>11</v>
      </c>
      <c r="D33" s="14" t="s">
        <v>18</v>
      </c>
      <c r="E33" s="18">
        <f>SUM(F33:G33)</f>
        <v>8.2200000000000003E-4</v>
      </c>
      <c r="F33" s="30"/>
      <c r="G33" s="28">
        <v>8.2200000000000003E-4</v>
      </c>
      <c r="I33" s="18">
        <f>SUM(J33:K33)</f>
        <v>3.4600000000000001E-4</v>
      </c>
      <c r="J33" s="31"/>
      <c r="K33" s="28">
        <v>3.4600000000000001E-4</v>
      </c>
      <c r="L33" s="18"/>
      <c r="M33" s="18">
        <f>SUM(N33:O33)</f>
        <v>0</v>
      </c>
      <c r="N33" s="31"/>
      <c r="O33" s="28">
        <v>0</v>
      </c>
      <c r="Q33" s="18">
        <f>SUM(R33:S33)</f>
        <v>3.4600000000000001E-4</v>
      </c>
      <c r="R33" s="31"/>
      <c r="S33" s="28">
        <v>3.4600000000000001E-4</v>
      </c>
      <c r="U33" s="18">
        <f>SUM(Q33+M33)-SUM(I33+E33)</f>
        <v>-8.2200000000000003E-4</v>
      </c>
      <c r="V33" s="33">
        <f>U33/(SUM(E33+I33))</f>
        <v>-0.70376712328767121</v>
      </c>
    </row>
    <row r="34" spans="1:22" x14ac:dyDescent="0.2">
      <c r="A34" s="3">
        <f t="shared" si="0"/>
        <v>23</v>
      </c>
      <c r="E34" s="22"/>
      <c r="F34" s="29"/>
      <c r="G34" s="29"/>
      <c r="I34" s="22"/>
      <c r="J34" s="31"/>
      <c r="K34" s="31"/>
      <c r="L34" s="22"/>
      <c r="M34" s="22"/>
      <c r="N34" s="31"/>
      <c r="O34" s="31"/>
      <c r="Q34" s="22"/>
      <c r="R34" s="31"/>
      <c r="S34" s="31"/>
      <c r="U34" s="22"/>
      <c r="V34" s="22"/>
    </row>
    <row r="35" spans="1:22" x14ac:dyDescent="0.2">
      <c r="A35" s="3">
        <f t="shared" si="0"/>
        <v>24</v>
      </c>
    </row>
    <row r="36" spans="1:22" ht="12" customHeight="1" x14ac:dyDescent="0.2">
      <c r="A36" s="3">
        <f t="shared" si="0"/>
        <v>25</v>
      </c>
      <c r="B36" s="2" t="s">
        <v>154</v>
      </c>
    </row>
  </sheetData>
  <mergeCells count="17">
    <mergeCell ref="J8:K8"/>
    <mergeCell ref="E6:G6"/>
    <mergeCell ref="I6:K6"/>
    <mergeCell ref="M6:O6"/>
    <mergeCell ref="Q6:S6"/>
    <mergeCell ref="M7:O7"/>
    <mergeCell ref="Q7:S7"/>
    <mergeCell ref="N8:O8"/>
    <mergeCell ref="R8:S8"/>
    <mergeCell ref="F8:G8"/>
    <mergeCell ref="E7:G7"/>
    <mergeCell ref="A1:V1"/>
    <mergeCell ref="A2:V2"/>
    <mergeCell ref="A3:V3"/>
    <mergeCell ref="I7:K7"/>
    <mergeCell ref="A4:V4"/>
    <mergeCell ref="A5:G5"/>
  </mergeCells>
  <printOptions horizontalCentered="1"/>
  <pageMargins left="0.45" right="0.45" top="0.75" bottom="0.75" header="0.3" footer="0.3"/>
  <pageSetup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Normal="100" workbookViewId="0">
      <pane ySplit="7" topLeftCell="A8" activePane="bottomLeft" state="frozen"/>
      <selection pane="bottomLeft" activeCell="K26" sqref="K26"/>
    </sheetView>
  </sheetViews>
  <sheetFormatPr defaultColWidth="6.28515625" defaultRowHeight="11.25" x14ac:dyDescent="0.2"/>
  <cols>
    <col min="1" max="1" width="3.85546875" style="5" bestFit="1" customWidth="1"/>
    <col min="2" max="2" width="17.42578125" style="5" bestFit="1" customWidth="1"/>
    <col min="3" max="3" width="14.7109375" style="5" customWidth="1"/>
    <col min="4" max="4" width="13.7109375" style="5" bestFit="1" customWidth="1"/>
    <col min="5" max="6" width="12" style="5" bestFit="1" customWidth="1"/>
    <col min="7" max="8" width="11.5703125" style="5" bestFit="1" customWidth="1"/>
    <col min="9" max="9" width="7.42578125" style="5" customWidth="1"/>
    <col min="10" max="10" width="11.28515625" style="5" bestFit="1" customWidth="1"/>
    <col min="11" max="12" width="11.5703125" style="5" bestFit="1" customWidth="1"/>
    <col min="13" max="14" width="12" style="5" bestFit="1" customWidth="1"/>
    <col min="15" max="15" width="12" style="5" customWidth="1"/>
    <col min="16" max="16" width="11.5703125" style="5" bestFit="1" customWidth="1"/>
    <col min="17" max="17" width="12.140625" style="5" bestFit="1" customWidth="1"/>
    <col min="18" max="18" width="11.5703125" style="5" bestFit="1" customWidth="1"/>
    <col min="19" max="19" width="13.7109375" style="5" bestFit="1" customWidth="1"/>
    <col min="20" max="20" width="1.7109375" style="5" customWidth="1"/>
    <col min="21" max="22" width="11.140625" style="5" customWidth="1"/>
    <col min="23" max="23" width="11.28515625" style="5" customWidth="1"/>
    <col min="24" max="24" width="12.85546875" style="5" bestFit="1" customWidth="1"/>
    <col min="25" max="25" width="10" style="5" customWidth="1"/>
    <col min="26" max="26" width="9.42578125" style="5" customWidth="1"/>
    <col min="27" max="27" width="7.42578125" style="5" bestFit="1" customWidth="1"/>
    <col min="28" max="16384" width="6.28515625" style="5"/>
  </cols>
  <sheetData>
    <row r="1" spans="1:28" ht="15" customHeight="1" x14ac:dyDescent="0.25">
      <c r="A1" s="227" t="str">
        <f>'Summary of Rates'!A1:V1</f>
        <v>Puget Sound Energy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8" ht="15" customHeight="1" x14ac:dyDescent="0.25">
      <c r="A2" s="227" t="str">
        <f>'Summary of Rates'!A2:V2</f>
        <v xml:space="preserve">2019 GRC Compliance Electric SCH 142 Decoupling Filing Correction 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1:28" ht="15" customHeight="1" x14ac:dyDescent="0.25">
      <c r="A3" s="228" t="s">
        <v>274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1:28" ht="15" customHeight="1" x14ac:dyDescent="0.25">
      <c r="A4" s="227" t="str">
        <f>'Summary of Rates'!A4:V4</f>
        <v>Proposed Effective Date of January 1, 2021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</row>
    <row r="5" spans="1:28" ht="12" thickBot="1" x14ac:dyDescent="0.25">
      <c r="A5" s="11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U5" s="27"/>
      <c r="V5" s="27"/>
    </row>
    <row r="6" spans="1:28" ht="12" thickBot="1" x14ac:dyDescent="0.25">
      <c r="A6" s="11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119"/>
      <c r="T6" s="119"/>
      <c r="U6" s="149" t="s">
        <v>44</v>
      </c>
      <c r="V6" s="148" t="s">
        <v>45</v>
      </c>
      <c r="W6" s="9"/>
    </row>
    <row r="7" spans="1:28" s="7" customFormat="1" ht="57" thickBot="1" x14ac:dyDescent="0.25">
      <c r="A7" s="200" t="s">
        <v>43</v>
      </c>
      <c r="B7" s="200" t="s">
        <v>42</v>
      </c>
      <c r="C7" s="201" t="s">
        <v>276</v>
      </c>
      <c r="D7" s="202" t="s">
        <v>277</v>
      </c>
      <c r="E7" s="202" t="s">
        <v>278</v>
      </c>
      <c r="F7" s="202" t="s">
        <v>279</v>
      </c>
      <c r="G7" s="202" t="s">
        <v>280</v>
      </c>
      <c r="H7" s="202" t="s">
        <v>281</v>
      </c>
      <c r="I7" s="202" t="s">
        <v>282</v>
      </c>
      <c r="J7" s="202" t="s">
        <v>283</v>
      </c>
      <c r="K7" s="202" t="s">
        <v>284</v>
      </c>
      <c r="L7" s="202" t="s">
        <v>285</v>
      </c>
      <c r="M7" s="202" t="s">
        <v>286</v>
      </c>
      <c r="N7" s="202" t="s">
        <v>287</v>
      </c>
      <c r="O7" s="202" t="s">
        <v>288</v>
      </c>
      <c r="P7" s="202" t="s">
        <v>289</v>
      </c>
      <c r="Q7" s="202" t="s">
        <v>290</v>
      </c>
      <c r="R7" s="202" t="s">
        <v>291</v>
      </c>
      <c r="S7" s="202" t="s">
        <v>292</v>
      </c>
      <c r="T7" s="203"/>
      <c r="U7" s="204" t="s">
        <v>289</v>
      </c>
      <c r="V7" s="205" t="s">
        <v>289</v>
      </c>
      <c r="W7" s="120" t="s">
        <v>210</v>
      </c>
      <c r="X7" s="120" t="s">
        <v>293</v>
      </c>
      <c r="Y7" s="120" t="s">
        <v>294</v>
      </c>
      <c r="Z7" s="120" t="s">
        <v>295</v>
      </c>
      <c r="AA7" s="121" t="s">
        <v>211</v>
      </c>
    </row>
    <row r="8" spans="1:28" x14ac:dyDescent="0.2">
      <c r="A8" s="27">
        <v>1</v>
      </c>
      <c r="B8" s="27">
        <v>7</v>
      </c>
      <c r="C8" s="206">
        <v>10966324000</v>
      </c>
      <c r="D8" s="207">
        <v>1210429000</v>
      </c>
      <c r="E8" s="207">
        <v>0</v>
      </c>
      <c r="F8" s="207">
        <v>-20759000</v>
      </c>
      <c r="G8" s="207">
        <v>51092000</v>
      </c>
      <c r="H8" s="207">
        <v>11668000</v>
      </c>
      <c r="I8" s="207">
        <v>0</v>
      </c>
      <c r="J8" s="207">
        <v>-899000</v>
      </c>
      <c r="K8" s="207">
        <v>35191000</v>
      </c>
      <c r="L8" s="207">
        <v>0</v>
      </c>
      <c r="M8" s="207">
        <v>-33074000</v>
      </c>
      <c r="N8" s="207">
        <v>-669000</v>
      </c>
      <c r="O8" s="207">
        <v>-9694000</v>
      </c>
      <c r="P8" s="207">
        <v>11559000</v>
      </c>
      <c r="Q8" s="207">
        <v>-80999000</v>
      </c>
      <c r="R8" s="123">
        <f>SUM(E8:Q8)</f>
        <v>-36584000</v>
      </c>
      <c r="S8" s="123">
        <f>SUM(R8,D8)</f>
        <v>1173845000</v>
      </c>
      <c r="U8" s="208">
        <v>-11559000</v>
      </c>
      <c r="V8" s="209">
        <v>3443000</v>
      </c>
      <c r="W8" s="126">
        <f>SUM(U8:V8)</f>
        <v>-8116000</v>
      </c>
      <c r="X8" s="126">
        <f>SUM(S8,W8)</f>
        <v>1165729000</v>
      </c>
      <c r="Y8" s="127">
        <f>S8/C8</f>
        <v>0.1070408826148124</v>
      </c>
      <c r="Z8" s="127">
        <f>X8/C8</f>
        <v>0.10630079869972837</v>
      </c>
      <c r="AA8" s="128">
        <f>W8/S8</f>
        <v>-6.9140303873168945E-3</v>
      </c>
      <c r="AB8" s="129"/>
    </row>
    <row r="9" spans="1:28" x14ac:dyDescent="0.2">
      <c r="A9" s="27">
        <f>+A8+1</f>
        <v>2</v>
      </c>
      <c r="B9" s="27" t="s">
        <v>41</v>
      </c>
      <c r="C9" s="82">
        <f>SUM(C8:C8)</f>
        <v>10966324000</v>
      </c>
      <c r="D9" s="130">
        <f t="shared" ref="D9:P9" si="0">SUM(D8:D8)</f>
        <v>1210429000</v>
      </c>
      <c r="E9" s="130">
        <f t="shared" si="0"/>
        <v>0</v>
      </c>
      <c r="F9" s="130">
        <f t="shared" si="0"/>
        <v>-20759000</v>
      </c>
      <c r="G9" s="130">
        <f t="shared" si="0"/>
        <v>51092000</v>
      </c>
      <c r="H9" s="130">
        <f t="shared" si="0"/>
        <v>11668000</v>
      </c>
      <c r="I9" s="130">
        <f t="shared" si="0"/>
        <v>0</v>
      </c>
      <c r="J9" s="130">
        <f t="shared" si="0"/>
        <v>-899000</v>
      </c>
      <c r="K9" s="130">
        <f t="shared" si="0"/>
        <v>35191000</v>
      </c>
      <c r="L9" s="130">
        <f t="shared" si="0"/>
        <v>0</v>
      </c>
      <c r="M9" s="130">
        <f t="shared" si="0"/>
        <v>-33074000</v>
      </c>
      <c r="N9" s="130">
        <f t="shared" si="0"/>
        <v>-669000</v>
      </c>
      <c r="O9" s="130">
        <f t="shared" si="0"/>
        <v>-9694000</v>
      </c>
      <c r="P9" s="130">
        <f t="shared" si="0"/>
        <v>11559000</v>
      </c>
      <c r="Q9" s="130">
        <f>SUM(Q8:Q8)</f>
        <v>-80999000</v>
      </c>
      <c r="R9" s="131">
        <f>SUM(R8:R8)</f>
        <v>-36584000</v>
      </c>
      <c r="S9" s="131">
        <f>SUM(S8:S8)</f>
        <v>1173845000</v>
      </c>
      <c r="U9" s="151">
        <f t="shared" ref="U9:X9" si="1">SUM(U8:U8)</f>
        <v>-11559000</v>
      </c>
      <c r="V9" s="132">
        <f t="shared" si="1"/>
        <v>3443000</v>
      </c>
      <c r="W9" s="133">
        <f t="shared" si="1"/>
        <v>-8116000</v>
      </c>
      <c r="X9" s="133">
        <f t="shared" si="1"/>
        <v>1165729000</v>
      </c>
      <c r="Y9" s="134">
        <f>S9/C9</f>
        <v>0.1070408826148124</v>
      </c>
      <c r="Z9" s="134">
        <f>X9/C9</f>
        <v>0.10630079869972837</v>
      </c>
      <c r="AA9" s="135">
        <f>W9/S9</f>
        <v>-6.9140303873168945E-3</v>
      </c>
      <c r="AB9" s="129"/>
    </row>
    <row r="10" spans="1:28" x14ac:dyDescent="0.2">
      <c r="A10" s="27">
        <f t="shared" ref="A10:A34" si="2">+A9+1</f>
        <v>3</v>
      </c>
      <c r="B10" s="27"/>
      <c r="C10" s="60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123"/>
      <c r="U10" s="150"/>
      <c r="V10" s="125"/>
      <c r="W10" s="126"/>
      <c r="X10" s="126"/>
      <c r="Y10" s="127"/>
      <c r="Z10" s="127"/>
      <c r="AA10" s="128"/>
    </row>
    <row r="11" spans="1:28" x14ac:dyDescent="0.2">
      <c r="A11" s="27">
        <f t="shared" si="2"/>
        <v>4</v>
      </c>
      <c r="B11" s="118" t="s">
        <v>40</v>
      </c>
      <c r="C11" s="206">
        <v>2695442000</v>
      </c>
      <c r="D11" s="207">
        <v>278756000</v>
      </c>
      <c r="E11" s="207">
        <v>0</v>
      </c>
      <c r="F11" s="207">
        <v>-4722000</v>
      </c>
      <c r="G11" s="207">
        <v>11642000</v>
      </c>
      <c r="H11" s="207">
        <v>2735000</v>
      </c>
      <c r="I11" s="207">
        <v>0</v>
      </c>
      <c r="J11" s="207">
        <v>-205000</v>
      </c>
      <c r="K11" s="207">
        <v>7121000</v>
      </c>
      <c r="L11" s="207">
        <v>0</v>
      </c>
      <c r="M11" s="207">
        <v>-6558000</v>
      </c>
      <c r="N11" s="207">
        <v>-135000</v>
      </c>
      <c r="O11" s="207">
        <v>-1921000</v>
      </c>
      <c r="P11" s="207">
        <v>10237000</v>
      </c>
      <c r="Q11" s="207">
        <v>-1714000</v>
      </c>
      <c r="R11" s="123">
        <f>SUM(E11:Q11)</f>
        <v>16480000</v>
      </c>
      <c r="S11" s="123">
        <f>SUM(R11,D11)</f>
        <v>295236000</v>
      </c>
      <c r="U11" s="208">
        <v>-10237000</v>
      </c>
      <c r="V11" s="209">
        <v>3238000</v>
      </c>
      <c r="W11" s="126">
        <f>SUM(U11:V11)</f>
        <v>-6999000</v>
      </c>
      <c r="X11" s="126">
        <f>SUM(S11,W11)</f>
        <v>288237000</v>
      </c>
      <c r="Y11" s="127">
        <f>S11/C11</f>
        <v>0.10953157218741862</v>
      </c>
      <c r="Z11" s="127">
        <f>X11/C11</f>
        <v>0.10693496651013081</v>
      </c>
      <c r="AA11" s="128">
        <f>W11/S11</f>
        <v>-2.3706458561963989E-2</v>
      </c>
      <c r="AB11" s="129"/>
    </row>
    <row r="12" spans="1:28" x14ac:dyDescent="0.2">
      <c r="A12" s="27">
        <f t="shared" si="2"/>
        <v>5</v>
      </c>
      <c r="B12" s="118" t="s">
        <v>39</v>
      </c>
      <c r="C12" s="206">
        <v>2864927000</v>
      </c>
      <c r="D12" s="207">
        <v>269861000</v>
      </c>
      <c r="E12" s="207">
        <v>0</v>
      </c>
      <c r="F12" s="207">
        <v>-4770000</v>
      </c>
      <c r="G12" s="207">
        <v>11738000</v>
      </c>
      <c r="H12" s="207">
        <v>2621000</v>
      </c>
      <c r="I12" s="207">
        <v>0</v>
      </c>
      <c r="J12" s="207">
        <v>-206000</v>
      </c>
      <c r="K12" s="207">
        <v>6569000</v>
      </c>
      <c r="L12" s="207">
        <v>0</v>
      </c>
      <c r="M12" s="207">
        <v>-6538000</v>
      </c>
      <c r="N12" s="207">
        <v>-128000</v>
      </c>
      <c r="O12" s="207">
        <v>-1917000</v>
      </c>
      <c r="P12" s="207">
        <v>-521000</v>
      </c>
      <c r="Q12" s="207">
        <v>-1065000</v>
      </c>
      <c r="R12" s="123">
        <f>SUM(E12:Q12)</f>
        <v>5783000</v>
      </c>
      <c r="S12" s="123">
        <f>SUM(R12,D12)</f>
        <v>275644000</v>
      </c>
      <c r="U12" s="208">
        <v>521000</v>
      </c>
      <c r="V12" s="209">
        <v>-175000</v>
      </c>
      <c r="W12" s="126">
        <f>SUM(U12:V12)</f>
        <v>346000</v>
      </c>
      <c r="X12" s="126">
        <f>SUM(S12,W12)</f>
        <v>275990000</v>
      </c>
      <c r="Y12" s="127">
        <f>S12/C12</f>
        <v>9.6213271751775881E-2</v>
      </c>
      <c r="Z12" s="127">
        <f>X12/C12</f>
        <v>9.6334042717318796E-2</v>
      </c>
      <c r="AA12" s="128">
        <f>W12/S12</f>
        <v>1.2552422690136553E-3</v>
      </c>
      <c r="AB12" s="129"/>
    </row>
    <row r="13" spans="1:28" x14ac:dyDescent="0.2">
      <c r="A13" s="27">
        <f t="shared" si="2"/>
        <v>6</v>
      </c>
      <c r="B13" s="118" t="s">
        <v>38</v>
      </c>
      <c r="C13" s="206">
        <v>1692365000</v>
      </c>
      <c r="D13" s="207">
        <v>146077000</v>
      </c>
      <c r="E13" s="207">
        <v>0</v>
      </c>
      <c r="F13" s="207">
        <v>-3098000</v>
      </c>
      <c r="G13" s="207">
        <v>7653000</v>
      </c>
      <c r="H13" s="207">
        <v>1437000</v>
      </c>
      <c r="I13" s="207">
        <v>0</v>
      </c>
      <c r="J13" s="207">
        <v>-133000</v>
      </c>
      <c r="K13" s="207">
        <v>3832000</v>
      </c>
      <c r="L13" s="207">
        <v>0</v>
      </c>
      <c r="M13" s="207">
        <v>-3333000</v>
      </c>
      <c r="N13" s="207">
        <v>-76000</v>
      </c>
      <c r="O13" s="207">
        <v>-977000</v>
      </c>
      <c r="P13" s="207">
        <v>1669000</v>
      </c>
      <c r="Q13" s="207">
        <v>-126000</v>
      </c>
      <c r="R13" s="123">
        <f>SUM(E13:Q13)</f>
        <v>6848000</v>
      </c>
      <c r="S13" s="123">
        <f>SUM(R13,D13)</f>
        <v>152925000</v>
      </c>
      <c r="U13" s="208">
        <v>-1669000</v>
      </c>
      <c r="V13" s="209">
        <v>501000</v>
      </c>
      <c r="W13" s="126">
        <f>SUM(U13:V13)</f>
        <v>-1168000</v>
      </c>
      <c r="X13" s="126">
        <f>SUM(S13,W13)</f>
        <v>151757000</v>
      </c>
      <c r="Y13" s="127">
        <f>S13/C13</f>
        <v>9.0361712751090922E-2</v>
      </c>
      <c r="Z13" s="127">
        <f>X13/C13</f>
        <v>8.967155430418379E-2</v>
      </c>
      <c r="AA13" s="128">
        <f>W13/S13</f>
        <v>-7.6377309138466569E-3</v>
      </c>
      <c r="AB13" s="129"/>
    </row>
    <row r="14" spans="1:28" x14ac:dyDescent="0.2">
      <c r="A14" s="27">
        <f t="shared" si="2"/>
        <v>7</v>
      </c>
      <c r="B14" s="27">
        <v>29</v>
      </c>
      <c r="C14" s="206">
        <v>14610000</v>
      </c>
      <c r="D14" s="207">
        <v>1196000</v>
      </c>
      <c r="E14" s="207">
        <v>0</v>
      </c>
      <c r="F14" s="207">
        <v>-20000</v>
      </c>
      <c r="G14" s="207">
        <v>49000</v>
      </c>
      <c r="H14" s="207">
        <v>12000</v>
      </c>
      <c r="I14" s="207">
        <v>0</v>
      </c>
      <c r="J14" s="207">
        <v>-1000</v>
      </c>
      <c r="K14" s="207">
        <v>34000</v>
      </c>
      <c r="L14" s="207">
        <v>0</v>
      </c>
      <c r="M14" s="207">
        <v>-33000</v>
      </c>
      <c r="N14" s="207">
        <v>-1000</v>
      </c>
      <c r="O14" s="207">
        <v>-10000</v>
      </c>
      <c r="P14" s="207">
        <v>-3000</v>
      </c>
      <c r="Q14" s="207">
        <v>-108000</v>
      </c>
      <c r="R14" s="123">
        <f>SUM(E14:Q14)</f>
        <v>-81000</v>
      </c>
      <c r="S14" s="123">
        <f>SUM(R14,D14)</f>
        <v>1115000</v>
      </c>
      <c r="U14" s="208">
        <v>3000</v>
      </c>
      <c r="V14" s="209">
        <v>-1000</v>
      </c>
      <c r="W14" s="126">
        <f>SUM(U14:V14)</f>
        <v>2000</v>
      </c>
      <c r="X14" s="126">
        <f>SUM(S14,W14)</f>
        <v>1117000</v>
      </c>
      <c r="Y14" s="127">
        <f>S14/C14</f>
        <v>7.6317590691307322E-2</v>
      </c>
      <c r="Z14" s="127">
        <f>X14/C14</f>
        <v>7.6454483230663922E-2</v>
      </c>
      <c r="AA14" s="128">
        <f>W14/S14</f>
        <v>1.7937219730941704E-3</v>
      </c>
      <c r="AB14" s="129"/>
    </row>
    <row r="15" spans="1:28" x14ac:dyDescent="0.2">
      <c r="A15" s="27">
        <f t="shared" si="2"/>
        <v>8</v>
      </c>
      <c r="B15" s="118" t="s">
        <v>37</v>
      </c>
      <c r="C15" s="82">
        <f>SUM(C11:C14)</f>
        <v>7267344000</v>
      </c>
      <c r="D15" s="130">
        <f t="shared" ref="D15:P15" si="3">SUM(D11:D14)</f>
        <v>695890000</v>
      </c>
      <c r="E15" s="130">
        <f t="shared" si="3"/>
        <v>0</v>
      </c>
      <c r="F15" s="130">
        <f t="shared" si="3"/>
        <v>-12610000</v>
      </c>
      <c r="G15" s="130">
        <f t="shared" si="3"/>
        <v>31082000</v>
      </c>
      <c r="H15" s="130">
        <f t="shared" si="3"/>
        <v>6805000</v>
      </c>
      <c r="I15" s="130">
        <f t="shared" si="3"/>
        <v>0</v>
      </c>
      <c r="J15" s="130">
        <f t="shared" si="3"/>
        <v>-545000</v>
      </c>
      <c r="K15" s="130">
        <f t="shared" si="3"/>
        <v>17556000</v>
      </c>
      <c r="L15" s="130">
        <f t="shared" si="3"/>
        <v>0</v>
      </c>
      <c r="M15" s="130">
        <f t="shared" si="3"/>
        <v>-16462000</v>
      </c>
      <c r="N15" s="130">
        <f t="shared" si="3"/>
        <v>-340000</v>
      </c>
      <c r="O15" s="130">
        <f t="shared" si="3"/>
        <v>-4825000</v>
      </c>
      <c r="P15" s="130">
        <f t="shared" si="3"/>
        <v>11382000</v>
      </c>
      <c r="Q15" s="130">
        <f>SUM(Q11:Q14)</f>
        <v>-3013000</v>
      </c>
      <c r="R15" s="131">
        <f>SUM(R11:R14)</f>
        <v>29030000</v>
      </c>
      <c r="S15" s="131">
        <f>SUM(S11:S14)</f>
        <v>724920000</v>
      </c>
      <c r="U15" s="151">
        <f t="shared" ref="U15:X15" si="4">SUM(U11:U14)</f>
        <v>-11382000</v>
      </c>
      <c r="V15" s="132">
        <f t="shared" si="4"/>
        <v>3563000</v>
      </c>
      <c r="W15" s="133">
        <f t="shared" si="4"/>
        <v>-7819000</v>
      </c>
      <c r="X15" s="133">
        <f t="shared" si="4"/>
        <v>717101000</v>
      </c>
      <c r="Y15" s="134">
        <f>S15/C15</f>
        <v>9.9750335198113646E-2</v>
      </c>
      <c r="Z15" s="134">
        <f>X15/C15</f>
        <v>9.8674426310354918E-2</v>
      </c>
      <c r="AA15" s="135">
        <f>W15/S15</f>
        <v>-1.078601776747779E-2</v>
      </c>
      <c r="AB15" s="129"/>
    </row>
    <row r="16" spans="1:28" x14ac:dyDescent="0.2">
      <c r="A16" s="27">
        <f t="shared" si="2"/>
        <v>9</v>
      </c>
      <c r="B16" s="27"/>
      <c r="C16" s="60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  <c r="S16" s="123"/>
      <c r="U16" s="150"/>
      <c r="V16" s="125"/>
      <c r="W16" s="126"/>
      <c r="X16" s="126"/>
      <c r="Y16" s="127"/>
      <c r="Z16" s="127"/>
      <c r="AA16" s="128"/>
    </row>
    <row r="17" spans="1:28" x14ac:dyDescent="0.2">
      <c r="A17" s="27">
        <f t="shared" si="2"/>
        <v>10</v>
      </c>
      <c r="B17" s="27" t="s">
        <v>36</v>
      </c>
      <c r="C17" s="206">
        <v>1291578000</v>
      </c>
      <c r="D17" s="207">
        <v>110154000</v>
      </c>
      <c r="E17" s="207">
        <v>0</v>
      </c>
      <c r="F17" s="207">
        <v>-2121000</v>
      </c>
      <c r="G17" s="207">
        <v>5232000</v>
      </c>
      <c r="H17" s="207">
        <v>1088000</v>
      </c>
      <c r="I17" s="207">
        <v>0</v>
      </c>
      <c r="J17" s="207">
        <v>-91000</v>
      </c>
      <c r="K17" s="207">
        <v>2736000</v>
      </c>
      <c r="L17" s="207">
        <v>0</v>
      </c>
      <c r="M17" s="207">
        <v>-2602000</v>
      </c>
      <c r="N17" s="207">
        <v>-54000</v>
      </c>
      <c r="O17" s="207">
        <v>-762000</v>
      </c>
      <c r="P17" s="207">
        <v>3294000</v>
      </c>
      <c r="Q17" s="207">
        <v>-237000</v>
      </c>
      <c r="R17" s="123">
        <f>SUM(E17:Q17)</f>
        <v>6483000</v>
      </c>
      <c r="S17" s="123">
        <f>SUM(R17,D17)</f>
        <v>116637000</v>
      </c>
      <c r="U17" s="208">
        <v>-3294000</v>
      </c>
      <c r="V17" s="209">
        <v>1082000</v>
      </c>
      <c r="W17" s="126">
        <f>SUM(U17:V17)</f>
        <v>-2212000</v>
      </c>
      <c r="X17" s="126">
        <f>SUM(S17,W17)</f>
        <v>114425000</v>
      </c>
      <c r="Y17" s="127">
        <f>S17/C17</f>
        <v>9.0305811960253266E-2</v>
      </c>
      <c r="Z17" s="127">
        <f>X17/C17</f>
        <v>8.859317826720492E-2</v>
      </c>
      <c r="AA17" s="128">
        <f>W17/S17</f>
        <v>-1.8964822483431502E-2</v>
      </c>
      <c r="AB17" s="129"/>
    </row>
    <row r="18" spans="1:28" x14ac:dyDescent="0.2">
      <c r="A18" s="27">
        <f t="shared" si="2"/>
        <v>11</v>
      </c>
      <c r="B18" s="27">
        <v>35</v>
      </c>
      <c r="C18" s="206">
        <v>4335000</v>
      </c>
      <c r="D18" s="207">
        <v>285000</v>
      </c>
      <c r="E18" s="207">
        <v>0</v>
      </c>
      <c r="F18" s="207">
        <v>-6000</v>
      </c>
      <c r="G18" s="207">
        <v>14000</v>
      </c>
      <c r="H18" s="207">
        <v>3000</v>
      </c>
      <c r="I18" s="207">
        <v>0</v>
      </c>
      <c r="J18" s="207">
        <v>0</v>
      </c>
      <c r="K18" s="207">
        <v>9000</v>
      </c>
      <c r="L18" s="207">
        <v>0</v>
      </c>
      <c r="M18" s="207">
        <v>-14000</v>
      </c>
      <c r="N18" s="207">
        <v>0</v>
      </c>
      <c r="O18" s="207">
        <v>-4000</v>
      </c>
      <c r="P18" s="207">
        <v>-1000</v>
      </c>
      <c r="Q18" s="207">
        <v>-32000</v>
      </c>
      <c r="R18" s="123">
        <f>SUM(E18:Q18)</f>
        <v>-31000</v>
      </c>
      <c r="S18" s="123">
        <f>SUM(R18,D18)</f>
        <v>254000</v>
      </c>
      <c r="U18" s="208">
        <v>1000</v>
      </c>
      <c r="V18" s="209">
        <v>0</v>
      </c>
      <c r="W18" s="126">
        <f>SUM(U18:V18)</f>
        <v>1000</v>
      </c>
      <c r="X18" s="126">
        <f>SUM(S18,W18)</f>
        <v>255000</v>
      </c>
      <c r="Y18" s="127">
        <f>S18/C18</f>
        <v>5.8592848904267587E-2</v>
      </c>
      <c r="Z18" s="127">
        <f>X18/C18</f>
        <v>5.8823529411764705E-2</v>
      </c>
      <c r="AA18" s="128">
        <f>W18/S18</f>
        <v>3.937007874015748E-3</v>
      </c>
      <c r="AB18" s="129"/>
    </row>
    <row r="19" spans="1:28" x14ac:dyDescent="0.2">
      <c r="A19" s="27">
        <f t="shared" si="2"/>
        <v>12</v>
      </c>
      <c r="B19" s="27">
        <v>43</v>
      </c>
      <c r="C19" s="206">
        <v>111277000</v>
      </c>
      <c r="D19" s="207">
        <v>10275000</v>
      </c>
      <c r="E19" s="207">
        <v>0</v>
      </c>
      <c r="F19" s="207">
        <v>-152000</v>
      </c>
      <c r="G19" s="207">
        <v>374000</v>
      </c>
      <c r="H19" s="207">
        <v>99000</v>
      </c>
      <c r="I19" s="207">
        <v>0</v>
      </c>
      <c r="J19" s="207">
        <v>-7000</v>
      </c>
      <c r="K19" s="207">
        <v>335000</v>
      </c>
      <c r="L19" s="207">
        <v>0</v>
      </c>
      <c r="M19" s="207">
        <v>-309000</v>
      </c>
      <c r="N19" s="207">
        <v>-7000</v>
      </c>
      <c r="O19" s="207">
        <v>-90000</v>
      </c>
      <c r="P19" s="207">
        <v>-20000</v>
      </c>
      <c r="Q19" s="207">
        <v>0</v>
      </c>
      <c r="R19" s="123">
        <f>SUM(E19:Q19)</f>
        <v>223000</v>
      </c>
      <c r="S19" s="123">
        <f>SUM(R19,D19)</f>
        <v>10498000</v>
      </c>
      <c r="U19" s="208">
        <v>20000</v>
      </c>
      <c r="V19" s="209">
        <v>-7000</v>
      </c>
      <c r="W19" s="126">
        <f>SUM(U19:V19)</f>
        <v>13000</v>
      </c>
      <c r="X19" s="126">
        <f>SUM(S19,W19)</f>
        <v>10511000</v>
      </c>
      <c r="Y19" s="127">
        <f>S19/C19</f>
        <v>9.434114866504309E-2</v>
      </c>
      <c r="Z19" s="127">
        <f>X19/C19</f>
        <v>9.4457974244453027E-2</v>
      </c>
      <c r="AA19" s="128">
        <f>W19/S19</f>
        <v>1.23833111068775E-3</v>
      </c>
      <c r="AB19" s="129"/>
    </row>
    <row r="20" spans="1:28" x14ac:dyDescent="0.2">
      <c r="A20" s="27">
        <f t="shared" si="2"/>
        <v>13</v>
      </c>
      <c r="B20" s="118" t="s">
        <v>35</v>
      </c>
      <c r="C20" s="82">
        <f>SUM(C17:C19)</f>
        <v>1407190000</v>
      </c>
      <c r="D20" s="130">
        <f t="shared" ref="D20:P20" si="5">SUM(D17:D19)</f>
        <v>120714000</v>
      </c>
      <c r="E20" s="130">
        <f t="shared" si="5"/>
        <v>0</v>
      </c>
      <c r="F20" s="130">
        <f t="shared" si="5"/>
        <v>-2279000</v>
      </c>
      <c r="G20" s="130">
        <f t="shared" si="5"/>
        <v>5620000</v>
      </c>
      <c r="H20" s="130">
        <f t="shared" si="5"/>
        <v>1190000</v>
      </c>
      <c r="I20" s="130">
        <f t="shared" si="5"/>
        <v>0</v>
      </c>
      <c r="J20" s="130">
        <f t="shared" si="5"/>
        <v>-98000</v>
      </c>
      <c r="K20" s="130">
        <f t="shared" si="5"/>
        <v>3080000</v>
      </c>
      <c r="L20" s="130">
        <f t="shared" si="5"/>
        <v>0</v>
      </c>
      <c r="M20" s="130">
        <f t="shared" si="5"/>
        <v>-2925000</v>
      </c>
      <c r="N20" s="130">
        <f t="shared" si="5"/>
        <v>-61000</v>
      </c>
      <c r="O20" s="130">
        <f t="shared" si="5"/>
        <v>-856000</v>
      </c>
      <c r="P20" s="130">
        <f t="shared" si="5"/>
        <v>3273000</v>
      </c>
      <c r="Q20" s="130">
        <f>SUM(Q17:Q19)</f>
        <v>-269000</v>
      </c>
      <c r="R20" s="131">
        <f>SUM(R17:R19)</f>
        <v>6675000</v>
      </c>
      <c r="S20" s="131">
        <f>SUM(S17:S19)</f>
        <v>127389000</v>
      </c>
      <c r="U20" s="151">
        <f t="shared" ref="U20:X20" si="6">SUM(U17:U19)</f>
        <v>-3273000</v>
      </c>
      <c r="V20" s="132">
        <f t="shared" si="6"/>
        <v>1075000</v>
      </c>
      <c r="W20" s="133">
        <f t="shared" si="6"/>
        <v>-2198000</v>
      </c>
      <c r="X20" s="133">
        <f t="shared" si="6"/>
        <v>125191000</v>
      </c>
      <c r="Y20" s="134">
        <f>S20/C20</f>
        <v>9.0527220915441409E-2</v>
      </c>
      <c r="Z20" s="134">
        <f>X20/C20</f>
        <v>8.8965242788820273E-2</v>
      </c>
      <c r="AA20" s="135">
        <f>W20/S20</f>
        <v>-1.7254237022034869E-2</v>
      </c>
      <c r="AB20" s="129"/>
    </row>
    <row r="21" spans="1:28" x14ac:dyDescent="0.2">
      <c r="A21" s="27">
        <f t="shared" si="2"/>
        <v>14</v>
      </c>
      <c r="B21" s="27"/>
      <c r="C21" s="60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/>
      <c r="S21" s="123"/>
      <c r="U21" s="150"/>
      <c r="V21" s="125"/>
      <c r="W21" s="126"/>
      <c r="X21" s="126"/>
      <c r="Y21" s="127"/>
      <c r="Z21" s="127"/>
      <c r="AA21" s="128"/>
    </row>
    <row r="22" spans="1:28" x14ac:dyDescent="0.2">
      <c r="A22" s="27">
        <f t="shared" si="2"/>
        <v>15</v>
      </c>
      <c r="B22" s="27">
        <v>46</v>
      </c>
      <c r="C22" s="206">
        <v>65285000</v>
      </c>
      <c r="D22" s="207">
        <v>4519000</v>
      </c>
      <c r="E22" s="207">
        <v>0</v>
      </c>
      <c r="F22" s="207">
        <v>-68000</v>
      </c>
      <c r="G22" s="207">
        <v>166000</v>
      </c>
      <c r="H22" s="207">
        <v>44000</v>
      </c>
      <c r="I22" s="207">
        <v>0</v>
      </c>
      <c r="J22" s="207">
        <v>-3000</v>
      </c>
      <c r="K22" s="207">
        <v>110000</v>
      </c>
      <c r="L22" s="207">
        <v>0</v>
      </c>
      <c r="M22" s="207">
        <v>-100000</v>
      </c>
      <c r="N22" s="207">
        <v>-2000</v>
      </c>
      <c r="O22" s="207">
        <v>-29000</v>
      </c>
      <c r="P22" s="207">
        <v>0</v>
      </c>
      <c r="Q22" s="207">
        <v>0</v>
      </c>
      <c r="R22" s="123">
        <f>SUM(E22:Q22)</f>
        <v>118000</v>
      </c>
      <c r="S22" s="123">
        <f>SUM(R22,D22)</f>
        <v>4637000</v>
      </c>
      <c r="U22" s="208">
        <v>0</v>
      </c>
      <c r="V22" s="209">
        <v>0</v>
      </c>
      <c r="W22" s="126">
        <f>SUM(U22:V22)</f>
        <v>0</v>
      </c>
      <c r="X22" s="126">
        <f>SUM(S22,W22)</f>
        <v>4637000</v>
      </c>
      <c r="Y22" s="127">
        <f>S22/C22</f>
        <v>7.1027035306732017E-2</v>
      </c>
      <c r="Z22" s="127">
        <f>X22/C22</f>
        <v>7.1027035306732017E-2</v>
      </c>
      <c r="AA22" s="128">
        <f>W22/S22</f>
        <v>0</v>
      </c>
      <c r="AB22" s="129"/>
    </row>
    <row r="23" spans="1:28" x14ac:dyDescent="0.2">
      <c r="A23" s="27">
        <f t="shared" si="2"/>
        <v>16</v>
      </c>
      <c r="B23" s="27">
        <v>49</v>
      </c>
      <c r="C23" s="206">
        <v>517424000</v>
      </c>
      <c r="D23" s="207">
        <v>34844000</v>
      </c>
      <c r="E23" s="207">
        <v>0</v>
      </c>
      <c r="F23" s="207">
        <v>-841000</v>
      </c>
      <c r="G23" s="207">
        <v>2070000</v>
      </c>
      <c r="H23" s="207">
        <v>345000</v>
      </c>
      <c r="I23" s="207">
        <v>0</v>
      </c>
      <c r="J23" s="207">
        <v>-36000</v>
      </c>
      <c r="K23" s="207">
        <v>868000</v>
      </c>
      <c r="L23" s="207">
        <v>0</v>
      </c>
      <c r="M23" s="207">
        <v>-794000</v>
      </c>
      <c r="N23" s="207">
        <v>-18000</v>
      </c>
      <c r="O23" s="207">
        <v>-233000</v>
      </c>
      <c r="P23" s="207">
        <v>0</v>
      </c>
      <c r="Q23" s="207">
        <v>0</v>
      </c>
      <c r="R23" s="123">
        <f>SUM(E23:Q23)</f>
        <v>1361000</v>
      </c>
      <c r="S23" s="123">
        <f>SUM(R23,D23)</f>
        <v>36205000</v>
      </c>
      <c r="U23" s="208">
        <v>0</v>
      </c>
      <c r="V23" s="209">
        <v>0</v>
      </c>
      <c r="W23" s="126">
        <f>SUM(U23:V23)</f>
        <v>0</v>
      </c>
      <c r="X23" s="126">
        <f>SUM(S23,W23)</f>
        <v>36205000</v>
      </c>
      <c r="Y23" s="127">
        <f>S23/C23</f>
        <v>6.9971628683632769E-2</v>
      </c>
      <c r="Z23" s="127">
        <f>X23/C23</f>
        <v>6.9971628683632769E-2</v>
      </c>
      <c r="AA23" s="128">
        <f>W23/S23</f>
        <v>0</v>
      </c>
      <c r="AB23" s="129"/>
    </row>
    <row r="24" spans="1:28" x14ac:dyDescent="0.2">
      <c r="A24" s="27">
        <f t="shared" si="2"/>
        <v>17</v>
      </c>
      <c r="B24" s="27" t="s">
        <v>34</v>
      </c>
      <c r="C24" s="82">
        <f>SUM(C22:C23)</f>
        <v>582709000</v>
      </c>
      <c r="D24" s="130">
        <f>SUM(D22:D23)</f>
        <v>39363000</v>
      </c>
      <c r="E24" s="130">
        <f t="shared" ref="E24:P24" si="7">SUM(E22:E23)</f>
        <v>0</v>
      </c>
      <c r="F24" s="130">
        <f t="shared" si="7"/>
        <v>-909000</v>
      </c>
      <c r="G24" s="130">
        <f t="shared" si="7"/>
        <v>2236000</v>
      </c>
      <c r="H24" s="130">
        <f t="shared" si="7"/>
        <v>389000</v>
      </c>
      <c r="I24" s="130">
        <f t="shared" si="7"/>
        <v>0</v>
      </c>
      <c r="J24" s="130">
        <f t="shared" si="7"/>
        <v>-39000</v>
      </c>
      <c r="K24" s="130">
        <f t="shared" si="7"/>
        <v>978000</v>
      </c>
      <c r="L24" s="130">
        <f t="shared" si="7"/>
        <v>0</v>
      </c>
      <c r="M24" s="130">
        <f t="shared" si="7"/>
        <v>-894000</v>
      </c>
      <c r="N24" s="130">
        <f t="shared" si="7"/>
        <v>-20000</v>
      </c>
      <c r="O24" s="130">
        <f t="shared" si="7"/>
        <v>-262000</v>
      </c>
      <c r="P24" s="130">
        <f t="shared" si="7"/>
        <v>0</v>
      </c>
      <c r="Q24" s="130">
        <f>SUM(Q22:Q23)</f>
        <v>0</v>
      </c>
      <c r="R24" s="131">
        <f>SUM(R22:R23)</f>
        <v>1479000</v>
      </c>
      <c r="S24" s="131">
        <f>SUM(S22:S23)</f>
        <v>40842000</v>
      </c>
      <c r="U24" s="151">
        <f t="shared" ref="U24:X24" si="8">SUM(U22:U23)</f>
        <v>0</v>
      </c>
      <c r="V24" s="132">
        <f t="shared" si="8"/>
        <v>0</v>
      </c>
      <c r="W24" s="133">
        <f t="shared" si="8"/>
        <v>0</v>
      </c>
      <c r="X24" s="133">
        <f t="shared" si="8"/>
        <v>40842000</v>
      </c>
      <c r="Y24" s="134">
        <f>S24/C24</f>
        <v>7.0089873333001554E-2</v>
      </c>
      <c r="Z24" s="134">
        <f>X24/C24</f>
        <v>7.0089873333001554E-2</v>
      </c>
      <c r="AA24" s="135">
        <f>W24/S24</f>
        <v>0</v>
      </c>
      <c r="AB24" s="129"/>
    </row>
    <row r="25" spans="1:28" x14ac:dyDescent="0.2">
      <c r="A25" s="27">
        <f t="shared" si="2"/>
        <v>18</v>
      </c>
      <c r="B25" s="27"/>
      <c r="C25" s="60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3"/>
      <c r="S25" s="123"/>
      <c r="U25" s="150"/>
      <c r="V25" s="125"/>
      <c r="W25" s="126"/>
      <c r="X25" s="126"/>
      <c r="Y25" s="127"/>
      <c r="Z25" s="127"/>
      <c r="AA25" s="128"/>
    </row>
    <row r="26" spans="1:28" x14ac:dyDescent="0.2">
      <c r="A26" s="27">
        <f t="shared" si="2"/>
        <v>19</v>
      </c>
      <c r="B26" s="27" t="s">
        <v>33</v>
      </c>
      <c r="C26" s="206">
        <v>63689000</v>
      </c>
      <c r="D26" s="207">
        <v>15885000</v>
      </c>
      <c r="E26" s="207">
        <v>0</v>
      </c>
      <c r="F26" s="207">
        <v>-130000</v>
      </c>
      <c r="G26" s="207">
        <v>319000</v>
      </c>
      <c r="H26" s="207">
        <v>152000</v>
      </c>
      <c r="I26" s="207">
        <v>0</v>
      </c>
      <c r="J26" s="207">
        <v>-6000</v>
      </c>
      <c r="K26" s="207">
        <v>607000</v>
      </c>
      <c r="L26" s="207">
        <v>0</v>
      </c>
      <c r="M26" s="207">
        <v>-544000</v>
      </c>
      <c r="N26" s="207">
        <v>-12000</v>
      </c>
      <c r="O26" s="207">
        <v>-159000</v>
      </c>
      <c r="P26" s="207">
        <v>0</v>
      </c>
      <c r="Q26" s="207">
        <v>-12000</v>
      </c>
      <c r="R26" s="123">
        <f>SUM(E26:Q26)</f>
        <v>215000</v>
      </c>
      <c r="S26" s="123">
        <f>SUM(R26,D26)</f>
        <v>16100000</v>
      </c>
      <c r="U26" s="208">
        <v>0</v>
      </c>
      <c r="V26" s="209">
        <v>0</v>
      </c>
      <c r="W26" s="126">
        <f>SUM(U26:V26)</f>
        <v>0</v>
      </c>
      <c r="X26" s="126">
        <f>SUM(S26,W26)</f>
        <v>16100000</v>
      </c>
      <c r="Y26" s="127">
        <f>S26/C26</f>
        <v>0.2527909058079103</v>
      </c>
      <c r="Z26" s="127">
        <f>X26/C26</f>
        <v>0.2527909058079103</v>
      </c>
      <c r="AA26" s="128">
        <f>W26/S26</f>
        <v>0</v>
      </c>
      <c r="AB26" s="129"/>
    </row>
    <row r="27" spans="1:28" x14ac:dyDescent="0.2">
      <c r="A27" s="27">
        <f t="shared" si="2"/>
        <v>20</v>
      </c>
      <c r="B27" s="27" t="s">
        <v>139</v>
      </c>
      <c r="C27" s="206">
        <v>1985653000</v>
      </c>
      <c r="D27" s="207">
        <v>9936000</v>
      </c>
      <c r="E27" s="207">
        <v>0</v>
      </c>
      <c r="F27" s="207">
        <v>0</v>
      </c>
      <c r="G27" s="207">
        <v>2079000</v>
      </c>
      <c r="H27" s="207">
        <v>85000</v>
      </c>
      <c r="I27" s="207">
        <v>0</v>
      </c>
      <c r="J27" s="207">
        <v>0</v>
      </c>
      <c r="K27" s="207">
        <v>50000</v>
      </c>
      <c r="L27" s="207">
        <v>0</v>
      </c>
      <c r="M27" s="207">
        <v>-32000</v>
      </c>
      <c r="N27" s="207">
        <v>-14000</v>
      </c>
      <c r="O27" s="207">
        <v>-10000</v>
      </c>
      <c r="P27" s="207">
        <v>0</v>
      </c>
      <c r="Q27" s="207">
        <v>0</v>
      </c>
      <c r="R27" s="123">
        <f>SUM(E27:Q27)</f>
        <v>2158000</v>
      </c>
      <c r="S27" s="123">
        <f>SUM(R27,D27)</f>
        <v>12094000</v>
      </c>
      <c r="U27" s="208">
        <v>0</v>
      </c>
      <c r="V27" s="209">
        <v>0</v>
      </c>
      <c r="W27" s="126">
        <f>SUM(U27:V27)</f>
        <v>0</v>
      </c>
      <c r="X27" s="126">
        <f>SUM(S27,W27)</f>
        <v>12094000</v>
      </c>
      <c r="Y27" s="127">
        <f>S27/C27</f>
        <v>6.0906915760205833E-3</v>
      </c>
      <c r="Z27" s="127">
        <f>X27/C27</f>
        <v>6.0906915760205833E-3</v>
      </c>
      <c r="AA27" s="128">
        <f>W27/S27</f>
        <v>0</v>
      </c>
      <c r="AB27" s="123"/>
    </row>
    <row r="28" spans="1:28" x14ac:dyDescent="0.2">
      <c r="A28" s="27">
        <f t="shared" si="2"/>
        <v>21</v>
      </c>
      <c r="B28" s="118" t="s">
        <v>32</v>
      </c>
      <c r="C28" s="206">
        <v>482887000</v>
      </c>
      <c r="D28" s="207">
        <v>6191000</v>
      </c>
      <c r="E28" s="207">
        <v>0</v>
      </c>
      <c r="F28" s="207">
        <v>0</v>
      </c>
      <c r="G28" s="207">
        <v>1982000</v>
      </c>
      <c r="H28" s="207">
        <v>296000</v>
      </c>
      <c r="I28" s="207">
        <v>0</v>
      </c>
      <c r="J28" s="207">
        <v>0</v>
      </c>
      <c r="K28" s="207">
        <v>1004000</v>
      </c>
      <c r="L28" s="207">
        <v>0</v>
      </c>
      <c r="M28" s="207">
        <v>-462000</v>
      </c>
      <c r="N28" s="207">
        <v>-19000</v>
      </c>
      <c r="O28" s="207">
        <v>-136000</v>
      </c>
      <c r="P28" s="207">
        <v>3737000</v>
      </c>
      <c r="Q28" s="207">
        <v>0</v>
      </c>
      <c r="R28" s="123">
        <f>SUM(E28:Q28)</f>
        <v>6402000</v>
      </c>
      <c r="S28" s="123">
        <f>SUM(R28,D28)</f>
        <v>12593000</v>
      </c>
      <c r="U28" s="208">
        <v>-3737000</v>
      </c>
      <c r="V28" s="209">
        <v>1244000</v>
      </c>
      <c r="W28" s="126">
        <f>SUM(U28:V28)</f>
        <v>-2493000</v>
      </c>
      <c r="X28" s="126">
        <f>SUM(S28,W28)</f>
        <v>10100000</v>
      </c>
      <c r="Y28" s="127">
        <f>S28/C28</f>
        <v>2.6078564964474089E-2</v>
      </c>
      <c r="Z28" s="127">
        <f>X28/C28</f>
        <v>2.0915866444944677E-2</v>
      </c>
      <c r="AA28" s="128">
        <f>W28/S28</f>
        <v>-0.19796712459302787</v>
      </c>
      <c r="AB28" s="123"/>
    </row>
    <row r="29" spans="1:28" x14ac:dyDescent="0.2">
      <c r="A29" s="27">
        <f t="shared" si="2"/>
        <v>22</v>
      </c>
      <c r="B29" s="27"/>
      <c r="C29" s="81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24"/>
      <c r="S29" s="124"/>
      <c r="U29" s="150"/>
      <c r="V29" s="125"/>
      <c r="W29" s="126"/>
      <c r="X29" s="126"/>
      <c r="Y29" s="127"/>
      <c r="Z29" s="127"/>
      <c r="AA29" s="128"/>
      <c r="AB29" s="123"/>
    </row>
    <row r="30" spans="1:28" ht="12" thickBot="1" x14ac:dyDescent="0.25">
      <c r="A30" s="27">
        <f t="shared" si="2"/>
        <v>23</v>
      </c>
      <c r="B30" s="27" t="s">
        <v>212</v>
      </c>
      <c r="C30" s="137">
        <f>SUM(C9,C15,C20,C24,C26:C28)</f>
        <v>22755796000</v>
      </c>
      <c r="D30" s="138">
        <f>SUM(D9,D15,D20,D24,D26:D28)</f>
        <v>2098408000</v>
      </c>
      <c r="E30" s="138">
        <f t="shared" ref="E30:S30" si="9">SUM(E9,E15,E20,E24,E26:E28)</f>
        <v>0</v>
      </c>
      <c r="F30" s="138">
        <f t="shared" si="9"/>
        <v>-36687000</v>
      </c>
      <c r="G30" s="138">
        <f t="shared" si="9"/>
        <v>94410000</v>
      </c>
      <c r="H30" s="138">
        <f t="shared" si="9"/>
        <v>20585000</v>
      </c>
      <c r="I30" s="138">
        <f t="shared" si="9"/>
        <v>0</v>
      </c>
      <c r="J30" s="138">
        <f t="shared" si="9"/>
        <v>-1587000</v>
      </c>
      <c r="K30" s="138">
        <f t="shared" si="9"/>
        <v>58466000</v>
      </c>
      <c r="L30" s="138">
        <f t="shared" si="9"/>
        <v>0</v>
      </c>
      <c r="M30" s="138">
        <f t="shared" si="9"/>
        <v>-54393000</v>
      </c>
      <c r="N30" s="138">
        <f t="shared" si="9"/>
        <v>-1135000</v>
      </c>
      <c r="O30" s="138">
        <f t="shared" si="9"/>
        <v>-15942000</v>
      </c>
      <c r="P30" s="138">
        <f t="shared" si="9"/>
        <v>29951000</v>
      </c>
      <c r="Q30" s="138">
        <f t="shared" si="9"/>
        <v>-84293000</v>
      </c>
      <c r="R30" s="138">
        <f t="shared" si="9"/>
        <v>9375000</v>
      </c>
      <c r="S30" s="138">
        <f t="shared" si="9"/>
        <v>2107783000</v>
      </c>
      <c r="U30" s="152">
        <f t="shared" ref="U30:V30" si="10">SUM(U9,U15,U20,U24,U26:U28)</f>
        <v>-29951000</v>
      </c>
      <c r="V30" s="139">
        <f t="shared" si="10"/>
        <v>9325000</v>
      </c>
      <c r="W30" s="140">
        <f>SUM(W9,W15,W20,W24,W26:W28)</f>
        <v>-20626000</v>
      </c>
      <c r="X30" s="140">
        <f>SUM(X9,X15,X20,X24,X26:X28)</f>
        <v>2087157000</v>
      </c>
      <c r="Y30" s="141">
        <f>S30/C30</f>
        <v>9.2626203891087791E-2</v>
      </c>
      <c r="Z30" s="141">
        <f>X30/C30</f>
        <v>9.1719797452921442E-2</v>
      </c>
      <c r="AA30" s="142">
        <f>W30/S30</f>
        <v>-9.7856373260435253E-3</v>
      </c>
      <c r="AB30" s="123"/>
    </row>
    <row r="31" spans="1:28" ht="12" thickTop="1" x14ac:dyDescent="0.2">
      <c r="A31" s="27">
        <f t="shared" si="2"/>
        <v>24</v>
      </c>
      <c r="B31" s="27"/>
      <c r="C31" s="81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24"/>
      <c r="S31" s="124"/>
      <c r="U31" s="150"/>
      <c r="V31" s="125"/>
      <c r="W31" s="126"/>
      <c r="X31" s="126"/>
      <c r="Y31" s="127"/>
      <c r="Z31" s="127"/>
      <c r="AA31" s="128"/>
      <c r="AB31" s="123"/>
    </row>
    <row r="32" spans="1:28" x14ac:dyDescent="0.2">
      <c r="A32" s="27">
        <f t="shared" si="2"/>
        <v>25</v>
      </c>
      <c r="B32" s="27">
        <v>5</v>
      </c>
      <c r="C32" s="212">
        <v>7435000</v>
      </c>
      <c r="D32" s="213">
        <v>719000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0</v>
      </c>
      <c r="P32" s="213">
        <v>0</v>
      </c>
      <c r="Q32" s="213">
        <v>0</v>
      </c>
      <c r="R32" s="130">
        <v>0</v>
      </c>
      <c r="S32" s="130">
        <v>719000</v>
      </c>
      <c r="U32" s="210">
        <v>0</v>
      </c>
      <c r="V32" s="211">
        <v>0</v>
      </c>
      <c r="W32" s="133">
        <f>SUM(U32:V32)</f>
        <v>0</v>
      </c>
      <c r="X32" s="133">
        <f>SUM(S32,W32)</f>
        <v>719000</v>
      </c>
      <c r="Y32" s="134">
        <f>S32/C32</f>
        <v>9.6704774714189645E-2</v>
      </c>
      <c r="Z32" s="134">
        <f>X32/C32</f>
        <v>9.6704774714189645E-2</v>
      </c>
      <c r="AA32" s="135">
        <f>W32/S32</f>
        <v>0</v>
      </c>
      <c r="AB32" s="123"/>
    </row>
    <row r="33" spans="1:28" ht="12" thickBot="1" x14ac:dyDescent="0.25">
      <c r="A33" s="27">
        <f t="shared" si="2"/>
        <v>26</v>
      </c>
      <c r="B33" s="27"/>
      <c r="C33" s="81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24"/>
      <c r="S33" s="124"/>
      <c r="U33" s="150"/>
      <c r="V33" s="125"/>
      <c r="W33" s="143"/>
      <c r="X33" s="143"/>
      <c r="Y33" s="144"/>
      <c r="Z33" s="144"/>
      <c r="AA33" s="145"/>
      <c r="AB33" s="123"/>
    </row>
    <row r="34" spans="1:28" ht="12" thickBot="1" x14ac:dyDescent="0.25">
      <c r="A34" s="27">
        <f t="shared" si="2"/>
        <v>27</v>
      </c>
      <c r="B34" s="27" t="s">
        <v>213</v>
      </c>
      <c r="C34" s="137">
        <f>SUM(C30,C32)</f>
        <v>22763231000</v>
      </c>
      <c r="D34" s="138">
        <f>SUM(D30,D32)</f>
        <v>2099127000</v>
      </c>
      <c r="E34" s="138">
        <f t="shared" ref="E34:X34" si="11">SUM(E30,E32)</f>
        <v>0</v>
      </c>
      <c r="F34" s="138">
        <f t="shared" si="11"/>
        <v>-36687000</v>
      </c>
      <c r="G34" s="138">
        <f t="shared" si="11"/>
        <v>94410000</v>
      </c>
      <c r="H34" s="138">
        <f>SUM(H30,H32)</f>
        <v>20585000</v>
      </c>
      <c r="I34" s="138">
        <f t="shared" si="11"/>
        <v>0</v>
      </c>
      <c r="J34" s="138">
        <f t="shared" si="11"/>
        <v>-1587000</v>
      </c>
      <c r="K34" s="138">
        <f t="shared" si="11"/>
        <v>58466000</v>
      </c>
      <c r="L34" s="138">
        <f t="shared" si="11"/>
        <v>0</v>
      </c>
      <c r="M34" s="138">
        <f t="shared" si="11"/>
        <v>-54393000</v>
      </c>
      <c r="N34" s="138">
        <f t="shared" si="11"/>
        <v>-1135000</v>
      </c>
      <c r="O34" s="138">
        <f t="shared" si="11"/>
        <v>-15942000</v>
      </c>
      <c r="P34" s="138">
        <f t="shared" si="11"/>
        <v>29951000</v>
      </c>
      <c r="Q34" s="138">
        <f>SUM(Q30,Q32)</f>
        <v>-84293000</v>
      </c>
      <c r="R34" s="138">
        <f t="shared" si="11"/>
        <v>9375000</v>
      </c>
      <c r="S34" s="138">
        <f t="shared" si="11"/>
        <v>2108502000</v>
      </c>
      <c r="U34" s="152">
        <f t="shared" si="11"/>
        <v>-29951000</v>
      </c>
      <c r="V34" s="139">
        <f t="shared" si="11"/>
        <v>9325000</v>
      </c>
      <c r="W34" s="146">
        <f t="shared" si="11"/>
        <v>-20626000</v>
      </c>
      <c r="X34" s="146">
        <f t="shared" si="11"/>
        <v>2087876000</v>
      </c>
      <c r="Y34" s="144">
        <f>S34/C34</f>
        <v>9.2627536047057646E-2</v>
      </c>
      <c r="Z34" s="144">
        <f>X34/C34</f>
        <v>9.1721425662288456E-2</v>
      </c>
      <c r="AA34" s="147">
        <f>W34/S34</f>
        <v>-9.7823004199189753E-3</v>
      </c>
      <c r="AB34" s="123"/>
    </row>
    <row r="35" spans="1:28" ht="12" thickTop="1" x14ac:dyDescent="0.2"/>
    <row r="36" spans="1:28" ht="12.75" customHeight="1" x14ac:dyDescent="0.2">
      <c r="V36" s="123"/>
    </row>
  </sheetData>
  <mergeCells count="4">
    <mergeCell ref="A1:AA1"/>
    <mergeCell ref="A2:AA2"/>
    <mergeCell ref="A3:AA3"/>
    <mergeCell ref="A4:AA4"/>
  </mergeCells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18" max="36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E11" sqref="E11"/>
    </sheetView>
  </sheetViews>
  <sheetFormatPr defaultColWidth="8.85546875" defaultRowHeight="11.25" x14ac:dyDescent="0.2"/>
  <cols>
    <col min="1" max="1" width="21.5703125" style="157" customWidth="1"/>
    <col min="2" max="2" width="7.85546875" style="157" bestFit="1" customWidth="1"/>
    <col min="3" max="3" width="12.85546875" style="157" bestFit="1" customWidth="1"/>
    <col min="4" max="4" width="9.85546875" style="157" bestFit="1" customWidth="1"/>
    <col min="5" max="6" width="10" style="157" bestFit="1" customWidth="1"/>
    <col min="7" max="7" width="2" style="157" customWidth="1"/>
    <col min="8" max="8" width="7.140625" style="157" customWidth="1"/>
    <col min="9" max="9" width="9.140625" style="157" bestFit="1" customWidth="1"/>
    <col min="10" max="10" width="7.7109375" style="157" bestFit="1" customWidth="1"/>
    <col min="11" max="11" width="9" style="157" bestFit="1" customWidth="1"/>
    <col min="12" max="13" width="9" style="157" customWidth="1"/>
    <col min="14" max="14" width="4" style="157" customWidth="1"/>
    <col min="15" max="16384" width="8.85546875" style="157"/>
  </cols>
  <sheetData>
    <row r="1" spans="1:18" s="155" customFormat="1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8" s="155" customFormat="1" x14ac:dyDescent="0.2">
      <c r="A2" s="153" t="s">
        <v>214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8" x14ac:dyDescent="0.2">
      <c r="A3" s="153" t="str">
        <f>'Summary of Rates'!A4:V4</f>
        <v>Proposed Effective Date of January 1, 2021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5" spans="1:18" x14ac:dyDescent="0.2">
      <c r="C5" s="231" t="s">
        <v>215</v>
      </c>
      <c r="D5" s="231"/>
      <c r="E5" s="231"/>
      <c r="F5" s="231"/>
      <c r="G5" s="158"/>
      <c r="H5" s="231" t="s">
        <v>216</v>
      </c>
      <c r="I5" s="231"/>
      <c r="J5" s="231"/>
      <c r="K5" s="231"/>
      <c r="L5" s="159"/>
      <c r="M5" s="159"/>
      <c r="O5" s="160"/>
      <c r="P5" s="160"/>
      <c r="Q5" s="160"/>
      <c r="R5" s="160"/>
    </row>
    <row r="6" spans="1:18" ht="22.5" x14ac:dyDescent="0.2">
      <c r="A6" s="161" t="s">
        <v>217</v>
      </c>
      <c r="B6" s="161" t="s">
        <v>218</v>
      </c>
      <c r="C6" s="161" t="s">
        <v>219</v>
      </c>
      <c r="D6" s="161" t="s">
        <v>220</v>
      </c>
      <c r="E6" s="161" t="s">
        <v>221</v>
      </c>
      <c r="F6" s="161" t="s">
        <v>222</v>
      </c>
      <c r="G6" s="158"/>
      <c r="H6" s="161" t="s">
        <v>219</v>
      </c>
      <c r="I6" s="161" t="s">
        <v>220</v>
      </c>
      <c r="J6" s="161" t="s">
        <v>221</v>
      </c>
      <c r="K6" s="161" t="s">
        <v>222</v>
      </c>
      <c r="L6" s="162" t="s">
        <v>223</v>
      </c>
      <c r="M6" s="161" t="s">
        <v>224</v>
      </c>
    </row>
    <row r="7" spans="1:18" x14ac:dyDescent="0.2">
      <c r="A7" s="157" t="s">
        <v>225</v>
      </c>
      <c r="B7" s="163">
        <f t="shared" ref="B7:B18" si="0">ROUND(+E66,0)</f>
        <v>1219</v>
      </c>
      <c r="C7" s="164">
        <f>ROUND(+$E$27,2)</f>
        <v>7.49</v>
      </c>
      <c r="D7" s="164">
        <f>ROUND(IF($B7&gt;600,600*$E$57,$B7*$E$37),2)</f>
        <v>53.84</v>
      </c>
      <c r="E7" s="164">
        <f>ROUND(IF($B7&gt;600,($B7-600)*$E$58,0),2)</f>
        <v>68.05</v>
      </c>
      <c r="F7" s="165">
        <f t="shared" ref="F7:F18" si="1">SUM(C7:E7)</f>
        <v>129.38</v>
      </c>
      <c r="G7" s="158"/>
      <c r="H7" s="164">
        <f>ROUND(+$F$27,2)</f>
        <v>7.49</v>
      </c>
      <c r="I7" s="164">
        <f>ROUND(IF($B7&gt;600,600*$F$57,$B7*$F$37),2)</f>
        <v>53.4</v>
      </c>
      <c r="J7" s="164">
        <f>ROUND(IF($B7&gt;600,($B7-600)*$F$58,0),2)</f>
        <v>67.599999999999994</v>
      </c>
      <c r="K7" s="165">
        <f t="shared" ref="K7:K18" si="2">SUM(H7:J7)</f>
        <v>128.49</v>
      </c>
      <c r="L7" s="165">
        <f>+K7-F7</f>
        <v>-0.88999999999998636</v>
      </c>
      <c r="M7" s="166">
        <f>+L7/F7</f>
        <v>-6.8789611995670611E-3</v>
      </c>
    </row>
    <row r="8" spans="1:18" x14ac:dyDescent="0.2">
      <c r="A8" s="157" t="s">
        <v>226</v>
      </c>
      <c r="B8" s="163">
        <f t="shared" si="0"/>
        <v>992</v>
      </c>
      <c r="C8" s="164">
        <f t="shared" ref="C8:C18" si="3">ROUND(+$E$27,2)</f>
        <v>7.49</v>
      </c>
      <c r="D8" s="164">
        <f t="shared" ref="D8:D18" si="4">ROUND(IF($B8&gt;600,600*$E$57,$B8*$E$37),2)</f>
        <v>53.84</v>
      </c>
      <c r="E8" s="164">
        <f t="shared" ref="E8:E18" si="5">ROUND(IF($B8&gt;600,($B8-600)*$E$58,0),2)</f>
        <v>43.1</v>
      </c>
      <c r="F8" s="165">
        <f t="shared" si="1"/>
        <v>104.43</v>
      </c>
      <c r="G8" s="158"/>
      <c r="H8" s="164">
        <f t="shared" ref="H8:H18" si="6">ROUND(+$F$27,2)</f>
        <v>7.49</v>
      </c>
      <c r="I8" s="164">
        <f t="shared" ref="I8:I18" si="7">ROUND(IF($B8&gt;600,600*$F$57,$B8*$F$37),2)</f>
        <v>53.4</v>
      </c>
      <c r="J8" s="164">
        <f t="shared" ref="J8:J18" si="8">ROUND(IF($B8&gt;600,($B8-600)*$F$58,0),2)</f>
        <v>42.81</v>
      </c>
      <c r="K8" s="165">
        <f t="shared" si="2"/>
        <v>103.7</v>
      </c>
      <c r="L8" s="165">
        <f t="shared" ref="L8:L18" si="9">+K8-F8</f>
        <v>-0.73000000000000398</v>
      </c>
      <c r="M8" s="166">
        <f t="shared" ref="M8:M18" si="10">+L8/F8</f>
        <v>-6.9903284496792483E-3</v>
      </c>
    </row>
    <row r="9" spans="1:18" x14ac:dyDescent="0.2">
      <c r="A9" s="157" t="s">
        <v>227</v>
      </c>
      <c r="B9" s="163">
        <f t="shared" si="0"/>
        <v>1030</v>
      </c>
      <c r="C9" s="164">
        <f t="shared" si="3"/>
        <v>7.49</v>
      </c>
      <c r="D9" s="164">
        <f t="shared" si="4"/>
        <v>53.84</v>
      </c>
      <c r="E9" s="164">
        <f t="shared" si="5"/>
        <v>47.27</v>
      </c>
      <c r="F9" s="165">
        <f t="shared" si="1"/>
        <v>108.60000000000001</v>
      </c>
      <c r="G9" s="158"/>
      <c r="H9" s="164">
        <f t="shared" si="6"/>
        <v>7.49</v>
      </c>
      <c r="I9" s="164">
        <f t="shared" si="7"/>
        <v>53.4</v>
      </c>
      <c r="J9" s="164">
        <f t="shared" si="8"/>
        <v>46.96</v>
      </c>
      <c r="K9" s="165">
        <f t="shared" si="2"/>
        <v>107.85</v>
      </c>
      <c r="L9" s="165">
        <f t="shared" si="9"/>
        <v>-0.75000000000001421</v>
      </c>
      <c r="M9" s="166">
        <f t="shared" si="10"/>
        <v>-6.906077348066429E-3</v>
      </c>
    </row>
    <row r="10" spans="1:18" x14ac:dyDescent="0.2">
      <c r="A10" s="157" t="s">
        <v>228</v>
      </c>
      <c r="B10" s="163">
        <f t="shared" si="0"/>
        <v>827</v>
      </c>
      <c r="C10" s="164">
        <f t="shared" si="3"/>
        <v>7.49</v>
      </c>
      <c r="D10" s="164">
        <f t="shared" si="4"/>
        <v>53.84</v>
      </c>
      <c r="E10" s="164">
        <f t="shared" si="5"/>
        <v>24.96</v>
      </c>
      <c r="F10" s="165">
        <f t="shared" si="1"/>
        <v>86.29</v>
      </c>
      <c r="G10" s="158"/>
      <c r="H10" s="164">
        <f t="shared" si="6"/>
        <v>7.49</v>
      </c>
      <c r="I10" s="164">
        <f t="shared" si="7"/>
        <v>53.4</v>
      </c>
      <c r="J10" s="164">
        <f t="shared" si="8"/>
        <v>24.79</v>
      </c>
      <c r="K10" s="165">
        <f t="shared" si="2"/>
        <v>85.68</v>
      </c>
      <c r="L10" s="165">
        <f t="shared" si="9"/>
        <v>-0.60999999999999943</v>
      </c>
      <c r="M10" s="166">
        <f t="shared" si="10"/>
        <v>-7.0691853053656203E-3</v>
      </c>
    </row>
    <row r="11" spans="1:18" x14ac:dyDescent="0.2">
      <c r="A11" s="157" t="s">
        <v>229</v>
      </c>
      <c r="B11" s="163">
        <f t="shared" si="0"/>
        <v>740</v>
      </c>
      <c r="C11" s="164">
        <f t="shared" si="3"/>
        <v>7.49</v>
      </c>
      <c r="D11" s="164">
        <f t="shared" si="4"/>
        <v>53.84</v>
      </c>
      <c r="E11" s="164">
        <f t="shared" si="5"/>
        <v>15.39</v>
      </c>
      <c r="F11" s="165">
        <f t="shared" si="1"/>
        <v>76.72</v>
      </c>
      <c r="G11" s="158"/>
      <c r="H11" s="164">
        <f t="shared" si="6"/>
        <v>7.49</v>
      </c>
      <c r="I11" s="164">
        <f t="shared" si="7"/>
        <v>53.4</v>
      </c>
      <c r="J11" s="164">
        <f t="shared" si="8"/>
        <v>15.29</v>
      </c>
      <c r="K11" s="165">
        <f t="shared" si="2"/>
        <v>76.180000000000007</v>
      </c>
      <c r="L11" s="165">
        <f t="shared" si="9"/>
        <v>-0.53999999999999204</v>
      </c>
      <c r="M11" s="166">
        <f t="shared" si="10"/>
        <v>-7.0385818561000003E-3</v>
      </c>
    </row>
    <row r="12" spans="1:18" x14ac:dyDescent="0.2">
      <c r="A12" s="157" t="s">
        <v>230</v>
      </c>
      <c r="B12" s="163">
        <f t="shared" si="0"/>
        <v>670</v>
      </c>
      <c r="C12" s="164">
        <f t="shared" si="3"/>
        <v>7.49</v>
      </c>
      <c r="D12" s="164">
        <f t="shared" si="4"/>
        <v>53.84</v>
      </c>
      <c r="E12" s="164">
        <f t="shared" si="5"/>
        <v>7.7</v>
      </c>
      <c r="F12" s="165">
        <f t="shared" si="1"/>
        <v>69.03</v>
      </c>
      <c r="G12" s="158"/>
      <c r="H12" s="164">
        <f t="shared" si="6"/>
        <v>7.49</v>
      </c>
      <c r="I12" s="164">
        <f t="shared" si="7"/>
        <v>53.4</v>
      </c>
      <c r="J12" s="164">
        <f t="shared" si="8"/>
        <v>7.64</v>
      </c>
      <c r="K12" s="165">
        <f t="shared" si="2"/>
        <v>68.53</v>
      </c>
      <c r="L12" s="165">
        <f t="shared" si="9"/>
        <v>-0.5</v>
      </c>
      <c r="M12" s="166">
        <f t="shared" si="10"/>
        <v>-7.2432275822106327E-3</v>
      </c>
    </row>
    <row r="13" spans="1:18" x14ac:dyDescent="0.2">
      <c r="A13" s="157" t="s">
        <v>231</v>
      </c>
      <c r="B13" s="163">
        <f t="shared" si="0"/>
        <v>665</v>
      </c>
      <c r="C13" s="164">
        <f t="shared" si="3"/>
        <v>7.49</v>
      </c>
      <c r="D13" s="164">
        <f t="shared" si="4"/>
        <v>53.84</v>
      </c>
      <c r="E13" s="164">
        <f t="shared" si="5"/>
        <v>7.15</v>
      </c>
      <c r="F13" s="165">
        <f t="shared" si="1"/>
        <v>68.48</v>
      </c>
      <c r="G13" s="158"/>
      <c r="H13" s="164">
        <f t="shared" si="6"/>
        <v>7.49</v>
      </c>
      <c r="I13" s="164">
        <f t="shared" si="7"/>
        <v>53.4</v>
      </c>
      <c r="J13" s="164">
        <f t="shared" si="8"/>
        <v>7.1</v>
      </c>
      <c r="K13" s="165">
        <f t="shared" si="2"/>
        <v>67.989999999999995</v>
      </c>
      <c r="L13" s="165">
        <f t="shared" si="9"/>
        <v>-0.49000000000000909</v>
      </c>
      <c r="M13" s="166">
        <f t="shared" si="10"/>
        <v>-7.1553738317758336E-3</v>
      </c>
    </row>
    <row r="14" spans="1:18" x14ac:dyDescent="0.2">
      <c r="A14" s="157" t="s">
        <v>232</v>
      </c>
      <c r="B14" s="163">
        <f t="shared" si="0"/>
        <v>678</v>
      </c>
      <c r="C14" s="164">
        <f t="shared" si="3"/>
        <v>7.49</v>
      </c>
      <c r="D14" s="164">
        <f t="shared" si="4"/>
        <v>53.84</v>
      </c>
      <c r="E14" s="164">
        <f t="shared" si="5"/>
        <v>8.58</v>
      </c>
      <c r="F14" s="165">
        <f t="shared" si="1"/>
        <v>69.910000000000011</v>
      </c>
      <c r="G14" s="158"/>
      <c r="H14" s="164">
        <f t="shared" si="6"/>
        <v>7.49</v>
      </c>
      <c r="I14" s="164">
        <f t="shared" si="7"/>
        <v>53.4</v>
      </c>
      <c r="J14" s="164">
        <f t="shared" si="8"/>
        <v>8.52</v>
      </c>
      <c r="K14" s="165">
        <f t="shared" si="2"/>
        <v>69.41</v>
      </c>
      <c r="L14" s="165">
        <f t="shared" si="9"/>
        <v>-0.50000000000001421</v>
      </c>
      <c r="M14" s="166">
        <f t="shared" si="10"/>
        <v>-7.1520526391076261E-3</v>
      </c>
    </row>
    <row r="15" spans="1:18" x14ac:dyDescent="0.2">
      <c r="A15" s="157" t="s">
        <v>233</v>
      </c>
      <c r="B15" s="163">
        <f t="shared" si="0"/>
        <v>623</v>
      </c>
      <c r="C15" s="164">
        <f t="shared" si="3"/>
        <v>7.49</v>
      </c>
      <c r="D15" s="164">
        <f t="shared" si="4"/>
        <v>53.84</v>
      </c>
      <c r="E15" s="164">
        <f t="shared" si="5"/>
        <v>2.5299999999999998</v>
      </c>
      <c r="F15" s="165">
        <f t="shared" si="1"/>
        <v>63.860000000000007</v>
      </c>
      <c r="G15" s="158"/>
      <c r="H15" s="164">
        <f t="shared" si="6"/>
        <v>7.49</v>
      </c>
      <c r="I15" s="164">
        <f t="shared" si="7"/>
        <v>53.4</v>
      </c>
      <c r="J15" s="164">
        <f t="shared" si="8"/>
        <v>2.5099999999999998</v>
      </c>
      <c r="K15" s="165">
        <f t="shared" si="2"/>
        <v>63.4</v>
      </c>
      <c r="L15" s="165">
        <f t="shared" si="9"/>
        <v>-0.46000000000000796</v>
      </c>
      <c r="M15" s="166">
        <f t="shared" si="10"/>
        <v>-7.2032571249609758E-3</v>
      </c>
    </row>
    <row r="16" spans="1:18" x14ac:dyDescent="0.2">
      <c r="A16" s="157" t="s">
        <v>234</v>
      </c>
      <c r="B16" s="163">
        <f t="shared" si="0"/>
        <v>805</v>
      </c>
      <c r="C16" s="164">
        <f t="shared" si="3"/>
        <v>7.49</v>
      </c>
      <c r="D16" s="164">
        <f t="shared" si="4"/>
        <v>53.84</v>
      </c>
      <c r="E16" s="164">
        <f t="shared" si="5"/>
        <v>22.54</v>
      </c>
      <c r="F16" s="165">
        <f t="shared" si="1"/>
        <v>83.87</v>
      </c>
      <c r="G16" s="158"/>
      <c r="H16" s="164">
        <f t="shared" si="6"/>
        <v>7.49</v>
      </c>
      <c r="I16" s="164">
        <f t="shared" si="7"/>
        <v>53.4</v>
      </c>
      <c r="J16" s="164">
        <f t="shared" si="8"/>
        <v>22.39</v>
      </c>
      <c r="K16" s="165">
        <f t="shared" si="2"/>
        <v>83.28</v>
      </c>
      <c r="L16" s="165">
        <f t="shared" si="9"/>
        <v>-0.59000000000000341</v>
      </c>
      <c r="M16" s="166">
        <f t="shared" si="10"/>
        <v>-7.0346965541910498E-3</v>
      </c>
    </row>
    <row r="17" spans="1:13" x14ac:dyDescent="0.2">
      <c r="A17" s="157" t="s">
        <v>235</v>
      </c>
      <c r="B17" s="163">
        <f t="shared" si="0"/>
        <v>1022</v>
      </c>
      <c r="C17" s="164">
        <f t="shared" si="3"/>
        <v>7.49</v>
      </c>
      <c r="D17" s="164">
        <f t="shared" si="4"/>
        <v>53.84</v>
      </c>
      <c r="E17" s="164">
        <f t="shared" si="5"/>
        <v>46.4</v>
      </c>
      <c r="F17" s="165">
        <f t="shared" si="1"/>
        <v>107.73</v>
      </c>
      <c r="G17" s="158"/>
      <c r="H17" s="164">
        <f t="shared" si="6"/>
        <v>7.49</v>
      </c>
      <c r="I17" s="164">
        <f t="shared" si="7"/>
        <v>53.4</v>
      </c>
      <c r="J17" s="164">
        <f t="shared" si="8"/>
        <v>46.08</v>
      </c>
      <c r="K17" s="165">
        <f t="shared" si="2"/>
        <v>106.97</v>
      </c>
      <c r="L17" s="165">
        <f t="shared" si="9"/>
        <v>-0.76000000000000512</v>
      </c>
      <c r="M17" s="166">
        <f t="shared" si="10"/>
        <v>-7.0546737213404353E-3</v>
      </c>
    </row>
    <row r="18" spans="1:13" x14ac:dyDescent="0.2">
      <c r="A18" s="157" t="s">
        <v>236</v>
      </c>
      <c r="B18" s="163">
        <f t="shared" si="0"/>
        <v>1163</v>
      </c>
      <c r="C18" s="164">
        <f t="shared" si="3"/>
        <v>7.49</v>
      </c>
      <c r="D18" s="164">
        <f t="shared" si="4"/>
        <v>53.84</v>
      </c>
      <c r="E18" s="164">
        <f t="shared" si="5"/>
        <v>61.9</v>
      </c>
      <c r="F18" s="165">
        <f t="shared" si="1"/>
        <v>123.23</v>
      </c>
      <c r="G18" s="158"/>
      <c r="H18" s="164">
        <f t="shared" si="6"/>
        <v>7.49</v>
      </c>
      <c r="I18" s="164">
        <f t="shared" si="7"/>
        <v>53.4</v>
      </c>
      <c r="J18" s="164">
        <f t="shared" si="8"/>
        <v>61.48</v>
      </c>
      <c r="K18" s="165">
        <f t="shared" si="2"/>
        <v>122.37</v>
      </c>
      <c r="L18" s="165">
        <f t="shared" si="9"/>
        <v>-0.85999999999999943</v>
      </c>
      <c r="M18" s="166">
        <f t="shared" si="10"/>
        <v>-6.9788200925099356E-3</v>
      </c>
    </row>
    <row r="19" spans="1:13" x14ac:dyDescent="0.2">
      <c r="C19" s="164"/>
      <c r="G19" s="158"/>
      <c r="H19" s="164"/>
      <c r="M19" s="166"/>
    </row>
    <row r="20" spans="1:13" ht="12" thickBot="1" x14ac:dyDescent="0.25">
      <c r="A20" s="167" t="s">
        <v>237</v>
      </c>
      <c r="B20" s="168">
        <f>SUM(B7:B19)</f>
        <v>10434</v>
      </c>
      <c r="C20" s="169">
        <f>SUM(C7:C19)</f>
        <v>89.88</v>
      </c>
      <c r="D20" s="169">
        <f>SUM(D7:D19)</f>
        <v>646.08000000000027</v>
      </c>
      <c r="E20" s="169">
        <f>SUM(E7:E19)</f>
        <v>355.57</v>
      </c>
      <c r="F20" s="169">
        <f>SUM(F7:F19)</f>
        <v>1091.53</v>
      </c>
      <c r="G20" s="158"/>
      <c r="H20" s="169">
        <f>SUM(H7:H19)</f>
        <v>89.88</v>
      </c>
      <c r="I20" s="169">
        <f>SUM(I7:I19)</f>
        <v>640.79999999999984</v>
      </c>
      <c r="J20" s="169">
        <f>SUM(J7:J19)</f>
        <v>353.16999999999996</v>
      </c>
      <c r="K20" s="169">
        <f>SUM(K7:K19)</f>
        <v>1083.8499999999999</v>
      </c>
      <c r="L20" s="169">
        <f t="shared" ref="L20" si="11">+K20-F20</f>
        <v>-7.6800000000000637</v>
      </c>
      <c r="M20" s="170">
        <f t="shared" ref="M20" si="12">+L20/F20</f>
        <v>-7.0359953459823033E-3</v>
      </c>
    </row>
    <row r="21" spans="1:13" ht="12" thickTop="1" x14ac:dyDescent="0.2">
      <c r="G21" s="158"/>
      <c r="M21" s="166"/>
    </row>
    <row r="22" spans="1:13" ht="12" thickBot="1" x14ac:dyDescent="0.25">
      <c r="A22" s="171" t="s">
        <v>238</v>
      </c>
      <c r="B22" s="172">
        <f>ROUND(AVERAGE(B7:B18),-2)</f>
        <v>900</v>
      </c>
      <c r="C22" s="173">
        <f t="shared" ref="C22:C23" si="13">ROUND(+$E$27,2)</f>
        <v>7.49</v>
      </c>
      <c r="D22" s="173">
        <f t="shared" ref="D22:D23" si="14">ROUND(IF($B22&gt;600,600*$E$57,$B22*$E$37),2)</f>
        <v>53.84</v>
      </c>
      <c r="E22" s="173">
        <f t="shared" ref="E22:E23" si="15">ROUND(IF($B22&gt;600,($B22-600)*$E$58,0),2)</f>
        <v>32.979999999999997</v>
      </c>
      <c r="F22" s="173">
        <f>SUM(C22:E22)</f>
        <v>94.31</v>
      </c>
      <c r="G22" s="158"/>
      <c r="H22" s="173">
        <f t="shared" ref="H22:H23" si="16">ROUND(+$F$27,2)</f>
        <v>7.49</v>
      </c>
      <c r="I22" s="173">
        <f t="shared" ref="I22:I23" si="17">ROUND(IF($B22&gt;600,600*$F$57,$B22*$F$37),2)</f>
        <v>53.4</v>
      </c>
      <c r="J22" s="173">
        <f t="shared" ref="J22:J23" si="18">ROUND(IF($B22&gt;600,($B22-600)*$F$58,0),2)</f>
        <v>32.76</v>
      </c>
      <c r="K22" s="173">
        <f>SUM(H22:J22)</f>
        <v>93.65</v>
      </c>
      <c r="L22" s="173">
        <f t="shared" ref="L22:L23" si="19">+K22-F22</f>
        <v>-0.65999999999999659</v>
      </c>
      <c r="M22" s="170">
        <f t="shared" ref="M22:M23" si="20">+L22/F22</f>
        <v>-6.9981974339942375E-3</v>
      </c>
    </row>
    <row r="23" spans="1:13" ht="12.75" thickTop="1" thickBot="1" x14ac:dyDescent="0.25">
      <c r="A23" s="174" t="s">
        <v>238</v>
      </c>
      <c r="B23" s="168">
        <v>1000</v>
      </c>
      <c r="C23" s="173">
        <f t="shared" si="13"/>
        <v>7.49</v>
      </c>
      <c r="D23" s="173">
        <f t="shared" si="14"/>
        <v>53.84</v>
      </c>
      <c r="E23" s="173">
        <f t="shared" si="15"/>
        <v>43.98</v>
      </c>
      <c r="F23" s="173">
        <f>SUM(C23:E23)</f>
        <v>105.31</v>
      </c>
      <c r="G23" s="158"/>
      <c r="H23" s="173">
        <f t="shared" si="16"/>
        <v>7.49</v>
      </c>
      <c r="I23" s="173">
        <f t="shared" si="17"/>
        <v>53.4</v>
      </c>
      <c r="J23" s="173">
        <f t="shared" si="18"/>
        <v>43.68</v>
      </c>
      <c r="K23" s="173">
        <f>SUM(H23:J23)</f>
        <v>104.57</v>
      </c>
      <c r="L23" s="173">
        <f t="shared" si="19"/>
        <v>-0.74000000000000909</v>
      </c>
      <c r="M23" s="170">
        <f t="shared" si="20"/>
        <v>-7.0268730414966198E-3</v>
      </c>
    </row>
    <row r="24" spans="1:13" ht="12" thickTop="1" x14ac:dyDescent="0.2"/>
    <row r="25" spans="1:13" ht="45" x14ac:dyDescent="0.2">
      <c r="A25" s="214" t="s">
        <v>239</v>
      </c>
      <c r="B25" s="215"/>
      <c r="C25" s="215"/>
      <c r="D25" s="215"/>
      <c r="E25" s="216" t="s">
        <v>240</v>
      </c>
      <c r="F25" s="216" t="s">
        <v>296</v>
      </c>
    </row>
    <row r="26" spans="1:13" x14ac:dyDescent="0.2">
      <c r="A26" s="232" t="s">
        <v>241</v>
      </c>
      <c r="B26" s="232"/>
      <c r="C26" s="232"/>
      <c r="D26" s="232"/>
      <c r="E26" s="175"/>
      <c r="F26" s="175"/>
    </row>
    <row r="27" spans="1:13" x14ac:dyDescent="0.2">
      <c r="A27" s="230" t="s">
        <v>242</v>
      </c>
      <c r="B27" s="230"/>
      <c r="C27" s="230"/>
      <c r="D27" s="230"/>
      <c r="E27" s="176">
        <v>7.49</v>
      </c>
      <c r="F27" s="176">
        <f>+E27</f>
        <v>7.49</v>
      </c>
      <c r="G27" s="157" t="s">
        <v>243</v>
      </c>
    </row>
    <row r="28" spans="1:13" ht="12" thickBot="1" x14ac:dyDescent="0.25">
      <c r="A28" s="233" t="s">
        <v>244</v>
      </c>
      <c r="B28" s="233"/>
      <c r="C28" s="233"/>
      <c r="D28" s="233"/>
      <c r="E28" s="177">
        <f>SUM(E27)</f>
        <v>7.49</v>
      </c>
      <c r="F28" s="177">
        <f>SUM(F27:F27)</f>
        <v>7.49</v>
      </c>
    </row>
    <row r="29" spans="1:13" ht="12" thickTop="1" x14ac:dyDescent="0.2">
      <c r="A29" s="232" t="s">
        <v>245</v>
      </c>
      <c r="B29" s="232"/>
      <c r="C29" s="232"/>
      <c r="D29" s="232"/>
      <c r="E29" s="178"/>
      <c r="F29" s="178"/>
    </row>
    <row r="30" spans="1:13" x14ac:dyDescent="0.2">
      <c r="A30" s="230" t="s">
        <v>246</v>
      </c>
      <c r="B30" s="230"/>
      <c r="C30" s="230"/>
      <c r="D30" s="230"/>
      <c r="E30" s="179">
        <v>9.3071000000000001E-2</v>
      </c>
      <c r="F30" s="179">
        <f>+E30</f>
        <v>9.3071000000000001E-2</v>
      </c>
      <c r="G30" s="157" t="s">
        <v>247</v>
      </c>
    </row>
    <row r="31" spans="1:13" x14ac:dyDescent="0.2">
      <c r="A31" s="230" t="s">
        <v>248</v>
      </c>
      <c r="B31" s="230"/>
      <c r="C31" s="230"/>
      <c r="D31" s="230"/>
      <c r="E31" s="179">
        <v>1.0640000000000001E-3</v>
      </c>
      <c r="F31" s="179">
        <f t="shared" ref="F31:F35" si="21">+E31</f>
        <v>1.0640000000000001E-3</v>
      </c>
      <c r="G31" s="157" t="s">
        <v>247</v>
      </c>
    </row>
    <row r="32" spans="1:13" x14ac:dyDescent="0.2">
      <c r="A32" s="230" t="s">
        <v>249</v>
      </c>
      <c r="B32" s="230"/>
      <c r="C32" s="230"/>
      <c r="D32" s="230"/>
      <c r="E32" s="179">
        <v>3.209E-3</v>
      </c>
      <c r="F32" s="179">
        <f t="shared" si="21"/>
        <v>3.209E-3</v>
      </c>
      <c r="G32" s="180" t="s">
        <v>247</v>
      </c>
      <c r="H32" s="180"/>
      <c r="I32" s="180"/>
      <c r="J32" s="180"/>
    </row>
    <row r="33" spans="1:10" x14ac:dyDescent="0.2">
      <c r="A33" s="230" t="s">
        <v>250</v>
      </c>
      <c r="B33" s="230"/>
      <c r="C33" s="230"/>
      <c r="D33" s="230"/>
      <c r="E33" s="179">
        <v>-3.016E-3</v>
      </c>
      <c r="F33" s="179">
        <f t="shared" si="21"/>
        <v>-3.016E-3</v>
      </c>
      <c r="G33" s="180" t="s">
        <v>247</v>
      </c>
      <c r="H33" s="180"/>
      <c r="I33" s="180"/>
      <c r="J33" s="180"/>
    </row>
    <row r="34" spans="1:10" x14ac:dyDescent="0.2">
      <c r="A34" s="230" t="s">
        <v>251</v>
      </c>
      <c r="B34" s="230"/>
      <c r="C34" s="230"/>
      <c r="D34" s="230"/>
      <c r="E34" s="179">
        <v>-6.0999999999999999E-5</v>
      </c>
      <c r="F34" s="179">
        <f t="shared" si="21"/>
        <v>-6.0999999999999999E-5</v>
      </c>
      <c r="G34" s="180" t="s">
        <v>247</v>
      </c>
      <c r="H34" s="180"/>
      <c r="I34" s="180"/>
      <c r="J34" s="180"/>
    </row>
    <row r="35" spans="1:10" x14ac:dyDescent="0.2">
      <c r="A35" s="230" t="s">
        <v>252</v>
      </c>
      <c r="B35" s="230"/>
      <c r="C35" s="230"/>
      <c r="D35" s="230"/>
      <c r="E35" s="179">
        <v>-8.8400000000000002E-4</v>
      </c>
      <c r="F35" s="179">
        <f t="shared" si="21"/>
        <v>-8.8400000000000002E-4</v>
      </c>
      <c r="G35" s="180" t="s">
        <v>247</v>
      </c>
      <c r="H35" s="180"/>
      <c r="I35" s="180"/>
      <c r="J35" s="180"/>
    </row>
    <row r="36" spans="1:10" x14ac:dyDescent="0.2">
      <c r="A36" s="234" t="s">
        <v>253</v>
      </c>
      <c r="B36" s="234"/>
      <c r="C36" s="234"/>
      <c r="D36" s="234"/>
      <c r="E36" s="181">
        <v>1.054E-3</v>
      </c>
      <c r="F36" s="181">
        <v>3.1399999999999999E-4</v>
      </c>
      <c r="G36" s="180" t="s">
        <v>247</v>
      </c>
      <c r="H36" s="180"/>
      <c r="I36" s="180"/>
      <c r="J36" s="180"/>
    </row>
    <row r="37" spans="1:10" ht="12" thickBot="1" x14ac:dyDescent="0.25">
      <c r="A37" s="233" t="s">
        <v>254</v>
      </c>
      <c r="B37" s="233"/>
      <c r="C37" s="233"/>
      <c r="D37" s="233"/>
      <c r="E37" s="182">
        <f>SUM(E30:E36)</f>
        <v>9.4436999999999993E-2</v>
      </c>
      <c r="F37" s="182">
        <f>SUM(F30:F36)</f>
        <v>9.3696999999999989E-2</v>
      </c>
      <c r="G37" s="180" t="s">
        <v>247</v>
      </c>
      <c r="H37" s="180"/>
      <c r="I37" s="180"/>
      <c r="J37" s="180"/>
    </row>
    <row r="38" spans="1:10" ht="12" thickTop="1" x14ac:dyDescent="0.2">
      <c r="A38" s="232"/>
      <c r="B38" s="232"/>
      <c r="C38" s="232"/>
      <c r="D38" s="232"/>
      <c r="E38" s="179"/>
      <c r="F38" s="179"/>
    </row>
    <row r="39" spans="1:10" x14ac:dyDescent="0.2">
      <c r="A39" s="232" t="s">
        <v>255</v>
      </c>
      <c r="B39" s="232"/>
      <c r="C39" s="232"/>
      <c r="D39" s="232"/>
      <c r="E39" s="179">
        <v>0.113277</v>
      </c>
      <c r="F39" s="179">
        <f>+E39</f>
        <v>0.113277</v>
      </c>
      <c r="G39" s="157" t="s">
        <v>247</v>
      </c>
    </row>
    <row r="40" spans="1:10" x14ac:dyDescent="0.2">
      <c r="A40" s="230" t="s">
        <v>248</v>
      </c>
      <c r="B40" s="230"/>
      <c r="C40" s="230"/>
      <c r="D40" s="230"/>
      <c r="E40" s="179">
        <f>+E31</f>
        <v>1.0640000000000001E-3</v>
      </c>
      <c r="F40" s="179">
        <f t="shared" ref="F40:F44" si="22">+E40</f>
        <v>1.0640000000000001E-3</v>
      </c>
      <c r="G40" s="157" t="s">
        <v>247</v>
      </c>
    </row>
    <row r="41" spans="1:10" x14ac:dyDescent="0.2">
      <c r="A41" s="183" t="s">
        <v>249</v>
      </c>
      <c r="B41" s="183"/>
      <c r="C41" s="183"/>
      <c r="D41" s="183"/>
      <c r="E41" s="179">
        <f t="shared" ref="E41:F45" si="23">+E32</f>
        <v>3.209E-3</v>
      </c>
      <c r="F41" s="179">
        <f t="shared" si="22"/>
        <v>3.209E-3</v>
      </c>
      <c r="G41" s="157" t="s">
        <v>247</v>
      </c>
    </row>
    <row r="42" spans="1:10" x14ac:dyDescent="0.2">
      <c r="A42" s="183" t="s">
        <v>256</v>
      </c>
      <c r="B42" s="183"/>
      <c r="C42" s="183"/>
      <c r="D42" s="183"/>
      <c r="E42" s="179">
        <f t="shared" si="23"/>
        <v>-3.016E-3</v>
      </c>
      <c r="F42" s="179">
        <f t="shared" si="22"/>
        <v>-3.016E-3</v>
      </c>
      <c r="G42" s="180" t="s">
        <v>247</v>
      </c>
      <c r="H42" s="180"/>
      <c r="I42" s="180"/>
      <c r="J42" s="180"/>
    </row>
    <row r="43" spans="1:10" x14ac:dyDescent="0.2">
      <c r="A43" s="183" t="s">
        <v>251</v>
      </c>
      <c r="B43" s="183"/>
      <c r="C43" s="183"/>
      <c r="D43" s="183"/>
      <c r="E43" s="179">
        <f t="shared" si="23"/>
        <v>-6.0999999999999999E-5</v>
      </c>
      <c r="F43" s="179">
        <f t="shared" si="22"/>
        <v>-6.0999999999999999E-5</v>
      </c>
      <c r="G43" s="180" t="s">
        <v>247</v>
      </c>
    </row>
    <row r="44" spans="1:10" x14ac:dyDescent="0.2">
      <c r="A44" s="230" t="s">
        <v>252</v>
      </c>
      <c r="B44" s="230"/>
      <c r="C44" s="230"/>
      <c r="D44" s="230"/>
      <c r="E44" s="179">
        <f t="shared" si="23"/>
        <v>-8.8400000000000002E-4</v>
      </c>
      <c r="F44" s="179">
        <f t="shared" si="22"/>
        <v>-8.8400000000000002E-4</v>
      </c>
      <c r="G44" s="180" t="s">
        <v>247</v>
      </c>
    </row>
    <row r="45" spans="1:10" x14ac:dyDescent="0.2">
      <c r="A45" s="234" t="s">
        <v>253</v>
      </c>
      <c r="B45" s="234"/>
      <c r="C45" s="234"/>
      <c r="D45" s="234"/>
      <c r="E45" s="181">
        <f t="shared" si="23"/>
        <v>1.054E-3</v>
      </c>
      <c r="F45" s="181">
        <f t="shared" si="23"/>
        <v>3.1399999999999999E-4</v>
      </c>
      <c r="G45" s="180" t="s">
        <v>247</v>
      </c>
      <c r="H45" s="180"/>
      <c r="I45" s="180"/>
      <c r="J45" s="180"/>
    </row>
    <row r="46" spans="1:10" ht="12" thickBot="1" x14ac:dyDescent="0.25">
      <c r="A46" s="233" t="s">
        <v>257</v>
      </c>
      <c r="B46" s="233"/>
      <c r="C46" s="233"/>
      <c r="D46" s="233"/>
      <c r="E46" s="182">
        <f>SUM(E39:E45)</f>
        <v>0.11464299999999999</v>
      </c>
      <c r="F46" s="182">
        <f>SUM(F39:F45)</f>
        <v>0.11390299999999999</v>
      </c>
      <c r="G46" s="180" t="s">
        <v>247</v>
      </c>
      <c r="H46" s="180"/>
      <c r="I46" s="180"/>
      <c r="J46" s="180"/>
    </row>
    <row r="47" spans="1:10" ht="12" thickTop="1" x14ac:dyDescent="0.2">
      <c r="A47" s="232"/>
      <c r="B47" s="232"/>
      <c r="C47" s="232"/>
      <c r="D47" s="232"/>
      <c r="E47" s="179"/>
      <c r="F47" s="179"/>
      <c r="G47" s="180"/>
      <c r="H47" s="180"/>
      <c r="I47" s="180"/>
      <c r="J47" s="180"/>
    </row>
    <row r="48" spans="1:10" x14ac:dyDescent="0.2">
      <c r="A48" s="235" t="s">
        <v>258</v>
      </c>
      <c r="B48" s="235"/>
      <c r="C48" s="235"/>
      <c r="D48" s="235"/>
      <c r="E48" s="179">
        <v>-7.3861270000000001E-3</v>
      </c>
      <c r="F48" s="179">
        <f>+E48</f>
        <v>-7.3861270000000001E-3</v>
      </c>
      <c r="G48" s="180" t="s">
        <v>247</v>
      </c>
      <c r="H48" s="180"/>
      <c r="I48" s="180"/>
      <c r="J48" s="180"/>
    </row>
    <row r="49" spans="1:10" x14ac:dyDescent="0.2">
      <c r="A49" s="232"/>
      <c r="B49" s="232"/>
      <c r="C49" s="232"/>
      <c r="D49" s="232"/>
      <c r="E49" s="179"/>
      <c r="F49" s="179"/>
    </row>
    <row r="50" spans="1:10" x14ac:dyDescent="0.2">
      <c r="A50" s="232" t="s">
        <v>259</v>
      </c>
      <c r="B50" s="232"/>
      <c r="C50" s="232"/>
      <c r="D50" s="232"/>
      <c r="E50" s="179"/>
      <c r="F50" s="179"/>
      <c r="G50" s="157" t="s">
        <v>247</v>
      </c>
    </row>
    <row r="51" spans="1:10" x14ac:dyDescent="0.2">
      <c r="A51" s="236" t="s">
        <v>260</v>
      </c>
      <c r="B51" s="236"/>
      <c r="C51" s="236"/>
      <c r="D51" s="236"/>
      <c r="E51" s="179">
        <v>0</v>
      </c>
      <c r="F51" s="179">
        <f>+E51</f>
        <v>0</v>
      </c>
      <c r="G51" s="157" t="s">
        <v>247</v>
      </c>
      <c r="H51" s="180"/>
      <c r="I51" s="180"/>
      <c r="J51" s="180"/>
    </row>
    <row r="52" spans="1:10" x14ac:dyDescent="0.2">
      <c r="A52" s="236" t="s">
        <v>261</v>
      </c>
      <c r="B52" s="236"/>
      <c r="C52" s="236"/>
      <c r="D52" s="236"/>
      <c r="E52" s="179">
        <v>-1.8929999999999999E-3</v>
      </c>
      <c r="F52" s="179">
        <f>E52</f>
        <v>-1.8929999999999999E-3</v>
      </c>
      <c r="G52" s="180" t="s">
        <v>247</v>
      </c>
      <c r="H52" s="180"/>
      <c r="I52" s="180"/>
      <c r="J52" s="180"/>
    </row>
    <row r="53" spans="1:10" x14ac:dyDescent="0.2">
      <c r="A53" s="236" t="s">
        <v>262</v>
      </c>
      <c r="B53" s="236"/>
      <c r="C53" s="236"/>
      <c r="D53" s="236"/>
      <c r="E53" s="179">
        <v>4.6589999999999999E-3</v>
      </c>
      <c r="F53" s="179">
        <f>+E53</f>
        <v>4.6589999999999999E-3</v>
      </c>
      <c r="G53" s="180" t="s">
        <v>247</v>
      </c>
      <c r="H53" s="180"/>
      <c r="I53" s="180"/>
      <c r="J53" s="180"/>
    </row>
    <row r="54" spans="1:10" x14ac:dyDescent="0.2">
      <c r="A54" s="236" t="s">
        <v>263</v>
      </c>
      <c r="B54" s="236"/>
      <c r="C54" s="236"/>
      <c r="D54" s="236"/>
      <c r="E54" s="179">
        <v>-8.2000000000000001E-5</v>
      </c>
      <c r="F54" s="179">
        <f>E54</f>
        <v>-8.2000000000000001E-5</v>
      </c>
      <c r="G54" s="180" t="s">
        <v>247</v>
      </c>
      <c r="H54" s="180"/>
      <c r="I54" s="180"/>
      <c r="J54" s="180"/>
    </row>
    <row r="55" spans="1:10" ht="12" thickBot="1" x14ac:dyDescent="0.25">
      <c r="A55" s="233" t="s">
        <v>264</v>
      </c>
      <c r="B55" s="233"/>
      <c r="C55" s="233"/>
      <c r="D55" s="233"/>
      <c r="E55" s="182">
        <f>SUM(E51:E54)</f>
        <v>2.6840000000000002E-3</v>
      </c>
      <c r="F55" s="182">
        <f>SUM(F51:F54)</f>
        <v>2.6840000000000002E-3</v>
      </c>
      <c r="G55" s="180" t="s">
        <v>247</v>
      </c>
    </row>
    <row r="56" spans="1:10" ht="12" thickTop="1" x14ac:dyDescent="0.2">
      <c r="A56" s="232"/>
      <c r="B56" s="232"/>
      <c r="C56" s="232"/>
      <c r="D56" s="232"/>
      <c r="E56" s="184"/>
      <c r="F56" s="184"/>
    </row>
    <row r="57" spans="1:10" x14ac:dyDescent="0.2">
      <c r="A57" s="233" t="s">
        <v>265</v>
      </c>
      <c r="B57" s="233"/>
      <c r="C57" s="233"/>
      <c r="D57" s="233"/>
      <c r="E57" s="184">
        <f>SUM(E37,E48:E48,E55)</f>
        <v>8.9734872999999993E-2</v>
      </c>
      <c r="F57" s="184">
        <f>SUM(F37,F48:F48,F55)</f>
        <v>8.8994872999999988E-2</v>
      </c>
      <c r="G57" s="180" t="s">
        <v>247</v>
      </c>
      <c r="I57" s="185"/>
    </row>
    <row r="58" spans="1:10" x14ac:dyDescent="0.2">
      <c r="A58" s="233" t="s">
        <v>266</v>
      </c>
      <c r="B58" s="233"/>
      <c r="C58" s="233"/>
      <c r="D58" s="233"/>
      <c r="E58" s="186">
        <f>SUM(E46,E48:E48,E55)</f>
        <v>0.10994087299999999</v>
      </c>
      <c r="F58" s="186">
        <f>SUM(F46,F48:F48,F55)</f>
        <v>0.10920087299999999</v>
      </c>
      <c r="G58" s="180" t="s">
        <v>247</v>
      </c>
      <c r="I58" s="185"/>
    </row>
    <row r="60" spans="1:10" x14ac:dyDescent="0.2">
      <c r="F60" s="165"/>
    </row>
    <row r="61" spans="1:10" x14ac:dyDescent="0.2">
      <c r="F61" s="165"/>
    </row>
    <row r="63" spans="1:10" ht="12" thickBot="1" x14ac:dyDescent="0.25"/>
    <row r="64" spans="1:10" ht="12" thickBot="1" x14ac:dyDescent="0.25">
      <c r="A64" s="187" t="s">
        <v>297</v>
      </c>
      <c r="B64" s="188"/>
      <c r="C64" s="188"/>
      <c r="D64" s="188"/>
      <c r="E64" s="189"/>
    </row>
    <row r="65" spans="1:14" ht="34.5" thickBot="1" x14ac:dyDescent="0.25">
      <c r="A65" s="190" t="s">
        <v>267</v>
      </c>
      <c r="B65" s="190" t="s">
        <v>268</v>
      </c>
      <c r="C65" s="190" t="s">
        <v>269</v>
      </c>
      <c r="D65" s="190" t="s">
        <v>270</v>
      </c>
      <c r="E65" s="191" t="s">
        <v>271</v>
      </c>
      <c r="F65" s="192"/>
      <c r="G65" s="192"/>
      <c r="H65" s="192"/>
      <c r="I65" s="192"/>
      <c r="J65" s="192"/>
      <c r="K65" s="192"/>
      <c r="L65" s="192"/>
      <c r="M65" s="192"/>
      <c r="N65" s="192"/>
    </row>
    <row r="66" spans="1:14" x14ac:dyDescent="0.2">
      <c r="A66" s="193">
        <v>2021</v>
      </c>
      <c r="B66" s="193">
        <v>1</v>
      </c>
      <c r="C66" s="194">
        <v>1275428757.5601294</v>
      </c>
      <c r="D66" s="194">
        <v>1046234.9738803403</v>
      </c>
      <c r="E66" s="195">
        <f>ROUND(+C66/D66,0)</f>
        <v>1219</v>
      </c>
    </row>
    <row r="67" spans="1:14" x14ac:dyDescent="0.2">
      <c r="A67" s="193">
        <v>2021</v>
      </c>
      <c r="B67" s="193">
        <v>2</v>
      </c>
      <c r="C67" s="194">
        <v>1039133161.3446268</v>
      </c>
      <c r="D67" s="194">
        <v>1047533.9724461999</v>
      </c>
      <c r="E67" s="195">
        <f t="shared" ref="E67:E77" si="24">ROUND(+C67/D67,0)</f>
        <v>992</v>
      </c>
    </row>
    <row r="68" spans="1:14" x14ac:dyDescent="0.2">
      <c r="A68" s="193">
        <v>2021</v>
      </c>
      <c r="B68" s="193">
        <v>3</v>
      </c>
      <c r="C68" s="194">
        <v>1079882739.3543665</v>
      </c>
      <c r="D68" s="194">
        <v>1048558.9711334634</v>
      </c>
      <c r="E68" s="195">
        <f t="shared" si="24"/>
        <v>1030</v>
      </c>
    </row>
    <row r="69" spans="1:14" x14ac:dyDescent="0.2">
      <c r="A69" s="193">
        <v>2021</v>
      </c>
      <c r="B69" s="193">
        <v>4</v>
      </c>
      <c r="C69" s="194">
        <v>867761913.91555512</v>
      </c>
      <c r="D69" s="194">
        <v>1049109.970298352</v>
      </c>
      <c r="E69" s="195">
        <f t="shared" si="24"/>
        <v>827</v>
      </c>
    </row>
    <row r="70" spans="1:14" x14ac:dyDescent="0.2">
      <c r="A70" s="193">
        <v>2021</v>
      </c>
      <c r="B70" s="193">
        <v>5</v>
      </c>
      <c r="C70" s="194">
        <v>777238185.64475775</v>
      </c>
      <c r="D70" s="194">
        <v>1049676.9712847632</v>
      </c>
      <c r="E70" s="195">
        <f t="shared" si="24"/>
        <v>740</v>
      </c>
    </row>
    <row r="71" spans="1:14" x14ac:dyDescent="0.2">
      <c r="A71" s="193">
        <v>2021</v>
      </c>
      <c r="B71" s="193">
        <v>6</v>
      </c>
      <c r="C71" s="194">
        <v>704136132.95987189</v>
      </c>
      <c r="D71" s="194">
        <v>1050242.9718046393</v>
      </c>
      <c r="E71" s="195">
        <f t="shared" si="24"/>
        <v>670</v>
      </c>
    </row>
    <row r="72" spans="1:14" x14ac:dyDescent="0.2">
      <c r="A72" s="193">
        <v>2021</v>
      </c>
      <c r="B72" s="193">
        <v>7</v>
      </c>
      <c r="C72" s="194">
        <v>699175112.40135241</v>
      </c>
      <c r="D72" s="194">
        <v>1050808.9710468701</v>
      </c>
      <c r="E72" s="195">
        <f t="shared" si="24"/>
        <v>665</v>
      </c>
    </row>
    <row r="73" spans="1:14" x14ac:dyDescent="0.2">
      <c r="A73" s="193">
        <v>2021</v>
      </c>
      <c r="B73" s="193">
        <v>8</v>
      </c>
      <c r="C73" s="194">
        <v>712807062.49170995</v>
      </c>
      <c r="D73" s="194">
        <v>1051815.9696949415</v>
      </c>
      <c r="E73" s="195">
        <f t="shared" si="24"/>
        <v>678</v>
      </c>
    </row>
    <row r="74" spans="1:14" x14ac:dyDescent="0.2">
      <c r="A74" s="193">
        <v>2021</v>
      </c>
      <c r="B74" s="193">
        <v>9</v>
      </c>
      <c r="C74" s="194">
        <v>655958093.68397701</v>
      </c>
      <c r="D74" s="194">
        <v>1052822.9696131167</v>
      </c>
      <c r="E74" s="195">
        <f t="shared" si="24"/>
        <v>623</v>
      </c>
    </row>
    <row r="75" spans="1:14" x14ac:dyDescent="0.2">
      <c r="A75" s="193">
        <v>2021</v>
      </c>
      <c r="B75" s="193">
        <v>10</v>
      </c>
      <c r="C75" s="194">
        <v>848236807.3439014</v>
      </c>
      <c r="D75" s="194">
        <v>1053830.97085763</v>
      </c>
      <c r="E75" s="195">
        <f t="shared" si="24"/>
        <v>805</v>
      </c>
    </row>
    <row r="76" spans="1:14" x14ac:dyDescent="0.2">
      <c r="A76" s="193">
        <v>2021</v>
      </c>
      <c r="B76" s="193">
        <v>11</v>
      </c>
      <c r="C76" s="194">
        <v>1078151323.2770572</v>
      </c>
      <c r="D76" s="194">
        <v>1055019.9721118484</v>
      </c>
      <c r="E76" s="195">
        <f t="shared" si="24"/>
        <v>1022</v>
      </c>
    </row>
    <row r="77" spans="1:14" x14ac:dyDescent="0.2">
      <c r="A77" s="193">
        <v>2021</v>
      </c>
      <c r="B77" s="193">
        <v>12</v>
      </c>
      <c r="C77" s="194">
        <v>1228414998.8540318</v>
      </c>
      <c r="D77" s="194">
        <v>1056209.9727106632</v>
      </c>
      <c r="E77" s="195">
        <f t="shared" si="24"/>
        <v>1163</v>
      </c>
    </row>
    <row r="78" spans="1:14" x14ac:dyDescent="0.2">
      <c r="A78" s="196"/>
      <c r="B78" s="196" t="s">
        <v>30</v>
      </c>
      <c r="C78" s="194">
        <f>SUM(C66:C77)</f>
        <v>10966324288.831339</v>
      </c>
      <c r="D78" s="194">
        <f>SUM(D66:D77)</f>
        <v>12611866.656882828</v>
      </c>
      <c r="E78" s="195">
        <f>SUM(E66:E77)</f>
        <v>10434</v>
      </c>
    </row>
    <row r="79" spans="1:14" x14ac:dyDescent="0.2">
      <c r="A79" s="196"/>
      <c r="B79" s="196"/>
      <c r="C79" s="196"/>
      <c r="D79" s="196"/>
      <c r="E79" s="195"/>
    </row>
    <row r="80" spans="1:14" ht="12" thickBot="1" x14ac:dyDescent="0.25">
      <c r="A80" s="197"/>
      <c r="B80" s="197" t="s">
        <v>272</v>
      </c>
      <c r="C80" s="198"/>
      <c r="D80" s="198"/>
      <c r="E80" s="199">
        <f>ROUND(AVERAGE(E66:E77),0)</f>
        <v>870</v>
      </c>
    </row>
  </sheetData>
  <mergeCells count="32">
    <mergeCell ref="A57:D57"/>
    <mergeCell ref="A58:D58"/>
    <mergeCell ref="A51:D51"/>
    <mergeCell ref="A52:D52"/>
    <mergeCell ref="A53:D53"/>
    <mergeCell ref="A54:D54"/>
    <mergeCell ref="A55:D55"/>
    <mergeCell ref="A56:D56"/>
    <mergeCell ref="A50:D50"/>
    <mergeCell ref="A36:D36"/>
    <mergeCell ref="A37:D37"/>
    <mergeCell ref="A38:D38"/>
    <mergeCell ref="A39:D39"/>
    <mergeCell ref="A40:D40"/>
    <mergeCell ref="A44:D44"/>
    <mergeCell ref="A45:D45"/>
    <mergeCell ref="A46:D46"/>
    <mergeCell ref="A47:D47"/>
    <mergeCell ref="A48:D48"/>
    <mergeCell ref="A49:D49"/>
    <mergeCell ref="A35:D35"/>
    <mergeCell ref="C5:F5"/>
    <mergeCell ref="H5:K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</mergeCells>
  <printOptions horizontalCentered="1"/>
  <pageMargins left="0.25" right="0.25" top="0.75" bottom="0.75" header="0.3" footer="0.3"/>
  <pageSetup scale="43" orientation="landscape" r:id="rId1"/>
  <headerFooter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pane ySplit="10" topLeftCell="A11" activePane="bottomLeft" state="frozen"/>
      <selection pane="bottomLeft" activeCell="A32" sqref="A32:XFD32"/>
    </sheetView>
  </sheetViews>
  <sheetFormatPr defaultRowHeight="12" customHeight="1" x14ac:dyDescent="0.25"/>
  <cols>
    <col min="1" max="1" width="7.28515625" bestFit="1" customWidth="1"/>
    <col min="2" max="2" width="26.28515625" bestFit="1" customWidth="1"/>
    <col min="3" max="3" width="12" bestFit="1" customWidth="1"/>
    <col min="4" max="4" width="5.28515625" bestFit="1" customWidth="1"/>
    <col min="5" max="5" width="11.85546875" bestFit="1" customWidth="1"/>
    <col min="6" max="6" width="11.5703125" bestFit="1" customWidth="1"/>
    <col min="7" max="7" width="13.42578125" bestFit="1" customWidth="1"/>
    <col min="8" max="8" width="0.85546875" customWidth="1"/>
    <col min="9" max="9" width="17.85546875" style="40" customWidth="1"/>
    <col min="10" max="10" width="20.140625" style="40" bestFit="1" customWidth="1"/>
    <col min="11" max="11" width="1.140625" customWidth="1"/>
    <col min="12" max="12" width="17" style="40" customWidth="1"/>
    <col min="13" max="13" width="19.140625" style="40" bestFit="1" customWidth="1"/>
    <col min="14" max="14" width="1" customWidth="1"/>
    <col min="15" max="18" width="19.140625" bestFit="1" customWidth="1"/>
    <col min="19" max="19" width="1.140625" customWidth="1"/>
    <col min="20" max="20" width="12" style="67" bestFit="1" customWidth="1"/>
  </cols>
  <sheetData>
    <row r="1" spans="1:20" ht="12" customHeight="1" x14ac:dyDescent="0.25">
      <c r="A1" s="220" t="str">
        <f>'Summary of Rates'!A1:V1</f>
        <v>Puget Sound Energy</v>
      </c>
      <c r="B1" s="220"/>
      <c r="C1" s="220"/>
      <c r="D1" s="220"/>
      <c r="E1" s="220"/>
      <c r="F1" s="220"/>
      <c r="G1" s="220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ht="12" customHeight="1" x14ac:dyDescent="0.25">
      <c r="A2" s="220" t="str">
        <f>'Summary of Rates'!A2:V2</f>
        <v xml:space="preserve">2019 GRC Compliance Electric SCH 142 Decoupling Filing Correction </v>
      </c>
      <c r="B2" s="220"/>
      <c r="C2" s="220"/>
      <c r="D2" s="220"/>
      <c r="E2" s="220"/>
      <c r="F2" s="220"/>
      <c r="G2" s="220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ht="12" customHeight="1" x14ac:dyDescent="0.25">
      <c r="A3" s="222" t="s">
        <v>275</v>
      </c>
      <c r="B3" s="222"/>
      <c r="C3" s="222"/>
      <c r="D3" s="222"/>
      <c r="E3" s="222"/>
      <c r="F3" s="222"/>
      <c r="G3" s="222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1:20" ht="12" customHeight="1" x14ac:dyDescent="0.25">
      <c r="A4" s="220" t="str">
        <f>'Summary of Rates'!A4:V4</f>
        <v>Proposed Effective Date of January 1, 2021</v>
      </c>
      <c r="B4" s="220"/>
      <c r="C4" s="220"/>
      <c r="D4" s="220"/>
      <c r="E4" s="220"/>
      <c r="F4" s="220"/>
      <c r="G4" s="220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ht="12" customHeight="1" x14ac:dyDescent="0.25">
      <c r="A5" s="73"/>
      <c r="B5" s="73"/>
      <c r="C5" s="73"/>
      <c r="D5" s="73"/>
      <c r="E5" s="73"/>
      <c r="F5" s="73"/>
      <c r="G5" s="73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7" spans="1:20" ht="12" customHeight="1" x14ac:dyDescent="0.25">
      <c r="B7" s="8"/>
      <c r="C7" s="8"/>
      <c r="D7" s="8"/>
      <c r="E7" s="217" t="s">
        <v>152</v>
      </c>
      <c r="F7" s="224"/>
      <c r="G7" s="225"/>
      <c r="I7" s="217" t="s">
        <v>198</v>
      </c>
      <c r="J7" s="225"/>
      <c r="L7" s="217" t="s">
        <v>159</v>
      </c>
      <c r="M7" s="225"/>
      <c r="O7" s="217" t="s">
        <v>151</v>
      </c>
      <c r="P7" s="225"/>
      <c r="Q7" s="217" t="s">
        <v>151</v>
      </c>
      <c r="R7" s="225"/>
    </row>
    <row r="8" spans="1:20" ht="12" customHeight="1" x14ac:dyDescent="0.25">
      <c r="B8" s="8"/>
      <c r="C8" s="8"/>
      <c r="D8" s="8"/>
      <c r="E8" s="9" t="s">
        <v>25</v>
      </c>
      <c r="F8" s="238" t="s">
        <v>3</v>
      </c>
      <c r="G8" s="238"/>
      <c r="I8" s="44">
        <v>44135</v>
      </c>
      <c r="J8" s="44">
        <v>44135</v>
      </c>
      <c r="L8" s="44">
        <v>44135</v>
      </c>
      <c r="M8" s="44">
        <v>44135</v>
      </c>
      <c r="O8" s="44">
        <v>44165</v>
      </c>
      <c r="P8" s="44">
        <v>44165</v>
      </c>
      <c r="Q8" s="44">
        <v>44196</v>
      </c>
      <c r="R8" s="44">
        <v>44196</v>
      </c>
    </row>
    <row r="9" spans="1:20" ht="12" customHeight="1" x14ac:dyDescent="0.25">
      <c r="B9" s="5"/>
      <c r="C9" s="9"/>
      <c r="D9" s="9"/>
      <c r="E9" s="9" t="s">
        <v>4</v>
      </c>
      <c r="F9" s="27" t="s">
        <v>5</v>
      </c>
      <c r="G9" s="5" t="s">
        <v>6</v>
      </c>
      <c r="I9" s="27" t="s">
        <v>5</v>
      </c>
      <c r="J9" s="27" t="s">
        <v>6</v>
      </c>
      <c r="L9" s="27" t="s">
        <v>5</v>
      </c>
      <c r="M9" s="27" t="s">
        <v>6</v>
      </c>
      <c r="O9" s="27" t="s">
        <v>5</v>
      </c>
      <c r="P9" s="27" t="s">
        <v>6</v>
      </c>
      <c r="Q9" s="27" t="s">
        <v>5</v>
      </c>
      <c r="R9" s="27" t="s">
        <v>6</v>
      </c>
    </row>
    <row r="10" spans="1:20" ht="12" customHeight="1" x14ac:dyDescent="0.25">
      <c r="A10" s="72" t="s">
        <v>43</v>
      </c>
      <c r="B10" s="43"/>
      <c r="C10" s="24"/>
      <c r="D10" s="24" t="s">
        <v>7</v>
      </c>
      <c r="E10" s="24" t="s">
        <v>8</v>
      </c>
      <c r="F10" s="24" t="s">
        <v>9</v>
      </c>
      <c r="G10" s="24" t="s">
        <v>9</v>
      </c>
      <c r="I10" s="42" t="s">
        <v>197</v>
      </c>
      <c r="J10" s="42" t="s">
        <v>197</v>
      </c>
      <c r="L10" s="42" t="s">
        <v>197</v>
      </c>
      <c r="M10" s="42" t="s">
        <v>197</v>
      </c>
      <c r="O10" s="42" t="s">
        <v>197</v>
      </c>
      <c r="P10" s="42" t="s">
        <v>197</v>
      </c>
      <c r="Q10" s="42" t="s">
        <v>197</v>
      </c>
      <c r="R10" s="42" t="s">
        <v>197</v>
      </c>
      <c r="T10" s="68" t="s">
        <v>25</v>
      </c>
    </row>
    <row r="11" spans="1:20" ht="12" customHeight="1" x14ac:dyDescent="0.25">
      <c r="B11" s="14"/>
      <c r="C11" s="9"/>
      <c r="D11" s="9"/>
      <c r="E11" s="3"/>
      <c r="F11" s="3"/>
      <c r="G11" s="3"/>
    </row>
    <row r="12" spans="1:20" ht="12" customHeight="1" x14ac:dyDescent="0.25">
      <c r="A12" s="3">
        <v>1</v>
      </c>
      <c r="B12" s="15" t="s">
        <v>10</v>
      </c>
      <c r="C12" s="16"/>
      <c r="D12" s="9"/>
      <c r="E12" s="3"/>
      <c r="F12" s="3"/>
      <c r="G12" s="3"/>
    </row>
    <row r="13" spans="1:20" ht="12" customHeight="1" x14ac:dyDescent="0.25">
      <c r="A13" s="3">
        <f>A12+1</f>
        <v>2</v>
      </c>
      <c r="B13" s="16"/>
      <c r="C13" s="17" t="s">
        <v>11</v>
      </c>
      <c r="D13" s="14" t="s">
        <v>12</v>
      </c>
      <c r="E13" s="18">
        <f>SUM(F13:G13)</f>
        <v>7.3999999999999999E-4</v>
      </c>
      <c r="F13" s="28">
        <v>5.9500000000000004E-4</v>
      </c>
      <c r="G13" s="28">
        <v>1.45E-4</v>
      </c>
      <c r="I13" s="70">
        <f>'BW Actual Bills (October 2020)'!H149</f>
        <v>51114.879999999997</v>
      </c>
      <c r="J13" s="70">
        <f>'BW Actual Bills (October 2020)'!H144</f>
        <v>12456.57</v>
      </c>
      <c r="L13" s="70">
        <f>'Change in Unbilled(October2020)'!M11*F13</f>
        <v>245743.60577956217</v>
      </c>
      <c r="M13" s="70">
        <f>'Change in Unbilled(October2020)'!M11*G13</f>
        <v>59887.097206784056</v>
      </c>
      <c r="O13" s="70">
        <f>'F2020 Electric Forecast'!$L$6*F13</f>
        <v>638978.28200500004</v>
      </c>
      <c r="P13" s="70">
        <f>'F2020 Electric Forecast'!$L$6*G13</f>
        <v>155717.39645500001</v>
      </c>
      <c r="Q13" s="70">
        <f>('F2020 Electric Forecast'!$M$6)*F13</f>
        <v>747645.34362000006</v>
      </c>
      <c r="R13" s="70">
        <f>('F2020 Electric Forecast'!$M$6)*G13</f>
        <v>182199.28542</v>
      </c>
      <c r="T13" s="69">
        <f>SUM(I13:R13)</f>
        <v>2093742.4604863464</v>
      </c>
    </row>
    <row r="14" spans="1:20" ht="12" customHeight="1" x14ac:dyDescent="0.25">
      <c r="A14" s="3">
        <f t="shared" ref="A14:A31" si="0">A13+1</f>
        <v>3</v>
      </c>
      <c r="B14" s="15" t="s">
        <v>13</v>
      </c>
      <c r="C14" s="16"/>
      <c r="D14" s="9"/>
      <c r="E14" s="19"/>
      <c r="F14" s="28"/>
      <c r="G14" s="28"/>
      <c r="I14" s="70"/>
      <c r="J14" s="70"/>
      <c r="L14" s="70"/>
      <c r="M14" s="70"/>
      <c r="O14" s="70"/>
      <c r="P14" s="70"/>
      <c r="Q14" s="70"/>
      <c r="R14" s="70"/>
      <c r="T14" s="69"/>
    </row>
    <row r="15" spans="1:20" ht="12" customHeight="1" x14ac:dyDescent="0.25">
      <c r="A15" s="3">
        <f t="shared" si="0"/>
        <v>4</v>
      </c>
      <c r="B15" s="16"/>
      <c r="C15" s="17" t="s">
        <v>11</v>
      </c>
      <c r="D15" s="14" t="s">
        <v>12</v>
      </c>
      <c r="E15" s="18">
        <f>SUM(F15:G15)</f>
        <v>2.5969999999999999E-3</v>
      </c>
      <c r="F15" s="28">
        <v>1.524E-3</v>
      </c>
      <c r="G15" s="28">
        <v>1.073E-3</v>
      </c>
      <c r="I15" s="70">
        <f>'BW Actual Bills (October 2020)'!H33+'BW Actual Bills (October 2020)'!H42+'BW Actual Bills (October 2020)'!H50+'BW Actual Bills (October 2020)'!H178</f>
        <v>33431.090000000004</v>
      </c>
      <c r="J15" s="70">
        <f>'BW Actual Bills (October 2020)'!H27+'BW Actual Bills (October 2020)'!H38+'BW Actual Bills (October 2020)'!H46+'BW Actual Bills (October 2020)'!H171</f>
        <v>23537.759999999998</v>
      </c>
      <c r="L15" s="70">
        <f>'Change in Unbilled(October2020)'!M12*F15</f>
        <v>145739.56038100639</v>
      </c>
      <c r="M15" s="70">
        <f>'Change in Unbilled(October2020)'!M12*G15</f>
        <v>102610.59599003928</v>
      </c>
      <c r="O15" s="70">
        <f>('F2020 Electric Forecast'!$L$25)*F15</f>
        <v>339012.86426399997</v>
      </c>
      <c r="P15" s="70">
        <f>('F2020 Electric Forecast'!$L$25)*G15</f>
        <v>238688.19117799998</v>
      </c>
      <c r="Q15" s="70">
        <f>('F2020 Electric Forecast'!$M$25)*F15</f>
        <v>391703.46195600001</v>
      </c>
      <c r="R15" s="70">
        <f>('F2020 Electric Forecast'!$M$25)*G15</f>
        <v>275785.96763699997</v>
      </c>
      <c r="T15" s="69">
        <f t="shared" ref="T15:T27" si="1">SUM(I15:R15)</f>
        <v>1550509.4914060456</v>
      </c>
    </row>
    <row r="16" spans="1:20" ht="12" customHeight="1" x14ac:dyDescent="0.25">
      <c r="A16" s="3">
        <f t="shared" si="0"/>
        <v>5</v>
      </c>
      <c r="B16" s="15" t="s">
        <v>14</v>
      </c>
      <c r="C16" s="16"/>
      <c r="D16" s="9"/>
      <c r="E16" s="19"/>
      <c r="F16" s="28"/>
      <c r="G16" s="28"/>
      <c r="I16" s="70"/>
      <c r="J16" s="70"/>
      <c r="L16" s="70"/>
      <c r="M16" s="70"/>
      <c r="O16" s="70"/>
      <c r="P16" s="70"/>
      <c r="Q16" s="70"/>
      <c r="R16" s="70"/>
      <c r="T16" s="69"/>
    </row>
    <row r="17" spans="1:20" ht="12" customHeight="1" x14ac:dyDescent="0.25">
      <c r="A17" s="3">
        <f t="shared" si="0"/>
        <v>6</v>
      </c>
      <c r="B17" s="16"/>
      <c r="C17" s="17" t="s">
        <v>11</v>
      </c>
      <c r="D17" s="14" t="s">
        <v>12</v>
      </c>
      <c r="E17" s="18">
        <f>SUM(F17:G17)</f>
        <v>-1.2100000000000001E-4</v>
      </c>
      <c r="F17" s="28">
        <v>6.2799999999999998E-4</v>
      </c>
      <c r="G17" s="28">
        <v>-7.4899999999999999E-4</v>
      </c>
      <c r="I17" s="70">
        <f>'BW Actual Bills (October 2020)'!H12+'BW Actual Bills (October 2020)'!H55+'BW Actual Bills (October 2020)'!H63+'BW Actual Bills (October 2020)'!H70+'BW Actual Bills (October 2020)'!H92+'BW Actual Bills (October 2020)'!H129+'BW Actual Bills (October 2020)'!H137</f>
        <v>16987.530000000002</v>
      </c>
      <c r="J17" s="70">
        <f>'BW Actual Bills (October 2020)'!H15+'BW Actual Bills (October 2020)'!H58+'BW Actual Bills (October 2020)'!H66+'BW Actual Bills (October 2020)'!H73+'BW Actual Bills (October 2020)'!H95+'BW Actual Bills (October 2020)'!H132+'BW Actual Bills (October 2020)'!H139</f>
        <v>-20260.610000000004</v>
      </c>
      <c r="L17" s="70">
        <f>'Change in Unbilled(October2020)'!M13*F17</f>
        <v>66968.12190847352</v>
      </c>
      <c r="M17" s="70">
        <f>'Change in Unbilled(October2020)'!M13*G17</f>
        <v>-79871.215460902342</v>
      </c>
      <c r="O17" s="70">
        <f>('F2020 Electric Forecast'!$L$26)*F17</f>
        <v>155301.29579599999</v>
      </c>
      <c r="P17" s="70">
        <f>('F2020 Electric Forecast'!$L$26)*G17</f>
        <v>-185223.99769300001</v>
      </c>
      <c r="Q17" s="70">
        <f>('F2020 Electric Forecast'!$M$26)*F17</f>
        <v>174231.35853199998</v>
      </c>
      <c r="R17" s="70">
        <f>('F2020 Electric Forecast'!$M$26)*G17</f>
        <v>-207801.41328099999</v>
      </c>
      <c r="T17" s="69">
        <f t="shared" si="1"/>
        <v>-79668.930198428861</v>
      </c>
    </row>
    <row r="18" spans="1:20" ht="12" customHeight="1" x14ac:dyDescent="0.25">
      <c r="A18" s="3">
        <f t="shared" si="0"/>
        <v>7</v>
      </c>
      <c r="B18" s="15" t="s">
        <v>22</v>
      </c>
      <c r="C18" s="16"/>
      <c r="D18" s="5"/>
      <c r="E18" s="19"/>
      <c r="F18" s="28"/>
      <c r="G18" s="28"/>
      <c r="O18" s="70"/>
      <c r="P18" s="70"/>
      <c r="Q18" s="70"/>
      <c r="R18" s="70"/>
      <c r="T18" s="69"/>
    </row>
    <row r="19" spans="1:20" ht="12" customHeight="1" x14ac:dyDescent="0.25">
      <c r="A19" s="3">
        <f t="shared" si="0"/>
        <v>8</v>
      </c>
      <c r="B19" s="16"/>
      <c r="C19" s="17" t="s">
        <v>11</v>
      </c>
      <c r="D19" s="14" t="s">
        <v>12</v>
      </c>
      <c r="E19" s="18">
        <f>SUM(F19:G19)</f>
        <v>2.101E-3</v>
      </c>
      <c r="F19" s="28">
        <v>2.1940000000000002E-3</v>
      </c>
      <c r="G19" s="28">
        <v>-9.2999999999999997E-5</v>
      </c>
      <c r="I19" s="28">
        <v>0</v>
      </c>
      <c r="J19" s="28">
        <v>0</v>
      </c>
      <c r="L19" s="28">
        <v>0</v>
      </c>
      <c r="M19" s="28">
        <v>0</v>
      </c>
      <c r="O19" s="28">
        <v>0</v>
      </c>
      <c r="P19" s="28">
        <v>0</v>
      </c>
      <c r="Q19" s="28">
        <v>0</v>
      </c>
      <c r="R19" s="28">
        <v>0</v>
      </c>
      <c r="T19" s="69">
        <f t="shared" si="1"/>
        <v>0</v>
      </c>
    </row>
    <row r="20" spans="1:20" ht="12" customHeight="1" x14ac:dyDescent="0.25">
      <c r="A20" s="3">
        <f t="shared" si="0"/>
        <v>9</v>
      </c>
      <c r="B20" s="15" t="s">
        <v>23</v>
      </c>
      <c r="C20" s="16"/>
      <c r="D20" s="5"/>
      <c r="E20" s="19"/>
      <c r="F20" s="28"/>
      <c r="G20" s="28"/>
      <c r="O20" s="70"/>
      <c r="P20" s="70"/>
      <c r="Q20" s="70"/>
      <c r="R20" s="70"/>
      <c r="T20" s="69"/>
    </row>
    <row r="21" spans="1:20" ht="12" customHeight="1" x14ac:dyDescent="0.25">
      <c r="A21" s="3">
        <f t="shared" si="0"/>
        <v>10</v>
      </c>
      <c r="B21" s="16"/>
      <c r="C21" s="17" t="s">
        <v>11</v>
      </c>
      <c r="D21" s="14" t="s">
        <v>12</v>
      </c>
      <c r="E21" s="18">
        <f>SUM(F21:G21)</f>
        <v>5.1610000000000007E-3</v>
      </c>
      <c r="F21" s="28">
        <v>2.1940000000000002E-3</v>
      </c>
      <c r="G21" s="28">
        <v>2.967E-3</v>
      </c>
      <c r="I21" s="28">
        <v>0</v>
      </c>
      <c r="J21" s="28">
        <v>0</v>
      </c>
      <c r="L21" s="70">
        <f>'Change in Unbilled(October2020)'!M15*F21</f>
        <v>27896.879454934708</v>
      </c>
      <c r="M21" s="70">
        <f>'Change in Unbilled(October2020)'!M15*G21</f>
        <v>37725.634158063476</v>
      </c>
      <c r="O21" s="70">
        <f>('F2020 Electric Forecast'!$L$28)*F21</f>
        <v>91124.742534000005</v>
      </c>
      <c r="P21" s="70">
        <f>('F2020 Electric Forecast'!$L$28)*G21</f>
        <v>123230.223837</v>
      </c>
      <c r="Q21" s="70">
        <f>('F2020 Electric Forecast'!$M$28)*F21</f>
        <v>86356.081340000004</v>
      </c>
      <c r="R21" s="70">
        <f>('F2020 Electric Forecast'!$M$28)*G21</f>
        <v>116781.44637000001</v>
      </c>
      <c r="T21" s="69">
        <f t="shared" si="1"/>
        <v>483115.00769399828</v>
      </c>
    </row>
    <row r="22" spans="1:20" ht="12" customHeight="1" x14ac:dyDescent="0.25">
      <c r="A22" s="3">
        <f t="shared" si="0"/>
        <v>11</v>
      </c>
      <c r="B22" s="20" t="s">
        <v>15</v>
      </c>
      <c r="C22" s="5"/>
      <c r="D22" s="21"/>
      <c r="E22" s="19"/>
      <c r="F22" s="28"/>
      <c r="G22" s="28"/>
      <c r="O22" s="70"/>
      <c r="P22" s="70"/>
      <c r="Q22" s="70"/>
      <c r="R22" s="70"/>
      <c r="T22" s="69"/>
    </row>
    <row r="23" spans="1:20" ht="12" customHeight="1" x14ac:dyDescent="0.25">
      <c r="A23" s="3">
        <f t="shared" si="0"/>
        <v>12</v>
      </c>
      <c r="B23" s="5"/>
      <c r="C23" s="14" t="s">
        <v>16</v>
      </c>
      <c r="D23" s="14" t="s">
        <v>17</v>
      </c>
      <c r="E23" s="23">
        <f>SUM(F23:G23)</f>
        <v>0.23</v>
      </c>
      <c r="F23" s="30">
        <v>0.23</v>
      </c>
      <c r="G23" s="30"/>
      <c r="I23" s="70">
        <f>'BW Actual Bills (October 2020)'!H22+'BW Actual Bills (October 2020)'!H80+'BW Actual Bills (October 2020)'!H87</f>
        <v>11536.73</v>
      </c>
      <c r="J23" s="70"/>
      <c r="L23" s="28">
        <v>0</v>
      </c>
      <c r="M23" s="70"/>
      <c r="O23" s="70">
        <f>('F2020 Electric Forecast'!$L$34)*F23</f>
        <v>78611.47</v>
      </c>
      <c r="P23" s="70"/>
      <c r="Q23" s="70">
        <f>('F2020 Electric Forecast'!$M$34)*F23</f>
        <v>83042.650000000009</v>
      </c>
      <c r="R23" s="70"/>
      <c r="T23" s="69">
        <f t="shared" si="1"/>
        <v>173190.85</v>
      </c>
    </row>
    <row r="24" spans="1:20" ht="12" customHeight="1" x14ac:dyDescent="0.25">
      <c r="A24" s="3">
        <f t="shared" si="0"/>
        <v>13</v>
      </c>
      <c r="B24" s="5"/>
      <c r="C24" s="14" t="s">
        <v>11</v>
      </c>
      <c r="D24" s="14" t="s">
        <v>18</v>
      </c>
      <c r="E24" s="18">
        <f>SUM(F24:G24)</f>
        <v>1.3799999999999999E-4</v>
      </c>
      <c r="F24" s="30"/>
      <c r="G24" s="28">
        <v>1.3799999999999999E-4</v>
      </c>
      <c r="I24" s="70"/>
      <c r="J24" s="70">
        <f>'BW Actual Bills (October 2020)'!H19+'BW Actual Bills (October 2020)'!H77+'BW Actual Bills (October 2020)'!H84</f>
        <v>2593.6000000000004</v>
      </c>
      <c r="L24" s="70"/>
      <c r="M24" s="70">
        <f>'Change in Unbilled(October2020)'!M16*G24</f>
        <v>8597.4804399136137</v>
      </c>
      <c r="O24" s="70"/>
      <c r="P24" s="70">
        <f>('F2020 Electric Forecast'!$L$10)*G24</f>
        <v>19131.21876</v>
      </c>
      <c r="Q24" s="70"/>
      <c r="R24" s="70">
        <f>('F2020 Electric Forecast'!$M$10)*G24</f>
        <v>20622.772025999999</v>
      </c>
      <c r="T24" s="69">
        <f t="shared" si="1"/>
        <v>50945.071225913613</v>
      </c>
    </row>
    <row r="25" spans="1:20" ht="12" customHeight="1" x14ac:dyDescent="0.25">
      <c r="A25" s="3">
        <f t="shared" si="0"/>
        <v>14</v>
      </c>
      <c r="B25" s="20" t="s">
        <v>19</v>
      </c>
      <c r="C25" s="5"/>
      <c r="D25" s="21"/>
      <c r="E25" s="19"/>
      <c r="F25" s="28"/>
      <c r="G25" s="28"/>
      <c r="I25" s="70"/>
      <c r="J25" s="70"/>
      <c r="L25" s="70"/>
      <c r="M25" s="70"/>
      <c r="O25" s="70"/>
      <c r="P25" s="70"/>
      <c r="Q25" s="70"/>
      <c r="R25" s="70"/>
      <c r="T25" s="69"/>
    </row>
    <row r="26" spans="1:20" ht="12" customHeight="1" x14ac:dyDescent="0.25">
      <c r="A26" s="3">
        <f t="shared" si="0"/>
        <v>15</v>
      </c>
      <c r="B26" s="14"/>
      <c r="C26" s="14" t="s">
        <v>16</v>
      </c>
      <c r="D26" s="14" t="s">
        <v>20</v>
      </c>
      <c r="E26" s="23">
        <f>SUM(F26:G26)</f>
        <v>0.38</v>
      </c>
      <c r="F26" s="30">
        <v>0.38</v>
      </c>
      <c r="G26" s="30"/>
      <c r="I26" s="70">
        <f>'BW Actual Bills (October 2020)'!H8+'BW Actual Bills (October 2020)'!H105+'BW Actual Bills (October 2020)'!H113</f>
        <v>11772.19</v>
      </c>
      <c r="J26" s="70"/>
      <c r="L26" s="28">
        <v>0</v>
      </c>
      <c r="M26" s="70"/>
      <c r="O26" s="70">
        <f>('F2020 Electric Forecast'!$L$35)*F26</f>
        <v>95982.680000000008</v>
      </c>
      <c r="P26" s="70"/>
      <c r="Q26" s="70">
        <f>('F2020 Electric Forecast'!$M$35)*F26</f>
        <v>101206.92</v>
      </c>
      <c r="R26" s="70"/>
      <c r="T26" s="69">
        <f t="shared" si="1"/>
        <v>208961.79</v>
      </c>
    </row>
    <row r="27" spans="1:20" ht="12" customHeight="1" x14ac:dyDescent="0.25">
      <c r="A27" s="3">
        <f t="shared" si="0"/>
        <v>16</v>
      </c>
      <c r="B27" s="14"/>
      <c r="C27" s="21" t="s">
        <v>11</v>
      </c>
      <c r="D27" s="14" t="s">
        <v>18</v>
      </c>
      <c r="E27" s="18">
        <f>SUM(F27:G27)</f>
        <v>8.2200000000000003E-4</v>
      </c>
      <c r="F27" s="30"/>
      <c r="G27" s="28">
        <v>8.2200000000000003E-4</v>
      </c>
      <c r="I27" s="70"/>
      <c r="J27" s="70">
        <f>'BW Actual Bills (October 2020)'!H4+'BW Actual Bills (October 2020)'!H101+'BW Actual Bills (October 2020)'!H109</f>
        <v>10554.869999999999</v>
      </c>
      <c r="L27" s="70"/>
      <c r="M27" s="70">
        <f>'Change in Unbilled(October2020)'!M17*G27</f>
        <v>40889.37924820638</v>
      </c>
      <c r="O27" s="70"/>
      <c r="P27" s="70">
        <f>('F2020 Electric Forecast'!$L$12)*G27</f>
        <v>82212.811692000003</v>
      </c>
      <c r="Q27" s="70"/>
      <c r="R27" s="70">
        <f>('F2020 Electric Forecast'!$M$12)*G27</f>
        <v>89677.082154000003</v>
      </c>
      <c r="T27" s="69">
        <f t="shared" si="1"/>
        <v>223334.1430942064</v>
      </c>
    </row>
    <row r="28" spans="1:20" ht="12" customHeight="1" x14ac:dyDescent="0.25">
      <c r="A28" s="3">
        <f t="shared" si="0"/>
        <v>17</v>
      </c>
      <c r="B28" s="5"/>
      <c r="C28" s="14"/>
      <c r="D28" s="14"/>
      <c r="E28" s="14"/>
      <c r="F28" s="14"/>
      <c r="G28" s="14"/>
      <c r="O28" s="40"/>
      <c r="P28" s="40"/>
      <c r="Q28" s="40"/>
      <c r="R28" s="40"/>
      <c r="T28" s="69"/>
    </row>
    <row r="29" spans="1:20" s="67" customFormat="1" ht="12" customHeight="1" thickBot="1" x14ac:dyDescent="0.3">
      <c r="A29" s="3">
        <f t="shared" si="0"/>
        <v>18</v>
      </c>
      <c r="B29" s="67" t="s">
        <v>25</v>
      </c>
      <c r="I29" s="71">
        <f>SUM(I11:I28)</f>
        <v>124842.42</v>
      </c>
      <c r="J29" s="71">
        <f>SUM(J11:J28)</f>
        <v>28882.19</v>
      </c>
      <c r="L29" s="71">
        <f>SUM(L11:L28)</f>
        <v>486348.16752397688</v>
      </c>
      <c r="M29" s="71">
        <f>SUM(M11:M28)</f>
        <v>169838.97158210445</v>
      </c>
      <c r="O29" s="71">
        <f>SUM(O11:O28)</f>
        <v>1399011.3345989999</v>
      </c>
      <c r="P29" s="71">
        <f>SUM(P11:P28)</f>
        <v>433755.84422899998</v>
      </c>
      <c r="Q29" s="71">
        <f>SUM(Q11:Q28)</f>
        <v>1584185.8154480001</v>
      </c>
      <c r="R29" s="71">
        <f>SUM(R11:R28)</f>
        <v>477265.14032600005</v>
      </c>
      <c r="T29" s="71">
        <f>SUM(T11:T28)</f>
        <v>4704129.8837080803</v>
      </c>
    </row>
    <row r="30" spans="1:20" ht="12" customHeight="1" thickTop="1" x14ac:dyDescent="0.25">
      <c r="A30" s="3">
        <f t="shared" si="0"/>
        <v>19</v>
      </c>
      <c r="I30" s="41" t="s">
        <v>127</v>
      </c>
      <c r="J30" s="41">
        <f>SUM(I29:J29)-'BW Actual Bills (October 2020)'!H186</f>
        <v>0</v>
      </c>
      <c r="L30" s="41"/>
      <c r="M30" s="41"/>
    </row>
    <row r="31" spans="1:20" ht="12" customHeight="1" x14ac:dyDescent="0.25">
      <c r="A31" s="3">
        <f t="shared" si="0"/>
        <v>20</v>
      </c>
      <c r="B31" s="2" t="s">
        <v>154</v>
      </c>
    </row>
    <row r="32" spans="1:20" ht="12" customHeight="1" x14ac:dyDescent="0.25">
      <c r="A32" s="3"/>
    </row>
    <row r="33" spans="1:1" ht="12" customHeight="1" x14ac:dyDescent="0.25">
      <c r="A33" s="3"/>
    </row>
    <row r="34" spans="1:1" ht="12" customHeight="1" x14ac:dyDescent="0.25">
      <c r="A34" s="3"/>
    </row>
    <row r="35" spans="1:1" ht="12" customHeight="1" x14ac:dyDescent="0.25">
      <c r="A35" s="3"/>
    </row>
    <row r="36" spans="1:1" ht="12" customHeight="1" x14ac:dyDescent="0.25">
      <c r="A36" s="3"/>
    </row>
  </sheetData>
  <mergeCells count="10">
    <mergeCell ref="F8:G8"/>
    <mergeCell ref="I7:J7"/>
    <mergeCell ref="O7:P7"/>
    <mergeCell ref="A4:T4"/>
    <mergeCell ref="Q7:R7"/>
    <mergeCell ref="A1:T1"/>
    <mergeCell ref="A2:T2"/>
    <mergeCell ref="A3:T3"/>
    <mergeCell ref="E7:G7"/>
    <mergeCell ref="L7:M7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  <pageSetUpPr fitToPage="1"/>
  </sheetPr>
  <dimension ref="A1"/>
  <sheetViews>
    <sheetView workbookViewId="0">
      <selection activeCell="M32" sqref="M32"/>
    </sheetView>
  </sheetViews>
  <sheetFormatPr defaultRowHeight="15" x14ac:dyDescent="0.25"/>
  <sheetData/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87"/>
  <sheetViews>
    <sheetView workbookViewId="0">
      <pane ySplit="1" topLeftCell="A12" activePane="bottomLeft" state="frozen"/>
      <selection pane="bottomLeft" activeCell="F51" sqref="F51"/>
    </sheetView>
  </sheetViews>
  <sheetFormatPr defaultRowHeight="11.25" x14ac:dyDescent="0.2"/>
  <cols>
    <col min="1" max="1" width="13.7109375" style="34" customWidth="1"/>
    <col min="2" max="2" width="20.42578125" style="34" customWidth="1"/>
    <col min="3" max="4" width="13.7109375" style="34" customWidth="1"/>
    <col min="5" max="5" width="13.140625" style="34" customWidth="1"/>
    <col min="6" max="6" width="19.7109375" style="34" bestFit="1" customWidth="1"/>
    <col min="7" max="7" width="18.85546875" style="34" customWidth="1"/>
    <col min="8" max="8" width="12.85546875" style="34" bestFit="1" customWidth="1"/>
    <col min="9" max="256" width="13.7109375" style="34" customWidth="1"/>
    <col min="257" max="16384" width="9.140625" style="34"/>
  </cols>
  <sheetData>
    <row r="1" spans="1:8" s="49" customFormat="1" ht="22.5" x14ac:dyDescent="0.2">
      <c r="A1" s="48" t="s">
        <v>126</v>
      </c>
      <c r="B1" s="48" t="s">
        <v>125</v>
      </c>
      <c r="C1" s="48" t="s">
        <v>124</v>
      </c>
      <c r="D1" s="48" t="s">
        <v>123</v>
      </c>
      <c r="E1" s="48" t="s">
        <v>122</v>
      </c>
      <c r="F1" s="48" t="s">
        <v>121</v>
      </c>
      <c r="G1" s="48" t="s">
        <v>120</v>
      </c>
      <c r="H1" s="48" t="s">
        <v>119</v>
      </c>
    </row>
    <row r="2" spans="1:8" x14ac:dyDescent="0.2">
      <c r="A2" s="239" t="s">
        <v>118</v>
      </c>
      <c r="B2" s="35" t="s">
        <v>98</v>
      </c>
      <c r="C2" s="36">
        <v>44119</v>
      </c>
      <c r="D2" s="36">
        <v>2958465</v>
      </c>
      <c r="E2" s="35"/>
      <c r="F2" s="35"/>
      <c r="G2" s="37">
        <v>28.97</v>
      </c>
      <c r="H2" s="37">
        <v>28.97</v>
      </c>
    </row>
    <row r="3" spans="1:8" hidden="1" x14ac:dyDescent="0.2">
      <c r="A3" s="239" t="s">
        <v>118</v>
      </c>
      <c r="B3" s="239" t="s">
        <v>97</v>
      </c>
      <c r="C3" s="36">
        <v>44075</v>
      </c>
      <c r="D3" s="36">
        <v>44118</v>
      </c>
      <c r="E3" s="37">
        <v>1224.3</v>
      </c>
      <c r="F3" s="35"/>
      <c r="G3" s="35"/>
      <c r="H3" s="37">
        <v>1224.3</v>
      </c>
    </row>
    <row r="4" spans="1:8" x14ac:dyDescent="0.2">
      <c r="A4" s="239" t="s">
        <v>118</v>
      </c>
      <c r="B4" s="239" t="s">
        <v>97</v>
      </c>
      <c r="C4" s="47">
        <v>44119</v>
      </c>
      <c r="D4" s="47">
        <v>2958465</v>
      </c>
      <c r="E4" s="39">
        <v>68.819999999999993</v>
      </c>
      <c r="F4" s="38"/>
      <c r="G4" s="38"/>
      <c r="H4" s="39">
        <v>68.819999999999993</v>
      </c>
    </row>
    <row r="5" spans="1:8" x14ac:dyDescent="0.2">
      <c r="A5" s="239" t="s">
        <v>118</v>
      </c>
      <c r="B5" s="35" t="s">
        <v>96</v>
      </c>
      <c r="C5" s="36">
        <v>44119</v>
      </c>
      <c r="D5" s="36">
        <v>2958465</v>
      </c>
      <c r="E5" s="35"/>
      <c r="F5" s="35"/>
      <c r="G5" s="37">
        <v>50.54</v>
      </c>
      <c r="H5" s="37">
        <v>50.54</v>
      </c>
    </row>
    <row r="6" spans="1:8" hidden="1" x14ac:dyDescent="0.2">
      <c r="A6" s="239" t="s">
        <v>118</v>
      </c>
      <c r="B6" s="239" t="s">
        <v>94</v>
      </c>
      <c r="C6" s="36">
        <v>43952</v>
      </c>
      <c r="D6" s="36">
        <v>44074</v>
      </c>
      <c r="E6" s="35"/>
      <c r="F6" s="37">
        <v>1139.72</v>
      </c>
      <c r="G6" s="35"/>
      <c r="H6" s="37">
        <v>1139.72</v>
      </c>
    </row>
    <row r="7" spans="1:8" hidden="1" x14ac:dyDescent="0.2">
      <c r="A7" s="239" t="s">
        <v>118</v>
      </c>
      <c r="B7" s="239" t="s">
        <v>94</v>
      </c>
      <c r="C7" s="36">
        <v>44075</v>
      </c>
      <c r="D7" s="36">
        <v>44118</v>
      </c>
      <c r="E7" s="35"/>
      <c r="F7" s="37">
        <v>440.67</v>
      </c>
      <c r="G7" s="35"/>
      <c r="H7" s="37">
        <v>440.67</v>
      </c>
    </row>
    <row r="8" spans="1:8" x14ac:dyDescent="0.2">
      <c r="A8" s="239" t="s">
        <v>118</v>
      </c>
      <c r="B8" s="239" t="s">
        <v>94</v>
      </c>
      <c r="C8" s="47">
        <v>44119</v>
      </c>
      <c r="D8" s="47">
        <v>2958465</v>
      </c>
      <c r="E8" s="38"/>
      <c r="F8" s="39">
        <v>91.46</v>
      </c>
      <c r="G8" s="38"/>
      <c r="H8" s="39">
        <v>91.46</v>
      </c>
    </row>
    <row r="9" spans="1:8" x14ac:dyDescent="0.2">
      <c r="A9" s="239" t="s">
        <v>117</v>
      </c>
      <c r="B9" s="35" t="s">
        <v>82</v>
      </c>
      <c r="C9" s="36">
        <v>44119</v>
      </c>
      <c r="D9" s="36">
        <v>2958465</v>
      </c>
      <c r="E9" s="35"/>
      <c r="F9" s="35"/>
      <c r="G9" s="37">
        <v>-51.61</v>
      </c>
      <c r="H9" s="37">
        <v>-51.61</v>
      </c>
    </row>
    <row r="10" spans="1:8" hidden="1" x14ac:dyDescent="0.2">
      <c r="A10" s="239" t="s">
        <v>117</v>
      </c>
      <c r="B10" s="239" t="s">
        <v>81</v>
      </c>
      <c r="C10" s="36">
        <v>43952</v>
      </c>
      <c r="D10" s="36">
        <v>44074</v>
      </c>
      <c r="E10" s="35"/>
      <c r="F10" s="37">
        <v>142.56</v>
      </c>
      <c r="G10" s="35"/>
      <c r="H10" s="37">
        <v>142.56</v>
      </c>
    </row>
    <row r="11" spans="1:8" hidden="1" x14ac:dyDescent="0.2">
      <c r="A11" s="239" t="s">
        <v>117</v>
      </c>
      <c r="B11" s="239" t="s">
        <v>81</v>
      </c>
      <c r="C11" s="36">
        <v>44075</v>
      </c>
      <c r="D11" s="36">
        <v>44118</v>
      </c>
      <c r="E11" s="35"/>
      <c r="F11" s="37">
        <v>5714.53</v>
      </c>
      <c r="G11" s="35"/>
      <c r="H11" s="37">
        <v>5714.53</v>
      </c>
    </row>
    <row r="12" spans="1:8" x14ac:dyDescent="0.2">
      <c r="A12" s="239" t="s">
        <v>117</v>
      </c>
      <c r="B12" s="239" t="s">
        <v>81</v>
      </c>
      <c r="C12" s="47">
        <v>44119</v>
      </c>
      <c r="D12" s="47">
        <v>2958465</v>
      </c>
      <c r="E12" s="38"/>
      <c r="F12" s="39">
        <v>531.32000000000005</v>
      </c>
      <c r="G12" s="38"/>
      <c r="H12" s="39">
        <v>531.32000000000005</v>
      </c>
    </row>
    <row r="13" spans="1:8" hidden="1" x14ac:dyDescent="0.2">
      <c r="A13" s="239" t="s">
        <v>117</v>
      </c>
      <c r="B13" s="239" t="s">
        <v>79</v>
      </c>
      <c r="C13" s="36">
        <v>43952</v>
      </c>
      <c r="D13" s="36">
        <v>44074</v>
      </c>
      <c r="E13" s="37">
        <v>-170.02</v>
      </c>
      <c r="F13" s="35"/>
      <c r="G13" s="35"/>
      <c r="H13" s="37">
        <v>-170.02</v>
      </c>
    </row>
    <row r="14" spans="1:8" hidden="1" x14ac:dyDescent="0.2">
      <c r="A14" s="239" t="s">
        <v>117</v>
      </c>
      <c r="B14" s="239" t="s">
        <v>79</v>
      </c>
      <c r="C14" s="36">
        <v>44075</v>
      </c>
      <c r="D14" s="36">
        <v>44118</v>
      </c>
      <c r="E14" s="37">
        <v>-6815.57</v>
      </c>
      <c r="F14" s="35"/>
      <c r="G14" s="35"/>
      <c r="H14" s="37">
        <v>-6815.57</v>
      </c>
    </row>
    <row r="15" spans="1:8" x14ac:dyDescent="0.2">
      <c r="A15" s="239" t="s">
        <v>117</v>
      </c>
      <c r="B15" s="239" t="s">
        <v>79</v>
      </c>
      <c r="C15" s="47">
        <v>44119</v>
      </c>
      <c r="D15" s="47">
        <v>2958465</v>
      </c>
      <c r="E15" s="39">
        <v>-633.70000000000005</v>
      </c>
      <c r="F15" s="38"/>
      <c r="G15" s="38"/>
      <c r="H15" s="39">
        <v>-633.70000000000005</v>
      </c>
    </row>
    <row r="16" spans="1:8" x14ac:dyDescent="0.2">
      <c r="A16" s="239" t="s">
        <v>116</v>
      </c>
      <c r="B16" s="35" t="s">
        <v>108</v>
      </c>
      <c r="C16" s="36">
        <v>44119</v>
      </c>
      <c r="D16" s="36">
        <v>2958465</v>
      </c>
      <c r="E16" s="35"/>
      <c r="F16" s="35"/>
      <c r="G16" s="37">
        <v>5.4</v>
      </c>
      <c r="H16" s="37">
        <v>5.4</v>
      </c>
    </row>
    <row r="17" spans="1:8" hidden="1" x14ac:dyDescent="0.2">
      <c r="A17" s="239" t="s">
        <v>116</v>
      </c>
      <c r="B17" s="239" t="s">
        <v>107</v>
      </c>
      <c r="C17" s="36">
        <v>43952</v>
      </c>
      <c r="D17" s="36">
        <v>44074</v>
      </c>
      <c r="E17" s="37">
        <v>4.5599999999999996</v>
      </c>
      <c r="F17" s="35"/>
      <c r="G17" s="35"/>
      <c r="H17" s="37">
        <v>4.5599999999999996</v>
      </c>
    </row>
    <row r="18" spans="1:8" hidden="1" x14ac:dyDescent="0.2">
      <c r="A18" s="239" t="s">
        <v>116</v>
      </c>
      <c r="B18" s="239" t="s">
        <v>107</v>
      </c>
      <c r="C18" s="36">
        <v>44075</v>
      </c>
      <c r="D18" s="36">
        <v>44118</v>
      </c>
      <c r="E18" s="37">
        <v>149.36000000000001</v>
      </c>
      <c r="F18" s="35"/>
      <c r="G18" s="35"/>
      <c r="H18" s="37">
        <v>149.36000000000001</v>
      </c>
    </row>
    <row r="19" spans="1:8" x14ac:dyDescent="0.2">
      <c r="A19" s="239" t="s">
        <v>116</v>
      </c>
      <c r="B19" s="239" t="s">
        <v>107</v>
      </c>
      <c r="C19" s="47">
        <v>44119</v>
      </c>
      <c r="D19" s="47">
        <v>2958465</v>
      </c>
      <c r="E19" s="39">
        <v>13.32</v>
      </c>
      <c r="F19" s="38"/>
      <c r="G19" s="38"/>
      <c r="H19" s="39">
        <v>13.32</v>
      </c>
    </row>
    <row r="20" spans="1:8" x14ac:dyDescent="0.2">
      <c r="A20" s="239" t="s">
        <v>116</v>
      </c>
      <c r="B20" s="35" t="s">
        <v>106</v>
      </c>
      <c r="C20" s="36">
        <v>44119</v>
      </c>
      <c r="D20" s="36">
        <v>2958465</v>
      </c>
      <c r="E20" s="35"/>
      <c r="F20" s="35"/>
      <c r="G20" s="37">
        <v>23.52</v>
      </c>
      <c r="H20" s="37">
        <v>23.52</v>
      </c>
    </row>
    <row r="21" spans="1:8" hidden="1" x14ac:dyDescent="0.2">
      <c r="A21" s="239" t="s">
        <v>116</v>
      </c>
      <c r="B21" s="239" t="s">
        <v>104</v>
      </c>
      <c r="C21" s="36">
        <v>44075</v>
      </c>
      <c r="D21" s="36">
        <v>44118</v>
      </c>
      <c r="E21" s="35"/>
      <c r="F21" s="37">
        <v>1019.8</v>
      </c>
      <c r="G21" s="35"/>
      <c r="H21" s="37">
        <v>1019.8</v>
      </c>
    </row>
    <row r="22" spans="1:8" x14ac:dyDescent="0.2">
      <c r="A22" s="239" t="s">
        <v>116</v>
      </c>
      <c r="B22" s="239" t="s">
        <v>104</v>
      </c>
      <c r="C22" s="47">
        <v>44119</v>
      </c>
      <c r="D22" s="47">
        <v>2958465</v>
      </c>
      <c r="E22" s="38"/>
      <c r="F22" s="39">
        <v>54.09</v>
      </c>
      <c r="G22" s="38"/>
      <c r="H22" s="39">
        <v>54.09</v>
      </c>
    </row>
    <row r="23" spans="1:8" hidden="1" x14ac:dyDescent="0.2">
      <c r="A23" s="239" t="s">
        <v>115</v>
      </c>
      <c r="B23" s="35" t="s">
        <v>63</v>
      </c>
      <c r="C23" s="36">
        <v>43221</v>
      </c>
      <c r="D23" s="36">
        <v>43524</v>
      </c>
      <c r="E23" s="37">
        <v>0.23</v>
      </c>
      <c r="F23" s="35"/>
      <c r="G23" s="35"/>
      <c r="H23" s="37">
        <v>0.23</v>
      </c>
    </row>
    <row r="24" spans="1:8" hidden="1" x14ac:dyDescent="0.2">
      <c r="A24" s="239" t="s">
        <v>115</v>
      </c>
      <c r="B24" s="35" t="s">
        <v>60</v>
      </c>
      <c r="C24" s="36">
        <v>43586</v>
      </c>
      <c r="D24" s="36">
        <v>43951</v>
      </c>
      <c r="E24" s="37">
        <v>-22.25</v>
      </c>
      <c r="F24" s="35"/>
      <c r="G24" s="35"/>
      <c r="H24" s="37">
        <v>-22.25</v>
      </c>
    </row>
    <row r="25" spans="1:8" hidden="1" x14ac:dyDescent="0.2">
      <c r="A25" s="239" t="s">
        <v>115</v>
      </c>
      <c r="B25" s="239" t="s">
        <v>58</v>
      </c>
      <c r="C25" s="36">
        <v>43952</v>
      </c>
      <c r="D25" s="36">
        <v>44074</v>
      </c>
      <c r="E25" s="37">
        <v>3711.86</v>
      </c>
      <c r="F25" s="35"/>
      <c r="G25" s="35"/>
      <c r="H25" s="37">
        <v>3711.86</v>
      </c>
    </row>
    <row r="26" spans="1:8" hidden="1" x14ac:dyDescent="0.2">
      <c r="A26" s="239" t="s">
        <v>115</v>
      </c>
      <c r="B26" s="239" t="s">
        <v>58</v>
      </c>
      <c r="C26" s="36">
        <v>44075</v>
      </c>
      <c r="D26" s="36">
        <v>44118</v>
      </c>
      <c r="E26" s="37">
        <v>160574.20000000001</v>
      </c>
      <c r="F26" s="35"/>
      <c r="G26" s="35"/>
      <c r="H26" s="37">
        <v>160574.20000000001</v>
      </c>
    </row>
    <row r="27" spans="1:8" x14ac:dyDescent="0.2">
      <c r="A27" s="239" t="s">
        <v>115</v>
      </c>
      <c r="B27" s="239" t="s">
        <v>58</v>
      </c>
      <c r="C27" s="47">
        <v>44119</v>
      </c>
      <c r="D27" s="47">
        <v>2958465</v>
      </c>
      <c r="E27" s="39">
        <v>20695.84</v>
      </c>
      <c r="F27" s="38"/>
      <c r="G27" s="38"/>
      <c r="H27" s="39">
        <v>20695.84</v>
      </c>
    </row>
    <row r="28" spans="1:8" x14ac:dyDescent="0.2">
      <c r="A28" s="239" t="s">
        <v>115</v>
      </c>
      <c r="B28" s="35" t="s">
        <v>57</v>
      </c>
      <c r="C28" s="36">
        <v>44119</v>
      </c>
      <c r="D28" s="36">
        <v>2958465</v>
      </c>
      <c r="E28" s="35"/>
      <c r="F28" s="35"/>
      <c r="G28" s="37">
        <v>23164.69</v>
      </c>
      <c r="H28" s="37">
        <v>23164.69</v>
      </c>
    </row>
    <row r="29" spans="1:8" hidden="1" x14ac:dyDescent="0.2">
      <c r="A29" s="239" t="s">
        <v>115</v>
      </c>
      <c r="B29" s="35" t="s">
        <v>56</v>
      </c>
      <c r="C29" s="36">
        <v>43221</v>
      </c>
      <c r="D29" s="36">
        <v>43524</v>
      </c>
      <c r="E29" s="35"/>
      <c r="F29" s="37">
        <v>-4.8099999999999996</v>
      </c>
      <c r="G29" s="35"/>
      <c r="H29" s="37">
        <v>-4.8099999999999996</v>
      </c>
    </row>
    <row r="30" spans="1:8" hidden="1" x14ac:dyDescent="0.2">
      <c r="A30" s="239" t="s">
        <v>115</v>
      </c>
      <c r="B30" s="35" t="s">
        <v>55</v>
      </c>
      <c r="C30" s="36">
        <v>43088</v>
      </c>
      <c r="D30" s="36">
        <v>43220</v>
      </c>
      <c r="E30" s="35"/>
      <c r="F30" s="37">
        <v>-0.55000000000000004</v>
      </c>
      <c r="G30" s="35"/>
      <c r="H30" s="37">
        <v>-0.55000000000000004</v>
      </c>
    </row>
    <row r="31" spans="1:8" hidden="1" x14ac:dyDescent="0.2">
      <c r="A31" s="239" t="s">
        <v>115</v>
      </c>
      <c r="B31" s="239" t="s">
        <v>53</v>
      </c>
      <c r="C31" s="36">
        <v>43952</v>
      </c>
      <c r="D31" s="36">
        <v>44074</v>
      </c>
      <c r="E31" s="35"/>
      <c r="F31" s="37">
        <v>5272.02</v>
      </c>
      <c r="G31" s="35"/>
      <c r="H31" s="37">
        <v>5272.02</v>
      </c>
    </row>
    <row r="32" spans="1:8" hidden="1" x14ac:dyDescent="0.2">
      <c r="A32" s="239" t="s">
        <v>115</v>
      </c>
      <c r="B32" s="239" t="s">
        <v>53</v>
      </c>
      <c r="C32" s="36">
        <v>44075</v>
      </c>
      <c r="D32" s="36">
        <v>44118</v>
      </c>
      <c r="E32" s="35"/>
      <c r="F32" s="37">
        <v>228066.24</v>
      </c>
      <c r="G32" s="35"/>
      <c r="H32" s="37">
        <v>228066.24</v>
      </c>
    </row>
    <row r="33" spans="1:8" x14ac:dyDescent="0.2">
      <c r="A33" s="239" t="s">
        <v>115</v>
      </c>
      <c r="B33" s="239" t="s">
        <v>53</v>
      </c>
      <c r="C33" s="47">
        <v>44119</v>
      </c>
      <c r="D33" s="47">
        <v>2958465</v>
      </c>
      <c r="E33" s="38"/>
      <c r="F33" s="39">
        <v>29394.66</v>
      </c>
      <c r="G33" s="38"/>
      <c r="H33" s="39">
        <v>29394.66</v>
      </c>
    </row>
    <row r="34" spans="1:8" hidden="1" x14ac:dyDescent="0.2">
      <c r="A34" s="239" t="s">
        <v>115</v>
      </c>
      <c r="B34" s="35" t="s">
        <v>52</v>
      </c>
      <c r="C34" s="36">
        <v>43586</v>
      </c>
      <c r="D34" s="36">
        <v>43951</v>
      </c>
      <c r="E34" s="35"/>
      <c r="F34" s="37">
        <v>-52.29</v>
      </c>
      <c r="G34" s="35"/>
      <c r="H34" s="37">
        <v>-52.29</v>
      </c>
    </row>
    <row r="35" spans="1:8" hidden="1" x14ac:dyDescent="0.2">
      <c r="A35" s="239" t="s">
        <v>114</v>
      </c>
      <c r="B35" s="35" t="s">
        <v>60</v>
      </c>
      <c r="C35" s="36">
        <v>43586</v>
      </c>
      <c r="D35" s="36">
        <v>43951</v>
      </c>
      <c r="E35" s="37">
        <v>10.57</v>
      </c>
      <c r="F35" s="35"/>
      <c r="G35" s="35"/>
      <c r="H35" s="37">
        <v>10.57</v>
      </c>
    </row>
    <row r="36" spans="1:8" hidden="1" x14ac:dyDescent="0.2">
      <c r="A36" s="239" t="s">
        <v>114</v>
      </c>
      <c r="B36" s="239" t="s">
        <v>58</v>
      </c>
      <c r="C36" s="36">
        <v>43952</v>
      </c>
      <c r="D36" s="36">
        <v>44074</v>
      </c>
      <c r="E36" s="37">
        <v>82.23</v>
      </c>
      <c r="F36" s="35"/>
      <c r="G36" s="35"/>
      <c r="H36" s="37">
        <v>82.23</v>
      </c>
    </row>
    <row r="37" spans="1:8" hidden="1" x14ac:dyDescent="0.2">
      <c r="A37" s="239" t="s">
        <v>114</v>
      </c>
      <c r="B37" s="239" t="s">
        <v>58</v>
      </c>
      <c r="C37" s="36">
        <v>44075</v>
      </c>
      <c r="D37" s="36">
        <v>44118</v>
      </c>
      <c r="E37" s="37">
        <v>5693.65</v>
      </c>
      <c r="F37" s="35"/>
      <c r="G37" s="35"/>
      <c r="H37" s="37">
        <v>5693.65</v>
      </c>
    </row>
    <row r="38" spans="1:8" x14ac:dyDescent="0.2">
      <c r="A38" s="239" t="s">
        <v>114</v>
      </c>
      <c r="B38" s="239" t="s">
        <v>58</v>
      </c>
      <c r="C38" s="47">
        <v>44119</v>
      </c>
      <c r="D38" s="47">
        <v>2958465</v>
      </c>
      <c r="E38" s="39">
        <v>720.67</v>
      </c>
      <c r="F38" s="38"/>
      <c r="G38" s="38"/>
      <c r="H38" s="39">
        <v>720.67</v>
      </c>
    </row>
    <row r="39" spans="1:8" x14ac:dyDescent="0.2">
      <c r="A39" s="239" t="s">
        <v>114</v>
      </c>
      <c r="B39" s="35" t="s">
        <v>57</v>
      </c>
      <c r="C39" s="36">
        <v>44119</v>
      </c>
      <c r="D39" s="36">
        <v>2958465</v>
      </c>
      <c r="E39" s="35"/>
      <c r="F39" s="35"/>
      <c r="G39" s="37">
        <v>806.64</v>
      </c>
      <c r="H39" s="37">
        <v>806.64</v>
      </c>
    </row>
    <row r="40" spans="1:8" hidden="1" x14ac:dyDescent="0.2">
      <c r="A40" s="239" t="s">
        <v>114</v>
      </c>
      <c r="B40" s="239" t="s">
        <v>53</v>
      </c>
      <c r="C40" s="36">
        <v>43952</v>
      </c>
      <c r="D40" s="36">
        <v>44074</v>
      </c>
      <c r="E40" s="35"/>
      <c r="F40" s="37">
        <v>116.79</v>
      </c>
      <c r="G40" s="35"/>
      <c r="H40" s="37">
        <v>116.79</v>
      </c>
    </row>
    <row r="41" spans="1:8" hidden="1" x14ac:dyDescent="0.2">
      <c r="A41" s="239" t="s">
        <v>114</v>
      </c>
      <c r="B41" s="239" t="s">
        <v>53</v>
      </c>
      <c r="C41" s="36">
        <v>44075</v>
      </c>
      <c r="D41" s="36">
        <v>44118</v>
      </c>
      <c r="E41" s="35"/>
      <c r="F41" s="37">
        <v>8086.78</v>
      </c>
      <c r="G41" s="35"/>
      <c r="H41" s="37">
        <v>8086.78</v>
      </c>
    </row>
    <row r="42" spans="1:8" x14ac:dyDescent="0.2">
      <c r="A42" s="239" t="s">
        <v>114</v>
      </c>
      <c r="B42" s="239" t="s">
        <v>53</v>
      </c>
      <c r="C42" s="47">
        <v>44119</v>
      </c>
      <c r="D42" s="47">
        <v>2958465</v>
      </c>
      <c r="E42" s="38"/>
      <c r="F42" s="39">
        <v>1023.58</v>
      </c>
      <c r="G42" s="38"/>
      <c r="H42" s="39">
        <v>1023.58</v>
      </c>
    </row>
    <row r="43" spans="1:8" hidden="1" x14ac:dyDescent="0.2">
      <c r="A43" s="239" t="s">
        <v>114</v>
      </c>
      <c r="B43" s="35" t="s">
        <v>52</v>
      </c>
      <c r="C43" s="36">
        <v>43586</v>
      </c>
      <c r="D43" s="36">
        <v>43951</v>
      </c>
      <c r="E43" s="35"/>
      <c r="F43" s="37">
        <v>24.84</v>
      </c>
      <c r="G43" s="35"/>
      <c r="H43" s="37">
        <v>24.84</v>
      </c>
    </row>
    <row r="44" spans="1:8" hidden="1" x14ac:dyDescent="0.2">
      <c r="A44" s="239" t="s">
        <v>113</v>
      </c>
      <c r="B44" s="239" t="s">
        <v>58</v>
      </c>
      <c r="C44" s="36">
        <v>43952</v>
      </c>
      <c r="D44" s="36">
        <v>44074</v>
      </c>
      <c r="E44" s="37">
        <v>28.91</v>
      </c>
      <c r="F44" s="35"/>
      <c r="G44" s="35"/>
      <c r="H44" s="37">
        <v>28.91</v>
      </c>
    </row>
    <row r="45" spans="1:8" hidden="1" x14ac:dyDescent="0.2">
      <c r="A45" s="239" t="s">
        <v>113</v>
      </c>
      <c r="B45" s="239" t="s">
        <v>58</v>
      </c>
      <c r="C45" s="36">
        <v>44075</v>
      </c>
      <c r="D45" s="36">
        <v>44118</v>
      </c>
      <c r="E45" s="37">
        <v>819.33</v>
      </c>
      <c r="F45" s="35"/>
      <c r="G45" s="35"/>
      <c r="H45" s="37">
        <v>819.33</v>
      </c>
    </row>
    <row r="46" spans="1:8" x14ac:dyDescent="0.2">
      <c r="A46" s="239" t="s">
        <v>113</v>
      </c>
      <c r="B46" s="239" t="s">
        <v>58</v>
      </c>
      <c r="C46" s="47">
        <v>44119</v>
      </c>
      <c r="D46" s="47">
        <v>2958465</v>
      </c>
      <c r="E46" s="39">
        <v>105.34</v>
      </c>
      <c r="F46" s="38"/>
      <c r="G46" s="38"/>
      <c r="H46" s="39">
        <v>105.34</v>
      </c>
    </row>
    <row r="47" spans="1:8" x14ac:dyDescent="0.2">
      <c r="A47" s="239" t="s">
        <v>113</v>
      </c>
      <c r="B47" s="35" t="s">
        <v>57</v>
      </c>
      <c r="C47" s="36">
        <v>44119</v>
      </c>
      <c r="D47" s="36">
        <v>2958465</v>
      </c>
      <c r="E47" s="35"/>
      <c r="F47" s="35"/>
      <c r="G47" s="37">
        <v>117.91</v>
      </c>
      <c r="H47" s="37">
        <v>117.91</v>
      </c>
    </row>
    <row r="48" spans="1:8" hidden="1" x14ac:dyDescent="0.2">
      <c r="A48" s="239" t="s">
        <v>113</v>
      </c>
      <c r="B48" s="239" t="s">
        <v>53</v>
      </c>
      <c r="C48" s="36">
        <v>43952</v>
      </c>
      <c r="D48" s="36">
        <v>44074</v>
      </c>
      <c r="E48" s="35"/>
      <c r="F48" s="37">
        <v>41.05</v>
      </c>
      <c r="G48" s="35"/>
      <c r="H48" s="37">
        <v>41.05</v>
      </c>
    </row>
    <row r="49" spans="1:8" hidden="1" x14ac:dyDescent="0.2">
      <c r="A49" s="239" t="s">
        <v>113</v>
      </c>
      <c r="B49" s="239" t="s">
        <v>53</v>
      </c>
      <c r="C49" s="36">
        <v>44075</v>
      </c>
      <c r="D49" s="36">
        <v>44118</v>
      </c>
      <c r="E49" s="35"/>
      <c r="F49" s="37">
        <v>1163.72</v>
      </c>
      <c r="G49" s="35"/>
      <c r="H49" s="37">
        <v>1163.72</v>
      </c>
    </row>
    <row r="50" spans="1:8" x14ac:dyDescent="0.2">
      <c r="A50" s="239" t="s">
        <v>113</v>
      </c>
      <c r="B50" s="239" t="s">
        <v>53</v>
      </c>
      <c r="C50" s="47">
        <v>44119</v>
      </c>
      <c r="D50" s="47">
        <v>2958465</v>
      </c>
      <c r="E50" s="38"/>
      <c r="F50" s="39">
        <v>149.62</v>
      </c>
      <c r="G50" s="38"/>
      <c r="H50" s="39">
        <v>149.62</v>
      </c>
    </row>
    <row r="51" spans="1:8" x14ac:dyDescent="0.2">
      <c r="A51" s="239" t="s">
        <v>112</v>
      </c>
      <c r="B51" s="35" t="s">
        <v>82</v>
      </c>
      <c r="C51" s="36">
        <v>44119</v>
      </c>
      <c r="D51" s="36">
        <v>2958465</v>
      </c>
      <c r="E51" s="35"/>
      <c r="F51" s="35"/>
      <c r="G51" s="37">
        <v>-1477.7</v>
      </c>
      <c r="H51" s="37">
        <v>-1477.7</v>
      </c>
    </row>
    <row r="52" spans="1:8" hidden="1" x14ac:dyDescent="0.2">
      <c r="A52" s="239" t="s">
        <v>112</v>
      </c>
      <c r="B52" s="35" t="s">
        <v>103</v>
      </c>
      <c r="C52" s="36">
        <v>43586</v>
      </c>
      <c r="D52" s="36">
        <v>43951</v>
      </c>
      <c r="E52" s="35"/>
      <c r="F52" s="37">
        <v>-369.17</v>
      </c>
      <c r="G52" s="35"/>
      <c r="H52" s="37">
        <v>-369.17</v>
      </c>
    </row>
    <row r="53" spans="1:8" hidden="1" x14ac:dyDescent="0.2">
      <c r="A53" s="239" t="s">
        <v>112</v>
      </c>
      <c r="B53" s="239" t="s">
        <v>81</v>
      </c>
      <c r="C53" s="36">
        <v>43952</v>
      </c>
      <c r="D53" s="36">
        <v>44074</v>
      </c>
      <c r="E53" s="35"/>
      <c r="F53" s="37">
        <v>2405.1</v>
      </c>
      <c r="G53" s="35"/>
      <c r="H53" s="37">
        <v>2405.1</v>
      </c>
    </row>
    <row r="54" spans="1:8" hidden="1" x14ac:dyDescent="0.2">
      <c r="A54" s="239" t="s">
        <v>112</v>
      </c>
      <c r="B54" s="239" t="s">
        <v>81</v>
      </c>
      <c r="C54" s="36">
        <v>44075</v>
      </c>
      <c r="D54" s="36">
        <v>44118</v>
      </c>
      <c r="E54" s="35"/>
      <c r="F54" s="37">
        <v>107585.82</v>
      </c>
      <c r="G54" s="35"/>
      <c r="H54" s="37">
        <v>107585.82</v>
      </c>
    </row>
    <row r="55" spans="1:8" x14ac:dyDescent="0.2">
      <c r="A55" s="239" t="s">
        <v>112</v>
      </c>
      <c r="B55" s="239" t="s">
        <v>81</v>
      </c>
      <c r="C55" s="47">
        <v>44119</v>
      </c>
      <c r="D55" s="47">
        <v>2958465</v>
      </c>
      <c r="E55" s="38"/>
      <c r="F55" s="39">
        <v>15213.15</v>
      </c>
      <c r="G55" s="38"/>
      <c r="H55" s="39">
        <v>15213.15</v>
      </c>
    </row>
    <row r="56" spans="1:8" hidden="1" x14ac:dyDescent="0.2">
      <c r="A56" s="239" t="s">
        <v>112</v>
      </c>
      <c r="B56" s="239" t="s">
        <v>79</v>
      </c>
      <c r="C56" s="36">
        <v>43952</v>
      </c>
      <c r="D56" s="36">
        <v>44074</v>
      </c>
      <c r="E56" s="37">
        <v>-2868.51</v>
      </c>
      <c r="F56" s="35"/>
      <c r="G56" s="35"/>
      <c r="H56" s="37">
        <v>-2868.51</v>
      </c>
    </row>
    <row r="57" spans="1:8" hidden="1" x14ac:dyDescent="0.2">
      <c r="A57" s="239" t="s">
        <v>112</v>
      </c>
      <c r="B57" s="239" t="s">
        <v>79</v>
      </c>
      <c r="C57" s="36">
        <v>44075</v>
      </c>
      <c r="D57" s="36">
        <v>44118</v>
      </c>
      <c r="E57" s="37">
        <v>-128314.94</v>
      </c>
      <c r="F57" s="35"/>
      <c r="G57" s="35"/>
      <c r="H57" s="37">
        <v>-128314.94</v>
      </c>
    </row>
    <row r="58" spans="1:8" x14ac:dyDescent="0.2">
      <c r="A58" s="239" t="s">
        <v>112</v>
      </c>
      <c r="B58" s="239" t="s">
        <v>79</v>
      </c>
      <c r="C58" s="47">
        <v>44119</v>
      </c>
      <c r="D58" s="47">
        <v>2958465</v>
      </c>
      <c r="E58" s="39">
        <v>-18144.34</v>
      </c>
      <c r="F58" s="38"/>
      <c r="G58" s="38"/>
      <c r="H58" s="39">
        <v>-18144.34</v>
      </c>
    </row>
    <row r="59" spans="1:8" hidden="1" x14ac:dyDescent="0.2">
      <c r="A59" s="239" t="s">
        <v>112</v>
      </c>
      <c r="B59" s="35" t="s">
        <v>101</v>
      </c>
      <c r="C59" s="36">
        <v>43586</v>
      </c>
      <c r="D59" s="36">
        <v>43951</v>
      </c>
      <c r="E59" s="37">
        <v>871.34</v>
      </c>
      <c r="F59" s="35"/>
      <c r="G59" s="35"/>
      <c r="H59" s="37">
        <v>871.34</v>
      </c>
    </row>
    <row r="60" spans="1:8" x14ac:dyDescent="0.2">
      <c r="A60" s="239" t="s">
        <v>111</v>
      </c>
      <c r="B60" s="35" t="s">
        <v>82</v>
      </c>
      <c r="C60" s="36">
        <v>44119</v>
      </c>
      <c r="D60" s="36">
        <v>2958465</v>
      </c>
      <c r="E60" s="35"/>
      <c r="F60" s="35"/>
      <c r="G60" s="37">
        <v>-102.45</v>
      </c>
      <c r="H60" s="37">
        <v>-102.45</v>
      </c>
    </row>
    <row r="61" spans="1:8" hidden="1" x14ac:dyDescent="0.2">
      <c r="A61" s="239" t="s">
        <v>111</v>
      </c>
      <c r="B61" s="239" t="s">
        <v>81</v>
      </c>
      <c r="C61" s="36">
        <v>43952</v>
      </c>
      <c r="D61" s="36">
        <v>44074</v>
      </c>
      <c r="E61" s="35"/>
      <c r="F61" s="37">
        <v>123.71</v>
      </c>
      <c r="G61" s="35"/>
      <c r="H61" s="37">
        <v>123.71</v>
      </c>
    </row>
    <row r="62" spans="1:8" hidden="1" x14ac:dyDescent="0.2">
      <c r="A62" s="239" t="s">
        <v>111</v>
      </c>
      <c r="B62" s="239" t="s">
        <v>81</v>
      </c>
      <c r="C62" s="36">
        <v>44075</v>
      </c>
      <c r="D62" s="36">
        <v>44118</v>
      </c>
      <c r="E62" s="35"/>
      <c r="F62" s="37">
        <v>6876.5</v>
      </c>
      <c r="G62" s="35"/>
      <c r="H62" s="37">
        <v>6876.5</v>
      </c>
    </row>
    <row r="63" spans="1:8" x14ac:dyDescent="0.2">
      <c r="A63" s="239" t="s">
        <v>111</v>
      </c>
      <c r="B63" s="239" t="s">
        <v>81</v>
      </c>
      <c r="C63" s="47">
        <v>44119</v>
      </c>
      <c r="D63" s="47">
        <v>2958465</v>
      </c>
      <c r="E63" s="38"/>
      <c r="F63" s="39">
        <v>1054.71</v>
      </c>
      <c r="G63" s="38"/>
      <c r="H63" s="39">
        <v>1054.71</v>
      </c>
    </row>
    <row r="64" spans="1:8" hidden="1" x14ac:dyDescent="0.2">
      <c r="A64" s="239" t="s">
        <v>111</v>
      </c>
      <c r="B64" s="239" t="s">
        <v>79</v>
      </c>
      <c r="C64" s="36">
        <v>43952</v>
      </c>
      <c r="D64" s="36">
        <v>44074</v>
      </c>
      <c r="E64" s="37">
        <v>-147.54</v>
      </c>
      <c r="F64" s="35"/>
      <c r="G64" s="35"/>
      <c r="H64" s="37">
        <v>-147.54</v>
      </c>
    </row>
    <row r="65" spans="1:8" hidden="1" x14ac:dyDescent="0.2">
      <c r="A65" s="239" t="s">
        <v>111</v>
      </c>
      <c r="B65" s="239" t="s">
        <v>79</v>
      </c>
      <c r="C65" s="36">
        <v>44075</v>
      </c>
      <c r="D65" s="36">
        <v>44118</v>
      </c>
      <c r="E65" s="37">
        <v>-8201.43</v>
      </c>
      <c r="F65" s="35"/>
      <c r="G65" s="35"/>
      <c r="H65" s="37">
        <v>-8201.43</v>
      </c>
    </row>
    <row r="66" spans="1:8" x14ac:dyDescent="0.2">
      <c r="A66" s="239" t="s">
        <v>111</v>
      </c>
      <c r="B66" s="239" t="s">
        <v>79</v>
      </c>
      <c r="C66" s="47">
        <v>44119</v>
      </c>
      <c r="D66" s="47">
        <v>2958465</v>
      </c>
      <c r="E66" s="39">
        <v>-1257.93</v>
      </c>
      <c r="F66" s="38"/>
      <c r="G66" s="38"/>
      <c r="H66" s="39">
        <v>-1257.93</v>
      </c>
    </row>
    <row r="67" spans="1:8" x14ac:dyDescent="0.2">
      <c r="A67" s="239" t="s">
        <v>110</v>
      </c>
      <c r="B67" s="35" t="s">
        <v>82</v>
      </c>
      <c r="C67" s="36">
        <v>44119</v>
      </c>
      <c r="D67" s="36">
        <v>2958465</v>
      </c>
      <c r="E67" s="35"/>
      <c r="F67" s="35"/>
      <c r="G67" s="37">
        <v>-0.35</v>
      </c>
      <c r="H67" s="37">
        <v>-0.35</v>
      </c>
    </row>
    <row r="68" spans="1:8" hidden="1" x14ac:dyDescent="0.2">
      <c r="A68" s="239" t="s">
        <v>110</v>
      </c>
      <c r="B68" s="239" t="s">
        <v>81</v>
      </c>
      <c r="C68" s="36">
        <v>43952</v>
      </c>
      <c r="D68" s="36">
        <v>44074</v>
      </c>
      <c r="E68" s="35"/>
      <c r="F68" s="37">
        <v>0.28000000000000003</v>
      </c>
      <c r="G68" s="35"/>
      <c r="H68" s="37">
        <v>0.28000000000000003</v>
      </c>
    </row>
    <row r="69" spans="1:8" hidden="1" x14ac:dyDescent="0.2">
      <c r="A69" s="239" t="s">
        <v>110</v>
      </c>
      <c r="B69" s="239" t="s">
        <v>81</v>
      </c>
      <c r="C69" s="36">
        <v>44075</v>
      </c>
      <c r="D69" s="36">
        <v>44118</v>
      </c>
      <c r="E69" s="35"/>
      <c r="F69" s="37">
        <v>34.74</v>
      </c>
      <c r="G69" s="35"/>
      <c r="H69" s="37">
        <v>34.74</v>
      </c>
    </row>
    <row r="70" spans="1:8" x14ac:dyDescent="0.2">
      <c r="A70" s="239" t="s">
        <v>110</v>
      </c>
      <c r="B70" s="239" t="s">
        <v>81</v>
      </c>
      <c r="C70" s="47">
        <v>44119</v>
      </c>
      <c r="D70" s="47">
        <v>2958465</v>
      </c>
      <c r="E70" s="38"/>
      <c r="F70" s="39">
        <v>3.58</v>
      </c>
      <c r="G70" s="38"/>
      <c r="H70" s="39">
        <v>3.58</v>
      </c>
    </row>
    <row r="71" spans="1:8" hidden="1" x14ac:dyDescent="0.2">
      <c r="A71" s="239" t="s">
        <v>110</v>
      </c>
      <c r="B71" s="239" t="s">
        <v>79</v>
      </c>
      <c r="C71" s="36">
        <v>43952</v>
      </c>
      <c r="D71" s="36">
        <v>44074</v>
      </c>
      <c r="E71" s="37">
        <v>-0.34</v>
      </c>
      <c r="F71" s="35"/>
      <c r="G71" s="35"/>
      <c r="H71" s="37">
        <v>-0.34</v>
      </c>
    </row>
    <row r="72" spans="1:8" hidden="1" x14ac:dyDescent="0.2">
      <c r="A72" s="239" t="s">
        <v>110</v>
      </c>
      <c r="B72" s="239" t="s">
        <v>79</v>
      </c>
      <c r="C72" s="36">
        <v>44075</v>
      </c>
      <c r="D72" s="36">
        <v>44118</v>
      </c>
      <c r="E72" s="37">
        <v>-41.44</v>
      </c>
      <c r="F72" s="35"/>
      <c r="G72" s="35"/>
      <c r="H72" s="37">
        <v>-41.44</v>
      </c>
    </row>
    <row r="73" spans="1:8" x14ac:dyDescent="0.2">
      <c r="A73" s="239" t="s">
        <v>110</v>
      </c>
      <c r="B73" s="239" t="s">
        <v>79</v>
      </c>
      <c r="C73" s="47">
        <v>44119</v>
      </c>
      <c r="D73" s="47">
        <v>2958465</v>
      </c>
      <c r="E73" s="39">
        <v>-4.2699999999999996</v>
      </c>
      <c r="F73" s="38"/>
      <c r="G73" s="38"/>
      <c r="H73" s="39">
        <v>-4.2699999999999996</v>
      </c>
    </row>
    <row r="74" spans="1:8" x14ac:dyDescent="0.2">
      <c r="A74" s="239" t="s">
        <v>109</v>
      </c>
      <c r="B74" s="35" t="s">
        <v>108</v>
      </c>
      <c r="C74" s="36">
        <v>44119</v>
      </c>
      <c r="D74" s="36">
        <v>2958465</v>
      </c>
      <c r="E74" s="35"/>
      <c r="F74" s="35"/>
      <c r="G74" s="37">
        <v>920.16</v>
      </c>
      <c r="H74" s="37">
        <v>920.16</v>
      </c>
    </row>
    <row r="75" spans="1:8" hidden="1" x14ac:dyDescent="0.2">
      <c r="A75" s="239" t="s">
        <v>109</v>
      </c>
      <c r="B75" s="239" t="s">
        <v>107</v>
      </c>
      <c r="C75" s="36">
        <v>43952</v>
      </c>
      <c r="D75" s="36">
        <v>44074</v>
      </c>
      <c r="E75" s="37">
        <v>473.33</v>
      </c>
      <c r="F75" s="35"/>
      <c r="G75" s="35"/>
      <c r="H75" s="37">
        <v>473.33</v>
      </c>
    </row>
    <row r="76" spans="1:8" hidden="1" x14ac:dyDescent="0.2">
      <c r="A76" s="239" t="s">
        <v>109</v>
      </c>
      <c r="B76" s="239" t="s">
        <v>107</v>
      </c>
      <c r="C76" s="36">
        <v>44075</v>
      </c>
      <c r="D76" s="36">
        <v>44118</v>
      </c>
      <c r="E76" s="37">
        <v>14582.25</v>
      </c>
      <c r="F76" s="35"/>
      <c r="G76" s="35"/>
      <c r="H76" s="37">
        <v>14582.25</v>
      </c>
    </row>
    <row r="77" spans="1:8" x14ac:dyDescent="0.2">
      <c r="A77" s="239" t="s">
        <v>109</v>
      </c>
      <c r="B77" s="239" t="s">
        <v>107</v>
      </c>
      <c r="C77" s="47">
        <v>44119</v>
      </c>
      <c r="D77" s="47">
        <v>2958465</v>
      </c>
      <c r="E77" s="39">
        <v>2267.5300000000002</v>
      </c>
      <c r="F77" s="38"/>
      <c r="G77" s="38"/>
      <c r="H77" s="39">
        <v>2267.5300000000002</v>
      </c>
    </row>
    <row r="78" spans="1:8" x14ac:dyDescent="0.2">
      <c r="A78" s="239" t="s">
        <v>109</v>
      </c>
      <c r="B78" s="35" t="s">
        <v>106</v>
      </c>
      <c r="C78" s="36">
        <v>44119</v>
      </c>
      <c r="D78" s="36">
        <v>2958465</v>
      </c>
      <c r="E78" s="35"/>
      <c r="F78" s="35"/>
      <c r="G78" s="37">
        <v>4375.79</v>
      </c>
      <c r="H78" s="37">
        <v>4375.79</v>
      </c>
    </row>
    <row r="79" spans="1:8" hidden="1" x14ac:dyDescent="0.2">
      <c r="A79" s="239" t="s">
        <v>109</v>
      </c>
      <c r="B79" s="239" t="s">
        <v>104</v>
      </c>
      <c r="C79" s="36">
        <v>43952</v>
      </c>
      <c r="D79" s="36">
        <v>44074</v>
      </c>
      <c r="E79" s="35"/>
      <c r="F79" s="37">
        <v>61974.89</v>
      </c>
      <c r="G79" s="35"/>
      <c r="H79" s="37">
        <v>61974.89</v>
      </c>
    </row>
    <row r="80" spans="1:8" x14ac:dyDescent="0.2">
      <c r="A80" s="239" t="s">
        <v>109</v>
      </c>
      <c r="B80" s="239" t="s">
        <v>104</v>
      </c>
      <c r="C80" s="47">
        <v>44119</v>
      </c>
      <c r="D80" s="47">
        <v>2958465</v>
      </c>
      <c r="E80" s="38"/>
      <c r="F80" s="39">
        <v>10064.299999999999</v>
      </c>
      <c r="G80" s="38"/>
      <c r="H80" s="39">
        <v>10064.299999999999</v>
      </c>
    </row>
    <row r="81" spans="1:8" x14ac:dyDescent="0.2">
      <c r="A81" s="239" t="s">
        <v>105</v>
      </c>
      <c r="B81" s="35" t="s">
        <v>108</v>
      </c>
      <c r="C81" s="36">
        <v>44119</v>
      </c>
      <c r="D81" s="36">
        <v>2958465</v>
      </c>
      <c r="E81" s="35"/>
      <c r="F81" s="35"/>
      <c r="G81" s="37">
        <v>126.91</v>
      </c>
      <c r="H81" s="37">
        <v>126.91</v>
      </c>
    </row>
    <row r="82" spans="1:8" hidden="1" x14ac:dyDescent="0.2">
      <c r="A82" s="239" t="s">
        <v>105</v>
      </c>
      <c r="B82" s="239" t="s">
        <v>107</v>
      </c>
      <c r="C82" s="36">
        <v>43952</v>
      </c>
      <c r="D82" s="36">
        <v>44074</v>
      </c>
      <c r="E82" s="37">
        <v>100.85</v>
      </c>
      <c r="F82" s="35"/>
      <c r="G82" s="35"/>
      <c r="H82" s="37">
        <v>100.85</v>
      </c>
    </row>
    <row r="83" spans="1:8" hidden="1" x14ac:dyDescent="0.2">
      <c r="A83" s="239" t="s">
        <v>105</v>
      </c>
      <c r="B83" s="239" t="s">
        <v>107</v>
      </c>
      <c r="C83" s="36">
        <v>44075</v>
      </c>
      <c r="D83" s="36">
        <v>44118</v>
      </c>
      <c r="E83" s="37">
        <v>1963.53</v>
      </c>
      <c r="F83" s="35"/>
      <c r="G83" s="35"/>
      <c r="H83" s="37">
        <v>1963.53</v>
      </c>
    </row>
    <row r="84" spans="1:8" x14ac:dyDescent="0.2">
      <c r="A84" s="239" t="s">
        <v>105</v>
      </c>
      <c r="B84" s="239" t="s">
        <v>107</v>
      </c>
      <c r="C84" s="47">
        <v>44119</v>
      </c>
      <c r="D84" s="47">
        <v>2958465</v>
      </c>
      <c r="E84" s="39">
        <v>312.75</v>
      </c>
      <c r="F84" s="38"/>
      <c r="G84" s="38"/>
      <c r="H84" s="39">
        <v>312.75</v>
      </c>
    </row>
    <row r="85" spans="1:8" x14ac:dyDescent="0.2">
      <c r="A85" s="239" t="s">
        <v>105</v>
      </c>
      <c r="B85" s="35" t="s">
        <v>106</v>
      </c>
      <c r="C85" s="36">
        <v>44119</v>
      </c>
      <c r="D85" s="36">
        <v>2958465</v>
      </c>
      <c r="E85" s="35"/>
      <c r="F85" s="35"/>
      <c r="G85" s="37">
        <v>616.66999999999996</v>
      </c>
      <c r="H85" s="37">
        <v>616.66999999999996</v>
      </c>
    </row>
    <row r="86" spans="1:8" hidden="1" x14ac:dyDescent="0.2">
      <c r="A86" s="239" t="s">
        <v>105</v>
      </c>
      <c r="B86" s="239" t="s">
        <v>104</v>
      </c>
      <c r="C86" s="36">
        <v>43952</v>
      </c>
      <c r="D86" s="36">
        <v>44074</v>
      </c>
      <c r="E86" s="35"/>
      <c r="F86" s="37">
        <v>9433.0300000000007</v>
      </c>
      <c r="G86" s="35"/>
      <c r="H86" s="37">
        <v>9433.0300000000007</v>
      </c>
    </row>
    <row r="87" spans="1:8" x14ac:dyDescent="0.2">
      <c r="A87" s="239" t="s">
        <v>105</v>
      </c>
      <c r="B87" s="239" t="s">
        <v>104</v>
      </c>
      <c r="C87" s="47">
        <v>44119</v>
      </c>
      <c r="D87" s="47">
        <v>2958465</v>
      </c>
      <c r="E87" s="38"/>
      <c r="F87" s="39">
        <v>1418.34</v>
      </c>
      <c r="G87" s="38"/>
      <c r="H87" s="39">
        <v>1418.34</v>
      </c>
    </row>
    <row r="88" spans="1:8" x14ac:dyDescent="0.2">
      <c r="A88" s="239" t="s">
        <v>102</v>
      </c>
      <c r="B88" s="35" t="s">
        <v>82</v>
      </c>
      <c r="C88" s="36">
        <v>44119</v>
      </c>
      <c r="D88" s="36">
        <v>2958465</v>
      </c>
      <c r="E88" s="35"/>
      <c r="F88" s="35"/>
      <c r="G88" s="37">
        <v>-3.43</v>
      </c>
      <c r="H88" s="37">
        <v>-3.43</v>
      </c>
    </row>
    <row r="89" spans="1:8" hidden="1" x14ac:dyDescent="0.2">
      <c r="A89" s="239" t="s">
        <v>102</v>
      </c>
      <c r="B89" s="35" t="s">
        <v>103</v>
      </c>
      <c r="C89" s="36">
        <v>43586</v>
      </c>
      <c r="D89" s="36">
        <v>43951</v>
      </c>
      <c r="E89" s="35"/>
      <c r="F89" s="37">
        <v>-1.8</v>
      </c>
      <c r="G89" s="35"/>
      <c r="H89" s="37">
        <v>-1.8</v>
      </c>
    </row>
    <row r="90" spans="1:8" hidden="1" x14ac:dyDescent="0.2">
      <c r="A90" s="239" t="s">
        <v>102</v>
      </c>
      <c r="B90" s="239" t="s">
        <v>81</v>
      </c>
      <c r="C90" s="36">
        <v>43952</v>
      </c>
      <c r="D90" s="36">
        <v>44074</v>
      </c>
      <c r="E90" s="35"/>
      <c r="F90" s="37">
        <v>25.41</v>
      </c>
      <c r="G90" s="35"/>
      <c r="H90" s="37">
        <v>25.41</v>
      </c>
    </row>
    <row r="91" spans="1:8" hidden="1" x14ac:dyDescent="0.2">
      <c r="A91" s="239" t="s">
        <v>102</v>
      </c>
      <c r="B91" s="239" t="s">
        <v>81</v>
      </c>
      <c r="C91" s="36">
        <v>44075</v>
      </c>
      <c r="D91" s="36">
        <v>44118</v>
      </c>
      <c r="E91" s="35"/>
      <c r="F91" s="37">
        <v>759.53</v>
      </c>
      <c r="G91" s="35"/>
      <c r="H91" s="37">
        <v>759.53</v>
      </c>
    </row>
    <row r="92" spans="1:8" x14ac:dyDescent="0.2">
      <c r="A92" s="239" t="s">
        <v>102</v>
      </c>
      <c r="B92" s="239" t="s">
        <v>81</v>
      </c>
      <c r="C92" s="47">
        <v>44119</v>
      </c>
      <c r="D92" s="47">
        <v>2958465</v>
      </c>
      <c r="E92" s="38"/>
      <c r="F92" s="39">
        <v>35.270000000000003</v>
      </c>
      <c r="G92" s="38"/>
      <c r="H92" s="39">
        <v>35.270000000000003</v>
      </c>
    </row>
    <row r="93" spans="1:8" hidden="1" x14ac:dyDescent="0.2">
      <c r="A93" s="239" t="s">
        <v>102</v>
      </c>
      <c r="B93" s="239" t="s">
        <v>79</v>
      </c>
      <c r="C93" s="36">
        <v>43952</v>
      </c>
      <c r="D93" s="36">
        <v>44074</v>
      </c>
      <c r="E93" s="37">
        <v>-30.31</v>
      </c>
      <c r="F93" s="35"/>
      <c r="G93" s="35"/>
      <c r="H93" s="37">
        <v>-30.31</v>
      </c>
    </row>
    <row r="94" spans="1:8" hidden="1" x14ac:dyDescent="0.2">
      <c r="A94" s="239" t="s">
        <v>102</v>
      </c>
      <c r="B94" s="239" t="s">
        <v>79</v>
      </c>
      <c r="C94" s="36">
        <v>44075</v>
      </c>
      <c r="D94" s="36">
        <v>44118</v>
      </c>
      <c r="E94" s="37">
        <v>-905.87</v>
      </c>
      <c r="F94" s="35"/>
      <c r="G94" s="35"/>
      <c r="H94" s="37">
        <v>-905.87</v>
      </c>
    </row>
    <row r="95" spans="1:8" x14ac:dyDescent="0.2">
      <c r="A95" s="239" t="s">
        <v>102</v>
      </c>
      <c r="B95" s="239" t="s">
        <v>79</v>
      </c>
      <c r="C95" s="47">
        <v>44119</v>
      </c>
      <c r="D95" s="47">
        <v>2958465</v>
      </c>
      <c r="E95" s="39">
        <v>-42.06</v>
      </c>
      <c r="F95" s="38"/>
      <c r="G95" s="38"/>
      <c r="H95" s="39">
        <v>-42.06</v>
      </c>
    </row>
    <row r="96" spans="1:8" hidden="1" x14ac:dyDescent="0.2">
      <c r="A96" s="239" t="s">
        <v>102</v>
      </c>
      <c r="B96" s="35" t="s">
        <v>101</v>
      </c>
      <c r="C96" s="36">
        <v>43586</v>
      </c>
      <c r="D96" s="36">
        <v>43951</v>
      </c>
      <c r="E96" s="37">
        <v>4.24</v>
      </c>
      <c r="F96" s="35"/>
      <c r="G96" s="35"/>
      <c r="H96" s="37">
        <v>4.24</v>
      </c>
    </row>
    <row r="97" spans="1:8" hidden="1" x14ac:dyDescent="0.2">
      <c r="A97" s="239" t="s">
        <v>99</v>
      </c>
      <c r="B97" s="35" t="s">
        <v>100</v>
      </c>
      <c r="C97" s="36">
        <v>43586</v>
      </c>
      <c r="D97" s="36">
        <v>43951</v>
      </c>
      <c r="E97" s="37">
        <v>92.24</v>
      </c>
      <c r="F97" s="35"/>
      <c r="G97" s="35"/>
      <c r="H97" s="37">
        <v>92.24</v>
      </c>
    </row>
    <row r="98" spans="1:8" x14ac:dyDescent="0.2">
      <c r="A98" s="239" t="s">
        <v>99</v>
      </c>
      <c r="B98" s="35" t="s">
        <v>98</v>
      </c>
      <c r="C98" s="36">
        <v>44119</v>
      </c>
      <c r="D98" s="36">
        <v>2958465</v>
      </c>
      <c r="E98" s="35"/>
      <c r="F98" s="35"/>
      <c r="G98" s="37">
        <v>2554.23</v>
      </c>
      <c r="H98" s="37">
        <v>2554.23</v>
      </c>
    </row>
    <row r="99" spans="1:8" hidden="1" x14ac:dyDescent="0.2">
      <c r="A99" s="239" t="s">
        <v>99</v>
      </c>
      <c r="B99" s="239" t="s">
        <v>97</v>
      </c>
      <c r="C99" s="36">
        <v>43952</v>
      </c>
      <c r="D99" s="36">
        <v>44074</v>
      </c>
      <c r="E99" s="37">
        <v>2144.6799999999998</v>
      </c>
      <c r="F99" s="35"/>
      <c r="G99" s="35"/>
      <c r="H99" s="37">
        <v>2144.6799999999998</v>
      </c>
    </row>
    <row r="100" spans="1:8" hidden="1" x14ac:dyDescent="0.2">
      <c r="A100" s="239" t="s">
        <v>99</v>
      </c>
      <c r="B100" s="239" t="s">
        <v>97</v>
      </c>
      <c r="C100" s="36">
        <v>44075</v>
      </c>
      <c r="D100" s="36">
        <v>44118</v>
      </c>
      <c r="E100" s="37">
        <v>45232.1</v>
      </c>
      <c r="F100" s="35"/>
      <c r="G100" s="35"/>
      <c r="H100" s="37">
        <v>45232.1</v>
      </c>
    </row>
    <row r="101" spans="1:8" x14ac:dyDescent="0.2">
      <c r="A101" s="239" t="s">
        <v>99</v>
      </c>
      <c r="B101" s="239" t="s">
        <v>97</v>
      </c>
      <c r="C101" s="47">
        <v>44119</v>
      </c>
      <c r="D101" s="47">
        <v>2958465</v>
      </c>
      <c r="E101" s="39">
        <v>6068.14</v>
      </c>
      <c r="F101" s="38"/>
      <c r="G101" s="38"/>
      <c r="H101" s="39">
        <v>6068.14</v>
      </c>
    </row>
    <row r="102" spans="1:8" x14ac:dyDescent="0.2">
      <c r="A102" s="239" t="s">
        <v>99</v>
      </c>
      <c r="B102" s="35" t="s">
        <v>96</v>
      </c>
      <c r="C102" s="36">
        <v>44119</v>
      </c>
      <c r="D102" s="36">
        <v>2958465</v>
      </c>
      <c r="E102" s="35"/>
      <c r="F102" s="35"/>
      <c r="G102" s="37">
        <v>3648.02</v>
      </c>
      <c r="H102" s="37">
        <v>3648.02</v>
      </c>
    </row>
    <row r="103" spans="1:8" hidden="1" x14ac:dyDescent="0.2">
      <c r="A103" s="239" t="s">
        <v>99</v>
      </c>
      <c r="B103" s="239" t="s">
        <v>94</v>
      </c>
      <c r="C103" s="36">
        <v>43952</v>
      </c>
      <c r="D103" s="36">
        <v>44074</v>
      </c>
      <c r="E103" s="35"/>
      <c r="F103" s="37">
        <v>17037.38</v>
      </c>
      <c r="G103" s="35"/>
      <c r="H103" s="37">
        <v>17037.38</v>
      </c>
    </row>
    <row r="104" spans="1:8" hidden="1" x14ac:dyDescent="0.2">
      <c r="A104" s="239" t="s">
        <v>99</v>
      </c>
      <c r="B104" s="239" t="s">
        <v>94</v>
      </c>
      <c r="C104" s="36">
        <v>44075</v>
      </c>
      <c r="D104" s="36">
        <v>44118</v>
      </c>
      <c r="E104" s="35"/>
      <c r="F104" s="37">
        <v>38436.39</v>
      </c>
      <c r="G104" s="35"/>
      <c r="H104" s="37">
        <v>38436.39</v>
      </c>
    </row>
    <row r="105" spans="1:8" x14ac:dyDescent="0.2">
      <c r="A105" s="239" t="s">
        <v>99</v>
      </c>
      <c r="B105" s="239" t="s">
        <v>94</v>
      </c>
      <c r="C105" s="47">
        <v>44119</v>
      </c>
      <c r="D105" s="47">
        <v>2958465</v>
      </c>
      <c r="E105" s="38"/>
      <c r="F105" s="39">
        <v>6601.17</v>
      </c>
      <c r="G105" s="38"/>
      <c r="H105" s="39">
        <v>6601.17</v>
      </c>
    </row>
    <row r="106" spans="1:8" x14ac:dyDescent="0.2">
      <c r="A106" s="239" t="s">
        <v>95</v>
      </c>
      <c r="B106" s="35" t="s">
        <v>98</v>
      </c>
      <c r="C106" s="36">
        <v>44119</v>
      </c>
      <c r="D106" s="36">
        <v>2958465</v>
      </c>
      <c r="E106" s="35"/>
      <c r="F106" s="35"/>
      <c r="G106" s="37">
        <v>1859.61</v>
      </c>
      <c r="H106" s="37">
        <v>1859.61</v>
      </c>
    </row>
    <row r="107" spans="1:8" hidden="1" x14ac:dyDescent="0.2">
      <c r="A107" s="239" t="s">
        <v>95</v>
      </c>
      <c r="B107" s="239" t="s">
        <v>97</v>
      </c>
      <c r="C107" s="36">
        <v>43952</v>
      </c>
      <c r="D107" s="36">
        <v>44074</v>
      </c>
      <c r="E107" s="37">
        <v>657.43</v>
      </c>
      <c r="F107" s="35"/>
      <c r="G107" s="35"/>
      <c r="H107" s="37">
        <v>657.43</v>
      </c>
    </row>
    <row r="108" spans="1:8" hidden="1" x14ac:dyDescent="0.2">
      <c r="A108" s="239" t="s">
        <v>95</v>
      </c>
      <c r="B108" s="239" t="s">
        <v>97</v>
      </c>
      <c r="C108" s="36">
        <v>44075</v>
      </c>
      <c r="D108" s="36">
        <v>44118</v>
      </c>
      <c r="E108" s="37">
        <v>25616.83</v>
      </c>
      <c r="F108" s="35"/>
      <c r="G108" s="35"/>
      <c r="H108" s="37">
        <v>25616.83</v>
      </c>
    </row>
    <row r="109" spans="1:8" x14ac:dyDescent="0.2">
      <c r="A109" s="239" t="s">
        <v>95</v>
      </c>
      <c r="B109" s="239" t="s">
        <v>97</v>
      </c>
      <c r="C109" s="47">
        <v>44119</v>
      </c>
      <c r="D109" s="47">
        <v>2958465</v>
      </c>
      <c r="E109" s="39">
        <v>4417.91</v>
      </c>
      <c r="F109" s="38"/>
      <c r="G109" s="38"/>
      <c r="H109" s="39">
        <v>4417.91</v>
      </c>
    </row>
    <row r="110" spans="1:8" x14ac:dyDescent="0.2">
      <c r="A110" s="239" t="s">
        <v>95</v>
      </c>
      <c r="B110" s="35" t="s">
        <v>96</v>
      </c>
      <c r="C110" s="36">
        <v>44119</v>
      </c>
      <c r="D110" s="36">
        <v>2958465</v>
      </c>
      <c r="E110" s="35"/>
      <c r="F110" s="35"/>
      <c r="G110" s="37">
        <v>2807.13</v>
      </c>
      <c r="H110" s="37">
        <v>2807.13</v>
      </c>
    </row>
    <row r="111" spans="1:8" hidden="1" x14ac:dyDescent="0.2">
      <c r="A111" s="239" t="s">
        <v>95</v>
      </c>
      <c r="B111" s="239" t="s">
        <v>94</v>
      </c>
      <c r="C111" s="36">
        <v>43952</v>
      </c>
      <c r="D111" s="36">
        <v>44074</v>
      </c>
      <c r="E111" s="35"/>
      <c r="F111" s="37">
        <v>11325.61</v>
      </c>
      <c r="G111" s="35"/>
      <c r="H111" s="37">
        <v>11325.61</v>
      </c>
    </row>
    <row r="112" spans="1:8" hidden="1" x14ac:dyDescent="0.2">
      <c r="A112" s="239" t="s">
        <v>95</v>
      </c>
      <c r="B112" s="239" t="s">
        <v>94</v>
      </c>
      <c r="C112" s="36">
        <v>44075</v>
      </c>
      <c r="D112" s="36">
        <v>44118</v>
      </c>
      <c r="E112" s="35"/>
      <c r="F112" s="37">
        <v>20744.53</v>
      </c>
      <c r="G112" s="35"/>
      <c r="H112" s="37">
        <v>20744.53</v>
      </c>
    </row>
    <row r="113" spans="1:8" x14ac:dyDescent="0.2">
      <c r="A113" s="239" t="s">
        <v>95</v>
      </c>
      <c r="B113" s="239" t="s">
        <v>94</v>
      </c>
      <c r="C113" s="47">
        <v>44119</v>
      </c>
      <c r="D113" s="47">
        <v>2958465</v>
      </c>
      <c r="E113" s="38"/>
      <c r="F113" s="39">
        <v>5079.5600000000004</v>
      </c>
      <c r="G113" s="38"/>
      <c r="H113" s="39">
        <v>5079.5600000000004</v>
      </c>
    </row>
    <row r="114" spans="1:8" hidden="1" x14ac:dyDescent="0.2">
      <c r="A114" s="239" t="s">
        <v>93</v>
      </c>
      <c r="B114" s="239" t="s">
        <v>81</v>
      </c>
      <c r="C114" s="36">
        <v>43952</v>
      </c>
      <c r="D114" s="36">
        <v>44074</v>
      </c>
      <c r="E114" s="35"/>
      <c r="F114" s="37">
        <v>41.28</v>
      </c>
      <c r="G114" s="35"/>
      <c r="H114" s="37">
        <v>41.28</v>
      </c>
    </row>
    <row r="115" spans="1:8" hidden="1" x14ac:dyDescent="0.2">
      <c r="A115" s="239" t="s">
        <v>93</v>
      </c>
      <c r="B115" s="239" t="s">
        <v>81</v>
      </c>
      <c r="C115" s="36">
        <v>44075</v>
      </c>
      <c r="D115" s="36">
        <v>44118</v>
      </c>
      <c r="E115" s="35"/>
      <c r="F115" s="37">
        <v>413.22</v>
      </c>
      <c r="G115" s="35"/>
      <c r="H115" s="37">
        <v>413.22</v>
      </c>
    </row>
    <row r="116" spans="1:8" hidden="1" x14ac:dyDescent="0.2">
      <c r="A116" s="239" t="s">
        <v>93</v>
      </c>
      <c r="B116" s="239" t="s">
        <v>79</v>
      </c>
      <c r="C116" s="36">
        <v>43952</v>
      </c>
      <c r="D116" s="36">
        <v>44074</v>
      </c>
      <c r="E116" s="37">
        <v>-49.23</v>
      </c>
      <c r="F116" s="35"/>
      <c r="G116" s="35"/>
      <c r="H116" s="37">
        <v>-49.23</v>
      </c>
    </row>
    <row r="117" spans="1:8" hidden="1" x14ac:dyDescent="0.2">
      <c r="A117" s="239" t="s">
        <v>93</v>
      </c>
      <c r="B117" s="239" t="s">
        <v>79</v>
      </c>
      <c r="C117" s="36">
        <v>44075</v>
      </c>
      <c r="D117" s="36">
        <v>44118</v>
      </c>
      <c r="E117" s="37">
        <v>-492.84</v>
      </c>
      <c r="F117" s="35"/>
      <c r="G117" s="35"/>
      <c r="H117" s="37">
        <v>-492.84</v>
      </c>
    </row>
    <row r="118" spans="1:8" hidden="1" x14ac:dyDescent="0.2">
      <c r="A118" s="239" t="s">
        <v>91</v>
      </c>
      <c r="B118" s="239" t="s">
        <v>89</v>
      </c>
      <c r="C118" s="36">
        <v>43952</v>
      </c>
      <c r="D118" s="36">
        <v>44074</v>
      </c>
      <c r="E118" s="37">
        <v>-35.96</v>
      </c>
      <c r="F118" s="35"/>
      <c r="G118" s="35"/>
      <c r="H118" s="37">
        <v>-35.96</v>
      </c>
    </row>
    <row r="119" spans="1:8" hidden="1" x14ac:dyDescent="0.2">
      <c r="A119" s="239" t="s">
        <v>91</v>
      </c>
      <c r="B119" s="239" t="s">
        <v>89</v>
      </c>
      <c r="C119" s="36">
        <v>44075</v>
      </c>
      <c r="D119" s="36">
        <v>44118</v>
      </c>
      <c r="E119" s="37">
        <v>-517.69000000000005</v>
      </c>
      <c r="F119" s="35"/>
      <c r="G119" s="35"/>
      <c r="H119" s="37">
        <v>-517.69000000000005</v>
      </c>
    </row>
    <row r="120" spans="1:8" hidden="1" x14ac:dyDescent="0.2">
      <c r="A120" s="239" t="s">
        <v>91</v>
      </c>
      <c r="B120" s="35" t="s">
        <v>92</v>
      </c>
      <c r="C120" s="36">
        <v>43586</v>
      </c>
      <c r="D120" s="36">
        <v>43951</v>
      </c>
      <c r="E120" s="35"/>
      <c r="F120" s="37">
        <v>-198.2</v>
      </c>
      <c r="G120" s="35"/>
      <c r="H120" s="37">
        <v>-198.2</v>
      </c>
    </row>
    <row r="121" spans="1:8" hidden="1" x14ac:dyDescent="0.2">
      <c r="A121" s="239" t="s">
        <v>91</v>
      </c>
      <c r="B121" s="239" t="s">
        <v>48</v>
      </c>
      <c r="C121" s="36">
        <v>43952</v>
      </c>
      <c r="D121" s="36">
        <v>44074</v>
      </c>
      <c r="E121" s="35"/>
      <c r="F121" s="37">
        <v>848.41</v>
      </c>
      <c r="G121" s="35"/>
      <c r="H121" s="37">
        <v>848.41</v>
      </c>
    </row>
    <row r="122" spans="1:8" hidden="1" x14ac:dyDescent="0.2">
      <c r="A122" s="239" t="s">
        <v>91</v>
      </c>
      <c r="B122" s="239" t="s">
        <v>48</v>
      </c>
      <c r="C122" s="36">
        <v>44075</v>
      </c>
      <c r="D122" s="36">
        <v>44118</v>
      </c>
      <c r="E122" s="35"/>
      <c r="F122" s="37">
        <v>12213.07</v>
      </c>
      <c r="G122" s="35"/>
      <c r="H122" s="37">
        <v>12213.07</v>
      </c>
    </row>
    <row r="123" spans="1:8" hidden="1" x14ac:dyDescent="0.2">
      <c r="A123" s="239" t="s">
        <v>91</v>
      </c>
      <c r="B123" s="35" t="s">
        <v>90</v>
      </c>
      <c r="C123" s="36">
        <v>43586</v>
      </c>
      <c r="D123" s="36">
        <v>43951</v>
      </c>
      <c r="E123" s="37">
        <v>-266.14999999999998</v>
      </c>
      <c r="F123" s="35"/>
      <c r="G123" s="35"/>
      <c r="H123" s="37">
        <v>-266.14999999999998</v>
      </c>
    </row>
    <row r="124" spans="1:8" hidden="1" x14ac:dyDescent="0.2">
      <c r="A124" s="239" t="s">
        <v>88</v>
      </c>
      <c r="B124" s="35" t="s">
        <v>89</v>
      </c>
      <c r="C124" s="36">
        <v>44075</v>
      </c>
      <c r="D124" s="36">
        <v>44118</v>
      </c>
      <c r="E124" s="37">
        <v>-223.04</v>
      </c>
      <c r="F124" s="35"/>
      <c r="G124" s="35"/>
      <c r="H124" s="37">
        <v>-223.04</v>
      </c>
    </row>
    <row r="125" spans="1:8" hidden="1" x14ac:dyDescent="0.2">
      <c r="A125" s="239" t="s">
        <v>88</v>
      </c>
      <c r="B125" s="35" t="s">
        <v>48</v>
      </c>
      <c r="C125" s="36">
        <v>44075</v>
      </c>
      <c r="D125" s="36">
        <v>44118</v>
      </c>
      <c r="E125" s="35"/>
      <c r="F125" s="37">
        <v>5261.8</v>
      </c>
      <c r="G125" s="35"/>
      <c r="H125" s="37">
        <v>5261.8</v>
      </c>
    </row>
    <row r="126" spans="1:8" x14ac:dyDescent="0.2">
      <c r="A126" s="239" t="s">
        <v>87</v>
      </c>
      <c r="B126" s="35" t="s">
        <v>82</v>
      </c>
      <c r="C126" s="36">
        <v>44119</v>
      </c>
      <c r="D126" s="36">
        <v>2958465</v>
      </c>
      <c r="E126" s="35"/>
      <c r="F126" s="35"/>
      <c r="G126" s="37">
        <v>-11.99</v>
      </c>
      <c r="H126" s="37">
        <v>-11.99</v>
      </c>
    </row>
    <row r="127" spans="1:8" hidden="1" x14ac:dyDescent="0.2">
      <c r="A127" s="239" t="s">
        <v>87</v>
      </c>
      <c r="B127" s="239" t="s">
        <v>81</v>
      </c>
      <c r="C127" s="36">
        <v>43952</v>
      </c>
      <c r="D127" s="36">
        <v>44074</v>
      </c>
      <c r="E127" s="35"/>
      <c r="F127" s="37">
        <v>206.03</v>
      </c>
      <c r="G127" s="35"/>
      <c r="H127" s="37">
        <v>206.03</v>
      </c>
    </row>
    <row r="128" spans="1:8" hidden="1" x14ac:dyDescent="0.2">
      <c r="A128" s="239" t="s">
        <v>87</v>
      </c>
      <c r="B128" s="239" t="s">
        <v>81</v>
      </c>
      <c r="C128" s="36">
        <v>44075</v>
      </c>
      <c r="D128" s="36">
        <v>44118</v>
      </c>
      <c r="E128" s="35"/>
      <c r="F128" s="37">
        <v>3429.65</v>
      </c>
      <c r="G128" s="35"/>
      <c r="H128" s="37">
        <v>3429.65</v>
      </c>
    </row>
    <row r="129" spans="1:8" x14ac:dyDescent="0.2">
      <c r="A129" s="239" t="s">
        <v>87</v>
      </c>
      <c r="B129" s="239" t="s">
        <v>81</v>
      </c>
      <c r="C129" s="47">
        <v>44119</v>
      </c>
      <c r="D129" s="47">
        <v>2958465</v>
      </c>
      <c r="E129" s="38"/>
      <c r="F129" s="39">
        <v>123.4</v>
      </c>
      <c r="G129" s="38"/>
      <c r="H129" s="39">
        <v>123.4</v>
      </c>
    </row>
    <row r="130" spans="1:8" hidden="1" x14ac:dyDescent="0.2">
      <c r="A130" s="239" t="s">
        <v>87</v>
      </c>
      <c r="B130" s="239" t="s">
        <v>79</v>
      </c>
      <c r="C130" s="36">
        <v>43952</v>
      </c>
      <c r="D130" s="36">
        <v>44074</v>
      </c>
      <c r="E130" s="37">
        <v>-245.72</v>
      </c>
      <c r="F130" s="35"/>
      <c r="G130" s="35"/>
      <c r="H130" s="37">
        <v>-245.72</v>
      </c>
    </row>
    <row r="131" spans="1:8" hidden="1" x14ac:dyDescent="0.2">
      <c r="A131" s="239" t="s">
        <v>87</v>
      </c>
      <c r="B131" s="239" t="s">
        <v>79</v>
      </c>
      <c r="C131" s="36">
        <v>44075</v>
      </c>
      <c r="D131" s="36">
        <v>44118</v>
      </c>
      <c r="E131" s="37">
        <v>-4090.46</v>
      </c>
      <c r="F131" s="35"/>
      <c r="G131" s="35"/>
      <c r="H131" s="37">
        <v>-4090.46</v>
      </c>
    </row>
    <row r="132" spans="1:8" x14ac:dyDescent="0.2">
      <c r="A132" s="239" t="s">
        <v>87</v>
      </c>
      <c r="B132" s="239" t="s">
        <v>79</v>
      </c>
      <c r="C132" s="47">
        <v>44119</v>
      </c>
      <c r="D132" s="47">
        <v>2958465</v>
      </c>
      <c r="E132" s="39">
        <v>-147.18</v>
      </c>
      <c r="F132" s="38"/>
      <c r="G132" s="38"/>
      <c r="H132" s="39">
        <v>-147.18</v>
      </c>
    </row>
    <row r="133" spans="1:8" hidden="1" x14ac:dyDescent="0.2">
      <c r="A133" s="35" t="s">
        <v>86</v>
      </c>
      <c r="B133" s="35" t="s">
        <v>85</v>
      </c>
      <c r="C133" s="36">
        <v>42736</v>
      </c>
      <c r="D133" s="36">
        <v>42855</v>
      </c>
      <c r="E133" s="35"/>
      <c r="F133" s="35"/>
      <c r="G133" s="37">
        <v>577.09</v>
      </c>
      <c r="H133" s="37">
        <v>577.09</v>
      </c>
    </row>
    <row r="134" spans="1:8" hidden="1" x14ac:dyDescent="0.2">
      <c r="A134" s="35" t="s">
        <v>84</v>
      </c>
      <c r="B134" s="35" t="s">
        <v>83</v>
      </c>
      <c r="C134" s="36">
        <v>42856</v>
      </c>
      <c r="D134" s="36">
        <v>43087</v>
      </c>
      <c r="E134" s="35"/>
      <c r="F134" s="35"/>
      <c r="G134" s="37">
        <v>0.39</v>
      </c>
      <c r="H134" s="37">
        <v>0.39</v>
      </c>
    </row>
    <row r="135" spans="1:8" x14ac:dyDescent="0.2">
      <c r="A135" s="239" t="s">
        <v>80</v>
      </c>
      <c r="B135" s="35" t="s">
        <v>82</v>
      </c>
      <c r="C135" s="36">
        <v>44119</v>
      </c>
      <c r="D135" s="36">
        <v>2958465</v>
      </c>
      <c r="E135" s="35"/>
      <c r="F135" s="35"/>
      <c r="G135" s="37">
        <v>-2.54</v>
      </c>
      <c r="H135" s="37">
        <v>-2.54</v>
      </c>
    </row>
    <row r="136" spans="1:8" hidden="1" x14ac:dyDescent="0.2">
      <c r="A136" s="239" t="s">
        <v>80</v>
      </c>
      <c r="B136" s="239" t="s">
        <v>81</v>
      </c>
      <c r="C136" s="36">
        <v>44075</v>
      </c>
      <c r="D136" s="36">
        <v>44118</v>
      </c>
      <c r="E136" s="35"/>
      <c r="F136" s="37">
        <v>82.04</v>
      </c>
      <c r="G136" s="35"/>
      <c r="H136" s="37">
        <v>82.04</v>
      </c>
    </row>
    <row r="137" spans="1:8" x14ac:dyDescent="0.2">
      <c r="A137" s="239" t="s">
        <v>80</v>
      </c>
      <c r="B137" s="239" t="s">
        <v>81</v>
      </c>
      <c r="C137" s="47">
        <v>44119</v>
      </c>
      <c r="D137" s="47">
        <v>2958465</v>
      </c>
      <c r="E137" s="38"/>
      <c r="F137" s="39">
        <v>26.1</v>
      </c>
      <c r="G137" s="38"/>
      <c r="H137" s="39">
        <v>26.1</v>
      </c>
    </row>
    <row r="138" spans="1:8" hidden="1" x14ac:dyDescent="0.2">
      <c r="A138" s="239" t="s">
        <v>80</v>
      </c>
      <c r="B138" s="239" t="s">
        <v>79</v>
      </c>
      <c r="C138" s="36">
        <v>44075</v>
      </c>
      <c r="D138" s="36">
        <v>44118</v>
      </c>
      <c r="E138" s="37">
        <v>-97.84</v>
      </c>
      <c r="F138" s="35"/>
      <c r="G138" s="35"/>
      <c r="H138" s="37">
        <v>-97.84</v>
      </c>
    </row>
    <row r="139" spans="1:8" x14ac:dyDescent="0.2">
      <c r="A139" s="239" t="s">
        <v>80</v>
      </c>
      <c r="B139" s="239" t="s">
        <v>79</v>
      </c>
      <c r="C139" s="47">
        <v>44119</v>
      </c>
      <c r="D139" s="47">
        <v>2958465</v>
      </c>
      <c r="E139" s="39">
        <v>-31.13</v>
      </c>
      <c r="F139" s="38"/>
      <c r="G139" s="38"/>
      <c r="H139" s="39">
        <v>-31.13</v>
      </c>
    </row>
    <row r="140" spans="1:8" hidden="1" x14ac:dyDescent="0.2">
      <c r="A140" s="239" t="s">
        <v>65</v>
      </c>
      <c r="B140" s="239" t="s">
        <v>78</v>
      </c>
      <c r="C140" s="36">
        <v>43221</v>
      </c>
      <c r="D140" s="36">
        <v>43524</v>
      </c>
      <c r="E140" s="37">
        <v>-8.66</v>
      </c>
      <c r="F140" s="35"/>
      <c r="G140" s="35"/>
      <c r="H140" s="37">
        <v>-8.66</v>
      </c>
    </row>
    <row r="141" spans="1:8" hidden="1" x14ac:dyDescent="0.2">
      <c r="A141" s="239" t="s">
        <v>65</v>
      </c>
      <c r="B141" s="239" t="s">
        <v>78</v>
      </c>
      <c r="C141" s="36">
        <v>43525</v>
      </c>
      <c r="D141" s="36">
        <v>43585</v>
      </c>
      <c r="E141" s="37">
        <v>0.05</v>
      </c>
      <c r="F141" s="35"/>
      <c r="G141" s="35"/>
      <c r="H141" s="37">
        <v>0.05</v>
      </c>
    </row>
    <row r="142" spans="1:8" hidden="1" x14ac:dyDescent="0.2">
      <c r="A142" s="239" t="s">
        <v>65</v>
      </c>
      <c r="B142" s="239" t="s">
        <v>77</v>
      </c>
      <c r="C142" s="36">
        <v>43952</v>
      </c>
      <c r="D142" s="36">
        <v>44074</v>
      </c>
      <c r="E142" s="37">
        <v>2774.23</v>
      </c>
      <c r="F142" s="35"/>
      <c r="G142" s="35"/>
      <c r="H142" s="37">
        <v>2774.23</v>
      </c>
    </row>
    <row r="143" spans="1:8" hidden="1" x14ac:dyDescent="0.2">
      <c r="A143" s="239" t="s">
        <v>65</v>
      </c>
      <c r="B143" s="239" t="s">
        <v>77</v>
      </c>
      <c r="C143" s="36">
        <v>44075</v>
      </c>
      <c r="D143" s="36">
        <v>44118</v>
      </c>
      <c r="E143" s="37">
        <v>91398.89</v>
      </c>
      <c r="F143" s="35"/>
      <c r="G143" s="35"/>
      <c r="H143" s="37">
        <v>91398.89</v>
      </c>
    </row>
    <row r="144" spans="1:8" x14ac:dyDescent="0.2">
      <c r="A144" s="239" t="s">
        <v>65</v>
      </c>
      <c r="B144" s="239" t="s">
        <v>77</v>
      </c>
      <c r="C144" s="47">
        <v>44119</v>
      </c>
      <c r="D144" s="47">
        <v>2958465</v>
      </c>
      <c r="E144" s="39">
        <v>12456.57</v>
      </c>
      <c r="F144" s="38"/>
      <c r="G144" s="38"/>
      <c r="H144" s="39">
        <v>12456.57</v>
      </c>
    </row>
    <row r="145" spans="1:8" hidden="1" x14ac:dyDescent="0.2">
      <c r="A145" s="239" t="s">
        <v>65</v>
      </c>
      <c r="B145" s="35" t="s">
        <v>76</v>
      </c>
      <c r="C145" s="36">
        <v>43586</v>
      </c>
      <c r="D145" s="36">
        <v>43951</v>
      </c>
      <c r="E145" s="37">
        <v>-14.8</v>
      </c>
      <c r="F145" s="35"/>
      <c r="G145" s="35"/>
      <c r="H145" s="37">
        <v>-14.8</v>
      </c>
    </row>
    <row r="146" spans="1:8" x14ac:dyDescent="0.2">
      <c r="A146" s="239" t="s">
        <v>65</v>
      </c>
      <c r="B146" s="35" t="s">
        <v>75</v>
      </c>
      <c r="C146" s="36">
        <v>44119</v>
      </c>
      <c r="D146" s="36">
        <v>2958465</v>
      </c>
      <c r="E146" s="35"/>
      <c r="F146" s="35"/>
      <c r="G146" s="37">
        <v>26974.92</v>
      </c>
      <c r="H146" s="37">
        <v>26974.92</v>
      </c>
    </row>
    <row r="147" spans="1:8" hidden="1" x14ac:dyDescent="0.2">
      <c r="A147" s="239" t="s">
        <v>65</v>
      </c>
      <c r="B147" s="239" t="s">
        <v>74</v>
      </c>
      <c r="C147" s="36">
        <v>43952</v>
      </c>
      <c r="D147" s="36">
        <v>44074</v>
      </c>
      <c r="E147" s="35"/>
      <c r="F147" s="37">
        <v>11383.92</v>
      </c>
      <c r="G147" s="35"/>
      <c r="H147" s="37">
        <v>11383.92</v>
      </c>
    </row>
    <row r="148" spans="1:8" hidden="1" x14ac:dyDescent="0.2">
      <c r="A148" s="239" t="s">
        <v>65</v>
      </c>
      <c r="B148" s="239" t="s">
        <v>74</v>
      </c>
      <c r="C148" s="36">
        <v>44075</v>
      </c>
      <c r="D148" s="36">
        <v>44118</v>
      </c>
      <c r="E148" s="35"/>
      <c r="F148" s="37">
        <v>375050.63</v>
      </c>
      <c r="G148" s="35"/>
      <c r="H148" s="37">
        <v>375050.63</v>
      </c>
    </row>
    <row r="149" spans="1:8" x14ac:dyDescent="0.2">
      <c r="A149" s="239" t="s">
        <v>65</v>
      </c>
      <c r="B149" s="239" t="s">
        <v>74</v>
      </c>
      <c r="C149" s="47">
        <v>44119</v>
      </c>
      <c r="D149" s="47">
        <v>2958465</v>
      </c>
      <c r="E149" s="38"/>
      <c r="F149" s="39">
        <v>51114.879999999997</v>
      </c>
      <c r="G149" s="38"/>
      <c r="H149" s="39">
        <v>51114.879999999997</v>
      </c>
    </row>
    <row r="150" spans="1:8" hidden="1" x14ac:dyDescent="0.2">
      <c r="A150" s="239" t="s">
        <v>65</v>
      </c>
      <c r="B150" s="35" t="s">
        <v>73</v>
      </c>
      <c r="C150" s="36">
        <v>42125</v>
      </c>
      <c r="D150" s="36">
        <v>42490</v>
      </c>
      <c r="E150" s="35"/>
      <c r="F150" s="37">
        <v>40.950000000000003</v>
      </c>
      <c r="G150" s="35"/>
      <c r="H150" s="37">
        <v>40.950000000000003</v>
      </c>
    </row>
    <row r="151" spans="1:8" hidden="1" x14ac:dyDescent="0.2">
      <c r="A151" s="239" t="s">
        <v>65</v>
      </c>
      <c r="B151" s="35" t="s">
        <v>72</v>
      </c>
      <c r="C151" s="36">
        <v>43586</v>
      </c>
      <c r="D151" s="36">
        <v>43951</v>
      </c>
      <c r="E151" s="35"/>
      <c r="F151" s="37">
        <v>77.33</v>
      </c>
      <c r="G151" s="35"/>
      <c r="H151" s="37">
        <v>77.33</v>
      </c>
    </row>
    <row r="152" spans="1:8" hidden="1" x14ac:dyDescent="0.2">
      <c r="A152" s="239" t="s">
        <v>65</v>
      </c>
      <c r="B152" s="35" t="s">
        <v>71</v>
      </c>
      <c r="C152" s="36">
        <v>42491</v>
      </c>
      <c r="D152" s="36">
        <v>42855</v>
      </c>
      <c r="E152" s="35"/>
      <c r="F152" s="37">
        <v>59.7</v>
      </c>
      <c r="G152" s="35"/>
      <c r="H152" s="37">
        <v>59.7</v>
      </c>
    </row>
    <row r="153" spans="1:8" hidden="1" x14ac:dyDescent="0.2">
      <c r="A153" s="239" t="s">
        <v>65</v>
      </c>
      <c r="B153" s="239" t="s">
        <v>70</v>
      </c>
      <c r="C153" s="36">
        <v>43221</v>
      </c>
      <c r="D153" s="36">
        <v>43524</v>
      </c>
      <c r="E153" s="35"/>
      <c r="F153" s="37">
        <v>-79.17</v>
      </c>
      <c r="G153" s="35"/>
      <c r="H153" s="37">
        <v>-79.17</v>
      </c>
    </row>
    <row r="154" spans="1:8" hidden="1" x14ac:dyDescent="0.2">
      <c r="A154" s="239" t="s">
        <v>65</v>
      </c>
      <c r="B154" s="239" t="s">
        <v>70</v>
      </c>
      <c r="C154" s="36">
        <v>43525</v>
      </c>
      <c r="D154" s="36">
        <v>43585</v>
      </c>
      <c r="E154" s="35"/>
      <c r="F154" s="37">
        <v>0.42</v>
      </c>
      <c r="G154" s="35"/>
      <c r="H154" s="37">
        <v>0.42</v>
      </c>
    </row>
    <row r="155" spans="1:8" hidden="1" x14ac:dyDescent="0.2">
      <c r="A155" s="239" t="s">
        <v>65</v>
      </c>
      <c r="B155" s="239" t="s">
        <v>57</v>
      </c>
      <c r="C155" s="36">
        <v>42856</v>
      </c>
      <c r="D155" s="36">
        <v>43087</v>
      </c>
      <c r="E155" s="35"/>
      <c r="F155" s="37">
        <v>60.78</v>
      </c>
      <c r="G155" s="35"/>
      <c r="H155" s="37">
        <v>60.78</v>
      </c>
    </row>
    <row r="156" spans="1:8" hidden="1" x14ac:dyDescent="0.2">
      <c r="A156" s="239" t="s">
        <v>65</v>
      </c>
      <c r="B156" s="239" t="s">
        <v>57</v>
      </c>
      <c r="C156" s="36">
        <v>43088</v>
      </c>
      <c r="D156" s="36">
        <v>43220</v>
      </c>
      <c r="E156" s="35"/>
      <c r="F156" s="37">
        <v>37.880000000000003</v>
      </c>
      <c r="G156" s="35"/>
      <c r="H156" s="37">
        <v>37.880000000000003</v>
      </c>
    </row>
    <row r="157" spans="1:8" hidden="1" x14ac:dyDescent="0.2">
      <c r="A157" s="239" t="s">
        <v>65</v>
      </c>
      <c r="B157" s="35" t="s">
        <v>69</v>
      </c>
      <c r="C157" s="36">
        <v>41760</v>
      </c>
      <c r="D157" s="36">
        <v>42124</v>
      </c>
      <c r="E157" s="35"/>
      <c r="F157" s="37">
        <v>-69.87</v>
      </c>
      <c r="G157" s="35"/>
      <c r="H157" s="37">
        <v>-69.87</v>
      </c>
    </row>
    <row r="158" spans="1:8" hidden="1" x14ac:dyDescent="0.2">
      <c r="A158" s="239" t="s">
        <v>65</v>
      </c>
      <c r="B158" s="35" t="s">
        <v>68</v>
      </c>
      <c r="C158" s="36">
        <v>41760</v>
      </c>
      <c r="D158" s="36">
        <v>42124</v>
      </c>
      <c r="E158" s="37">
        <v>154.44</v>
      </c>
      <c r="F158" s="35"/>
      <c r="G158" s="35"/>
      <c r="H158" s="37">
        <v>154.44</v>
      </c>
    </row>
    <row r="159" spans="1:8" hidden="1" x14ac:dyDescent="0.2">
      <c r="A159" s="239" t="s">
        <v>65</v>
      </c>
      <c r="B159" s="35" t="s">
        <v>67</v>
      </c>
      <c r="C159" s="36">
        <v>42125</v>
      </c>
      <c r="D159" s="36">
        <v>42490</v>
      </c>
      <c r="E159" s="37">
        <v>238.88</v>
      </c>
      <c r="F159" s="35"/>
      <c r="G159" s="35"/>
      <c r="H159" s="37">
        <v>238.88</v>
      </c>
    </row>
    <row r="160" spans="1:8" hidden="1" x14ac:dyDescent="0.2">
      <c r="A160" s="239" t="s">
        <v>65</v>
      </c>
      <c r="B160" s="35" t="s">
        <v>66</v>
      </c>
      <c r="C160" s="36">
        <v>42491</v>
      </c>
      <c r="D160" s="36">
        <v>42855</v>
      </c>
      <c r="E160" s="37">
        <v>352.63</v>
      </c>
      <c r="F160" s="35"/>
      <c r="G160" s="35"/>
      <c r="H160" s="37">
        <v>352.63</v>
      </c>
    </row>
    <row r="161" spans="1:8" hidden="1" x14ac:dyDescent="0.2">
      <c r="A161" s="239" t="s">
        <v>65</v>
      </c>
      <c r="B161" s="35" t="s">
        <v>64</v>
      </c>
      <c r="C161" s="36">
        <v>42856</v>
      </c>
      <c r="D161" s="36">
        <v>43087</v>
      </c>
      <c r="E161" s="37">
        <v>405.08</v>
      </c>
      <c r="F161" s="35"/>
      <c r="G161" s="35"/>
      <c r="H161" s="37">
        <v>405.08</v>
      </c>
    </row>
    <row r="162" spans="1:8" hidden="1" x14ac:dyDescent="0.2">
      <c r="A162" s="239" t="s">
        <v>50</v>
      </c>
      <c r="B162" s="239" t="s">
        <v>63</v>
      </c>
      <c r="C162" s="36">
        <v>43221</v>
      </c>
      <c r="D162" s="36">
        <v>43524</v>
      </c>
      <c r="E162" s="37">
        <v>-0.38</v>
      </c>
      <c r="F162" s="35"/>
      <c r="G162" s="35"/>
      <c r="H162" s="37">
        <v>-0.38</v>
      </c>
    </row>
    <row r="163" spans="1:8" hidden="1" x14ac:dyDescent="0.2">
      <c r="A163" s="239" t="s">
        <v>50</v>
      </c>
      <c r="B163" s="239" t="s">
        <v>63</v>
      </c>
      <c r="C163" s="36">
        <v>43525</v>
      </c>
      <c r="D163" s="36">
        <v>43585</v>
      </c>
      <c r="E163" s="37">
        <v>-0.83</v>
      </c>
      <c r="F163" s="35"/>
      <c r="G163" s="35"/>
      <c r="H163" s="37">
        <v>-0.83</v>
      </c>
    </row>
    <row r="164" spans="1:8" hidden="1" x14ac:dyDescent="0.2">
      <c r="A164" s="239" t="s">
        <v>50</v>
      </c>
      <c r="B164" s="35" t="s">
        <v>62</v>
      </c>
      <c r="C164" s="36">
        <v>41760</v>
      </c>
      <c r="D164" s="36">
        <v>42124</v>
      </c>
      <c r="E164" s="35"/>
      <c r="F164" s="37">
        <v>-0.11</v>
      </c>
      <c r="G164" s="35"/>
      <c r="H164" s="37">
        <v>-0.11</v>
      </c>
    </row>
    <row r="165" spans="1:8" hidden="1" x14ac:dyDescent="0.2">
      <c r="A165" s="239" t="s">
        <v>50</v>
      </c>
      <c r="B165" s="239" t="s">
        <v>61</v>
      </c>
      <c r="C165" s="36">
        <v>42491</v>
      </c>
      <c r="D165" s="36">
        <v>42855</v>
      </c>
      <c r="E165" s="35"/>
      <c r="F165" s="37">
        <v>3.19</v>
      </c>
      <c r="G165" s="35"/>
      <c r="H165" s="37">
        <v>3.19</v>
      </c>
    </row>
    <row r="166" spans="1:8" hidden="1" x14ac:dyDescent="0.2">
      <c r="A166" s="239" t="s">
        <v>50</v>
      </c>
      <c r="B166" s="239" t="s">
        <v>61</v>
      </c>
      <c r="C166" s="36">
        <v>42856</v>
      </c>
      <c r="D166" s="36">
        <v>43087</v>
      </c>
      <c r="E166" s="35"/>
      <c r="F166" s="37">
        <v>0.9</v>
      </c>
      <c r="G166" s="35"/>
      <c r="H166" s="37">
        <v>0.9</v>
      </c>
    </row>
    <row r="167" spans="1:8" hidden="1" x14ac:dyDescent="0.2">
      <c r="A167" s="239" t="s">
        <v>50</v>
      </c>
      <c r="B167" s="35" t="s">
        <v>60</v>
      </c>
      <c r="C167" s="36">
        <v>43586</v>
      </c>
      <c r="D167" s="36">
        <v>43951</v>
      </c>
      <c r="E167" s="37">
        <v>150.19999999999999</v>
      </c>
      <c r="F167" s="35"/>
      <c r="G167" s="35"/>
      <c r="H167" s="37">
        <v>150.19999999999999</v>
      </c>
    </row>
    <row r="168" spans="1:8" hidden="1" x14ac:dyDescent="0.2">
      <c r="A168" s="239" t="s">
        <v>50</v>
      </c>
      <c r="B168" s="35" t="s">
        <v>59</v>
      </c>
      <c r="C168" s="36">
        <v>42125</v>
      </c>
      <c r="D168" s="36">
        <v>42490</v>
      </c>
      <c r="E168" s="35"/>
      <c r="F168" s="37">
        <v>4.57</v>
      </c>
      <c r="G168" s="35"/>
      <c r="H168" s="37">
        <v>4.57</v>
      </c>
    </row>
    <row r="169" spans="1:8" hidden="1" x14ac:dyDescent="0.2">
      <c r="A169" s="239" t="s">
        <v>50</v>
      </c>
      <c r="B169" s="239" t="s">
        <v>58</v>
      </c>
      <c r="C169" s="36">
        <v>43952</v>
      </c>
      <c r="D169" s="36">
        <v>44074</v>
      </c>
      <c r="E169" s="37">
        <v>1008.37</v>
      </c>
      <c r="F169" s="35"/>
      <c r="G169" s="35"/>
      <c r="H169" s="37">
        <v>1008.37</v>
      </c>
    </row>
    <row r="170" spans="1:8" hidden="1" x14ac:dyDescent="0.2">
      <c r="A170" s="239" t="s">
        <v>50</v>
      </c>
      <c r="B170" s="239" t="s">
        <v>58</v>
      </c>
      <c r="C170" s="36">
        <v>44075</v>
      </c>
      <c r="D170" s="36">
        <v>44118</v>
      </c>
      <c r="E170" s="37">
        <v>16012.6</v>
      </c>
      <c r="F170" s="35"/>
      <c r="G170" s="35"/>
      <c r="H170" s="37">
        <v>16012.6</v>
      </c>
    </row>
    <row r="171" spans="1:8" x14ac:dyDescent="0.2">
      <c r="A171" s="239" t="s">
        <v>50</v>
      </c>
      <c r="B171" s="239" t="s">
        <v>58</v>
      </c>
      <c r="C171" s="47">
        <v>44119</v>
      </c>
      <c r="D171" s="47">
        <v>2958465</v>
      </c>
      <c r="E171" s="39">
        <v>2015.91</v>
      </c>
      <c r="F171" s="38"/>
      <c r="G171" s="38"/>
      <c r="H171" s="39">
        <v>2015.91</v>
      </c>
    </row>
    <row r="172" spans="1:8" x14ac:dyDescent="0.2">
      <c r="A172" s="239" t="s">
        <v>50</v>
      </c>
      <c r="B172" s="35" t="s">
        <v>57</v>
      </c>
      <c r="C172" s="36">
        <v>44119</v>
      </c>
      <c r="D172" s="36">
        <v>2958465</v>
      </c>
      <c r="E172" s="35"/>
      <c r="F172" s="35"/>
      <c r="G172" s="37">
        <v>2256.39</v>
      </c>
      <c r="H172" s="37">
        <v>2256.39</v>
      </c>
    </row>
    <row r="173" spans="1:8" hidden="1" x14ac:dyDescent="0.2">
      <c r="A173" s="239" t="s">
        <v>50</v>
      </c>
      <c r="B173" s="35" t="s">
        <v>56</v>
      </c>
      <c r="C173" s="36">
        <v>43525</v>
      </c>
      <c r="D173" s="36">
        <v>43585</v>
      </c>
      <c r="E173" s="35"/>
      <c r="F173" s="37">
        <v>25.48</v>
      </c>
      <c r="G173" s="35"/>
      <c r="H173" s="37">
        <v>25.48</v>
      </c>
    </row>
    <row r="174" spans="1:8" hidden="1" x14ac:dyDescent="0.2">
      <c r="A174" s="239" t="s">
        <v>50</v>
      </c>
      <c r="B174" s="35" t="s">
        <v>55</v>
      </c>
      <c r="C174" s="36">
        <v>43088</v>
      </c>
      <c r="D174" s="36">
        <v>43220</v>
      </c>
      <c r="E174" s="35"/>
      <c r="F174" s="37">
        <v>6.82</v>
      </c>
      <c r="G174" s="35"/>
      <c r="H174" s="37">
        <v>6.82</v>
      </c>
    </row>
    <row r="175" spans="1:8" hidden="1" x14ac:dyDescent="0.2">
      <c r="A175" s="239" t="s">
        <v>50</v>
      </c>
      <c r="B175" s="35" t="s">
        <v>54</v>
      </c>
      <c r="C175" s="36">
        <v>41760</v>
      </c>
      <c r="D175" s="36">
        <v>42124</v>
      </c>
      <c r="E175" s="37">
        <v>1.53</v>
      </c>
      <c r="F175" s="35"/>
      <c r="G175" s="35"/>
      <c r="H175" s="37">
        <v>1.53</v>
      </c>
    </row>
    <row r="176" spans="1:8" hidden="1" x14ac:dyDescent="0.2">
      <c r="A176" s="239" t="s">
        <v>50</v>
      </c>
      <c r="B176" s="239" t="s">
        <v>53</v>
      </c>
      <c r="C176" s="36">
        <v>43952</v>
      </c>
      <c r="D176" s="36">
        <v>44074</v>
      </c>
      <c r="E176" s="35"/>
      <c r="F176" s="37">
        <v>1432.21</v>
      </c>
      <c r="G176" s="35"/>
      <c r="H176" s="37">
        <v>1432.21</v>
      </c>
    </row>
    <row r="177" spans="1:8" hidden="1" x14ac:dyDescent="0.2">
      <c r="A177" s="239" t="s">
        <v>50</v>
      </c>
      <c r="B177" s="239" t="s">
        <v>53</v>
      </c>
      <c r="C177" s="36">
        <v>44075</v>
      </c>
      <c r="D177" s="36">
        <v>44118</v>
      </c>
      <c r="E177" s="35"/>
      <c r="F177" s="37">
        <v>22742.97</v>
      </c>
      <c r="G177" s="35"/>
      <c r="H177" s="37">
        <v>22742.97</v>
      </c>
    </row>
    <row r="178" spans="1:8" x14ac:dyDescent="0.2">
      <c r="A178" s="239" t="s">
        <v>50</v>
      </c>
      <c r="B178" s="239" t="s">
        <v>53</v>
      </c>
      <c r="C178" s="47">
        <v>44119</v>
      </c>
      <c r="D178" s="47">
        <v>2958465</v>
      </c>
      <c r="E178" s="38"/>
      <c r="F178" s="39">
        <v>2863.23</v>
      </c>
      <c r="G178" s="38"/>
      <c r="H178" s="39">
        <v>2863.23</v>
      </c>
    </row>
    <row r="179" spans="1:8" hidden="1" x14ac:dyDescent="0.2">
      <c r="A179" s="239" t="s">
        <v>50</v>
      </c>
      <c r="B179" s="35" t="s">
        <v>52</v>
      </c>
      <c r="C179" s="36">
        <v>43586</v>
      </c>
      <c r="D179" s="36">
        <v>43951</v>
      </c>
      <c r="E179" s="35"/>
      <c r="F179" s="37">
        <v>352.89</v>
      </c>
      <c r="G179" s="35"/>
      <c r="H179" s="37">
        <v>352.89</v>
      </c>
    </row>
    <row r="180" spans="1:8" hidden="1" x14ac:dyDescent="0.2">
      <c r="A180" s="239" t="s">
        <v>50</v>
      </c>
      <c r="B180" s="35" t="s">
        <v>51</v>
      </c>
      <c r="C180" s="36">
        <v>42125</v>
      </c>
      <c r="D180" s="36">
        <v>42490</v>
      </c>
      <c r="E180" s="37">
        <v>12.96</v>
      </c>
      <c r="F180" s="35"/>
      <c r="G180" s="35"/>
      <c r="H180" s="37">
        <v>12.96</v>
      </c>
    </row>
    <row r="181" spans="1:8" hidden="1" x14ac:dyDescent="0.2">
      <c r="A181" s="239" t="s">
        <v>50</v>
      </c>
      <c r="B181" s="239" t="s">
        <v>49</v>
      </c>
      <c r="C181" s="36">
        <v>42491</v>
      </c>
      <c r="D181" s="36">
        <v>42855</v>
      </c>
      <c r="E181" s="37">
        <v>19.809999999999999</v>
      </c>
      <c r="F181" s="35"/>
      <c r="G181" s="35"/>
      <c r="H181" s="37">
        <v>19.809999999999999</v>
      </c>
    </row>
    <row r="182" spans="1:8" hidden="1" x14ac:dyDescent="0.2">
      <c r="A182" s="239" t="s">
        <v>50</v>
      </c>
      <c r="B182" s="239" t="s">
        <v>49</v>
      </c>
      <c r="C182" s="36">
        <v>42856</v>
      </c>
      <c r="D182" s="36">
        <v>43087</v>
      </c>
      <c r="E182" s="37">
        <v>5.56</v>
      </c>
      <c r="F182" s="35"/>
      <c r="G182" s="35"/>
      <c r="H182" s="37">
        <v>5.56</v>
      </c>
    </row>
    <row r="183" spans="1:8" hidden="1" x14ac:dyDescent="0.2">
      <c r="A183" s="239" t="s">
        <v>47</v>
      </c>
      <c r="B183" s="35" t="s">
        <v>48</v>
      </c>
      <c r="C183" s="36">
        <v>44075</v>
      </c>
      <c r="D183" s="36">
        <v>44118</v>
      </c>
      <c r="E183" s="35"/>
      <c r="F183" s="37">
        <v>50563.75</v>
      </c>
      <c r="G183" s="35"/>
      <c r="H183" s="37">
        <v>50563.75</v>
      </c>
    </row>
    <row r="184" spans="1:8" hidden="1" x14ac:dyDescent="0.2">
      <c r="A184" s="239" t="s">
        <v>47</v>
      </c>
      <c r="B184" s="35" t="s">
        <v>46</v>
      </c>
      <c r="C184" s="36">
        <v>44075</v>
      </c>
      <c r="D184" s="36">
        <v>44118</v>
      </c>
      <c r="E184" s="37">
        <v>68378.600000000006</v>
      </c>
      <c r="F184" s="35"/>
      <c r="G184" s="35"/>
      <c r="H184" s="37">
        <v>68378.600000000006</v>
      </c>
    </row>
    <row r="186" spans="1:8" ht="12" thickBot="1" x14ac:dyDescent="0.25">
      <c r="G186" s="46" t="s">
        <v>25</v>
      </c>
      <c r="H186" s="45">
        <f>SUM(H4,H8,H12,H15,H19,H22,H27,H33,H38,H42,H46,H50,H55,H58,H63,H66,H70,H73,H77,H80,H84,H87,H92,H95,H101,H105,H109,H113,H129,H132,H137,H139,H144,H149,H171,H178)</f>
        <v>153724.61000000002</v>
      </c>
    </row>
    <row r="187" spans="1:8" ht="12" thickTop="1" x14ac:dyDescent="0.2"/>
  </sheetData>
  <autoFilter ref="A1:H184">
    <filterColumn colId="2">
      <filters>
        <dateGroupItem year="2020" month="10" dateTimeGrouping="month"/>
      </filters>
    </filterColumn>
  </autoFilter>
  <mergeCells count="68">
    <mergeCell ref="A183:A184"/>
    <mergeCell ref="B162:B163"/>
    <mergeCell ref="B165:B166"/>
    <mergeCell ref="B169:B171"/>
    <mergeCell ref="B176:B178"/>
    <mergeCell ref="A162:A182"/>
    <mergeCell ref="B181:B182"/>
    <mergeCell ref="B153:B154"/>
    <mergeCell ref="B155:B156"/>
    <mergeCell ref="A140:A161"/>
    <mergeCell ref="A124:A125"/>
    <mergeCell ref="B127:B129"/>
    <mergeCell ref="A126:A132"/>
    <mergeCell ref="B130:B132"/>
    <mergeCell ref="B136:B137"/>
    <mergeCell ref="A135:A139"/>
    <mergeCell ref="B138:B139"/>
    <mergeCell ref="B140:B141"/>
    <mergeCell ref="B142:B144"/>
    <mergeCell ref="B147:B149"/>
    <mergeCell ref="B114:B115"/>
    <mergeCell ref="A114:A117"/>
    <mergeCell ref="B116:B117"/>
    <mergeCell ref="B118:B119"/>
    <mergeCell ref="B121:B122"/>
    <mergeCell ref="A118:A123"/>
    <mergeCell ref="B99:B101"/>
    <mergeCell ref="A97:A105"/>
    <mergeCell ref="B103:B105"/>
    <mergeCell ref="B107:B109"/>
    <mergeCell ref="A106:A113"/>
    <mergeCell ref="B111:B113"/>
    <mergeCell ref="B82:B84"/>
    <mergeCell ref="A81:A87"/>
    <mergeCell ref="B86:B87"/>
    <mergeCell ref="B90:B92"/>
    <mergeCell ref="B93:B95"/>
    <mergeCell ref="A88:A96"/>
    <mergeCell ref="B68:B70"/>
    <mergeCell ref="A67:A73"/>
    <mergeCell ref="B71:B73"/>
    <mergeCell ref="B75:B77"/>
    <mergeCell ref="A74:A80"/>
    <mergeCell ref="B79:B80"/>
    <mergeCell ref="B53:B55"/>
    <mergeCell ref="B56:B58"/>
    <mergeCell ref="A51:A59"/>
    <mergeCell ref="B61:B63"/>
    <mergeCell ref="A60:A66"/>
    <mergeCell ref="B64:B66"/>
    <mergeCell ref="B36:B38"/>
    <mergeCell ref="B40:B42"/>
    <mergeCell ref="A35:A43"/>
    <mergeCell ref="B44:B46"/>
    <mergeCell ref="A44:A50"/>
    <mergeCell ref="B48:B50"/>
    <mergeCell ref="B17:B19"/>
    <mergeCell ref="A16:A22"/>
    <mergeCell ref="B21:B22"/>
    <mergeCell ref="B25:B27"/>
    <mergeCell ref="B31:B33"/>
    <mergeCell ref="A23:A34"/>
    <mergeCell ref="B3:B4"/>
    <mergeCell ref="A2:A8"/>
    <mergeCell ref="B6:B8"/>
    <mergeCell ref="B10:B12"/>
    <mergeCell ref="A9:A15"/>
    <mergeCell ref="B13:B15"/>
  </mergeCells>
  <pageMargins left="0.75" right="0.75" top="1" bottom="1" header="0.5" footer="0.5"/>
  <pageSetup orientation="portrait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pane ySplit="6" topLeftCell="A7" activePane="bottomLeft" state="frozen"/>
      <selection pane="bottomLeft" activeCell="I31" sqref="I31"/>
    </sheetView>
  </sheetViews>
  <sheetFormatPr defaultRowHeight="11.25" x14ac:dyDescent="0.2"/>
  <cols>
    <col min="1" max="1" width="24.5703125" style="76" bestFit="1" customWidth="1"/>
    <col min="2" max="2" width="19.140625" style="76" customWidth="1"/>
    <col min="3" max="3" width="15.7109375" style="76" bestFit="1" customWidth="1"/>
    <col min="4" max="5" width="9.140625" style="76"/>
    <col min="6" max="6" width="21.5703125" style="76" bestFit="1" customWidth="1"/>
    <col min="7" max="8" width="11.42578125" style="76" bestFit="1" customWidth="1"/>
    <col min="9" max="9" width="10.85546875" style="76" bestFit="1" customWidth="1"/>
    <col min="10" max="10" width="11.28515625" style="76" bestFit="1" customWidth="1"/>
    <col min="11" max="12" width="11.7109375" style="76" bestFit="1" customWidth="1"/>
    <col min="13" max="13" width="11.7109375" style="76" customWidth="1"/>
    <col min="14" max="14" width="11.28515625" style="76" bestFit="1" customWidth="1"/>
    <col min="15" max="16384" width="9.140625" style="76"/>
  </cols>
  <sheetData>
    <row r="1" spans="1:14" x14ac:dyDescent="0.2">
      <c r="A1" s="244" t="s">
        <v>156</v>
      </c>
      <c r="B1" s="244"/>
      <c r="C1" s="244"/>
    </row>
    <row r="2" spans="1:14" x14ac:dyDescent="0.2">
      <c r="A2" s="244" t="s">
        <v>157</v>
      </c>
      <c r="B2" s="244"/>
      <c r="C2" s="244"/>
    </row>
    <row r="3" spans="1:14" x14ac:dyDescent="0.2">
      <c r="A3" s="245">
        <v>44135</v>
      </c>
      <c r="B3" s="245"/>
      <c r="C3" s="245"/>
    </row>
    <row r="4" spans="1:14" x14ac:dyDescent="0.2">
      <c r="A4" s="77"/>
      <c r="B4" s="77"/>
    </row>
    <row r="5" spans="1:14" x14ac:dyDescent="0.2">
      <c r="C5" s="99" t="s">
        <v>196</v>
      </c>
    </row>
    <row r="6" spans="1:14" s="78" customFormat="1" x14ac:dyDescent="0.2">
      <c r="A6" s="78" t="s">
        <v>158</v>
      </c>
      <c r="B6" s="78" t="s">
        <v>130</v>
      </c>
      <c r="C6" s="78" t="s">
        <v>159</v>
      </c>
    </row>
    <row r="7" spans="1:14" s="2" customFormat="1" x14ac:dyDescent="0.2">
      <c r="A7" s="79" t="s">
        <v>41</v>
      </c>
      <c r="B7" s="80" t="s">
        <v>65</v>
      </c>
      <c r="C7" s="98">
        <v>120944425.65135133</v>
      </c>
    </row>
    <row r="8" spans="1:14" s="2" customFormat="1" ht="13.5" customHeight="1" thickBot="1" x14ac:dyDescent="0.25">
      <c r="A8" s="79" t="s">
        <v>41</v>
      </c>
      <c r="B8" s="80" t="s">
        <v>80</v>
      </c>
      <c r="C8" s="98">
        <v>17400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s="2" customFormat="1" ht="15.75" customHeight="1" thickBot="1" x14ac:dyDescent="0.3">
      <c r="A9" s="96" t="s">
        <v>160</v>
      </c>
      <c r="B9" s="79"/>
      <c r="C9" s="82">
        <v>120961825.65135133</v>
      </c>
      <c r="F9" s="78" t="s">
        <v>207</v>
      </c>
      <c r="G9" s="240" t="s">
        <v>199</v>
      </c>
      <c r="H9" s="241"/>
      <c r="I9" s="241"/>
      <c r="J9" s="242"/>
      <c r="K9" s="243" t="s">
        <v>200</v>
      </c>
      <c r="L9" s="241"/>
      <c r="M9" s="241"/>
      <c r="N9" s="242"/>
    </row>
    <row r="10" spans="1:14" s="2" customFormat="1" ht="23.25" thickBot="1" x14ac:dyDescent="0.25">
      <c r="A10" s="79"/>
      <c r="B10" s="79"/>
      <c r="C10" s="81"/>
      <c r="F10" s="100" t="s">
        <v>189</v>
      </c>
      <c r="G10" s="111" t="s">
        <v>201</v>
      </c>
      <c r="H10" s="104" t="s">
        <v>202</v>
      </c>
      <c r="I10" s="104" t="s">
        <v>203</v>
      </c>
      <c r="J10" s="112" t="s">
        <v>208</v>
      </c>
      <c r="K10" s="104" t="s">
        <v>202</v>
      </c>
      <c r="L10" s="104" t="s">
        <v>203</v>
      </c>
      <c r="M10" s="104" t="s">
        <v>209</v>
      </c>
      <c r="N10" s="108" t="s">
        <v>204</v>
      </c>
    </row>
    <row r="11" spans="1:14" s="2" customFormat="1" x14ac:dyDescent="0.2">
      <c r="A11" s="79" t="s">
        <v>161</v>
      </c>
      <c r="B11" s="80" t="s">
        <v>50</v>
      </c>
      <c r="C11" s="98">
        <v>1566610.1902796198</v>
      </c>
      <c r="F11" s="101" t="s">
        <v>190</v>
      </c>
      <c r="G11" s="110">
        <v>-435340704.45039213</v>
      </c>
      <c r="H11" s="84">
        <v>136252923.14137748</v>
      </c>
      <c r="I11" s="84">
        <v>7017743.4653034881</v>
      </c>
      <c r="J11" s="113">
        <f>SUM(G11:I11)</f>
        <v>-292070037.8437112</v>
      </c>
      <c r="K11" s="84">
        <v>404492917.85862255</v>
      </c>
      <c r="L11" s="84">
        <v>8521545.6364399493</v>
      </c>
      <c r="M11" s="114">
        <f>SUM(K11:L11)</f>
        <v>413014463.49506247</v>
      </c>
      <c r="N11" s="105">
        <f>J11+M11</f>
        <v>120944425.65135127</v>
      </c>
    </row>
    <row r="12" spans="1:14" s="2" customFormat="1" x14ac:dyDescent="0.2">
      <c r="A12" s="79" t="s">
        <v>161</v>
      </c>
      <c r="B12" s="80" t="s">
        <v>118</v>
      </c>
      <c r="C12" s="98">
        <v>399660</v>
      </c>
      <c r="F12" s="101" t="s">
        <v>191</v>
      </c>
      <c r="G12" s="110">
        <v>-120641705.40283431</v>
      </c>
      <c r="H12" s="84">
        <v>32193660.108667351</v>
      </c>
      <c r="I12" s="84">
        <v>2263228.3920262726</v>
      </c>
      <c r="J12" s="113">
        <f t="shared" ref="J12:J17" si="0">SUM(G12:I12)</f>
        <v>-86184816.902140677</v>
      </c>
      <c r="K12" s="84">
        <v>92881426.891332626</v>
      </c>
      <c r="L12" s="84">
        <v>2748205.9046033309</v>
      </c>
      <c r="M12" s="114">
        <f t="shared" ref="M12:M16" si="1">SUM(K12:L12)</f>
        <v>95629632.795935959</v>
      </c>
      <c r="N12" s="105">
        <f t="shared" ref="N12:N17" si="2">J12+M12</f>
        <v>9444815.8937952816</v>
      </c>
    </row>
    <row r="13" spans="1:14" s="2" customFormat="1" x14ac:dyDescent="0.2">
      <c r="A13" s="79" t="s">
        <v>161</v>
      </c>
      <c r="B13" s="80" t="s">
        <v>117</v>
      </c>
      <c r="C13" s="98">
        <v>1038523.3866666676</v>
      </c>
      <c r="F13" s="101" t="s">
        <v>192</v>
      </c>
      <c r="G13" s="110">
        <v>-137592871.24278796</v>
      </c>
      <c r="H13" s="84">
        <v>34368427.261119366</v>
      </c>
      <c r="I13" s="84">
        <v>5032463.1066308524</v>
      </c>
      <c r="J13" s="113">
        <f t="shared" si="0"/>
        <v>-98191980.875037745</v>
      </c>
      <c r="K13" s="84">
        <v>100526288.73888062</v>
      </c>
      <c r="L13" s="84">
        <v>6110848.0580517491</v>
      </c>
      <c r="M13" s="114">
        <f t="shared" si="1"/>
        <v>106637136.79693237</v>
      </c>
      <c r="N13" s="109">
        <f t="shared" si="2"/>
        <v>8445155.9218946248</v>
      </c>
    </row>
    <row r="14" spans="1:14" s="2" customFormat="1" x14ac:dyDescent="0.2">
      <c r="A14" s="79" t="s">
        <v>161</v>
      </c>
      <c r="B14" s="80" t="s">
        <v>116</v>
      </c>
      <c r="C14" s="98">
        <v>40600</v>
      </c>
      <c r="F14" s="101" t="s">
        <v>193</v>
      </c>
      <c r="G14" s="110">
        <v>-5267493.1818181816</v>
      </c>
      <c r="H14" s="84">
        <v>0</v>
      </c>
      <c r="I14" s="84">
        <v>0</v>
      </c>
      <c r="J14" s="113">
        <f t="shared" si="0"/>
        <v>-5267493.1818181816</v>
      </c>
      <c r="K14" s="84">
        <v>9088</v>
      </c>
      <c r="L14" s="84">
        <v>0</v>
      </c>
      <c r="M14" s="114">
        <f t="shared" si="1"/>
        <v>9088</v>
      </c>
      <c r="N14" s="109">
        <f t="shared" si="2"/>
        <v>-5258405.1818181816</v>
      </c>
    </row>
    <row r="15" spans="1:14" s="2" customFormat="1" x14ac:dyDescent="0.2">
      <c r="A15" s="79" t="s">
        <v>161</v>
      </c>
      <c r="B15" s="80" t="s">
        <v>115</v>
      </c>
      <c r="C15" s="98">
        <v>7460825.5884088129</v>
      </c>
      <c r="F15" s="101" t="s">
        <v>205</v>
      </c>
      <c r="G15" s="110">
        <v>-22924434.805000007</v>
      </c>
      <c r="H15" s="84">
        <v>10471240.076387096</v>
      </c>
      <c r="I15" s="84">
        <v>0</v>
      </c>
      <c r="J15" s="113">
        <f t="shared" si="0"/>
        <v>-12453194.728612911</v>
      </c>
      <c r="K15" s="84">
        <v>12715077.235612901</v>
      </c>
      <c r="L15" s="84">
        <v>0</v>
      </c>
      <c r="M15" s="114">
        <f t="shared" si="1"/>
        <v>12715077.235612901</v>
      </c>
      <c r="N15" s="109">
        <f t="shared" si="2"/>
        <v>261882.50699998997</v>
      </c>
    </row>
    <row r="16" spans="1:14" s="2" customFormat="1" x14ac:dyDescent="0.2">
      <c r="A16" s="79" t="s">
        <v>161</v>
      </c>
      <c r="B16" s="80" t="s">
        <v>112</v>
      </c>
      <c r="C16" s="98">
        <v>6167398.9093305022</v>
      </c>
      <c r="F16" s="101" t="s">
        <v>194</v>
      </c>
      <c r="G16" s="110">
        <v>-80844091.553124994</v>
      </c>
      <c r="H16" s="84">
        <v>20326686.453903213</v>
      </c>
      <c r="I16" s="84">
        <v>4583005.7015053714</v>
      </c>
      <c r="J16" s="113">
        <f t="shared" si="0"/>
        <v>-55934399.39771641</v>
      </c>
      <c r="K16" s="84">
        <v>56735504.546096794</v>
      </c>
      <c r="L16" s="84">
        <v>5565078.3518279511</v>
      </c>
      <c r="M16" s="114">
        <f t="shared" si="1"/>
        <v>62300582.897924744</v>
      </c>
      <c r="N16" s="109">
        <f t="shared" si="2"/>
        <v>6366183.5002083331</v>
      </c>
    </row>
    <row r="17" spans="1:15" s="2" customFormat="1" ht="12" thickBot="1" x14ac:dyDescent="0.25">
      <c r="A17" s="79" t="s">
        <v>161</v>
      </c>
      <c r="B17" s="80" t="s">
        <v>109</v>
      </c>
      <c r="C17" s="98">
        <v>6513809.3002083302</v>
      </c>
      <c r="F17" s="102" t="s">
        <v>195</v>
      </c>
      <c r="G17" s="115">
        <v>-64019470</v>
      </c>
      <c r="H17" s="107">
        <v>16682034.499707455</v>
      </c>
      <c r="I17" s="107">
        <v>4855815.8967741961</v>
      </c>
      <c r="J17" s="116">
        <f t="shared" si="0"/>
        <v>-42481619.603518352</v>
      </c>
      <c r="K17" s="107">
        <v>43847422.500292547</v>
      </c>
      <c r="L17" s="107">
        <v>5896347.8746543815</v>
      </c>
      <c r="M17" s="117">
        <f>SUM(K17:L17)</f>
        <v>49743770.37494693</v>
      </c>
      <c r="N17" s="106">
        <f t="shared" si="2"/>
        <v>7262150.7714285776</v>
      </c>
    </row>
    <row r="18" spans="1:15" s="2" customFormat="1" x14ac:dyDescent="0.2">
      <c r="A18" s="79" t="s">
        <v>161</v>
      </c>
      <c r="B18" s="80" t="s">
        <v>102</v>
      </c>
      <c r="C18" s="98">
        <v>-983360.75</v>
      </c>
      <c r="N18" s="103">
        <f>SUM(N11:N17)</f>
        <v>147466209.06385991</v>
      </c>
    </row>
    <row r="19" spans="1:15" s="2" customFormat="1" x14ac:dyDescent="0.2">
      <c r="A19" s="79" t="s">
        <v>161</v>
      </c>
      <c r="B19" s="80" t="s">
        <v>99</v>
      </c>
      <c r="C19" s="98">
        <v>3648727.7714285851</v>
      </c>
      <c r="I19" s="103"/>
      <c r="J19" s="103"/>
      <c r="L19" s="50" t="s">
        <v>206</v>
      </c>
      <c r="M19" s="50"/>
      <c r="N19" s="55">
        <f>N18-SUM(C7:C8,C11:C21,C28,C37,C31:C34,C41:C42,C59)</f>
        <v>0</v>
      </c>
      <c r="O19" s="50"/>
    </row>
    <row r="20" spans="1:15" s="2" customFormat="1" x14ac:dyDescent="0.2">
      <c r="A20" s="79" t="s">
        <v>161</v>
      </c>
      <c r="B20" s="80" t="s">
        <v>93</v>
      </c>
      <c r="C20" s="98">
        <v>-479400</v>
      </c>
      <c r="F20" s="16"/>
      <c r="G20" s="16"/>
      <c r="H20" s="16"/>
      <c r="I20" s="16"/>
      <c r="J20" s="16"/>
    </row>
    <row r="21" spans="1:15" s="2" customFormat="1" x14ac:dyDescent="0.2">
      <c r="A21" s="79" t="s">
        <v>161</v>
      </c>
      <c r="B21" s="80" t="s">
        <v>87</v>
      </c>
      <c r="C21" s="98">
        <v>2221257.9800000004</v>
      </c>
      <c r="F21" s="16"/>
      <c r="G21" s="16"/>
      <c r="H21" s="16"/>
      <c r="I21" s="16"/>
      <c r="J21" s="16"/>
    </row>
    <row r="22" spans="1:15" s="2" customFormat="1" x14ac:dyDescent="0.2">
      <c r="A22" s="79" t="s">
        <v>161</v>
      </c>
      <c r="B22" s="80" t="s">
        <v>162</v>
      </c>
      <c r="C22" s="81">
        <v>-473600</v>
      </c>
      <c r="F22" s="16"/>
      <c r="G22" s="16"/>
      <c r="H22" s="16"/>
      <c r="I22" s="16"/>
      <c r="J22" s="16"/>
    </row>
    <row r="23" spans="1:15" s="2" customFormat="1" x14ac:dyDescent="0.2">
      <c r="A23" s="79" t="s">
        <v>161</v>
      </c>
      <c r="B23" s="80" t="s">
        <v>163</v>
      </c>
      <c r="C23" s="81">
        <v>-3457023</v>
      </c>
      <c r="F23" s="16"/>
      <c r="G23" s="16"/>
      <c r="H23" s="16"/>
      <c r="I23" s="16"/>
      <c r="J23" s="16"/>
    </row>
    <row r="24" spans="1:15" s="2" customFormat="1" x14ac:dyDescent="0.2">
      <c r="A24" s="79" t="s">
        <v>161</v>
      </c>
      <c r="B24" s="80" t="s">
        <v>164</v>
      </c>
      <c r="C24" s="81">
        <v>2407.0330000000104</v>
      </c>
      <c r="F24" s="16"/>
      <c r="G24" s="16"/>
      <c r="H24" s="16"/>
      <c r="I24" s="16"/>
      <c r="J24" s="16"/>
    </row>
    <row r="25" spans="1:15" s="2" customFormat="1" x14ac:dyDescent="0.2">
      <c r="A25" s="79" t="s">
        <v>161</v>
      </c>
      <c r="B25" s="80" t="s">
        <v>84</v>
      </c>
      <c r="C25" s="81">
        <v>3533.1645000000135</v>
      </c>
      <c r="F25" s="16"/>
      <c r="G25" s="16"/>
      <c r="H25" s="16"/>
      <c r="I25" s="16"/>
      <c r="J25" s="16"/>
    </row>
    <row r="26" spans="1:15" s="2" customFormat="1" x14ac:dyDescent="0.2">
      <c r="A26" s="79" t="s">
        <v>161</v>
      </c>
      <c r="B26" s="80" t="s">
        <v>165</v>
      </c>
      <c r="C26" s="81">
        <v>4434.7339999999967</v>
      </c>
      <c r="F26" s="16"/>
      <c r="G26" s="16"/>
      <c r="H26" s="16"/>
      <c r="I26" s="16"/>
      <c r="J26" s="16"/>
    </row>
    <row r="27" spans="1:15" s="2" customFormat="1" x14ac:dyDescent="0.2">
      <c r="A27" s="79" t="s">
        <v>161</v>
      </c>
      <c r="B27" s="80" t="s">
        <v>166</v>
      </c>
      <c r="C27" s="81">
        <v>-33.75</v>
      </c>
      <c r="F27" s="76"/>
      <c r="G27" s="76"/>
      <c r="H27" s="76"/>
      <c r="I27" s="16"/>
      <c r="J27" s="16"/>
    </row>
    <row r="28" spans="1:15" s="2" customFormat="1" x14ac:dyDescent="0.2">
      <c r="A28" s="79" t="s">
        <v>161</v>
      </c>
      <c r="B28" s="80" t="s">
        <v>91</v>
      </c>
      <c r="C28" s="98">
        <v>-4915205.1818181816</v>
      </c>
      <c r="E28" s="76"/>
      <c r="F28" s="76"/>
      <c r="G28" s="76"/>
      <c r="H28" s="76"/>
      <c r="I28" s="76"/>
      <c r="J28" s="76"/>
    </row>
    <row r="29" spans="1:15" s="2" customFormat="1" x14ac:dyDescent="0.2">
      <c r="A29" s="96" t="s">
        <v>167</v>
      </c>
      <c r="B29" s="79"/>
      <c r="C29" s="82">
        <v>18759165.376004338</v>
      </c>
      <c r="E29" s="76"/>
      <c r="F29" s="76"/>
      <c r="G29" s="76"/>
      <c r="H29" s="76"/>
      <c r="I29" s="76"/>
      <c r="J29" s="76"/>
    </row>
    <row r="30" spans="1:15" s="2" customFormat="1" x14ac:dyDescent="0.2">
      <c r="A30" s="79"/>
      <c r="B30" s="79"/>
      <c r="C30" s="81"/>
      <c r="E30" s="76"/>
      <c r="F30" s="76"/>
      <c r="G30" s="76"/>
      <c r="H30" s="76"/>
      <c r="I30" s="76"/>
      <c r="J30" s="76"/>
    </row>
    <row r="31" spans="1:15" s="2" customFormat="1" x14ac:dyDescent="0.2">
      <c r="A31" s="79" t="s">
        <v>168</v>
      </c>
      <c r="B31" s="80" t="s">
        <v>114</v>
      </c>
      <c r="C31" s="98">
        <v>410461.11510685878</v>
      </c>
      <c r="E31" s="16"/>
      <c r="F31" s="76"/>
      <c r="G31" s="76"/>
      <c r="H31" s="76"/>
      <c r="I31" s="76"/>
      <c r="J31" s="76"/>
    </row>
    <row r="32" spans="1:15" s="2" customFormat="1" ht="15" customHeight="1" x14ac:dyDescent="0.2">
      <c r="A32" s="79" t="s">
        <v>168</v>
      </c>
      <c r="B32" s="80" t="s">
        <v>111</v>
      </c>
      <c r="C32" s="98">
        <v>437945.39589743409</v>
      </c>
      <c r="E32" s="16"/>
      <c r="F32" s="76"/>
      <c r="G32" s="76"/>
      <c r="H32" s="76"/>
      <c r="I32" s="76"/>
      <c r="J32" s="76"/>
    </row>
    <row r="33" spans="1:15" s="2" customFormat="1" x14ac:dyDescent="0.2">
      <c r="A33" s="79" t="s">
        <v>168</v>
      </c>
      <c r="B33" s="80" t="s">
        <v>105</v>
      </c>
      <c r="C33" s="98">
        <v>-188225.80000000075</v>
      </c>
      <c r="E33" s="16"/>
      <c r="F33" s="76"/>
      <c r="G33" s="76"/>
      <c r="H33" s="76"/>
      <c r="I33" s="76"/>
      <c r="J33" s="76"/>
    </row>
    <row r="34" spans="1:15" s="2" customFormat="1" x14ac:dyDescent="0.2">
      <c r="A34" s="79" t="s">
        <v>168</v>
      </c>
      <c r="B34" s="80" t="s">
        <v>95</v>
      </c>
      <c r="C34" s="98">
        <v>3213763</v>
      </c>
      <c r="E34" s="16"/>
      <c r="F34" s="76"/>
      <c r="G34" s="76"/>
      <c r="H34" s="76"/>
      <c r="I34" s="76"/>
      <c r="J34" s="76"/>
    </row>
    <row r="35" spans="1:15" s="2" customFormat="1" x14ac:dyDescent="0.2">
      <c r="A35" s="79" t="s">
        <v>168</v>
      </c>
      <c r="B35" s="80" t="s">
        <v>169</v>
      </c>
      <c r="C35" s="81">
        <v>462360</v>
      </c>
      <c r="E35" s="16"/>
      <c r="F35" s="76"/>
      <c r="G35" s="76"/>
      <c r="H35" s="76"/>
      <c r="I35" s="76"/>
      <c r="J35" s="76"/>
    </row>
    <row r="36" spans="1:15" s="2" customFormat="1" x14ac:dyDescent="0.2">
      <c r="A36" s="79" t="s">
        <v>168</v>
      </c>
      <c r="B36" s="80" t="s">
        <v>170</v>
      </c>
      <c r="C36" s="81">
        <v>-1008000</v>
      </c>
      <c r="E36" s="16"/>
      <c r="F36" s="76"/>
      <c r="G36" s="76"/>
      <c r="H36" s="76"/>
      <c r="I36" s="76"/>
      <c r="J36" s="76"/>
    </row>
    <row r="37" spans="1:15" s="2" customFormat="1" ht="15.75" customHeight="1" x14ac:dyDescent="0.2">
      <c r="A37" s="79" t="s">
        <v>168</v>
      </c>
      <c r="B37" s="80" t="s">
        <v>88</v>
      </c>
      <c r="C37" s="98">
        <v>-343200</v>
      </c>
      <c r="E37" s="16"/>
      <c r="F37" s="76"/>
      <c r="G37" s="76"/>
      <c r="H37" s="76"/>
      <c r="I37" s="76"/>
      <c r="J37" s="76"/>
    </row>
    <row r="38" spans="1:15" s="2" customFormat="1" x14ac:dyDescent="0.2">
      <c r="A38" s="96" t="s">
        <v>171</v>
      </c>
      <c r="B38" s="79"/>
      <c r="C38" s="82">
        <v>2985103.7110042926</v>
      </c>
      <c r="E38" s="16"/>
      <c r="F38" s="76"/>
      <c r="G38" s="76"/>
      <c r="H38" s="76"/>
      <c r="I38" s="76"/>
      <c r="J38" s="76"/>
      <c r="O38" s="76"/>
    </row>
    <row r="39" spans="1:15" s="2" customFormat="1" x14ac:dyDescent="0.2">
      <c r="A39" s="79"/>
      <c r="B39" s="79"/>
      <c r="C39" s="81"/>
      <c r="E39" s="1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s="2" customFormat="1" x14ac:dyDescent="0.2">
      <c r="A40" s="83" t="s">
        <v>172</v>
      </c>
      <c r="B40" s="80" t="s">
        <v>173</v>
      </c>
      <c r="C40" s="81">
        <v>0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5" s="2" customFormat="1" x14ac:dyDescent="0.2">
      <c r="A41" s="83" t="s">
        <v>172</v>
      </c>
      <c r="B41" s="80" t="s">
        <v>113</v>
      </c>
      <c r="C41" s="98">
        <v>6919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16"/>
    </row>
    <row r="42" spans="1:15" s="2" customFormat="1" x14ac:dyDescent="0.2">
      <c r="A42" s="83" t="s">
        <v>172</v>
      </c>
      <c r="B42" s="80" t="s">
        <v>110</v>
      </c>
      <c r="C42" s="98">
        <v>25391</v>
      </c>
      <c r="E42" s="76"/>
      <c r="F42" s="76"/>
      <c r="G42" s="76"/>
      <c r="H42" s="76"/>
      <c r="I42" s="76"/>
      <c r="J42" s="76"/>
      <c r="K42" s="16"/>
      <c r="L42" s="16"/>
      <c r="M42" s="16"/>
      <c r="N42" s="16"/>
      <c r="O42" s="16"/>
    </row>
    <row r="43" spans="1:15" s="2" customFormat="1" x14ac:dyDescent="0.2">
      <c r="A43" s="83" t="s">
        <v>172</v>
      </c>
      <c r="B43" s="80" t="s">
        <v>174</v>
      </c>
      <c r="C43" s="81">
        <v>0</v>
      </c>
      <c r="E43" s="76"/>
      <c r="F43" s="76"/>
      <c r="G43" s="76"/>
      <c r="H43" s="76"/>
      <c r="I43" s="76"/>
      <c r="J43" s="76"/>
      <c r="K43" s="16"/>
      <c r="L43" s="16"/>
      <c r="M43" s="16"/>
      <c r="N43" s="16"/>
      <c r="O43" s="16"/>
    </row>
    <row r="44" spans="1:15" s="2" customFormat="1" x14ac:dyDescent="0.2">
      <c r="A44" s="83" t="s">
        <v>172</v>
      </c>
      <c r="B44" s="80" t="s">
        <v>175</v>
      </c>
      <c r="C44" s="81">
        <v>-533.39900000000489</v>
      </c>
      <c r="E44" s="76"/>
      <c r="F44" s="76"/>
      <c r="G44" s="76"/>
      <c r="H44" s="76"/>
      <c r="I44" s="76"/>
      <c r="J44" s="76"/>
      <c r="K44" s="16"/>
      <c r="L44" s="16"/>
      <c r="M44" s="16"/>
      <c r="N44" s="16"/>
      <c r="O44" s="16"/>
    </row>
    <row r="45" spans="1:15" s="2" customFormat="1" x14ac:dyDescent="0.2">
      <c r="A45" s="83" t="s">
        <v>172</v>
      </c>
      <c r="B45" s="80" t="s">
        <v>176</v>
      </c>
      <c r="C45" s="81">
        <v>5105.9414999999572</v>
      </c>
      <c r="E45" s="76"/>
      <c r="F45" s="76"/>
      <c r="G45" s="76"/>
      <c r="H45" s="76"/>
      <c r="I45" s="76"/>
      <c r="J45" s="76"/>
      <c r="K45" s="16"/>
      <c r="L45" s="16"/>
      <c r="M45" s="16"/>
      <c r="N45" s="16"/>
      <c r="O45" s="16"/>
    </row>
    <row r="46" spans="1:15" s="2" customFormat="1" x14ac:dyDescent="0.2">
      <c r="A46" s="83" t="s">
        <v>172</v>
      </c>
      <c r="B46" s="80" t="s">
        <v>86</v>
      </c>
      <c r="C46" s="81">
        <v>193220.26100000017</v>
      </c>
      <c r="E46" s="76"/>
      <c r="F46" s="76"/>
      <c r="G46" s="76"/>
      <c r="H46" s="76"/>
      <c r="I46" s="76"/>
      <c r="J46" s="76"/>
      <c r="K46" s="16"/>
      <c r="L46" s="16"/>
      <c r="M46" s="16"/>
      <c r="N46" s="16"/>
      <c r="O46" s="16"/>
    </row>
    <row r="47" spans="1:15" s="2" customFormat="1" x14ac:dyDescent="0.2">
      <c r="A47" s="83" t="s">
        <v>172</v>
      </c>
      <c r="B47" s="80" t="s">
        <v>177</v>
      </c>
      <c r="C47" s="81">
        <v>77013.532500000001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16"/>
    </row>
    <row r="48" spans="1:15" s="2" customFormat="1" x14ac:dyDescent="0.2">
      <c r="A48" s="83" t="s">
        <v>172</v>
      </c>
      <c r="B48" s="80" t="s">
        <v>178</v>
      </c>
      <c r="C48" s="81">
        <v>70241.5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16"/>
    </row>
    <row r="49" spans="1:15" s="2" customFormat="1" x14ac:dyDescent="0.2">
      <c r="A49" s="96" t="s">
        <v>179</v>
      </c>
      <c r="B49" s="79"/>
      <c r="C49" s="82">
        <v>377357.83600000013</v>
      </c>
      <c r="D49" s="1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16"/>
    </row>
    <row r="50" spans="1:15" s="2" customFormat="1" x14ac:dyDescent="0.2">
      <c r="A50" s="83"/>
      <c r="B50" s="79"/>
      <c r="C50" s="84"/>
      <c r="D50" s="1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1:15" s="2" customFormat="1" x14ac:dyDescent="0.2">
      <c r="A51" s="83" t="s">
        <v>180</v>
      </c>
      <c r="B51" s="85" t="s">
        <v>181</v>
      </c>
      <c r="C51" s="82">
        <v>177660</v>
      </c>
      <c r="D51" s="1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x14ac:dyDescent="0.2">
      <c r="A52" s="86"/>
      <c r="B52" s="86"/>
      <c r="C52" s="87"/>
      <c r="D52" s="16"/>
    </row>
    <row r="53" spans="1:15" x14ac:dyDescent="0.2">
      <c r="A53" s="94" t="s">
        <v>182</v>
      </c>
      <c r="B53" s="86"/>
      <c r="C53" s="88">
        <v>143261112.57435995</v>
      </c>
      <c r="D53" s="16"/>
    </row>
    <row r="54" spans="1:15" x14ac:dyDescent="0.2">
      <c r="A54" s="89"/>
      <c r="B54" s="86"/>
      <c r="C54" s="87"/>
      <c r="D54" s="16"/>
    </row>
    <row r="55" spans="1:15" s="16" customFormat="1" x14ac:dyDescent="0.2">
      <c r="A55" s="90" t="s">
        <v>183</v>
      </c>
      <c r="B55" s="91" t="s">
        <v>184</v>
      </c>
      <c r="C55" s="87">
        <v>123038.82199999993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1:15" s="16" customFormat="1" x14ac:dyDescent="0.2">
      <c r="A56" s="90" t="s">
        <v>183</v>
      </c>
      <c r="B56" s="91" t="s">
        <v>185</v>
      </c>
      <c r="C56" s="87">
        <v>1341000.8720000237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5" s="16" customFormat="1" x14ac:dyDescent="0.2">
      <c r="A57" s="90" t="s">
        <v>183</v>
      </c>
      <c r="B57" s="91" t="s">
        <v>185</v>
      </c>
      <c r="C57" s="87">
        <v>0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15" s="16" customFormat="1" x14ac:dyDescent="0.2">
      <c r="A58" s="90" t="s">
        <v>183</v>
      </c>
      <c r="B58" s="91" t="s">
        <v>186</v>
      </c>
      <c r="C58" s="87">
        <v>122399.14999999851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1:15" s="16" customFormat="1" x14ac:dyDescent="0.2">
      <c r="A59" s="90" t="s">
        <v>183</v>
      </c>
      <c r="B59" s="91" t="s">
        <v>47</v>
      </c>
      <c r="C59" s="98">
        <v>261882.50699998811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</row>
    <row r="60" spans="1:15" s="16" customFormat="1" x14ac:dyDescent="0.2">
      <c r="A60" s="97" t="s">
        <v>31</v>
      </c>
      <c r="B60" s="17"/>
      <c r="C60" s="92">
        <v>1848321.3510000103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15" s="16" customFormat="1" x14ac:dyDescent="0.2"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15" s="16" customFormat="1" ht="12" thickBot="1" x14ac:dyDescent="0.25">
      <c r="A62" s="94" t="s">
        <v>187</v>
      </c>
      <c r="C62" s="93">
        <v>145109433.92535996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1:15" s="16" customFormat="1" ht="12" thickTop="1" x14ac:dyDescent="0.2">
      <c r="A63" s="75" t="s">
        <v>188</v>
      </c>
      <c r="C63" s="9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</sheetData>
  <mergeCells count="5">
    <mergeCell ref="G9:J9"/>
    <mergeCell ref="K9:N9"/>
    <mergeCell ref="A1:C1"/>
    <mergeCell ref="A2:C2"/>
    <mergeCell ref="A3:C3"/>
  </mergeCells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8"/>
  <sheetViews>
    <sheetView workbookViewId="0">
      <selection activeCell="M12" sqref="M12"/>
    </sheetView>
  </sheetViews>
  <sheetFormatPr defaultRowHeight="15" x14ac:dyDescent="0.25"/>
  <cols>
    <col min="1" max="1" width="22.7109375" customWidth="1"/>
    <col min="2" max="73" width="12" bestFit="1" customWidth="1"/>
    <col min="74" max="74" width="5.140625" style="66" bestFit="1" customWidth="1"/>
  </cols>
  <sheetData>
    <row r="1" spans="1:74" s="5" customFormat="1" ht="15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6"/>
      <c r="BV1" s="50"/>
    </row>
    <row r="2" spans="1:74" s="5" customFormat="1" ht="11.25" x14ac:dyDescent="0.2">
      <c r="A2" s="246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51"/>
      <c r="BV2" s="50"/>
    </row>
    <row r="3" spans="1:74" s="5" customFormat="1" ht="11.25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BV3" s="50"/>
    </row>
    <row r="4" spans="1:74" s="5" customFormat="1" ht="11.25" x14ac:dyDescent="0.2">
      <c r="A4" s="7" t="s">
        <v>129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27"/>
      <c r="BV4" s="50"/>
    </row>
    <row r="5" spans="1:74" s="5" customFormat="1" ht="11.25" x14ac:dyDescent="0.2">
      <c r="A5" s="24" t="s">
        <v>130</v>
      </c>
      <c r="B5" s="52">
        <v>43831</v>
      </c>
      <c r="C5" s="53">
        <f t="shared" ref="C5:BN5" si="0">EDATE(B5,1)</f>
        <v>43862</v>
      </c>
      <c r="D5" s="53">
        <f t="shared" si="0"/>
        <v>43891</v>
      </c>
      <c r="E5" s="53">
        <f t="shared" si="0"/>
        <v>43922</v>
      </c>
      <c r="F5" s="53">
        <f t="shared" si="0"/>
        <v>43952</v>
      </c>
      <c r="G5" s="53">
        <f t="shared" si="0"/>
        <v>43983</v>
      </c>
      <c r="H5" s="53">
        <f t="shared" si="0"/>
        <v>44013</v>
      </c>
      <c r="I5" s="53">
        <f t="shared" si="0"/>
        <v>44044</v>
      </c>
      <c r="J5" s="53">
        <f t="shared" si="0"/>
        <v>44075</v>
      </c>
      <c r="K5" s="53">
        <f t="shared" si="0"/>
        <v>44105</v>
      </c>
      <c r="L5" s="53">
        <f t="shared" si="0"/>
        <v>44136</v>
      </c>
      <c r="M5" s="53">
        <f t="shared" si="0"/>
        <v>44166</v>
      </c>
      <c r="N5" s="53">
        <f t="shared" si="0"/>
        <v>44197</v>
      </c>
      <c r="O5" s="53">
        <f t="shared" si="0"/>
        <v>44228</v>
      </c>
      <c r="P5" s="53">
        <f t="shared" si="0"/>
        <v>44256</v>
      </c>
      <c r="Q5" s="53">
        <f t="shared" si="0"/>
        <v>44287</v>
      </c>
      <c r="R5" s="53">
        <f t="shared" si="0"/>
        <v>44317</v>
      </c>
      <c r="S5" s="53">
        <f t="shared" si="0"/>
        <v>44348</v>
      </c>
      <c r="T5" s="53">
        <f t="shared" si="0"/>
        <v>44378</v>
      </c>
      <c r="U5" s="53">
        <f t="shared" si="0"/>
        <v>44409</v>
      </c>
      <c r="V5" s="53">
        <f t="shared" si="0"/>
        <v>44440</v>
      </c>
      <c r="W5" s="53">
        <f t="shared" si="0"/>
        <v>44470</v>
      </c>
      <c r="X5" s="53">
        <f t="shared" si="0"/>
        <v>44501</v>
      </c>
      <c r="Y5" s="53">
        <f t="shared" si="0"/>
        <v>44531</v>
      </c>
      <c r="Z5" s="53">
        <f t="shared" si="0"/>
        <v>44562</v>
      </c>
      <c r="AA5" s="53">
        <f t="shared" si="0"/>
        <v>44593</v>
      </c>
      <c r="AB5" s="53">
        <f t="shared" si="0"/>
        <v>44621</v>
      </c>
      <c r="AC5" s="53">
        <f t="shared" si="0"/>
        <v>44652</v>
      </c>
      <c r="AD5" s="53">
        <f t="shared" si="0"/>
        <v>44682</v>
      </c>
      <c r="AE5" s="53">
        <f t="shared" si="0"/>
        <v>44713</v>
      </c>
      <c r="AF5" s="53">
        <f t="shared" si="0"/>
        <v>44743</v>
      </c>
      <c r="AG5" s="53">
        <f t="shared" si="0"/>
        <v>44774</v>
      </c>
      <c r="AH5" s="53">
        <f t="shared" si="0"/>
        <v>44805</v>
      </c>
      <c r="AI5" s="53">
        <f t="shared" si="0"/>
        <v>44835</v>
      </c>
      <c r="AJ5" s="53">
        <f t="shared" si="0"/>
        <v>44866</v>
      </c>
      <c r="AK5" s="53">
        <f t="shared" si="0"/>
        <v>44896</v>
      </c>
      <c r="AL5" s="53">
        <f t="shared" si="0"/>
        <v>44927</v>
      </c>
      <c r="AM5" s="53">
        <f t="shared" si="0"/>
        <v>44958</v>
      </c>
      <c r="AN5" s="53">
        <f t="shared" si="0"/>
        <v>44986</v>
      </c>
      <c r="AO5" s="53">
        <f t="shared" si="0"/>
        <v>45017</v>
      </c>
      <c r="AP5" s="53">
        <f t="shared" si="0"/>
        <v>45047</v>
      </c>
      <c r="AQ5" s="53">
        <f t="shared" si="0"/>
        <v>45078</v>
      </c>
      <c r="AR5" s="53">
        <f t="shared" si="0"/>
        <v>45108</v>
      </c>
      <c r="AS5" s="53">
        <f t="shared" si="0"/>
        <v>45139</v>
      </c>
      <c r="AT5" s="53">
        <f t="shared" si="0"/>
        <v>45170</v>
      </c>
      <c r="AU5" s="53">
        <f t="shared" si="0"/>
        <v>45200</v>
      </c>
      <c r="AV5" s="53">
        <f t="shared" si="0"/>
        <v>45231</v>
      </c>
      <c r="AW5" s="53">
        <f t="shared" si="0"/>
        <v>45261</v>
      </c>
      <c r="AX5" s="53">
        <f t="shared" si="0"/>
        <v>45292</v>
      </c>
      <c r="AY5" s="53">
        <f t="shared" si="0"/>
        <v>45323</v>
      </c>
      <c r="AZ5" s="53">
        <f t="shared" si="0"/>
        <v>45352</v>
      </c>
      <c r="BA5" s="53">
        <f t="shared" si="0"/>
        <v>45383</v>
      </c>
      <c r="BB5" s="53">
        <f t="shared" si="0"/>
        <v>45413</v>
      </c>
      <c r="BC5" s="53">
        <f t="shared" si="0"/>
        <v>45444</v>
      </c>
      <c r="BD5" s="53">
        <f t="shared" si="0"/>
        <v>45474</v>
      </c>
      <c r="BE5" s="53">
        <f t="shared" si="0"/>
        <v>45505</v>
      </c>
      <c r="BF5" s="53">
        <f t="shared" si="0"/>
        <v>45536</v>
      </c>
      <c r="BG5" s="53">
        <f t="shared" si="0"/>
        <v>45566</v>
      </c>
      <c r="BH5" s="53">
        <f t="shared" si="0"/>
        <v>45597</v>
      </c>
      <c r="BI5" s="53">
        <f t="shared" si="0"/>
        <v>45627</v>
      </c>
      <c r="BJ5" s="53">
        <f t="shared" si="0"/>
        <v>45658</v>
      </c>
      <c r="BK5" s="53">
        <f t="shared" si="0"/>
        <v>45689</v>
      </c>
      <c r="BL5" s="53">
        <f t="shared" si="0"/>
        <v>45717</v>
      </c>
      <c r="BM5" s="53">
        <f t="shared" si="0"/>
        <v>45748</v>
      </c>
      <c r="BN5" s="53">
        <f t="shared" si="0"/>
        <v>45778</v>
      </c>
      <c r="BO5" s="53">
        <f t="shared" ref="BO5:BU5" si="1">EDATE(BN5,1)</f>
        <v>45809</v>
      </c>
      <c r="BP5" s="53">
        <f t="shared" si="1"/>
        <v>45839</v>
      </c>
      <c r="BQ5" s="53">
        <f t="shared" si="1"/>
        <v>45870</v>
      </c>
      <c r="BR5" s="53">
        <f t="shared" si="1"/>
        <v>45901</v>
      </c>
      <c r="BS5" s="53">
        <f t="shared" si="1"/>
        <v>45931</v>
      </c>
      <c r="BT5" s="53">
        <f t="shared" si="1"/>
        <v>45962</v>
      </c>
      <c r="BU5" s="53">
        <f t="shared" si="1"/>
        <v>45992</v>
      </c>
      <c r="BV5" s="50" t="s">
        <v>131</v>
      </c>
    </row>
    <row r="6" spans="1:74" s="5" customFormat="1" ht="11.25" x14ac:dyDescent="0.2">
      <c r="A6" s="27">
        <v>7</v>
      </c>
      <c r="B6" s="54">
        <v>1329993391</v>
      </c>
      <c r="C6" s="54">
        <v>1062163453</v>
      </c>
      <c r="D6" s="54">
        <v>1055401420</v>
      </c>
      <c r="E6" s="54">
        <v>849716937</v>
      </c>
      <c r="F6" s="54">
        <v>777110104</v>
      </c>
      <c r="G6" s="54">
        <v>710832422</v>
      </c>
      <c r="H6" s="54">
        <v>715691865</v>
      </c>
      <c r="I6" s="54">
        <v>729309773</v>
      </c>
      <c r="J6" s="54">
        <v>665467634</v>
      </c>
      <c r="K6" s="54">
        <v>844394169</v>
      </c>
      <c r="L6" s="54">
        <v>1073913079</v>
      </c>
      <c r="M6" s="54">
        <v>1256546796</v>
      </c>
      <c r="N6" s="54">
        <v>1275428758</v>
      </c>
      <c r="O6" s="54">
        <v>1039133161</v>
      </c>
      <c r="P6" s="54">
        <v>1079882739</v>
      </c>
      <c r="Q6" s="54">
        <v>867761914</v>
      </c>
      <c r="R6" s="54">
        <v>777238186</v>
      </c>
      <c r="S6" s="54">
        <v>704136133</v>
      </c>
      <c r="T6" s="54">
        <v>699175112</v>
      </c>
      <c r="U6" s="54">
        <v>712807062</v>
      </c>
      <c r="V6" s="54">
        <v>655958094</v>
      </c>
      <c r="W6" s="54">
        <v>848236807</v>
      </c>
      <c r="X6" s="54">
        <v>1078151323</v>
      </c>
      <c r="Y6" s="54">
        <v>1228414999</v>
      </c>
      <c r="Z6" s="54">
        <v>1233208796</v>
      </c>
      <c r="AA6" s="54">
        <v>1007610045</v>
      </c>
      <c r="AB6" s="54">
        <v>1048700217</v>
      </c>
      <c r="AC6" s="54">
        <v>843267859</v>
      </c>
      <c r="AD6" s="54">
        <v>753829339</v>
      </c>
      <c r="AE6" s="54">
        <v>679699483</v>
      </c>
      <c r="AF6" s="54">
        <v>672641513</v>
      </c>
      <c r="AG6" s="54">
        <v>685838782</v>
      </c>
      <c r="AH6" s="54">
        <v>627879954</v>
      </c>
      <c r="AI6" s="54">
        <v>810381864</v>
      </c>
      <c r="AJ6" s="54">
        <v>1031823536</v>
      </c>
      <c r="AK6" s="54">
        <v>1194543450</v>
      </c>
      <c r="AL6" s="54">
        <v>1214715641</v>
      </c>
      <c r="AM6" s="54">
        <v>994336252</v>
      </c>
      <c r="AN6" s="54">
        <v>1035566191</v>
      </c>
      <c r="AO6" s="54">
        <v>834799658</v>
      </c>
      <c r="AP6" s="54">
        <v>748271455</v>
      </c>
      <c r="AQ6" s="54">
        <v>675298317</v>
      </c>
      <c r="AR6" s="54">
        <v>668941197</v>
      </c>
      <c r="AS6" s="54">
        <v>682703185</v>
      </c>
      <c r="AT6" s="54">
        <v>622874929</v>
      </c>
      <c r="AU6" s="54">
        <v>801913461</v>
      </c>
      <c r="AV6" s="54">
        <v>1019133348</v>
      </c>
      <c r="AW6" s="54">
        <v>1182221878</v>
      </c>
      <c r="AX6" s="54">
        <v>1217486604</v>
      </c>
      <c r="AY6" s="54">
        <v>1002977021</v>
      </c>
      <c r="AZ6" s="54">
        <v>1037447377</v>
      </c>
      <c r="BA6" s="54">
        <v>834636192</v>
      </c>
      <c r="BB6" s="54">
        <v>751427334</v>
      </c>
      <c r="BC6" s="54">
        <v>679536869</v>
      </c>
      <c r="BD6" s="54">
        <v>673667516</v>
      </c>
      <c r="BE6" s="54">
        <v>687828330</v>
      </c>
      <c r="BF6" s="54">
        <v>624980065</v>
      </c>
      <c r="BG6" s="54">
        <v>799625767</v>
      </c>
      <c r="BH6" s="54">
        <v>1011395675</v>
      </c>
      <c r="BI6" s="54">
        <v>1175671047</v>
      </c>
      <c r="BJ6" s="54">
        <v>1205341825</v>
      </c>
      <c r="BK6" s="54">
        <v>990545016</v>
      </c>
      <c r="BL6" s="54">
        <v>1034698508</v>
      </c>
      <c r="BM6" s="54">
        <v>839350830</v>
      </c>
      <c r="BN6" s="54">
        <v>756934750</v>
      </c>
      <c r="BO6" s="54">
        <v>684350349</v>
      </c>
      <c r="BP6" s="54">
        <v>677017420</v>
      </c>
      <c r="BQ6" s="54">
        <v>690260543</v>
      </c>
      <c r="BR6" s="54">
        <v>623837284</v>
      </c>
      <c r="BS6" s="54">
        <v>794283953</v>
      </c>
      <c r="BT6" s="54">
        <v>1003451140</v>
      </c>
      <c r="BU6" s="54">
        <v>1166538904</v>
      </c>
      <c r="BV6" s="55">
        <v>0</v>
      </c>
    </row>
    <row r="7" spans="1:74" s="5" customFormat="1" ht="11.25" x14ac:dyDescent="0.2">
      <c r="A7" s="27" t="s">
        <v>132</v>
      </c>
      <c r="B7" s="54">
        <v>287609</v>
      </c>
      <c r="C7" s="54">
        <v>211547</v>
      </c>
      <c r="D7" s="54">
        <v>202580</v>
      </c>
      <c r="E7" s="54">
        <v>165063</v>
      </c>
      <c r="F7" s="54">
        <v>173896</v>
      </c>
      <c r="G7" s="54">
        <v>193578</v>
      </c>
      <c r="H7" s="54">
        <v>239135</v>
      </c>
      <c r="I7" s="54">
        <v>251227</v>
      </c>
      <c r="J7" s="54">
        <v>196366</v>
      </c>
      <c r="K7" s="54">
        <v>211831</v>
      </c>
      <c r="L7" s="54">
        <v>233921</v>
      </c>
      <c r="M7" s="54">
        <v>288204</v>
      </c>
      <c r="N7" s="54">
        <v>274242</v>
      </c>
      <c r="O7" s="54">
        <v>205839</v>
      </c>
      <c r="P7" s="54">
        <v>206261</v>
      </c>
      <c r="Q7" s="54">
        <v>168086</v>
      </c>
      <c r="R7" s="54">
        <v>173814</v>
      </c>
      <c r="S7" s="54">
        <v>191867</v>
      </c>
      <c r="T7" s="54">
        <v>233888</v>
      </c>
      <c r="U7" s="54">
        <v>245938</v>
      </c>
      <c r="V7" s="54">
        <v>193906</v>
      </c>
      <c r="W7" s="54">
        <v>213193</v>
      </c>
      <c r="X7" s="54">
        <v>234677</v>
      </c>
      <c r="Y7" s="54">
        <v>281001</v>
      </c>
      <c r="Z7" s="54">
        <v>264204</v>
      </c>
      <c r="AA7" s="54">
        <v>198955</v>
      </c>
      <c r="AB7" s="54">
        <v>199783</v>
      </c>
      <c r="AC7" s="54">
        <v>163141</v>
      </c>
      <c r="AD7" s="54">
        <v>168661</v>
      </c>
      <c r="AE7" s="54">
        <v>185517</v>
      </c>
      <c r="AF7" s="54">
        <v>225487</v>
      </c>
      <c r="AG7" s="54">
        <v>237218</v>
      </c>
      <c r="AH7" s="54">
        <v>186046</v>
      </c>
      <c r="AI7" s="54">
        <v>204136</v>
      </c>
      <c r="AJ7" s="54">
        <v>224464</v>
      </c>
      <c r="AK7" s="54">
        <v>272550</v>
      </c>
      <c r="AL7" s="54">
        <v>259359</v>
      </c>
      <c r="AM7" s="54">
        <v>195748</v>
      </c>
      <c r="AN7" s="54">
        <v>196809</v>
      </c>
      <c r="AO7" s="54">
        <v>161342</v>
      </c>
      <c r="AP7" s="54">
        <v>167545</v>
      </c>
      <c r="AQ7" s="54">
        <v>184683</v>
      </c>
      <c r="AR7" s="54">
        <v>224803</v>
      </c>
      <c r="AS7" s="54">
        <v>236815</v>
      </c>
      <c r="AT7" s="54">
        <v>185071</v>
      </c>
      <c r="AU7" s="54">
        <v>202539</v>
      </c>
      <c r="AV7" s="54">
        <v>221652</v>
      </c>
      <c r="AW7" s="54">
        <v>269122</v>
      </c>
      <c r="AX7" s="54">
        <v>259396</v>
      </c>
      <c r="AY7" s="54">
        <v>196979</v>
      </c>
      <c r="AZ7" s="54">
        <v>196623</v>
      </c>
      <c r="BA7" s="54">
        <v>160808</v>
      </c>
      <c r="BB7" s="54">
        <v>167666</v>
      </c>
      <c r="BC7" s="54">
        <v>185131</v>
      </c>
      <c r="BD7" s="54">
        <v>225484</v>
      </c>
      <c r="BE7" s="54">
        <v>237670</v>
      </c>
      <c r="BF7" s="54">
        <v>184935</v>
      </c>
      <c r="BG7" s="54">
        <v>201233</v>
      </c>
      <c r="BH7" s="54">
        <v>219325</v>
      </c>
      <c r="BI7" s="54">
        <v>266953</v>
      </c>
      <c r="BJ7" s="54">
        <v>256175</v>
      </c>
      <c r="BK7" s="54">
        <v>193984</v>
      </c>
      <c r="BL7" s="54">
        <v>195492</v>
      </c>
      <c r="BM7" s="54">
        <v>161170</v>
      </c>
      <c r="BN7" s="54">
        <v>168250</v>
      </c>
      <c r="BO7" s="54">
        <v>185651</v>
      </c>
      <c r="BP7" s="54">
        <v>225580</v>
      </c>
      <c r="BQ7" s="54">
        <v>237457</v>
      </c>
      <c r="BR7" s="54">
        <v>183716</v>
      </c>
      <c r="BS7" s="54">
        <v>199047</v>
      </c>
      <c r="BT7" s="54">
        <v>216860</v>
      </c>
      <c r="BU7" s="54">
        <v>264096</v>
      </c>
      <c r="BV7" s="55">
        <v>0</v>
      </c>
    </row>
    <row r="8" spans="1:74" s="5" customFormat="1" ht="11.25" x14ac:dyDescent="0.2">
      <c r="A8" s="27" t="s">
        <v>133</v>
      </c>
      <c r="B8" s="54">
        <v>286216934</v>
      </c>
      <c r="C8" s="54">
        <v>241177337</v>
      </c>
      <c r="D8" s="54">
        <v>232100820</v>
      </c>
      <c r="E8" s="54">
        <v>198145025</v>
      </c>
      <c r="F8" s="54">
        <v>199689722</v>
      </c>
      <c r="G8" s="54">
        <v>201334424</v>
      </c>
      <c r="H8" s="54">
        <v>220808059</v>
      </c>
      <c r="I8" s="54">
        <v>226495980</v>
      </c>
      <c r="J8" s="54">
        <v>202961543</v>
      </c>
      <c r="K8" s="54">
        <v>205600395</v>
      </c>
      <c r="L8" s="54">
        <v>222449386</v>
      </c>
      <c r="M8" s="54">
        <v>257023269</v>
      </c>
      <c r="N8" s="54">
        <v>264172407</v>
      </c>
      <c r="O8" s="54">
        <v>225446667</v>
      </c>
      <c r="P8" s="54">
        <v>240700391</v>
      </c>
      <c r="Q8" s="54">
        <v>220943000</v>
      </c>
      <c r="R8" s="54">
        <v>209672470</v>
      </c>
      <c r="S8" s="54">
        <v>200897289</v>
      </c>
      <c r="T8" s="54">
        <v>221897552</v>
      </c>
      <c r="U8" s="54">
        <v>225423888</v>
      </c>
      <c r="V8" s="54">
        <v>200756639</v>
      </c>
      <c r="W8" s="54">
        <v>206249440</v>
      </c>
      <c r="X8" s="54">
        <v>224463860</v>
      </c>
      <c r="Y8" s="54">
        <v>254176095</v>
      </c>
      <c r="Z8" s="54">
        <v>258556334</v>
      </c>
      <c r="AA8" s="54">
        <v>220881505</v>
      </c>
      <c r="AB8" s="54">
        <v>236102963</v>
      </c>
      <c r="AC8" s="54">
        <v>216219954</v>
      </c>
      <c r="AD8" s="54">
        <v>204327366</v>
      </c>
      <c r="AE8" s="54">
        <v>195206356</v>
      </c>
      <c r="AF8" s="54">
        <v>214887896</v>
      </c>
      <c r="AG8" s="54">
        <v>218368414</v>
      </c>
      <c r="AH8" s="54">
        <v>194291004</v>
      </c>
      <c r="AI8" s="54">
        <v>199915539</v>
      </c>
      <c r="AJ8" s="54">
        <v>218407994</v>
      </c>
      <c r="AK8" s="54">
        <v>251674697</v>
      </c>
      <c r="AL8" s="54">
        <v>259760955</v>
      </c>
      <c r="AM8" s="54">
        <v>221289997</v>
      </c>
      <c r="AN8" s="54">
        <v>236065722</v>
      </c>
      <c r="AO8" s="54">
        <v>215799976</v>
      </c>
      <c r="AP8" s="54">
        <v>203883506</v>
      </c>
      <c r="AQ8" s="54">
        <v>194892155</v>
      </c>
      <c r="AR8" s="54">
        <v>214642069</v>
      </c>
      <c r="AS8" s="54">
        <v>218302510</v>
      </c>
      <c r="AT8" s="54">
        <v>193888571</v>
      </c>
      <c r="AU8" s="54">
        <v>199475855</v>
      </c>
      <c r="AV8" s="54">
        <v>218137276</v>
      </c>
      <c r="AW8" s="54">
        <v>251247875</v>
      </c>
      <c r="AX8" s="54">
        <v>260509770</v>
      </c>
      <c r="AY8" s="54">
        <v>223299095</v>
      </c>
      <c r="AZ8" s="54">
        <v>235491819</v>
      </c>
      <c r="BA8" s="54">
        <v>213199392</v>
      </c>
      <c r="BB8" s="54">
        <v>201446308</v>
      </c>
      <c r="BC8" s="54">
        <v>192532458</v>
      </c>
      <c r="BD8" s="54">
        <v>211819592</v>
      </c>
      <c r="BE8" s="54">
        <v>215349750</v>
      </c>
      <c r="BF8" s="54">
        <v>191026204</v>
      </c>
      <c r="BG8" s="54">
        <v>196869030</v>
      </c>
      <c r="BH8" s="54">
        <v>215551043</v>
      </c>
      <c r="BI8" s="54">
        <v>248245182</v>
      </c>
      <c r="BJ8" s="54">
        <v>255218812</v>
      </c>
      <c r="BK8" s="54">
        <v>216842504</v>
      </c>
      <c r="BL8" s="54">
        <v>230508238</v>
      </c>
      <c r="BM8" s="54">
        <v>209992668</v>
      </c>
      <c r="BN8" s="54">
        <v>198015635</v>
      </c>
      <c r="BO8" s="54">
        <v>188890673</v>
      </c>
      <c r="BP8" s="54">
        <v>207672172</v>
      </c>
      <c r="BQ8" s="54">
        <v>211463345</v>
      </c>
      <c r="BR8" s="54">
        <v>187285097</v>
      </c>
      <c r="BS8" s="54">
        <v>193216385</v>
      </c>
      <c r="BT8" s="54">
        <v>211872795</v>
      </c>
      <c r="BU8" s="54">
        <v>244095245</v>
      </c>
      <c r="BV8" s="55">
        <v>0</v>
      </c>
    </row>
    <row r="9" spans="1:74" s="5" customFormat="1" ht="11.25" x14ac:dyDescent="0.2">
      <c r="A9" s="27" t="s">
        <v>134</v>
      </c>
      <c r="B9" s="54">
        <v>278525908</v>
      </c>
      <c r="C9" s="54">
        <v>247336467</v>
      </c>
      <c r="D9" s="54">
        <v>227150489</v>
      </c>
      <c r="E9" s="54">
        <v>205527499</v>
      </c>
      <c r="F9" s="54">
        <v>215650586</v>
      </c>
      <c r="G9" s="54">
        <v>224039944</v>
      </c>
      <c r="H9" s="54">
        <v>243685869</v>
      </c>
      <c r="I9" s="54">
        <v>251269938</v>
      </c>
      <c r="J9" s="54">
        <v>225982122</v>
      </c>
      <c r="K9" s="54">
        <v>228970564</v>
      </c>
      <c r="L9" s="54">
        <v>237002951</v>
      </c>
      <c r="M9" s="54">
        <v>263417312</v>
      </c>
      <c r="N9" s="54">
        <v>258263621</v>
      </c>
      <c r="O9" s="54">
        <v>231704131</v>
      </c>
      <c r="P9" s="54">
        <v>236171176</v>
      </c>
      <c r="Q9" s="54">
        <v>229939640</v>
      </c>
      <c r="R9" s="54">
        <v>227390914</v>
      </c>
      <c r="S9" s="54">
        <v>224577687</v>
      </c>
      <c r="T9" s="54">
        <v>245772476</v>
      </c>
      <c r="U9" s="54">
        <v>250582476</v>
      </c>
      <c r="V9" s="54">
        <v>223881642</v>
      </c>
      <c r="W9" s="54">
        <v>229984663</v>
      </c>
      <c r="X9" s="54">
        <v>239032918</v>
      </c>
      <c r="Y9" s="54">
        <v>259871323</v>
      </c>
      <c r="Z9" s="54">
        <v>251491307</v>
      </c>
      <c r="AA9" s="54">
        <v>226028714</v>
      </c>
      <c r="AB9" s="54">
        <v>230701291</v>
      </c>
      <c r="AC9" s="54">
        <v>224376183</v>
      </c>
      <c r="AD9" s="54">
        <v>221189944</v>
      </c>
      <c r="AE9" s="54">
        <v>217992004</v>
      </c>
      <c r="AF9" s="54">
        <v>237806677</v>
      </c>
      <c r="AG9" s="54">
        <v>242592607</v>
      </c>
      <c r="AH9" s="54">
        <v>216687284</v>
      </c>
      <c r="AI9" s="54">
        <v>223214536</v>
      </c>
      <c r="AJ9" s="54">
        <v>232852173</v>
      </c>
      <c r="AK9" s="54">
        <v>257471822</v>
      </c>
      <c r="AL9" s="54">
        <v>251922367</v>
      </c>
      <c r="AM9" s="54">
        <v>225671308</v>
      </c>
      <c r="AN9" s="54">
        <v>229774913</v>
      </c>
      <c r="AO9" s="54">
        <v>223182608</v>
      </c>
      <c r="AP9" s="54">
        <v>219977716</v>
      </c>
      <c r="AQ9" s="54">
        <v>216844791</v>
      </c>
      <c r="AR9" s="54">
        <v>236405062</v>
      </c>
      <c r="AS9" s="54">
        <v>241140371</v>
      </c>
      <c r="AT9" s="54">
        <v>214885901</v>
      </c>
      <c r="AU9" s="54">
        <v>221265385</v>
      </c>
      <c r="AV9" s="54">
        <v>230778738</v>
      </c>
      <c r="AW9" s="54">
        <v>254741046</v>
      </c>
      <c r="AX9" s="54">
        <v>252221454</v>
      </c>
      <c r="AY9" s="54">
        <v>227302959</v>
      </c>
      <c r="AZ9" s="54">
        <v>228719371</v>
      </c>
      <c r="BA9" s="54">
        <v>219971136</v>
      </c>
      <c r="BB9" s="54">
        <v>216817618</v>
      </c>
      <c r="BC9" s="54">
        <v>213690962</v>
      </c>
      <c r="BD9" s="54">
        <v>232717758</v>
      </c>
      <c r="BE9" s="54">
        <v>237310040</v>
      </c>
      <c r="BF9" s="54">
        <v>211155426</v>
      </c>
      <c r="BG9" s="54">
        <v>217777057</v>
      </c>
      <c r="BH9" s="54">
        <v>227460627</v>
      </c>
      <c r="BI9" s="54">
        <v>251067269</v>
      </c>
      <c r="BJ9" s="54">
        <v>246465060</v>
      </c>
      <c r="BK9" s="54">
        <v>220073036</v>
      </c>
      <c r="BL9" s="54">
        <v>223201453</v>
      </c>
      <c r="BM9" s="54">
        <v>216003105</v>
      </c>
      <c r="BN9" s="54">
        <v>212462536</v>
      </c>
      <c r="BO9" s="54">
        <v>208999516</v>
      </c>
      <c r="BP9" s="54">
        <v>227459890</v>
      </c>
      <c r="BQ9" s="54">
        <v>232339462</v>
      </c>
      <c r="BR9" s="54">
        <v>206347828</v>
      </c>
      <c r="BS9" s="54">
        <v>213024655</v>
      </c>
      <c r="BT9" s="54">
        <v>222886313</v>
      </c>
      <c r="BU9" s="54">
        <v>246130845</v>
      </c>
      <c r="BV9" s="55">
        <v>0</v>
      </c>
    </row>
    <row r="10" spans="1:74" s="5" customFormat="1" ht="11.25" x14ac:dyDescent="0.2">
      <c r="A10" s="27" t="s">
        <v>135</v>
      </c>
      <c r="B10" s="54">
        <v>155046782</v>
      </c>
      <c r="C10" s="54">
        <v>138104730</v>
      </c>
      <c r="D10" s="54">
        <v>131921989</v>
      </c>
      <c r="E10" s="54">
        <v>117849498</v>
      </c>
      <c r="F10" s="54">
        <v>129607309</v>
      </c>
      <c r="G10" s="54">
        <v>135852758</v>
      </c>
      <c r="H10" s="54">
        <v>149898652</v>
      </c>
      <c r="I10" s="54">
        <v>153939727</v>
      </c>
      <c r="J10" s="54">
        <v>136822138</v>
      </c>
      <c r="K10" s="54">
        <v>138774360</v>
      </c>
      <c r="L10" s="54">
        <v>138632020</v>
      </c>
      <c r="M10" s="54">
        <v>149440377</v>
      </c>
      <c r="N10" s="54">
        <v>141622947</v>
      </c>
      <c r="O10" s="54">
        <v>127481393</v>
      </c>
      <c r="P10" s="54">
        <v>135063361</v>
      </c>
      <c r="Q10" s="54">
        <v>129653260</v>
      </c>
      <c r="R10" s="54">
        <v>134530205</v>
      </c>
      <c r="S10" s="54">
        <v>134400731</v>
      </c>
      <c r="T10" s="54">
        <v>149385804</v>
      </c>
      <c r="U10" s="54">
        <v>151667052</v>
      </c>
      <c r="V10" s="54">
        <v>133912726</v>
      </c>
      <c r="W10" s="54">
        <v>137678787</v>
      </c>
      <c r="X10" s="54">
        <v>138085489</v>
      </c>
      <c r="Y10" s="54">
        <v>145614985</v>
      </c>
      <c r="Z10" s="54">
        <v>136393832</v>
      </c>
      <c r="AA10" s="54">
        <v>122971053</v>
      </c>
      <c r="AB10" s="54">
        <v>130432704</v>
      </c>
      <c r="AC10" s="54">
        <v>125049670</v>
      </c>
      <c r="AD10" s="54">
        <v>129395713</v>
      </c>
      <c r="AE10" s="54">
        <v>129058532</v>
      </c>
      <c r="AF10" s="54">
        <v>143052470</v>
      </c>
      <c r="AG10" s="54">
        <v>145358152</v>
      </c>
      <c r="AH10" s="54">
        <v>128263554</v>
      </c>
      <c r="AI10" s="54">
        <v>132181502</v>
      </c>
      <c r="AJ10" s="54">
        <v>133050236</v>
      </c>
      <c r="AK10" s="54">
        <v>142755443</v>
      </c>
      <c r="AL10" s="54">
        <v>135511926</v>
      </c>
      <c r="AM10" s="54">
        <v>121787722</v>
      </c>
      <c r="AN10" s="54">
        <v>128822613</v>
      </c>
      <c r="AO10" s="54">
        <v>123308421</v>
      </c>
      <c r="AP10" s="54">
        <v>127596298</v>
      </c>
      <c r="AQ10" s="54">
        <v>127322309</v>
      </c>
      <c r="AR10" s="54">
        <v>141084032</v>
      </c>
      <c r="AS10" s="54">
        <v>143383467</v>
      </c>
      <c r="AT10" s="54">
        <v>126176937</v>
      </c>
      <c r="AU10" s="54">
        <v>129927382</v>
      </c>
      <c r="AV10" s="54">
        <v>130759085</v>
      </c>
      <c r="AW10" s="54">
        <v>140120510</v>
      </c>
      <c r="AX10" s="54">
        <v>135804359</v>
      </c>
      <c r="AY10" s="54">
        <v>122799612</v>
      </c>
      <c r="AZ10" s="54">
        <v>128374903</v>
      </c>
      <c r="BA10" s="54">
        <v>121683028</v>
      </c>
      <c r="BB10" s="54">
        <v>125907133</v>
      </c>
      <c r="BC10" s="54">
        <v>125612553</v>
      </c>
      <c r="BD10" s="54">
        <v>139044291</v>
      </c>
      <c r="BE10" s="54">
        <v>141250769</v>
      </c>
      <c r="BF10" s="54">
        <v>124125425</v>
      </c>
      <c r="BG10" s="54">
        <v>128020025</v>
      </c>
      <c r="BH10" s="54">
        <v>129008752</v>
      </c>
      <c r="BI10" s="54">
        <v>138239977</v>
      </c>
      <c r="BJ10" s="54">
        <v>132811403</v>
      </c>
      <c r="BK10" s="54">
        <v>118993908</v>
      </c>
      <c r="BL10" s="54">
        <v>125424642</v>
      </c>
      <c r="BM10" s="54">
        <v>119646682</v>
      </c>
      <c r="BN10" s="54">
        <v>123546274</v>
      </c>
      <c r="BO10" s="54">
        <v>123042331</v>
      </c>
      <c r="BP10" s="54">
        <v>136125713</v>
      </c>
      <c r="BQ10" s="54">
        <v>138494381</v>
      </c>
      <c r="BR10" s="54">
        <v>121501830</v>
      </c>
      <c r="BS10" s="54">
        <v>125445532</v>
      </c>
      <c r="BT10" s="54">
        <v>126621319</v>
      </c>
      <c r="BU10" s="54">
        <v>135742074</v>
      </c>
      <c r="BV10" s="55">
        <v>0</v>
      </c>
    </row>
    <row r="11" spans="1:74" s="5" customFormat="1" ht="11.25" x14ac:dyDescent="0.2">
      <c r="A11" s="27">
        <v>29</v>
      </c>
      <c r="B11" s="54">
        <v>320677</v>
      </c>
      <c r="C11" s="54">
        <v>271538</v>
      </c>
      <c r="D11" s="54">
        <v>283678</v>
      </c>
      <c r="E11" s="54">
        <v>281902</v>
      </c>
      <c r="F11" s="54">
        <v>736067</v>
      </c>
      <c r="G11" s="54">
        <v>1383437</v>
      </c>
      <c r="H11" s="54">
        <v>2574528</v>
      </c>
      <c r="I11" s="54">
        <v>3868925</v>
      </c>
      <c r="J11" s="54">
        <v>2836721</v>
      </c>
      <c r="K11" s="54">
        <v>1125522</v>
      </c>
      <c r="L11" s="54">
        <v>375415</v>
      </c>
      <c r="M11" s="54">
        <v>300493</v>
      </c>
      <c r="N11" s="54">
        <v>302509</v>
      </c>
      <c r="O11" s="54">
        <v>258672</v>
      </c>
      <c r="P11" s="54">
        <v>300189</v>
      </c>
      <c r="Q11" s="54">
        <v>321137</v>
      </c>
      <c r="R11" s="54">
        <v>789303</v>
      </c>
      <c r="S11" s="54">
        <v>1407418</v>
      </c>
      <c r="T11" s="54">
        <v>2633281</v>
      </c>
      <c r="U11" s="54">
        <v>3915107</v>
      </c>
      <c r="V11" s="54">
        <v>2850870</v>
      </c>
      <c r="W11" s="54">
        <v>1146688</v>
      </c>
      <c r="X11" s="54">
        <v>384127</v>
      </c>
      <c r="Y11" s="54">
        <v>300898</v>
      </c>
      <c r="Z11" s="54">
        <v>299581</v>
      </c>
      <c r="AA11" s="54">
        <v>256647</v>
      </c>
      <c r="AB11" s="54">
        <v>298217</v>
      </c>
      <c r="AC11" s="54">
        <v>318613</v>
      </c>
      <c r="AD11" s="54">
        <v>780434</v>
      </c>
      <c r="AE11" s="54">
        <v>1388460</v>
      </c>
      <c r="AF11" s="54">
        <v>2589398</v>
      </c>
      <c r="AG11" s="54">
        <v>3851910</v>
      </c>
      <c r="AH11" s="54">
        <v>2803926</v>
      </c>
      <c r="AI11" s="54">
        <v>1130954</v>
      </c>
      <c r="AJ11" s="54">
        <v>380268</v>
      </c>
      <c r="AK11" s="54">
        <v>302957</v>
      </c>
      <c r="AL11" s="54">
        <v>305710</v>
      </c>
      <c r="AM11" s="54">
        <v>261012</v>
      </c>
      <c r="AN11" s="54">
        <v>302510</v>
      </c>
      <c r="AO11" s="54">
        <v>322785</v>
      </c>
      <c r="AP11" s="54">
        <v>790600</v>
      </c>
      <c r="AQ11" s="54">
        <v>1407090</v>
      </c>
      <c r="AR11" s="54">
        <v>2622853</v>
      </c>
      <c r="AS11" s="54">
        <v>3901607</v>
      </c>
      <c r="AT11" s="54">
        <v>2833482</v>
      </c>
      <c r="AU11" s="54">
        <v>1142423</v>
      </c>
      <c r="AV11" s="54">
        <v>384065</v>
      </c>
      <c r="AW11" s="54">
        <v>305476</v>
      </c>
      <c r="AX11" s="54">
        <v>306185</v>
      </c>
      <c r="AY11" s="54">
        <v>262989</v>
      </c>
      <c r="AZ11" s="54">
        <v>301274</v>
      </c>
      <c r="BA11" s="54">
        <v>318300</v>
      </c>
      <c r="BB11" s="54">
        <v>779680</v>
      </c>
      <c r="BC11" s="54">
        <v>1387463</v>
      </c>
      <c r="BD11" s="54">
        <v>2583637</v>
      </c>
      <c r="BE11" s="54">
        <v>3842219</v>
      </c>
      <c r="BF11" s="54">
        <v>2786251</v>
      </c>
      <c r="BG11" s="54">
        <v>1125293</v>
      </c>
      <c r="BH11" s="54">
        <v>378840</v>
      </c>
      <c r="BI11" s="54">
        <v>301327</v>
      </c>
      <c r="BJ11" s="54">
        <v>299501</v>
      </c>
      <c r="BK11" s="54">
        <v>254908</v>
      </c>
      <c r="BL11" s="54">
        <v>294293</v>
      </c>
      <c r="BM11" s="54">
        <v>312812</v>
      </c>
      <c r="BN11" s="54">
        <v>764595</v>
      </c>
      <c r="BO11" s="54">
        <v>1357869</v>
      </c>
      <c r="BP11" s="54">
        <v>2526804</v>
      </c>
      <c r="BQ11" s="54">
        <v>3764176</v>
      </c>
      <c r="BR11" s="54">
        <v>2724468</v>
      </c>
      <c r="BS11" s="54">
        <v>1101395</v>
      </c>
      <c r="BT11" s="54">
        <v>371435</v>
      </c>
      <c r="BU11" s="54">
        <v>295584</v>
      </c>
      <c r="BV11" s="55">
        <v>0</v>
      </c>
    </row>
    <row r="12" spans="1:74" s="5" customFormat="1" ht="11.25" x14ac:dyDescent="0.2">
      <c r="A12" s="27" t="s">
        <v>136</v>
      </c>
      <c r="B12" s="54">
        <v>116025091</v>
      </c>
      <c r="C12" s="54">
        <v>103498489</v>
      </c>
      <c r="D12" s="54">
        <v>99657665</v>
      </c>
      <c r="E12" s="54">
        <v>89252603</v>
      </c>
      <c r="F12" s="54">
        <v>97207076</v>
      </c>
      <c r="G12" s="54">
        <v>100227099</v>
      </c>
      <c r="H12" s="54">
        <v>104074942</v>
      </c>
      <c r="I12" s="54">
        <v>104528875</v>
      </c>
      <c r="J12" s="54">
        <v>96660181</v>
      </c>
      <c r="K12" s="54">
        <v>99845205</v>
      </c>
      <c r="L12" s="54">
        <v>100015586</v>
      </c>
      <c r="M12" s="54">
        <v>109096207</v>
      </c>
      <c r="N12" s="54">
        <v>104972397</v>
      </c>
      <c r="O12" s="54">
        <v>94865800</v>
      </c>
      <c r="P12" s="54">
        <v>101122426</v>
      </c>
      <c r="Q12" s="54">
        <v>97136807</v>
      </c>
      <c r="R12" s="54">
        <v>100418654</v>
      </c>
      <c r="S12" s="54">
        <v>99499140</v>
      </c>
      <c r="T12" s="54">
        <v>104387958</v>
      </c>
      <c r="U12" s="54">
        <v>103390904</v>
      </c>
      <c r="V12" s="54">
        <v>95200170</v>
      </c>
      <c r="W12" s="54">
        <v>99803333</v>
      </c>
      <c r="X12" s="54">
        <v>100329236</v>
      </c>
      <c r="Y12" s="54">
        <v>106857416</v>
      </c>
      <c r="Z12" s="54">
        <v>101462305</v>
      </c>
      <c r="AA12" s="54">
        <v>91803562</v>
      </c>
      <c r="AB12" s="54">
        <v>98046089</v>
      </c>
      <c r="AC12" s="54">
        <v>94129278</v>
      </c>
      <c r="AD12" s="54">
        <v>97116905</v>
      </c>
      <c r="AE12" s="54">
        <v>96083714</v>
      </c>
      <c r="AF12" s="54">
        <v>100460504</v>
      </c>
      <c r="AG12" s="54">
        <v>99534990</v>
      </c>
      <c r="AH12" s="54">
        <v>91647600</v>
      </c>
      <c r="AI12" s="54">
        <v>96290191</v>
      </c>
      <c r="AJ12" s="54">
        <v>97090689</v>
      </c>
      <c r="AK12" s="54">
        <v>105185803</v>
      </c>
      <c r="AL12" s="54">
        <v>101262953</v>
      </c>
      <c r="AM12" s="54">
        <v>91382341</v>
      </c>
      <c r="AN12" s="54">
        <v>97417987</v>
      </c>
      <c r="AO12" s="54">
        <v>93397385</v>
      </c>
      <c r="AP12" s="54">
        <v>96338270</v>
      </c>
      <c r="AQ12" s="54">
        <v>95288990</v>
      </c>
      <c r="AR12" s="54">
        <v>99501518</v>
      </c>
      <c r="AS12" s="54">
        <v>98571572</v>
      </c>
      <c r="AT12" s="54">
        <v>90586327</v>
      </c>
      <c r="AU12" s="54">
        <v>95139976</v>
      </c>
      <c r="AV12" s="54">
        <v>95933629</v>
      </c>
      <c r="AW12" s="54">
        <v>103784355</v>
      </c>
      <c r="AX12" s="54">
        <v>101035957</v>
      </c>
      <c r="AY12" s="54">
        <v>91746762</v>
      </c>
      <c r="AZ12" s="54">
        <v>96570617</v>
      </c>
      <c r="BA12" s="54">
        <v>91648811</v>
      </c>
      <c r="BB12" s="54">
        <v>94512628</v>
      </c>
      <c r="BC12" s="54">
        <v>93446451</v>
      </c>
      <c r="BD12" s="54">
        <v>97426129</v>
      </c>
      <c r="BE12" s="54">
        <v>96473392</v>
      </c>
      <c r="BF12" s="54">
        <v>88516573</v>
      </c>
      <c r="BG12" s="54">
        <v>93072511</v>
      </c>
      <c r="BH12" s="54">
        <v>93969218</v>
      </c>
      <c r="BI12" s="54">
        <v>101629613</v>
      </c>
      <c r="BJ12" s="54">
        <v>97981942</v>
      </c>
      <c r="BK12" s="54">
        <v>88110482</v>
      </c>
      <c r="BL12" s="54">
        <v>93578421</v>
      </c>
      <c r="BM12" s="54">
        <v>89407810</v>
      </c>
      <c r="BN12" s="54">
        <v>92044266</v>
      </c>
      <c r="BO12" s="54">
        <v>90889824</v>
      </c>
      <c r="BP12" s="54">
        <v>94693505</v>
      </c>
      <c r="BQ12" s="54">
        <v>93903357</v>
      </c>
      <c r="BR12" s="54">
        <v>86019318</v>
      </c>
      <c r="BS12" s="54">
        <v>90533028</v>
      </c>
      <c r="BT12" s="54">
        <v>91568470</v>
      </c>
      <c r="BU12" s="54">
        <v>99067586</v>
      </c>
      <c r="BV12" s="55">
        <v>0</v>
      </c>
    </row>
    <row r="13" spans="1:74" s="5" customFormat="1" ht="11.25" x14ac:dyDescent="0.2">
      <c r="A13" s="27">
        <v>35</v>
      </c>
      <c r="B13" s="54">
        <v>2999</v>
      </c>
      <c r="C13" s="54">
        <v>2720</v>
      </c>
      <c r="D13" s="54">
        <v>2660</v>
      </c>
      <c r="E13" s="54">
        <v>2485</v>
      </c>
      <c r="F13" s="54">
        <v>292837</v>
      </c>
      <c r="G13" s="54">
        <v>662940</v>
      </c>
      <c r="H13" s="54">
        <v>715632</v>
      </c>
      <c r="I13" s="54">
        <v>963631</v>
      </c>
      <c r="J13" s="54">
        <v>784409</v>
      </c>
      <c r="K13" s="54">
        <v>668816</v>
      </c>
      <c r="L13" s="54">
        <v>222642</v>
      </c>
      <c r="M13" s="54">
        <v>2967</v>
      </c>
      <c r="N13" s="54">
        <v>2782</v>
      </c>
      <c r="O13" s="54">
        <v>2549</v>
      </c>
      <c r="P13" s="54">
        <v>2769</v>
      </c>
      <c r="Q13" s="54">
        <v>2784</v>
      </c>
      <c r="R13" s="54">
        <v>308849</v>
      </c>
      <c r="S13" s="54">
        <v>663335</v>
      </c>
      <c r="T13" s="54">
        <v>719920</v>
      </c>
      <c r="U13" s="54">
        <v>959089</v>
      </c>
      <c r="V13" s="54">
        <v>775351</v>
      </c>
      <c r="W13" s="54">
        <v>670182</v>
      </c>
      <c r="X13" s="54">
        <v>224060</v>
      </c>
      <c r="Y13" s="54">
        <v>2922</v>
      </c>
      <c r="Z13" s="54">
        <v>2710</v>
      </c>
      <c r="AA13" s="54">
        <v>2487</v>
      </c>
      <c r="AB13" s="54">
        <v>2705</v>
      </c>
      <c r="AC13" s="54">
        <v>2717</v>
      </c>
      <c r="AD13" s="54">
        <v>300354</v>
      </c>
      <c r="AE13" s="54">
        <v>643632</v>
      </c>
      <c r="AF13" s="54">
        <v>696275</v>
      </c>
      <c r="AG13" s="54">
        <v>928082</v>
      </c>
      <c r="AH13" s="54">
        <v>750037</v>
      </c>
      <c r="AI13" s="54">
        <v>650111</v>
      </c>
      <c r="AJ13" s="54">
        <v>218160</v>
      </c>
      <c r="AK13" s="54">
        <v>2894</v>
      </c>
      <c r="AL13" s="54">
        <v>2720</v>
      </c>
      <c r="AM13" s="54">
        <v>2488</v>
      </c>
      <c r="AN13" s="54">
        <v>2699</v>
      </c>
      <c r="AO13" s="54">
        <v>2707</v>
      </c>
      <c r="AP13" s="54">
        <v>299261</v>
      </c>
      <c r="AQ13" s="54">
        <v>641537</v>
      </c>
      <c r="AR13" s="54">
        <v>693667</v>
      </c>
      <c r="AS13" s="54">
        <v>924589</v>
      </c>
      <c r="AT13" s="54">
        <v>745472</v>
      </c>
      <c r="AU13" s="54">
        <v>645899</v>
      </c>
      <c r="AV13" s="54">
        <v>216713</v>
      </c>
      <c r="AW13" s="54">
        <v>2870</v>
      </c>
      <c r="AX13" s="54">
        <v>2724</v>
      </c>
      <c r="AY13" s="54">
        <v>2507</v>
      </c>
      <c r="AZ13" s="54">
        <v>2688</v>
      </c>
      <c r="BA13" s="54">
        <v>2670</v>
      </c>
      <c r="BB13" s="54">
        <v>295127</v>
      </c>
      <c r="BC13" s="54">
        <v>632588</v>
      </c>
      <c r="BD13" s="54">
        <v>683295</v>
      </c>
      <c r="BE13" s="54">
        <v>910516</v>
      </c>
      <c r="BF13" s="54">
        <v>733046</v>
      </c>
      <c r="BG13" s="54">
        <v>636215</v>
      </c>
      <c r="BH13" s="54">
        <v>213765</v>
      </c>
      <c r="BI13" s="54">
        <v>2831</v>
      </c>
      <c r="BJ13" s="54">
        <v>2665</v>
      </c>
      <c r="BK13" s="54">
        <v>2430</v>
      </c>
      <c r="BL13" s="54">
        <v>2626</v>
      </c>
      <c r="BM13" s="54">
        <v>2624</v>
      </c>
      <c r="BN13" s="54">
        <v>289417</v>
      </c>
      <c r="BO13" s="54">
        <v>619095</v>
      </c>
      <c r="BP13" s="54">
        <v>668265</v>
      </c>
      <c r="BQ13" s="54">
        <v>892021</v>
      </c>
      <c r="BR13" s="54">
        <v>716791</v>
      </c>
      <c r="BS13" s="54">
        <v>622703</v>
      </c>
      <c r="BT13" s="54">
        <v>209587</v>
      </c>
      <c r="BU13" s="54">
        <v>2777</v>
      </c>
      <c r="BV13" s="55">
        <v>0</v>
      </c>
    </row>
    <row r="14" spans="1:74" s="5" customFormat="1" ht="11.25" x14ac:dyDescent="0.2">
      <c r="A14" s="27">
        <v>40</v>
      </c>
      <c r="B14" s="54">
        <v>7829271</v>
      </c>
      <c r="C14" s="54">
        <v>8849203</v>
      </c>
      <c r="D14" s="54">
        <v>10898894</v>
      </c>
      <c r="E14" s="54">
        <v>9884571</v>
      </c>
      <c r="F14" s="54">
        <v>11470885</v>
      </c>
      <c r="G14" s="54">
        <v>8961245</v>
      </c>
      <c r="H14" s="54">
        <v>9826314</v>
      </c>
      <c r="I14" s="54">
        <v>8198017</v>
      </c>
      <c r="J14" s="54">
        <v>9372301</v>
      </c>
      <c r="K14" s="54">
        <v>11427173</v>
      </c>
      <c r="L14" s="54">
        <v>10660951</v>
      </c>
      <c r="M14" s="54">
        <v>9370476</v>
      </c>
      <c r="N14" s="54">
        <v>7568379</v>
      </c>
      <c r="O14" s="54">
        <v>8582926</v>
      </c>
      <c r="P14" s="54">
        <v>11578621</v>
      </c>
      <c r="Q14" s="54">
        <v>11295431</v>
      </c>
      <c r="R14" s="54">
        <v>12383526</v>
      </c>
      <c r="S14" s="54">
        <v>9435183</v>
      </c>
      <c r="T14" s="54">
        <v>10454453</v>
      </c>
      <c r="U14" s="54">
        <v>8695849</v>
      </c>
      <c r="V14" s="54">
        <v>9746972</v>
      </c>
      <c r="W14" s="54">
        <v>11948295</v>
      </c>
      <c r="X14" s="54">
        <v>11227048</v>
      </c>
      <c r="Y14" s="54">
        <v>9718238</v>
      </c>
      <c r="Z14" s="54">
        <v>7818832</v>
      </c>
      <c r="AA14" s="54">
        <v>8758025</v>
      </c>
      <c r="AB14" s="54">
        <v>11703861</v>
      </c>
      <c r="AC14" s="54">
        <v>11435176</v>
      </c>
      <c r="AD14" s="54">
        <v>12465569</v>
      </c>
      <c r="AE14" s="54">
        <v>9615791</v>
      </c>
      <c r="AF14" s="54">
        <v>10611827</v>
      </c>
      <c r="AG14" s="54">
        <v>8933014</v>
      </c>
      <c r="AH14" s="54">
        <v>9876889</v>
      </c>
      <c r="AI14" s="54">
        <v>12044886</v>
      </c>
      <c r="AJ14" s="54">
        <v>11401729</v>
      </c>
      <c r="AK14" s="54">
        <v>10130908</v>
      </c>
      <c r="AL14" s="54">
        <v>8343644</v>
      </c>
      <c r="AM14" s="54">
        <v>9197116</v>
      </c>
      <c r="AN14" s="54">
        <v>12124247</v>
      </c>
      <c r="AO14" s="54">
        <v>11844050</v>
      </c>
      <c r="AP14" s="54">
        <v>12860063</v>
      </c>
      <c r="AQ14" s="54">
        <v>10039860</v>
      </c>
      <c r="AR14" s="54">
        <v>11051066</v>
      </c>
      <c r="AS14" s="54">
        <v>9389657</v>
      </c>
      <c r="AT14" s="54">
        <v>10229332</v>
      </c>
      <c r="AU14" s="54">
        <v>12383195</v>
      </c>
      <c r="AV14" s="54">
        <v>11760157</v>
      </c>
      <c r="AW14" s="54">
        <v>10511516</v>
      </c>
      <c r="AX14" s="54">
        <v>8314369</v>
      </c>
      <c r="AY14" s="54">
        <v>9230949</v>
      </c>
      <c r="AZ14" s="54">
        <v>12023975</v>
      </c>
      <c r="BA14" s="54">
        <v>11631215</v>
      </c>
      <c r="BB14" s="54">
        <v>12624866</v>
      </c>
      <c r="BC14" s="54">
        <v>9840324</v>
      </c>
      <c r="BD14" s="54">
        <v>10814107</v>
      </c>
      <c r="BE14" s="54">
        <v>9178440</v>
      </c>
      <c r="BF14" s="54">
        <v>9984573</v>
      </c>
      <c r="BG14" s="54">
        <v>12117545</v>
      </c>
      <c r="BH14" s="54">
        <v>11523164</v>
      </c>
      <c r="BI14" s="54">
        <v>10290697</v>
      </c>
      <c r="BJ14" s="54">
        <v>8039645</v>
      </c>
      <c r="BK14" s="54">
        <v>8857973</v>
      </c>
      <c r="BL14" s="54">
        <v>11660167</v>
      </c>
      <c r="BM14" s="54">
        <v>11359928</v>
      </c>
      <c r="BN14" s="54">
        <v>12306197</v>
      </c>
      <c r="BO14" s="54">
        <v>9565137</v>
      </c>
      <c r="BP14" s="54">
        <v>10504275</v>
      </c>
      <c r="BQ14" s="54">
        <v>8922265</v>
      </c>
      <c r="BR14" s="54">
        <v>9692284</v>
      </c>
      <c r="BS14" s="54">
        <v>11789966</v>
      </c>
      <c r="BT14" s="54">
        <v>11232055</v>
      </c>
      <c r="BU14" s="54">
        <v>10029092</v>
      </c>
      <c r="BV14" s="55">
        <v>0</v>
      </c>
    </row>
    <row r="15" spans="1:74" s="5" customFormat="1" ht="11.25" x14ac:dyDescent="0.2">
      <c r="A15" s="27">
        <v>43</v>
      </c>
      <c r="B15" s="54">
        <v>15260994</v>
      </c>
      <c r="C15" s="54">
        <v>13328200</v>
      </c>
      <c r="D15" s="54">
        <v>11604259</v>
      </c>
      <c r="E15" s="54">
        <v>8778804</v>
      </c>
      <c r="F15" s="54">
        <v>8052435</v>
      </c>
      <c r="G15" s="54">
        <v>7361132</v>
      </c>
      <c r="H15" s="54">
        <v>5798908</v>
      </c>
      <c r="I15" s="54">
        <v>4932120</v>
      </c>
      <c r="J15" s="54">
        <v>5752805</v>
      </c>
      <c r="K15" s="54">
        <v>7665128</v>
      </c>
      <c r="L15" s="54">
        <v>9460128</v>
      </c>
      <c r="M15" s="54">
        <v>13429493</v>
      </c>
      <c r="N15" s="54">
        <v>14159521</v>
      </c>
      <c r="O15" s="54">
        <v>12487804</v>
      </c>
      <c r="P15" s="54">
        <v>12077628</v>
      </c>
      <c r="Q15" s="54">
        <v>9836106</v>
      </c>
      <c r="R15" s="54">
        <v>8492756</v>
      </c>
      <c r="S15" s="54">
        <v>7365517</v>
      </c>
      <c r="T15" s="54">
        <v>5833655</v>
      </c>
      <c r="U15" s="54">
        <v>4908875</v>
      </c>
      <c r="V15" s="54">
        <v>5686375</v>
      </c>
      <c r="W15" s="54">
        <v>7680787</v>
      </c>
      <c r="X15" s="54">
        <v>9520396</v>
      </c>
      <c r="Y15" s="54">
        <v>13226316</v>
      </c>
      <c r="Z15" s="54">
        <v>13791732</v>
      </c>
      <c r="AA15" s="54">
        <v>12186198</v>
      </c>
      <c r="AB15" s="54">
        <v>11800883</v>
      </c>
      <c r="AC15" s="54">
        <v>9598218</v>
      </c>
      <c r="AD15" s="54">
        <v>8259157</v>
      </c>
      <c r="AE15" s="54">
        <v>7146748</v>
      </c>
      <c r="AF15" s="54">
        <v>5642056</v>
      </c>
      <c r="AG15" s="54">
        <v>4750173</v>
      </c>
      <c r="AH15" s="54">
        <v>5500721</v>
      </c>
      <c r="AI15" s="54">
        <v>7450756</v>
      </c>
      <c r="AJ15" s="54">
        <v>9269685</v>
      </c>
      <c r="AK15" s="54">
        <v>13097712</v>
      </c>
      <c r="AL15" s="54">
        <v>13842318</v>
      </c>
      <c r="AM15" s="54">
        <v>12189513</v>
      </c>
      <c r="AN15" s="54">
        <v>11773801</v>
      </c>
      <c r="AO15" s="54">
        <v>9563922</v>
      </c>
      <c r="AP15" s="54">
        <v>8229084</v>
      </c>
      <c r="AQ15" s="54">
        <v>7123477</v>
      </c>
      <c r="AR15" s="54">
        <v>5620922</v>
      </c>
      <c r="AS15" s="54">
        <v>4732295</v>
      </c>
      <c r="AT15" s="54">
        <v>5467245</v>
      </c>
      <c r="AU15" s="54">
        <v>7402484</v>
      </c>
      <c r="AV15" s="54">
        <v>9208205</v>
      </c>
      <c r="AW15" s="54">
        <v>12989329</v>
      </c>
      <c r="AX15" s="54">
        <v>13863862</v>
      </c>
      <c r="AY15" s="54">
        <v>12281844</v>
      </c>
      <c r="AZ15" s="54">
        <v>11725726</v>
      </c>
      <c r="BA15" s="54">
        <v>9431033</v>
      </c>
      <c r="BB15" s="54">
        <v>8115418</v>
      </c>
      <c r="BC15" s="54">
        <v>7024111</v>
      </c>
      <c r="BD15" s="54">
        <v>5536879</v>
      </c>
      <c r="BE15" s="54">
        <v>4660263</v>
      </c>
      <c r="BF15" s="54">
        <v>5376112</v>
      </c>
      <c r="BG15" s="54">
        <v>7291491</v>
      </c>
      <c r="BH15" s="54">
        <v>9082939</v>
      </c>
      <c r="BI15" s="54">
        <v>12812911</v>
      </c>
      <c r="BJ15" s="54">
        <v>13561199</v>
      </c>
      <c r="BK15" s="54">
        <v>11904450</v>
      </c>
      <c r="BL15" s="54">
        <v>11454023</v>
      </c>
      <c r="BM15" s="54">
        <v>9268416</v>
      </c>
      <c r="BN15" s="54">
        <v>7958403</v>
      </c>
      <c r="BO15" s="54">
        <v>6874293</v>
      </c>
      <c r="BP15" s="54">
        <v>5415082</v>
      </c>
      <c r="BQ15" s="54">
        <v>4565604</v>
      </c>
      <c r="BR15" s="54">
        <v>5256900</v>
      </c>
      <c r="BS15" s="54">
        <v>7136634</v>
      </c>
      <c r="BT15" s="54">
        <v>8905402</v>
      </c>
      <c r="BU15" s="54">
        <v>12568720</v>
      </c>
      <c r="BV15" s="55">
        <v>0</v>
      </c>
    </row>
    <row r="16" spans="1:74" s="5" customFormat="1" ht="11.25" x14ac:dyDescent="0.2">
      <c r="A16" s="27">
        <v>46</v>
      </c>
      <c r="B16" s="54">
        <v>5673747</v>
      </c>
      <c r="C16" s="54">
        <v>6123290</v>
      </c>
      <c r="D16" s="54">
        <v>6610771</v>
      </c>
      <c r="E16" s="54">
        <v>4706023</v>
      </c>
      <c r="F16" s="54">
        <v>4837293</v>
      </c>
      <c r="G16" s="54">
        <v>5587396</v>
      </c>
      <c r="H16" s="54">
        <v>6640796</v>
      </c>
      <c r="I16" s="54">
        <v>6109573</v>
      </c>
      <c r="J16" s="54">
        <v>5119730</v>
      </c>
      <c r="K16" s="54">
        <v>4993756</v>
      </c>
      <c r="L16" s="54">
        <v>4606778</v>
      </c>
      <c r="M16" s="54">
        <v>5189598</v>
      </c>
      <c r="N16" s="54">
        <v>5067603</v>
      </c>
      <c r="O16" s="54">
        <v>5539593</v>
      </c>
      <c r="P16" s="54">
        <v>6590378</v>
      </c>
      <c r="Q16" s="54">
        <v>5032330</v>
      </c>
      <c r="R16" s="54">
        <v>4955052</v>
      </c>
      <c r="S16" s="54">
        <v>5558797</v>
      </c>
      <c r="T16" s="54">
        <v>6704666</v>
      </c>
      <c r="U16" s="54">
        <v>6060414</v>
      </c>
      <c r="V16" s="54">
        <v>5060488</v>
      </c>
      <c r="W16" s="54">
        <v>5011264</v>
      </c>
      <c r="X16" s="54">
        <v>4630439</v>
      </c>
      <c r="Y16" s="54">
        <v>5074650</v>
      </c>
      <c r="Z16" s="54">
        <v>4878972</v>
      </c>
      <c r="AA16" s="54">
        <v>5331806</v>
      </c>
      <c r="AB16" s="54">
        <v>6361413</v>
      </c>
      <c r="AC16" s="54">
        <v>4868332</v>
      </c>
      <c r="AD16" s="54">
        <v>4793927</v>
      </c>
      <c r="AE16" s="54">
        <v>5375111</v>
      </c>
      <c r="AF16" s="54">
        <v>6467264</v>
      </c>
      <c r="AG16" s="54">
        <v>5851359</v>
      </c>
      <c r="AH16" s="54">
        <v>4886569</v>
      </c>
      <c r="AI16" s="54">
        <v>4849543</v>
      </c>
      <c r="AJ16" s="54">
        <v>4496810</v>
      </c>
      <c r="AK16" s="54">
        <v>5015664</v>
      </c>
      <c r="AL16" s="54">
        <v>4886961</v>
      </c>
      <c r="AM16" s="54">
        <v>5329388</v>
      </c>
      <c r="AN16" s="54">
        <v>6348854</v>
      </c>
      <c r="AO16" s="54">
        <v>4851658</v>
      </c>
      <c r="AP16" s="54">
        <v>4771785</v>
      </c>
      <c r="AQ16" s="54">
        <v>5342090</v>
      </c>
      <c r="AR16" s="54">
        <v>6414029</v>
      </c>
      <c r="AS16" s="54">
        <v>5799802</v>
      </c>
      <c r="AT16" s="54">
        <v>4829148</v>
      </c>
      <c r="AU16" s="54">
        <v>4781367</v>
      </c>
      <c r="AV16" s="54">
        <v>4433134</v>
      </c>
      <c r="AW16" s="54">
        <v>4937389</v>
      </c>
      <c r="AX16" s="54">
        <v>4857991</v>
      </c>
      <c r="AY16" s="54">
        <v>5328133</v>
      </c>
      <c r="AZ16" s="54">
        <v>6259510</v>
      </c>
      <c r="BA16" s="54">
        <v>4738093</v>
      </c>
      <c r="BB16" s="54">
        <v>4660453</v>
      </c>
      <c r="BC16" s="54">
        <v>5211950</v>
      </c>
      <c r="BD16" s="54">
        <v>6247650</v>
      </c>
      <c r="BE16" s="54">
        <v>5649305</v>
      </c>
      <c r="BF16" s="54">
        <v>4694088</v>
      </c>
      <c r="BG16" s="54">
        <v>4637932</v>
      </c>
      <c r="BH16" s="54">
        <v>4306679</v>
      </c>
      <c r="BI16" s="54">
        <v>4801242</v>
      </c>
      <c r="BJ16" s="54">
        <v>4671261</v>
      </c>
      <c r="BK16" s="54">
        <v>5060649</v>
      </c>
      <c r="BL16" s="54">
        <v>6008037</v>
      </c>
      <c r="BM16" s="54">
        <v>4588756</v>
      </c>
      <c r="BN16" s="54">
        <v>4511575</v>
      </c>
      <c r="BO16" s="54">
        <v>5039728</v>
      </c>
      <c r="BP16" s="54">
        <v>6039520</v>
      </c>
      <c r="BQ16" s="54">
        <v>5471018</v>
      </c>
      <c r="BR16" s="54">
        <v>4537906</v>
      </c>
      <c r="BS16" s="54">
        <v>4476433</v>
      </c>
      <c r="BT16" s="54">
        <v>4165918</v>
      </c>
      <c r="BU16" s="54">
        <v>4651778</v>
      </c>
      <c r="BV16" s="55">
        <v>0</v>
      </c>
    </row>
    <row r="17" spans="1:74" s="5" customFormat="1" ht="11.25" x14ac:dyDescent="0.2">
      <c r="A17" s="27">
        <v>49</v>
      </c>
      <c r="B17" s="54">
        <v>46495490</v>
      </c>
      <c r="C17" s="54">
        <v>38322739</v>
      </c>
      <c r="D17" s="54">
        <v>41807974</v>
      </c>
      <c r="E17" s="54">
        <v>37655866</v>
      </c>
      <c r="F17" s="54">
        <v>40121898</v>
      </c>
      <c r="G17" s="54">
        <v>40895552</v>
      </c>
      <c r="H17" s="54">
        <v>45814260</v>
      </c>
      <c r="I17" s="54">
        <v>46506729</v>
      </c>
      <c r="J17" s="54">
        <v>43108114</v>
      </c>
      <c r="K17" s="54">
        <v>44300112</v>
      </c>
      <c r="L17" s="54">
        <v>44655674</v>
      </c>
      <c r="M17" s="54">
        <v>48295848</v>
      </c>
      <c r="N17" s="54">
        <v>42650499</v>
      </c>
      <c r="O17" s="54">
        <v>35562320</v>
      </c>
      <c r="P17" s="54">
        <v>43019951</v>
      </c>
      <c r="Q17" s="54">
        <v>41604299</v>
      </c>
      <c r="R17" s="54">
        <v>41948874</v>
      </c>
      <c r="S17" s="54">
        <v>40852177</v>
      </c>
      <c r="T17" s="54">
        <v>46132611</v>
      </c>
      <c r="U17" s="54">
        <v>46236708</v>
      </c>
      <c r="V17" s="54">
        <v>42610017</v>
      </c>
      <c r="W17" s="54">
        <v>44406150</v>
      </c>
      <c r="X17" s="54">
        <v>44927171</v>
      </c>
      <c r="Y17" s="54">
        <v>47474311</v>
      </c>
      <c r="Z17" s="54">
        <v>41400869</v>
      </c>
      <c r="AA17" s="54">
        <v>34574595</v>
      </c>
      <c r="AB17" s="54">
        <v>41901575</v>
      </c>
      <c r="AC17" s="54">
        <v>40494903</v>
      </c>
      <c r="AD17" s="54">
        <v>40732946</v>
      </c>
      <c r="AE17" s="54">
        <v>39599377</v>
      </c>
      <c r="AF17" s="54">
        <v>44586141</v>
      </c>
      <c r="AG17" s="54">
        <v>44709129</v>
      </c>
      <c r="AH17" s="54">
        <v>41196902</v>
      </c>
      <c r="AI17" s="54">
        <v>43051485</v>
      </c>
      <c r="AJ17" s="54">
        <v>43717347</v>
      </c>
      <c r="AK17" s="54">
        <v>46988653</v>
      </c>
      <c r="AL17" s="54">
        <v>41528079</v>
      </c>
      <c r="AM17" s="54">
        <v>34577265</v>
      </c>
      <c r="AN17" s="54">
        <v>41808885</v>
      </c>
      <c r="AO17" s="54">
        <v>40351968</v>
      </c>
      <c r="AP17" s="54">
        <v>40572913</v>
      </c>
      <c r="AQ17" s="54">
        <v>39437512</v>
      </c>
      <c r="AR17" s="54">
        <v>44366325</v>
      </c>
      <c r="AS17" s="54">
        <v>44467136</v>
      </c>
      <c r="AT17" s="54">
        <v>40876359</v>
      </c>
      <c r="AU17" s="54">
        <v>42694412</v>
      </c>
      <c r="AV17" s="54">
        <v>43350064</v>
      </c>
      <c r="AW17" s="54">
        <v>46508121</v>
      </c>
      <c r="AX17" s="54">
        <v>41501727</v>
      </c>
      <c r="AY17" s="54">
        <v>34766711</v>
      </c>
      <c r="AZ17" s="54">
        <v>41530276</v>
      </c>
      <c r="BA17" s="54">
        <v>39678674</v>
      </c>
      <c r="BB17" s="54">
        <v>39898916</v>
      </c>
      <c r="BC17" s="54">
        <v>38769392</v>
      </c>
      <c r="BD17" s="54">
        <v>43574682</v>
      </c>
      <c r="BE17" s="54">
        <v>43634970</v>
      </c>
      <c r="BF17" s="54">
        <v>40057364</v>
      </c>
      <c r="BG17" s="54">
        <v>41901706</v>
      </c>
      <c r="BH17" s="54">
        <v>42609229</v>
      </c>
      <c r="BI17" s="54">
        <v>45704161</v>
      </c>
      <c r="BJ17" s="54">
        <v>40395016</v>
      </c>
      <c r="BK17" s="54">
        <v>33517756</v>
      </c>
      <c r="BL17" s="54">
        <v>40386886</v>
      </c>
      <c r="BM17" s="54">
        <v>38829466</v>
      </c>
      <c r="BN17" s="54">
        <v>38980159</v>
      </c>
      <c r="BO17" s="54">
        <v>37812941</v>
      </c>
      <c r="BP17" s="54">
        <v>42487466</v>
      </c>
      <c r="BQ17" s="54">
        <v>42590053</v>
      </c>
      <c r="BR17" s="54">
        <v>39037711</v>
      </c>
      <c r="BS17" s="54">
        <v>40877849</v>
      </c>
      <c r="BT17" s="54">
        <v>41647119</v>
      </c>
      <c r="BU17" s="54">
        <v>44688575</v>
      </c>
      <c r="BV17" s="55">
        <v>0</v>
      </c>
    </row>
    <row r="18" spans="1:74" s="5" customFormat="1" ht="11.25" x14ac:dyDescent="0.2">
      <c r="A18" s="27" t="s">
        <v>137</v>
      </c>
      <c r="B18" s="54">
        <v>43673126</v>
      </c>
      <c r="C18" s="54">
        <v>41464212</v>
      </c>
      <c r="D18" s="54">
        <v>43673126</v>
      </c>
      <c r="E18" s="54">
        <v>41464212</v>
      </c>
      <c r="F18" s="54">
        <v>38854645</v>
      </c>
      <c r="G18" s="54">
        <v>38892992</v>
      </c>
      <c r="H18" s="54">
        <v>38349988</v>
      </c>
      <c r="I18" s="54">
        <v>41526933</v>
      </c>
      <c r="J18" s="54">
        <v>41374771</v>
      </c>
      <c r="K18" s="54">
        <v>42900121</v>
      </c>
      <c r="L18" s="54">
        <v>41533611</v>
      </c>
      <c r="M18" s="54">
        <v>39360110</v>
      </c>
      <c r="N18" s="54">
        <v>39848783</v>
      </c>
      <c r="O18" s="54">
        <v>41227027</v>
      </c>
      <c r="P18" s="54">
        <v>43018029</v>
      </c>
      <c r="Q18" s="54">
        <v>40842248</v>
      </c>
      <c r="R18" s="54">
        <v>38271825</v>
      </c>
      <c r="S18" s="54">
        <v>38309598</v>
      </c>
      <c r="T18" s="54">
        <v>37774738</v>
      </c>
      <c r="U18" s="54">
        <v>40904029</v>
      </c>
      <c r="V18" s="54">
        <v>40754149</v>
      </c>
      <c r="W18" s="54">
        <v>42256619</v>
      </c>
      <c r="X18" s="54">
        <v>40910607</v>
      </c>
      <c r="Y18" s="54">
        <v>38769708</v>
      </c>
      <c r="Z18" s="54">
        <v>39251051</v>
      </c>
      <c r="AA18" s="54">
        <v>40608622</v>
      </c>
      <c r="AB18" s="54">
        <v>42372758</v>
      </c>
      <c r="AC18" s="54">
        <v>40229615</v>
      </c>
      <c r="AD18" s="54">
        <v>37697747</v>
      </c>
      <c r="AE18" s="54">
        <v>37734954</v>
      </c>
      <c r="AF18" s="54">
        <v>37208117</v>
      </c>
      <c r="AG18" s="54">
        <v>40290469</v>
      </c>
      <c r="AH18" s="54">
        <v>40142837</v>
      </c>
      <c r="AI18" s="54">
        <v>41622769</v>
      </c>
      <c r="AJ18" s="54">
        <v>40296948</v>
      </c>
      <c r="AK18" s="54">
        <v>38188162</v>
      </c>
      <c r="AL18" s="54">
        <v>38662285</v>
      </c>
      <c r="AM18" s="54">
        <v>39999493</v>
      </c>
      <c r="AN18" s="54">
        <v>41737167</v>
      </c>
      <c r="AO18" s="54">
        <v>39626170</v>
      </c>
      <c r="AP18" s="54">
        <v>37132281</v>
      </c>
      <c r="AQ18" s="54">
        <v>37168929</v>
      </c>
      <c r="AR18" s="54">
        <v>36649995</v>
      </c>
      <c r="AS18" s="54">
        <v>39686112</v>
      </c>
      <c r="AT18" s="54">
        <v>39540695</v>
      </c>
      <c r="AU18" s="54">
        <v>40998428</v>
      </c>
      <c r="AV18" s="54">
        <v>39692494</v>
      </c>
      <c r="AW18" s="54">
        <v>37615340</v>
      </c>
      <c r="AX18" s="54">
        <v>38082351</v>
      </c>
      <c r="AY18" s="54">
        <v>39399500</v>
      </c>
      <c r="AZ18" s="54">
        <v>41111110</v>
      </c>
      <c r="BA18" s="54">
        <v>39031778</v>
      </c>
      <c r="BB18" s="54">
        <v>36575297</v>
      </c>
      <c r="BC18" s="54">
        <v>36611395</v>
      </c>
      <c r="BD18" s="54">
        <v>36100245</v>
      </c>
      <c r="BE18" s="54">
        <v>39090820</v>
      </c>
      <c r="BF18" s="54">
        <v>38947584</v>
      </c>
      <c r="BG18" s="54">
        <v>40383451</v>
      </c>
      <c r="BH18" s="54">
        <v>39097106</v>
      </c>
      <c r="BI18" s="54">
        <v>37051110</v>
      </c>
      <c r="BJ18" s="54">
        <v>37511116</v>
      </c>
      <c r="BK18" s="54">
        <v>38808508</v>
      </c>
      <c r="BL18" s="54">
        <v>40494443</v>
      </c>
      <c r="BM18" s="54">
        <v>38446301</v>
      </c>
      <c r="BN18" s="54">
        <v>36026668</v>
      </c>
      <c r="BO18" s="54">
        <v>36062224</v>
      </c>
      <c r="BP18" s="54">
        <v>35558742</v>
      </c>
      <c r="BQ18" s="54">
        <v>38504458</v>
      </c>
      <c r="BR18" s="54">
        <v>38363370</v>
      </c>
      <c r="BS18" s="54">
        <v>39777700</v>
      </c>
      <c r="BT18" s="54">
        <v>38510650</v>
      </c>
      <c r="BU18" s="54">
        <v>36495343</v>
      </c>
      <c r="BV18" s="55">
        <v>0</v>
      </c>
    </row>
    <row r="19" spans="1:74" s="5" customFormat="1" ht="11.25" x14ac:dyDescent="0.2">
      <c r="A19" s="27" t="s">
        <v>138</v>
      </c>
      <c r="B19" s="54">
        <v>5250106</v>
      </c>
      <c r="C19" s="54">
        <v>4659288</v>
      </c>
      <c r="D19" s="54">
        <v>5624802</v>
      </c>
      <c r="E19" s="54">
        <v>5348726</v>
      </c>
      <c r="F19" s="54">
        <v>5546894</v>
      </c>
      <c r="G19" s="54">
        <v>5684073</v>
      </c>
      <c r="H19" s="54">
        <v>5647039</v>
      </c>
      <c r="I19" s="54">
        <v>5403486</v>
      </c>
      <c r="J19" s="54">
        <v>5645936</v>
      </c>
      <c r="K19" s="54">
        <v>5654969</v>
      </c>
      <c r="L19" s="54">
        <v>5537469</v>
      </c>
      <c r="M19" s="54">
        <v>5527959</v>
      </c>
      <c r="N19" s="54">
        <v>5437335</v>
      </c>
      <c r="O19" s="54">
        <v>5050145</v>
      </c>
      <c r="P19" s="54">
        <v>5047111</v>
      </c>
      <c r="Q19" s="54">
        <v>5281207</v>
      </c>
      <c r="R19" s="54">
        <v>5289394</v>
      </c>
      <c r="S19" s="54">
        <v>5364728</v>
      </c>
      <c r="T19" s="54">
        <v>5419624</v>
      </c>
      <c r="U19" s="54">
        <v>5362639</v>
      </c>
      <c r="V19" s="54">
        <v>5399749</v>
      </c>
      <c r="W19" s="54">
        <v>5347410</v>
      </c>
      <c r="X19" s="54">
        <v>5383258</v>
      </c>
      <c r="Y19" s="54">
        <v>5306847</v>
      </c>
      <c r="Z19" s="54">
        <v>5208527</v>
      </c>
      <c r="AA19" s="54">
        <v>4842408</v>
      </c>
      <c r="AB19" s="54">
        <v>4842300</v>
      </c>
      <c r="AC19" s="54">
        <v>5067957</v>
      </c>
      <c r="AD19" s="54">
        <v>5074686</v>
      </c>
      <c r="AE19" s="54">
        <v>5149276</v>
      </c>
      <c r="AF19" s="54">
        <v>5204492</v>
      </c>
      <c r="AG19" s="54">
        <v>5155172</v>
      </c>
      <c r="AH19" s="54">
        <v>5197514</v>
      </c>
      <c r="AI19" s="54">
        <v>5153497</v>
      </c>
      <c r="AJ19" s="54">
        <v>5197908</v>
      </c>
      <c r="AK19" s="54">
        <v>5138447</v>
      </c>
      <c r="AL19" s="54">
        <v>5052367</v>
      </c>
      <c r="AM19" s="54">
        <v>4699852</v>
      </c>
      <c r="AN19" s="54">
        <v>4702770</v>
      </c>
      <c r="AO19" s="54">
        <v>4923522</v>
      </c>
      <c r="AP19" s="54">
        <v>4930503</v>
      </c>
      <c r="AQ19" s="54">
        <v>5009190</v>
      </c>
      <c r="AR19" s="54">
        <v>5066457</v>
      </c>
      <c r="AS19" s="54">
        <v>5024993</v>
      </c>
      <c r="AT19" s="54">
        <v>5072227</v>
      </c>
      <c r="AU19" s="54">
        <v>5035621</v>
      </c>
      <c r="AV19" s="54">
        <v>5087934</v>
      </c>
      <c r="AW19" s="54">
        <v>5037513</v>
      </c>
      <c r="AX19" s="54">
        <v>4948603</v>
      </c>
      <c r="AY19" s="54">
        <v>4620439</v>
      </c>
      <c r="AZ19" s="54">
        <v>4614840</v>
      </c>
      <c r="BA19" s="54">
        <v>4819648</v>
      </c>
      <c r="BB19" s="54">
        <v>4830853</v>
      </c>
      <c r="BC19" s="54">
        <v>4911749</v>
      </c>
      <c r="BD19" s="54">
        <v>4971979</v>
      </c>
      <c r="BE19" s="54">
        <v>4935337</v>
      </c>
      <c r="BF19" s="54">
        <v>4985937</v>
      </c>
      <c r="BG19" s="54">
        <v>4955194</v>
      </c>
      <c r="BH19" s="54">
        <v>5012743</v>
      </c>
      <c r="BI19" s="54">
        <v>4967791</v>
      </c>
      <c r="BJ19" s="54">
        <v>4871498</v>
      </c>
      <c r="BK19" s="54">
        <v>4535905</v>
      </c>
      <c r="BL19" s="54">
        <v>4543214</v>
      </c>
      <c r="BM19" s="54">
        <v>4760735</v>
      </c>
      <c r="BN19" s="54">
        <v>4773943</v>
      </c>
      <c r="BO19" s="54">
        <v>4855594</v>
      </c>
      <c r="BP19" s="54">
        <v>4917308</v>
      </c>
      <c r="BQ19" s="54">
        <v>4884318</v>
      </c>
      <c r="BR19" s="54">
        <v>4936867</v>
      </c>
      <c r="BS19" s="54">
        <v>4909419</v>
      </c>
      <c r="BT19" s="54">
        <v>4969587</v>
      </c>
      <c r="BU19" s="54">
        <v>4927726</v>
      </c>
      <c r="BV19" s="55">
        <v>0</v>
      </c>
    </row>
    <row r="20" spans="1:74" s="5" customFormat="1" ht="11.25" x14ac:dyDescent="0.2">
      <c r="A20" s="27" t="s">
        <v>139</v>
      </c>
      <c r="B20" s="54">
        <v>167951000</v>
      </c>
      <c r="C20" s="54">
        <v>162648000</v>
      </c>
      <c r="D20" s="54">
        <v>159583000</v>
      </c>
      <c r="E20" s="54">
        <v>150467000</v>
      </c>
      <c r="F20" s="54">
        <v>149384000</v>
      </c>
      <c r="G20" s="54">
        <v>163351000</v>
      </c>
      <c r="H20" s="54">
        <v>168133000</v>
      </c>
      <c r="I20" s="54">
        <v>170608000</v>
      </c>
      <c r="J20" s="54">
        <v>163755000</v>
      </c>
      <c r="K20" s="54">
        <v>164520000</v>
      </c>
      <c r="L20" s="54">
        <v>168879000</v>
      </c>
      <c r="M20" s="54">
        <v>164129000</v>
      </c>
      <c r="N20" s="54">
        <v>173141000</v>
      </c>
      <c r="O20" s="54">
        <v>154065000</v>
      </c>
      <c r="P20" s="54">
        <v>159960000</v>
      </c>
      <c r="Q20" s="54">
        <v>150726000</v>
      </c>
      <c r="R20" s="54">
        <v>151854000</v>
      </c>
      <c r="S20" s="54">
        <v>170508000</v>
      </c>
      <c r="T20" s="54">
        <v>174863000</v>
      </c>
      <c r="U20" s="54">
        <v>175295000</v>
      </c>
      <c r="V20" s="54">
        <v>166758000</v>
      </c>
      <c r="W20" s="54">
        <v>169243000</v>
      </c>
      <c r="X20" s="54">
        <v>172444000</v>
      </c>
      <c r="Y20" s="54">
        <v>166796000</v>
      </c>
      <c r="Z20" s="54">
        <v>176506000</v>
      </c>
      <c r="AA20" s="54">
        <v>156767000</v>
      </c>
      <c r="AB20" s="54">
        <v>162555000</v>
      </c>
      <c r="AC20" s="54">
        <v>155778000</v>
      </c>
      <c r="AD20" s="54">
        <v>154980000</v>
      </c>
      <c r="AE20" s="54">
        <v>171502000</v>
      </c>
      <c r="AF20" s="54">
        <v>175983000</v>
      </c>
      <c r="AG20" s="54">
        <v>176474000</v>
      </c>
      <c r="AH20" s="54">
        <v>167945000</v>
      </c>
      <c r="AI20" s="54">
        <v>170523000</v>
      </c>
      <c r="AJ20" s="54">
        <v>173722000</v>
      </c>
      <c r="AK20" s="54">
        <v>168152000</v>
      </c>
      <c r="AL20" s="54">
        <v>179191000</v>
      </c>
      <c r="AM20" s="54">
        <v>158181000</v>
      </c>
      <c r="AN20" s="54">
        <v>162987000</v>
      </c>
      <c r="AO20" s="54">
        <v>156183000</v>
      </c>
      <c r="AP20" s="54">
        <v>155372000</v>
      </c>
      <c r="AQ20" s="54">
        <v>171845000</v>
      </c>
      <c r="AR20" s="54">
        <v>176295000</v>
      </c>
      <c r="AS20" s="54">
        <v>176739000</v>
      </c>
      <c r="AT20" s="54">
        <v>168153000</v>
      </c>
      <c r="AU20" s="54">
        <v>170685000</v>
      </c>
      <c r="AV20" s="54">
        <v>173828000</v>
      </c>
      <c r="AW20" s="54">
        <v>168207000</v>
      </c>
      <c r="AX20" s="54">
        <v>179147000</v>
      </c>
      <c r="AY20" s="54">
        <v>163774000</v>
      </c>
      <c r="AZ20" s="54">
        <v>162914000</v>
      </c>
      <c r="BA20" s="54">
        <v>156064000</v>
      </c>
      <c r="BB20" s="54">
        <v>155203000</v>
      </c>
      <c r="BC20" s="54">
        <v>171642000</v>
      </c>
      <c r="BD20" s="54">
        <v>176048000</v>
      </c>
      <c r="BE20" s="54">
        <v>176459000</v>
      </c>
      <c r="BF20" s="54">
        <v>167853000</v>
      </c>
      <c r="BG20" s="54">
        <v>170347000</v>
      </c>
      <c r="BH20" s="54">
        <v>173477000</v>
      </c>
      <c r="BI20" s="54">
        <v>167823000</v>
      </c>
      <c r="BJ20" s="54">
        <v>178747000</v>
      </c>
      <c r="BK20" s="54">
        <v>157755000</v>
      </c>
      <c r="BL20" s="54">
        <v>162495000</v>
      </c>
      <c r="BM20" s="54">
        <v>155657000</v>
      </c>
      <c r="BN20" s="54">
        <v>154785000</v>
      </c>
      <c r="BO20" s="54">
        <v>171243000</v>
      </c>
      <c r="BP20" s="54">
        <v>175646000</v>
      </c>
      <c r="BQ20" s="54">
        <v>176069000</v>
      </c>
      <c r="BR20" s="54">
        <v>167485000</v>
      </c>
      <c r="BS20" s="54">
        <v>169975000</v>
      </c>
      <c r="BT20" s="54">
        <v>173121000</v>
      </c>
      <c r="BU20" s="54">
        <v>167461000</v>
      </c>
      <c r="BV20" s="55">
        <v>0</v>
      </c>
    </row>
    <row r="21" spans="1:74" s="5" customFormat="1" ht="11.25" x14ac:dyDescent="0.2">
      <c r="A21" s="27" t="s">
        <v>140</v>
      </c>
      <c r="B21" s="56">
        <v>1025000</v>
      </c>
      <c r="C21" s="56">
        <v>824000</v>
      </c>
      <c r="D21" s="56">
        <v>728000</v>
      </c>
      <c r="E21" s="56">
        <v>662000</v>
      </c>
      <c r="F21" s="56">
        <v>462000</v>
      </c>
      <c r="G21" s="56">
        <v>360000</v>
      </c>
      <c r="H21" s="56">
        <v>295000</v>
      </c>
      <c r="I21" s="56">
        <v>286000</v>
      </c>
      <c r="J21" s="56">
        <v>330000</v>
      </c>
      <c r="K21" s="56">
        <v>569000</v>
      </c>
      <c r="L21" s="56">
        <v>784000</v>
      </c>
      <c r="M21" s="56">
        <v>976000</v>
      </c>
      <c r="N21" s="56">
        <v>993000</v>
      </c>
      <c r="O21" s="56">
        <v>822000</v>
      </c>
      <c r="P21" s="56">
        <v>835000</v>
      </c>
      <c r="Q21" s="56">
        <v>703000</v>
      </c>
      <c r="R21" s="56">
        <v>452000</v>
      </c>
      <c r="S21" s="56">
        <v>347000</v>
      </c>
      <c r="T21" s="56">
        <v>303000</v>
      </c>
      <c r="U21" s="56">
        <v>293000</v>
      </c>
      <c r="V21" s="56">
        <v>329000</v>
      </c>
      <c r="W21" s="56">
        <v>573000</v>
      </c>
      <c r="X21" s="56">
        <v>802000</v>
      </c>
      <c r="Y21" s="56">
        <v>983000</v>
      </c>
      <c r="Z21" s="56">
        <v>993000</v>
      </c>
      <c r="AA21" s="56">
        <v>822000</v>
      </c>
      <c r="AB21" s="56">
        <v>835000</v>
      </c>
      <c r="AC21" s="56">
        <v>703000</v>
      </c>
      <c r="AD21" s="56">
        <v>452000</v>
      </c>
      <c r="AE21" s="56">
        <v>347000</v>
      </c>
      <c r="AF21" s="56">
        <v>303000</v>
      </c>
      <c r="AG21" s="56">
        <v>293000</v>
      </c>
      <c r="AH21" s="56">
        <v>329000</v>
      </c>
      <c r="AI21" s="56">
        <v>573000</v>
      </c>
      <c r="AJ21" s="56">
        <v>802000</v>
      </c>
      <c r="AK21" s="56">
        <v>983000</v>
      </c>
      <c r="AL21" s="56">
        <v>993000</v>
      </c>
      <c r="AM21" s="56">
        <v>822000</v>
      </c>
      <c r="AN21" s="56">
        <v>835000</v>
      </c>
      <c r="AO21" s="56">
        <v>703000</v>
      </c>
      <c r="AP21" s="56">
        <v>452000</v>
      </c>
      <c r="AQ21" s="56">
        <v>347000</v>
      </c>
      <c r="AR21" s="56">
        <v>303000</v>
      </c>
      <c r="AS21" s="56">
        <v>293000</v>
      </c>
      <c r="AT21" s="56">
        <v>329000</v>
      </c>
      <c r="AU21" s="56">
        <v>573000</v>
      </c>
      <c r="AV21" s="56">
        <v>802000</v>
      </c>
      <c r="AW21" s="56">
        <v>983000</v>
      </c>
      <c r="AX21" s="56">
        <v>998000</v>
      </c>
      <c r="AY21" s="56">
        <v>828000</v>
      </c>
      <c r="AZ21" s="56">
        <v>835000</v>
      </c>
      <c r="BA21" s="56">
        <v>701000</v>
      </c>
      <c r="BB21" s="56">
        <v>451000</v>
      </c>
      <c r="BC21" s="56">
        <v>347000</v>
      </c>
      <c r="BD21" s="56">
        <v>303000</v>
      </c>
      <c r="BE21" s="56">
        <v>293000</v>
      </c>
      <c r="BF21" s="56">
        <v>329000</v>
      </c>
      <c r="BG21" s="56">
        <v>574000</v>
      </c>
      <c r="BH21" s="56">
        <v>801000</v>
      </c>
      <c r="BI21" s="56">
        <v>982000</v>
      </c>
      <c r="BJ21" s="56">
        <v>993000</v>
      </c>
      <c r="BK21" s="56">
        <v>822000</v>
      </c>
      <c r="BL21" s="56">
        <v>835000</v>
      </c>
      <c r="BM21" s="56">
        <v>703000</v>
      </c>
      <c r="BN21" s="56">
        <v>452000</v>
      </c>
      <c r="BO21" s="56">
        <v>347000</v>
      </c>
      <c r="BP21" s="56">
        <v>303000</v>
      </c>
      <c r="BQ21" s="56">
        <v>293000</v>
      </c>
      <c r="BR21" s="56">
        <v>329000</v>
      </c>
      <c r="BS21" s="56">
        <v>573000</v>
      </c>
      <c r="BT21" s="56">
        <v>802000</v>
      </c>
      <c r="BU21" s="56">
        <v>983000</v>
      </c>
      <c r="BV21" s="55">
        <v>0</v>
      </c>
    </row>
    <row r="22" spans="1:74" s="5" customFormat="1" ht="11.25" x14ac:dyDescent="0.2">
      <c r="A22" s="5" t="s">
        <v>30</v>
      </c>
      <c r="B22" s="57">
        <f>SUM(B6:B21)</f>
        <v>2459578125</v>
      </c>
      <c r="C22" s="57">
        <f t="shared" ref="C22:BN22" si="2">SUM(C6:C21)</f>
        <v>2068985213</v>
      </c>
      <c r="D22" s="57">
        <f t="shared" si="2"/>
        <v>2027252127</v>
      </c>
      <c r="E22" s="57">
        <f t="shared" si="2"/>
        <v>1719908214</v>
      </c>
      <c r="F22" s="57">
        <f t="shared" si="2"/>
        <v>1679197647</v>
      </c>
      <c r="G22" s="57">
        <f t="shared" si="2"/>
        <v>1645619992</v>
      </c>
      <c r="H22" s="57">
        <f t="shared" si="2"/>
        <v>1718193987</v>
      </c>
      <c r="I22" s="57">
        <f t="shared" si="2"/>
        <v>1754198934</v>
      </c>
      <c r="J22" s="57">
        <f t="shared" si="2"/>
        <v>1606169771</v>
      </c>
      <c r="K22" s="57">
        <f t="shared" si="2"/>
        <v>1801621121</v>
      </c>
      <c r="L22" s="57">
        <f t="shared" si="2"/>
        <v>2058962611</v>
      </c>
      <c r="M22" s="57">
        <f t="shared" si="2"/>
        <v>2322394109</v>
      </c>
      <c r="N22" s="57">
        <f t="shared" si="2"/>
        <v>2333905783</v>
      </c>
      <c r="O22" s="57">
        <f t="shared" si="2"/>
        <v>1982435027</v>
      </c>
      <c r="P22" s="57">
        <f t="shared" si="2"/>
        <v>2075576030</v>
      </c>
      <c r="Q22" s="57">
        <f t="shared" si="2"/>
        <v>1811247249</v>
      </c>
      <c r="R22" s="57">
        <f t="shared" si="2"/>
        <v>1714169822</v>
      </c>
      <c r="S22" s="57">
        <f t="shared" si="2"/>
        <v>1643514600</v>
      </c>
      <c r="T22" s="57">
        <f t="shared" si="2"/>
        <v>1711691738</v>
      </c>
      <c r="U22" s="57">
        <f t="shared" si="2"/>
        <v>1736748030</v>
      </c>
      <c r="V22" s="57">
        <f t="shared" si="2"/>
        <v>1589874148</v>
      </c>
      <c r="W22" s="57">
        <f t="shared" si="2"/>
        <v>1810449618</v>
      </c>
      <c r="X22" s="57">
        <f t="shared" si="2"/>
        <v>2070750609</v>
      </c>
      <c r="Y22" s="57">
        <f t="shared" si="2"/>
        <v>2282868709</v>
      </c>
      <c r="Z22" s="57">
        <f t="shared" si="2"/>
        <v>2271528052</v>
      </c>
      <c r="AA22" s="57">
        <f t="shared" si="2"/>
        <v>1933643622</v>
      </c>
      <c r="AB22" s="57">
        <f t="shared" si="2"/>
        <v>2026856759</v>
      </c>
      <c r="AC22" s="57">
        <f t="shared" si="2"/>
        <v>1771702616</v>
      </c>
      <c r="AD22" s="57">
        <f t="shared" si="2"/>
        <v>1671564748</v>
      </c>
      <c r="AE22" s="57">
        <f t="shared" si="2"/>
        <v>1596727955</v>
      </c>
      <c r="AF22" s="57">
        <f t="shared" si="2"/>
        <v>1658366117</v>
      </c>
      <c r="AG22" s="57">
        <f t="shared" si="2"/>
        <v>1683166471</v>
      </c>
      <c r="AH22" s="57">
        <f t="shared" si="2"/>
        <v>1537584837</v>
      </c>
      <c r="AI22" s="57">
        <f t="shared" si="2"/>
        <v>1749237769</v>
      </c>
      <c r="AJ22" s="57">
        <f t="shared" si="2"/>
        <v>2002951947</v>
      </c>
      <c r="AK22" s="57">
        <f t="shared" si="2"/>
        <v>2239904162</v>
      </c>
      <c r="AL22" s="57">
        <f t="shared" si="2"/>
        <v>2256241285</v>
      </c>
      <c r="AM22" s="57">
        <f t="shared" si="2"/>
        <v>1919922495</v>
      </c>
      <c r="AN22" s="57">
        <f t="shared" si="2"/>
        <v>2010467168</v>
      </c>
      <c r="AO22" s="57">
        <f t="shared" si="2"/>
        <v>1759022172</v>
      </c>
      <c r="AP22" s="57">
        <f t="shared" si="2"/>
        <v>1661645280</v>
      </c>
      <c r="AQ22" s="57">
        <f t="shared" si="2"/>
        <v>1588192930</v>
      </c>
      <c r="AR22" s="57">
        <f t="shared" si="2"/>
        <v>1649881995</v>
      </c>
      <c r="AS22" s="57">
        <f t="shared" si="2"/>
        <v>1675296111</v>
      </c>
      <c r="AT22" s="57">
        <f t="shared" si="2"/>
        <v>1526673696</v>
      </c>
      <c r="AU22" s="57">
        <f t="shared" si="2"/>
        <v>1734266427</v>
      </c>
      <c r="AV22" s="57">
        <f t="shared" si="2"/>
        <v>1983726494</v>
      </c>
      <c r="AW22" s="57">
        <f t="shared" si="2"/>
        <v>2219482340</v>
      </c>
      <c r="AX22" s="57">
        <f t="shared" si="2"/>
        <v>2259340352</v>
      </c>
      <c r="AY22" s="57">
        <f t="shared" si="2"/>
        <v>1938817500</v>
      </c>
      <c r="AZ22" s="57">
        <f t="shared" si="2"/>
        <v>2008119109</v>
      </c>
      <c r="BA22" s="57">
        <f t="shared" si="2"/>
        <v>1747715778</v>
      </c>
      <c r="BB22" s="57">
        <f t="shared" si="2"/>
        <v>1653713297</v>
      </c>
      <c r="BC22" s="57">
        <f t="shared" si="2"/>
        <v>1581382396</v>
      </c>
      <c r="BD22" s="57">
        <f t="shared" si="2"/>
        <v>1641764244</v>
      </c>
      <c r="BE22" s="57">
        <f t="shared" si="2"/>
        <v>1667103821</v>
      </c>
      <c r="BF22" s="57">
        <f t="shared" si="2"/>
        <v>1515735583</v>
      </c>
      <c r="BG22" s="57">
        <f t="shared" si="2"/>
        <v>1719535450</v>
      </c>
      <c r="BH22" s="57">
        <f t="shared" si="2"/>
        <v>1964107105</v>
      </c>
      <c r="BI22" s="57">
        <f t="shared" si="2"/>
        <v>2199857111</v>
      </c>
      <c r="BJ22" s="57">
        <f t="shared" si="2"/>
        <v>2227167118</v>
      </c>
      <c r="BK22" s="57">
        <f t="shared" si="2"/>
        <v>1896278509</v>
      </c>
      <c r="BL22" s="57">
        <f t="shared" si="2"/>
        <v>1985780443</v>
      </c>
      <c r="BM22" s="57">
        <f t="shared" si="2"/>
        <v>1738491303</v>
      </c>
      <c r="BN22" s="57">
        <f t="shared" si="2"/>
        <v>1644019668</v>
      </c>
      <c r="BO22" s="57">
        <f t="shared" ref="BO22:BU22" si="3">SUM(BO6:BO21)</f>
        <v>1570135225</v>
      </c>
      <c r="BP22" s="57">
        <f t="shared" si="3"/>
        <v>1627260742</v>
      </c>
      <c r="BQ22" s="57">
        <f t="shared" si="3"/>
        <v>1652654458</v>
      </c>
      <c r="BR22" s="57">
        <f t="shared" si="3"/>
        <v>1498255370</v>
      </c>
      <c r="BS22" s="57">
        <f t="shared" si="3"/>
        <v>1697942699</v>
      </c>
      <c r="BT22" s="57">
        <f t="shared" si="3"/>
        <v>1940551650</v>
      </c>
      <c r="BU22" s="57">
        <f t="shared" si="3"/>
        <v>2173942345</v>
      </c>
      <c r="BV22" s="55">
        <v>0</v>
      </c>
    </row>
    <row r="23" spans="1:74" s="5" customFormat="1" ht="11.25" x14ac:dyDescent="0.2">
      <c r="A23" s="2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0"/>
    </row>
    <row r="24" spans="1:74" s="5" customFormat="1" ht="11.25" x14ac:dyDescent="0.2">
      <c r="A24" s="59" t="s">
        <v>141</v>
      </c>
      <c r="B24" s="60">
        <f t="shared" ref="B24:BM24" si="4">B6</f>
        <v>1329993391</v>
      </c>
      <c r="C24" s="60">
        <f t="shared" si="4"/>
        <v>1062163453</v>
      </c>
      <c r="D24" s="60">
        <f t="shared" si="4"/>
        <v>1055401420</v>
      </c>
      <c r="E24" s="60">
        <f t="shared" si="4"/>
        <v>849716937</v>
      </c>
      <c r="F24" s="60">
        <f t="shared" si="4"/>
        <v>777110104</v>
      </c>
      <c r="G24" s="60">
        <f t="shared" si="4"/>
        <v>710832422</v>
      </c>
      <c r="H24" s="60">
        <f t="shared" si="4"/>
        <v>715691865</v>
      </c>
      <c r="I24" s="60">
        <f t="shared" si="4"/>
        <v>729309773</v>
      </c>
      <c r="J24" s="60">
        <f t="shared" si="4"/>
        <v>665467634</v>
      </c>
      <c r="K24" s="60">
        <f t="shared" si="4"/>
        <v>844394169</v>
      </c>
      <c r="L24" s="60">
        <f t="shared" si="4"/>
        <v>1073913079</v>
      </c>
      <c r="M24" s="60">
        <f t="shared" si="4"/>
        <v>1256546796</v>
      </c>
      <c r="N24" s="60">
        <f t="shared" si="4"/>
        <v>1275428758</v>
      </c>
      <c r="O24" s="60">
        <f t="shared" si="4"/>
        <v>1039133161</v>
      </c>
      <c r="P24" s="60">
        <f t="shared" si="4"/>
        <v>1079882739</v>
      </c>
      <c r="Q24" s="60">
        <f t="shared" si="4"/>
        <v>867761914</v>
      </c>
      <c r="R24" s="60">
        <f t="shared" si="4"/>
        <v>777238186</v>
      </c>
      <c r="S24" s="60">
        <f t="shared" si="4"/>
        <v>704136133</v>
      </c>
      <c r="T24" s="60">
        <f t="shared" si="4"/>
        <v>699175112</v>
      </c>
      <c r="U24" s="60">
        <f t="shared" si="4"/>
        <v>712807062</v>
      </c>
      <c r="V24" s="60">
        <f t="shared" si="4"/>
        <v>655958094</v>
      </c>
      <c r="W24" s="60">
        <f t="shared" si="4"/>
        <v>848236807</v>
      </c>
      <c r="X24" s="60">
        <f t="shared" si="4"/>
        <v>1078151323</v>
      </c>
      <c r="Y24" s="60">
        <f t="shared" si="4"/>
        <v>1228414999</v>
      </c>
      <c r="Z24" s="60">
        <f t="shared" si="4"/>
        <v>1233208796</v>
      </c>
      <c r="AA24" s="60">
        <f t="shared" si="4"/>
        <v>1007610045</v>
      </c>
      <c r="AB24" s="60">
        <f t="shared" si="4"/>
        <v>1048700217</v>
      </c>
      <c r="AC24" s="60">
        <f t="shared" si="4"/>
        <v>843267859</v>
      </c>
      <c r="AD24" s="60">
        <f t="shared" si="4"/>
        <v>753829339</v>
      </c>
      <c r="AE24" s="60">
        <f t="shared" si="4"/>
        <v>679699483</v>
      </c>
      <c r="AF24" s="60">
        <f t="shared" si="4"/>
        <v>672641513</v>
      </c>
      <c r="AG24" s="60">
        <f t="shared" si="4"/>
        <v>685838782</v>
      </c>
      <c r="AH24" s="60">
        <f t="shared" si="4"/>
        <v>627879954</v>
      </c>
      <c r="AI24" s="60">
        <f t="shared" si="4"/>
        <v>810381864</v>
      </c>
      <c r="AJ24" s="60">
        <f t="shared" si="4"/>
        <v>1031823536</v>
      </c>
      <c r="AK24" s="60">
        <f t="shared" si="4"/>
        <v>1194543450</v>
      </c>
      <c r="AL24" s="60">
        <f t="shared" si="4"/>
        <v>1214715641</v>
      </c>
      <c r="AM24" s="60">
        <f t="shared" si="4"/>
        <v>994336252</v>
      </c>
      <c r="AN24" s="60">
        <f t="shared" si="4"/>
        <v>1035566191</v>
      </c>
      <c r="AO24" s="60">
        <f t="shared" si="4"/>
        <v>834799658</v>
      </c>
      <c r="AP24" s="60">
        <f t="shared" si="4"/>
        <v>748271455</v>
      </c>
      <c r="AQ24" s="60">
        <f t="shared" si="4"/>
        <v>675298317</v>
      </c>
      <c r="AR24" s="60">
        <f t="shared" si="4"/>
        <v>668941197</v>
      </c>
      <c r="AS24" s="60">
        <f t="shared" si="4"/>
        <v>682703185</v>
      </c>
      <c r="AT24" s="60">
        <f t="shared" si="4"/>
        <v>622874929</v>
      </c>
      <c r="AU24" s="60">
        <f t="shared" si="4"/>
        <v>801913461</v>
      </c>
      <c r="AV24" s="60">
        <f t="shared" si="4"/>
        <v>1019133348</v>
      </c>
      <c r="AW24" s="60">
        <f t="shared" si="4"/>
        <v>1182221878</v>
      </c>
      <c r="AX24" s="60">
        <f t="shared" si="4"/>
        <v>1217486604</v>
      </c>
      <c r="AY24" s="60">
        <f t="shared" si="4"/>
        <v>1002977021</v>
      </c>
      <c r="AZ24" s="60">
        <f t="shared" si="4"/>
        <v>1037447377</v>
      </c>
      <c r="BA24" s="60">
        <f t="shared" si="4"/>
        <v>834636192</v>
      </c>
      <c r="BB24" s="60">
        <f t="shared" si="4"/>
        <v>751427334</v>
      </c>
      <c r="BC24" s="60">
        <f t="shared" si="4"/>
        <v>679536869</v>
      </c>
      <c r="BD24" s="60">
        <f t="shared" si="4"/>
        <v>673667516</v>
      </c>
      <c r="BE24" s="60">
        <f t="shared" si="4"/>
        <v>687828330</v>
      </c>
      <c r="BF24" s="60">
        <f t="shared" si="4"/>
        <v>624980065</v>
      </c>
      <c r="BG24" s="60">
        <f t="shared" si="4"/>
        <v>799625767</v>
      </c>
      <c r="BH24" s="60">
        <f t="shared" si="4"/>
        <v>1011395675</v>
      </c>
      <c r="BI24" s="60">
        <f t="shared" si="4"/>
        <v>1175671047</v>
      </c>
      <c r="BJ24" s="60">
        <f t="shared" si="4"/>
        <v>1205341825</v>
      </c>
      <c r="BK24" s="60">
        <f t="shared" si="4"/>
        <v>990545016</v>
      </c>
      <c r="BL24" s="60">
        <f t="shared" si="4"/>
        <v>1034698508</v>
      </c>
      <c r="BM24" s="60">
        <f t="shared" si="4"/>
        <v>839350830</v>
      </c>
      <c r="BN24" s="60">
        <f t="shared" ref="BN24:BU24" si="5">BN6</f>
        <v>756934750</v>
      </c>
      <c r="BO24" s="60">
        <f t="shared" si="5"/>
        <v>684350349</v>
      </c>
      <c r="BP24" s="60">
        <f t="shared" si="5"/>
        <v>677017420</v>
      </c>
      <c r="BQ24" s="60">
        <f t="shared" si="5"/>
        <v>690260543</v>
      </c>
      <c r="BR24" s="60">
        <f t="shared" si="5"/>
        <v>623837284</v>
      </c>
      <c r="BS24" s="60">
        <f t="shared" si="5"/>
        <v>794283953</v>
      </c>
      <c r="BT24" s="60">
        <f t="shared" si="5"/>
        <v>1003451140</v>
      </c>
      <c r="BU24" s="60">
        <f t="shared" si="5"/>
        <v>1166538904</v>
      </c>
      <c r="BV24" s="50"/>
    </row>
    <row r="25" spans="1:74" s="5" customFormat="1" ht="11.25" x14ac:dyDescent="0.2">
      <c r="A25" s="59" t="s">
        <v>13</v>
      </c>
      <c r="B25" s="60">
        <f t="shared" ref="B25:BM25" si="6">B8</f>
        <v>286216934</v>
      </c>
      <c r="C25" s="60">
        <f t="shared" si="6"/>
        <v>241177337</v>
      </c>
      <c r="D25" s="60">
        <f t="shared" si="6"/>
        <v>232100820</v>
      </c>
      <c r="E25" s="60">
        <f t="shared" si="6"/>
        <v>198145025</v>
      </c>
      <c r="F25" s="60">
        <f t="shared" si="6"/>
        <v>199689722</v>
      </c>
      <c r="G25" s="60">
        <f t="shared" si="6"/>
        <v>201334424</v>
      </c>
      <c r="H25" s="60">
        <f t="shared" si="6"/>
        <v>220808059</v>
      </c>
      <c r="I25" s="60">
        <f t="shared" si="6"/>
        <v>226495980</v>
      </c>
      <c r="J25" s="60">
        <f t="shared" si="6"/>
        <v>202961543</v>
      </c>
      <c r="K25" s="60">
        <f t="shared" si="6"/>
        <v>205600395</v>
      </c>
      <c r="L25" s="60">
        <f t="shared" si="6"/>
        <v>222449386</v>
      </c>
      <c r="M25" s="60">
        <f t="shared" si="6"/>
        <v>257023269</v>
      </c>
      <c r="N25" s="60">
        <f t="shared" si="6"/>
        <v>264172407</v>
      </c>
      <c r="O25" s="60">
        <f t="shared" si="6"/>
        <v>225446667</v>
      </c>
      <c r="P25" s="60">
        <f t="shared" si="6"/>
        <v>240700391</v>
      </c>
      <c r="Q25" s="60">
        <f t="shared" si="6"/>
        <v>220943000</v>
      </c>
      <c r="R25" s="60">
        <f t="shared" si="6"/>
        <v>209672470</v>
      </c>
      <c r="S25" s="60">
        <f t="shared" si="6"/>
        <v>200897289</v>
      </c>
      <c r="T25" s="60">
        <f t="shared" si="6"/>
        <v>221897552</v>
      </c>
      <c r="U25" s="60">
        <f t="shared" si="6"/>
        <v>225423888</v>
      </c>
      <c r="V25" s="60">
        <f t="shared" si="6"/>
        <v>200756639</v>
      </c>
      <c r="W25" s="60">
        <f t="shared" si="6"/>
        <v>206249440</v>
      </c>
      <c r="X25" s="60">
        <f t="shared" si="6"/>
        <v>224463860</v>
      </c>
      <c r="Y25" s="60">
        <f t="shared" si="6"/>
        <v>254176095</v>
      </c>
      <c r="Z25" s="60">
        <f t="shared" si="6"/>
        <v>258556334</v>
      </c>
      <c r="AA25" s="60">
        <f t="shared" si="6"/>
        <v>220881505</v>
      </c>
      <c r="AB25" s="60">
        <f t="shared" si="6"/>
        <v>236102963</v>
      </c>
      <c r="AC25" s="60">
        <f t="shared" si="6"/>
        <v>216219954</v>
      </c>
      <c r="AD25" s="60">
        <f t="shared" si="6"/>
        <v>204327366</v>
      </c>
      <c r="AE25" s="60">
        <f t="shared" si="6"/>
        <v>195206356</v>
      </c>
      <c r="AF25" s="60">
        <f t="shared" si="6"/>
        <v>214887896</v>
      </c>
      <c r="AG25" s="60">
        <f t="shared" si="6"/>
        <v>218368414</v>
      </c>
      <c r="AH25" s="60">
        <f t="shared" si="6"/>
        <v>194291004</v>
      </c>
      <c r="AI25" s="60">
        <f t="shared" si="6"/>
        <v>199915539</v>
      </c>
      <c r="AJ25" s="60">
        <f t="shared" si="6"/>
        <v>218407994</v>
      </c>
      <c r="AK25" s="60">
        <f t="shared" si="6"/>
        <v>251674697</v>
      </c>
      <c r="AL25" s="60">
        <f t="shared" si="6"/>
        <v>259760955</v>
      </c>
      <c r="AM25" s="60">
        <f t="shared" si="6"/>
        <v>221289997</v>
      </c>
      <c r="AN25" s="60">
        <f t="shared" si="6"/>
        <v>236065722</v>
      </c>
      <c r="AO25" s="60">
        <f t="shared" si="6"/>
        <v>215799976</v>
      </c>
      <c r="AP25" s="60">
        <f t="shared" si="6"/>
        <v>203883506</v>
      </c>
      <c r="AQ25" s="60">
        <f t="shared" si="6"/>
        <v>194892155</v>
      </c>
      <c r="AR25" s="60">
        <f t="shared" si="6"/>
        <v>214642069</v>
      </c>
      <c r="AS25" s="60">
        <f t="shared" si="6"/>
        <v>218302510</v>
      </c>
      <c r="AT25" s="60">
        <f t="shared" si="6"/>
        <v>193888571</v>
      </c>
      <c r="AU25" s="60">
        <f t="shared" si="6"/>
        <v>199475855</v>
      </c>
      <c r="AV25" s="60">
        <f t="shared" si="6"/>
        <v>218137276</v>
      </c>
      <c r="AW25" s="60">
        <f t="shared" si="6"/>
        <v>251247875</v>
      </c>
      <c r="AX25" s="60">
        <f t="shared" si="6"/>
        <v>260509770</v>
      </c>
      <c r="AY25" s="60">
        <f t="shared" si="6"/>
        <v>223299095</v>
      </c>
      <c r="AZ25" s="60">
        <f t="shared" si="6"/>
        <v>235491819</v>
      </c>
      <c r="BA25" s="60">
        <f t="shared" si="6"/>
        <v>213199392</v>
      </c>
      <c r="BB25" s="60">
        <f t="shared" si="6"/>
        <v>201446308</v>
      </c>
      <c r="BC25" s="60">
        <f t="shared" si="6"/>
        <v>192532458</v>
      </c>
      <c r="BD25" s="60">
        <f t="shared" si="6"/>
        <v>211819592</v>
      </c>
      <c r="BE25" s="60">
        <f t="shared" si="6"/>
        <v>215349750</v>
      </c>
      <c r="BF25" s="60">
        <f t="shared" si="6"/>
        <v>191026204</v>
      </c>
      <c r="BG25" s="60">
        <f t="shared" si="6"/>
        <v>196869030</v>
      </c>
      <c r="BH25" s="60">
        <f t="shared" si="6"/>
        <v>215551043</v>
      </c>
      <c r="BI25" s="60">
        <f t="shared" si="6"/>
        <v>248245182</v>
      </c>
      <c r="BJ25" s="60">
        <f t="shared" si="6"/>
        <v>255218812</v>
      </c>
      <c r="BK25" s="60">
        <f t="shared" si="6"/>
        <v>216842504</v>
      </c>
      <c r="BL25" s="60">
        <f t="shared" si="6"/>
        <v>230508238</v>
      </c>
      <c r="BM25" s="60">
        <f t="shared" si="6"/>
        <v>209992668</v>
      </c>
      <c r="BN25" s="60">
        <f t="shared" ref="BN25:BU25" si="7">BN8</f>
        <v>198015635</v>
      </c>
      <c r="BO25" s="60">
        <f t="shared" si="7"/>
        <v>188890673</v>
      </c>
      <c r="BP25" s="60">
        <f t="shared" si="7"/>
        <v>207672172</v>
      </c>
      <c r="BQ25" s="60">
        <f t="shared" si="7"/>
        <v>211463345</v>
      </c>
      <c r="BR25" s="60">
        <f t="shared" si="7"/>
        <v>187285097</v>
      </c>
      <c r="BS25" s="60">
        <f t="shared" si="7"/>
        <v>193216385</v>
      </c>
      <c r="BT25" s="60">
        <f t="shared" si="7"/>
        <v>211872795</v>
      </c>
      <c r="BU25" s="60">
        <f t="shared" si="7"/>
        <v>244095245</v>
      </c>
      <c r="BV25" s="50"/>
    </row>
    <row r="26" spans="1:74" s="5" customFormat="1" ht="11.25" x14ac:dyDescent="0.2">
      <c r="A26" s="59" t="s">
        <v>142</v>
      </c>
      <c r="B26" s="60">
        <f t="shared" ref="B26:BM26" si="8">SUM(B7,B9,B11,B13,B15)</f>
        <v>294398187</v>
      </c>
      <c r="C26" s="60">
        <f t="shared" si="8"/>
        <v>261150472</v>
      </c>
      <c r="D26" s="60">
        <f t="shared" si="8"/>
        <v>239243666</v>
      </c>
      <c r="E26" s="60">
        <f t="shared" si="8"/>
        <v>214755753</v>
      </c>
      <c r="F26" s="60">
        <f t="shared" si="8"/>
        <v>224905821</v>
      </c>
      <c r="G26" s="60">
        <f t="shared" si="8"/>
        <v>233641031</v>
      </c>
      <c r="H26" s="60">
        <f t="shared" si="8"/>
        <v>253014072</v>
      </c>
      <c r="I26" s="60">
        <f t="shared" si="8"/>
        <v>261285841</v>
      </c>
      <c r="J26" s="60">
        <f t="shared" si="8"/>
        <v>235552423</v>
      </c>
      <c r="K26" s="60">
        <f t="shared" si="8"/>
        <v>238641861</v>
      </c>
      <c r="L26" s="60">
        <f t="shared" si="8"/>
        <v>247295057</v>
      </c>
      <c r="M26" s="60">
        <f t="shared" si="8"/>
        <v>277438469</v>
      </c>
      <c r="N26" s="60">
        <f t="shared" si="8"/>
        <v>273002675</v>
      </c>
      <c r="O26" s="60">
        <f t="shared" si="8"/>
        <v>244658995</v>
      </c>
      <c r="P26" s="60">
        <f t="shared" si="8"/>
        <v>248758023</v>
      </c>
      <c r="Q26" s="60">
        <f t="shared" si="8"/>
        <v>240267753</v>
      </c>
      <c r="R26" s="60">
        <f t="shared" si="8"/>
        <v>237155636</v>
      </c>
      <c r="S26" s="60">
        <f t="shared" si="8"/>
        <v>234205824</v>
      </c>
      <c r="T26" s="60">
        <f t="shared" si="8"/>
        <v>255193220</v>
      </c>
      <c r="U26" s="60">
        <f t="shared" si="8"/>
        <v>260611485</v>
      </c>
      <c r="V26" s="60">
        <f t="shared" si="8"/>
        <v>233388144</v>
      </c>
      <c r="W26" s="60">
        <f t="shared" si="8"/>
        <v>239695513</v>
      </c>
      <c r="X26" s="60">
        <f t="shared" si="8"/>
        <v>249396178</v>
      </c>
      <c r="Y26" s="60">
        <f t="shared" si="8"/>
        <v>273682460</v>
      </c>
      <c r="Z26" s="60">
        <f t="shared" si="8"/>
        <v>265849534</v>
      </c>
      <c r="AA26" s="60">
        <f t="shared" si="8"/>
        <v>238673001</v>
      </c>
      <c r="AB26" s="60">
        <f t="shared" si="8"/>
        <v>243002879</v>
      </c>
      <c r="AC26" s="60">
        <f t="shared" si="8"/>
        <v>234458872</v>
      </c>
      <c r="AD26" s="60">
        <f t="shared" si="8"/>
        <v>230698550</v>
      </c>
      <c r="AE26" s="60">
        <f t="shared" si="8"/>
        <v>227356361</v>
      </c>
      <c r="AF26" s="60">
        <f t="shared" si="8"/>
        <v>246959893</v>
      </c>
      <c r="AG26" s="60">
        <f t="shared" si="8"/>
        <v>252359990</v>
      </c>
      <c r="AH26" s="60">
        <f t="shared" si="8"/>
        <v>225928014</v>
      </c>
      <c r="AI26" s="60">
        <f t="shared" si="8"/>
        <v>232650493</v>
      </c>
      <c r="AJ26" s="60">
        <f t="shared" si="8"/>
        <v>242944750</v>
      </c>
      <c r="AK26" s="60">
        <f t="shared" si="8"/>
        <v>271147935</v>
      </c>
      <c r="AL26" s="60">
        <f t="shared" si="8"/>
        <v>266332474</v>
      </c>
      <c r="AM26" s="60">
        <f t="shared" si="8"/>
        <v>238320069</v>
      </c>
      <c r="AN26" s="60">
        <f t="shared" si="8"/>
        <v>242050732</v>
      </c>
      <c r="AO26" s="60">
        <f t="shared" si="8"/>
        <v>233233364</v>
      </c>
      <c r="AP26" s="60">
        <f t="shared" si="8"/>
        <v>229464206</v>
      </c>
      <c r="AQ26" s="60">
        <f t="shared" si="8"/>
        <v>226201578</v>
      </c>
      <c r="AR26" s="60">
        <f t="shared" si="8"/>
        <v>245567307</v>
      </c>
      <c r="AS26" s="60">
        <f t="shared" si="8"/>
        <v>250935677</v>
      </c>
      <c r="AT26" s="60">
        <f t="shared" si="8"/>
        <v>224117171</v>
      </c>
      <c r="AU26" s="60">
        <f t="shared" si="8"/>
        <v>230658730</v>
      </c>
      <c r="AV26" s="60">
        <f t="shared" si="8"/>
        <v>240809373</v>
      </c>
      <c r="AW26" s="60">
        <f t="shared" si="8"/>
        <v>268307843</v>
      </c>
      <c r="AX26" s="60">
        <f t="shared" si="8"/>
        <v>266653621</v>
      </c>
      <c r="AY26" s="60">
        <f t="shared" si="8"/>
        <v>240047278</v>
      </c>
      <c r="AZ26" s="60">
        <f t="shared" si="8"/>
        <v>240945682</v>
      </c>
      <c r="BA26" s="60">
        <f t="shared" si="8"/>
        <v>229883947</v>
      </c>
      <c r="BB26" s="60">
        <f t="shared" si="8"/>
        <v>226175509</v>
      </c>
      <c r="BC26" s="60">
        <f t="shared" si="8"/>
        <v>222920255</v>
      </c>
      <c r="BD26" s="60">
        <f t="shared" si="8"/>
        <v>241747053</v>
      </c>
      <c r="BE26" s="60">
        <f t="shared" si="8"/>
        <v>246960708</v>
      </c>
      <c r="BF26" s="60">
        <f t="shared" si="8"/>
        <v>220235770</v>
      </c>
      <c r="BG26" s="60">
        <f t="shared" si="8"/>
        <v>227031289</v>
      </c>
      <c r="BH26" s="60">
        <f t="shared" si="8"/>
        <v>237355496</v>
      </c>
      <c r="BI26" s="60">
        <f t="shared" si="8"/>
        <v>264451291</v>
      </c>
      <c r="BJ26" s="60">
        <f t="shared" si="8"/>
        <v>260584600</v>
      </c>
      <c r="BK26" s="60">
        <f t="shared" si="8"/>
        <v>232428808</v>
      </c>
      <c r="BL26" s="60">
        <f t="shared" si="8"/>
        <v>235147887</v>
      </c>
      <c r="BM26" s="60">
        <f t="shared" si="8"/>
        <v>225748127</v>
      </c>
      <c r="BN26" s="60">
        <f t="shared" ref="BN26:BU26" si="9">SUM(BN7,BN9,BN11,BN13,BN15)</f>
        <v>221643201</v>
      </c>
      <c r="BO26" s="60">
        <f t="shared" si="9"/>
        <v>218036424</v>
      </c>
      <c r="BP26" s="60">
        <f t="shared" si="9"/>
        <v>236295621</v>
      </c>
      <c r="BQ26" s="60">
        <f t="shared" si="9"/>
        <v>241798720</v>
      </c>
      <c r="BR26" s="60">
        <f t="shared" si="9"/>
        <v>215229703</v>
      </c>
      <c r="BS26" s="60">
        <f t="shared" si="9"/>
        <v>222084434</v>
      </c>
      <c r="BT26" s="60">
        <f t="shared" si="9"/>
        <v>232589597</v>
      </c>
      <c r="BU26" s="60">
        <f t="shared" si="9"/>
        <v>259262022</v>
      </c>
      <c r="BV26" s="50"/>
    </row>
    <row r="27" spans="1:74" s="5" customFormat="1" ht="11.25" x14ac:dyDescent="0.2">
      <c r="A27" s="59" t="s">
        <v>143</v>
      </c>
      <c r="B27" s="60">
        <f t="shared" ref="B27:BM27" si="10">B14</f>
        <v>7829271</v>
      </c>
      <c r="C27" s="60">
        <f t="shared" si="10"/>
        <v>8849203</v>
      </c>
      <c r="D27" s="60">
        <f t="shared" si="10"/>
        <v>10898894</v>
      </c>
      <c r="E27" s="60">
        <f t="shared" si="10"/>
        <v>9884571</v>
      </c>
      <c r="F27" s="60">
        <f t="shared" si="10"/>
        <v>11470885</v>
      </c>
      <c r="G27" s="60">
        <f t="shared" si="10"/>
        <v>8961245</v>
      </c>
      <c r="H27" s="60">
        <f t="shared" si="10"/>
        <v>9826314</v>
      </c>
      <c r="I27" s="60">
        <f t="shared" si="10"/>
        <v>8198017</v>
      </c>
      <c r="J27" s="60">
        <f t="shared" si="10"/>
        <v>9372301</v>
      </c>
      <c r="K27" s="60">
        <f t="shared" si="10"/>
        <v>11427173</v>
      </c>
      <c r="L27" s="60">
        <f t="shared" si="10"/>
        <v>10660951</v>
      </c>
      <c r="M27" s="60">
        <f t="shared" si="10"/>
        <v>9370476</v>
      </c>
      <c r="N27" s="60">
        <f t="shared" si="10"/>
        <v>7568379</v>
      </c>
      <c r="O27" s="60">
        <f t="shared" si="10"/>
        <v>8582926</v>
      </c>
      <c r="P27" s="60">
        <f t="shared" si="10"/>
        <v>11578621</v>
      </c>
      <c r="Q27" s="60">
        <f t="shared" si="10"/>
        <v>11295431</v>
      </c>
      <c r="R27" s="60">
        <f t="shared" si="10"/>
        <v>12383526</v>
      </c>
      <c r="S27" s="60">
        <f t="shared" si="10"/>
        <v>9435183</v>
      </c>
      <c r="T27" s="60">
        <f t="shared" si="10"/>
        <v>10454453</v>
      </c>
      <c r="U27" s="60">
        <f t="shared" si="10"/>
        <v>8695849</v>
      </c>
      <c r="V27" s="60">
        <f t="shared" si="10"/>
        <v>9746972</v>
      </c>
      <c r="W27" s="60">
        <f t="shared" si="10"/>
        <v>11948295</v>
      </c>
      <c r="X27" s="60">
        <f t="shared" si="10"/>
        <v>11227048</v>
      </c>
      <c r="Y27" s="60">
        <f t="shared" si="10"/>
        <v>9718238</v>
      </c>
      <c r="Z27" s="60">
        <f t="shared" si="10"/>
        <v>7818832</v>
      </c>
      <c r="AA27" s="60">
        <f t="shared" si="10"/>
        <v>8758025</v>
      </c>
      <c r="AB27" s="60">
        <f t="shared" si="10"/>
        <v>11703861</v>
      </c>
      <c r="AC27" s="60">
        <f t="shared" si="10"/>
        <v>11435176</v>
      </c>
      <c r="AD27" s="60">
        <f t="shared" si="10"/>
        <v>12465569</v>
      </c>
      <c r="AE27" s="60">
        <f t="shared" si="10"/>
        <v>9615791</v>
      </c>
      <c r="AF27" s="60">
        <f t="shared" si="10"/>
        <v>10611827</v>
      </c>
      <c r="AG27" s="60">
        <f t="shared" si="10"/>
        <v>8933014</v>
      </c>
      <c r="AH27" s="60">
        <f t="shared" si="10"/>
        <v>9876889</v>
      </c>
      <c r="AI27" s="60">
        <f t="shared" si="10"/>
        <v>12044886</v>
      </c>
      <c r="AJ27" s="60">
        <f t="shared" si="10"/>
        <v>11401729</v>
      </c>
      <c r="AK27" s="60">
        <f t="shared" si="10"/>
        <v>10130908</v>
      </c>
      <c r="AL27" s="60">
        <f t="shared" si="10"/>
        <v>8343644</v>
      </c>
      <c r="AM27" s="60">
        <f t="shared" si="10"/>
        <v>9197116</v>
      </c>
      <c r="AN27" s="60">
        <f t="shared" si="10"/>
        <v>12124247</v>
      </c>
      <c r="AO27" s="60">
        <f t="shared" si="10"/>
        <v>11844050</v>
      </c>
      <c r="AP27" s="60">
        <f t="shared" si="10"/>
        <v>12860063</v>
      </c>
      <c r="AQ27" s="60">
        <f t="shared" si="10"/>
        <v>10039860</v>
      </c>
      <c r="AR27" s="60">
        <f t="shared" si="10"/>
        <v>11051066</v>
      </c>
      <c r="AS27" s="60">
        <f t="shared" si="10"/>
        <v>9389657</v>
      </c>
      <c r="AT27" s="60">
        <f t="shared" si="10"/>
        <v>10229332</v>
      </c>
      <c r="AU27" s="60">
        <f t="shared" si="10"/>
        <v>12383195</v>
      </c>
      <c r="AV27" s="60">
        <f t="shared" si="10"/>
        <v>11760157</v>
      </c>
      <c r="AW27" s="60">
        <f t="shared" si="10"/>
        <v>10511516</v>
      </c>
      <c r="AX27" s="60">
        <f t="shared" si="10"/>
        <v>8314369</v>
      </c>
      <c r="AY27" s="60">
        <f t="shared" si="10"/>
        <v>9230949</v>
      </c>
      <c r="AZ27" s="60">
        <f t="shared" si="10"/>
        <v>12023975</v>
      </c>
      <c r="BA27" s="60">
        <f t="shared" si="10"/>
        <v>11631215</v>
      </c>
      <c r="BB27" s="60">
        <f t="shared" si="10"/>
        <v>12624866</v>
      </c>
      <c r="BC27" s="60">
        <f t="shared" si="10"/>
        <v>9840324</v>
      </c>
      <c r="BD27" s="60">
        <f t="shared" si="10"/>
        <v>10814107</v>
      </c>
      <c r="BE27" s="60">
        <f t="shared" si="10"/>
        <v>9178440</v>
      </c>
      <c r="BF27" s="60">
        <f t="shared" si="10"/>
        <v>9984573</v>
      </c>
      <c r="BG27" s="60">
        <f t="shared" si="10"/>
        <v>12117545</v>
      </c>
      <c r="BH27" s="60">
        <f t="shared" si="10"/>
        <v>11523164</v>
      </c>
      <c r="BI27" s="60">
        <f t="shared" si="10"/>
        <v>10290697</v>
      </c>
      <c r="BJ27" s="60">
        <f t="shared" si="10"/>
        <v>8039645</v>
      </c>
      <c r="BK27" s="60">
        <f t="shared" si="10"/>
        <v>8857973</v>
      </c>
      <c r="BL27" s="60">
        <f t="shared" si="10"/>
        <v>11660167</v>
      </c>
      <c r="BM27" s="60">
        <f t="shared" si="10"/>
        <v>11359928</v>
      </c>
      <c r="BN27" s="60">
        <f t="shared" ref="BN27:BU27" si="11">BN14</f>
        <v>12306197</v>
      </c>
      <c r="BO27" s="60">
        <f t="shared" si="11"/>
        <v>9565137</v>
      </c>
      <c r="BP27" s="60">
        <f t="shared" si="11"/>
        <v>10504275</v>
      </c>
      <c r="BQ27" s="60">
        <f t="shared" si="11"/>
        <v>8922265</v>
      </c>
      <c r="BR27" s="60">
        <f t="shared" si="11"/>
        <v>9692284</v>
      </c>
      <c r="BS27" s="60">
        <f t="shared" si="11"/>
        <v>11789966</v>
      </c>
      <c r="BT27" s="60">
        <f t="shared" si="11"/>
        <v>11232055</v>
      </c>
      <c r="BU27" s="60">
        <f t="shared" si="11"/>
        <v>10029092</v>
      </c>
      <c r="BV27" s="50"/>
    </row>
    <row r="28" spans="1:74" s="5" customFormat="1" ht="11.25" x14ac:dyDescent="0.2">
      <c r="A28" s="59" t="s">
        <v>144</v>
      </c>
      <c r="B28" s="60">
        <f>B18</f>
        <v>43673126</v>
      </c>
      <c r="C28" s="60">
        <f t="shared" ref="C28:BN28" si="12">C18</f>
        <v>41464212</v>
      </c>
      <c r="D28" s="60">
        <f t="shared" si="12"/>
        <v>43673126</v>
      </c>
      <c r="E28" s="60">
        <f t="shared" si="12"/>
        <v>41464212</v>
      </c>
      <c r="F28" s="60">
        <f t="shared" si="12"/>
        <v>38854645</v>
      </c>
      <c r="G28" s="60">
        <f t="shared" si="12"/>
        <v>38892992</v>
      </c>
      <c r="H28" s="60">
        <f t="shared" si="12"/>
        <v>38349988</v>
      </c>
      <c r="I28" s="60">
        <f t="shared" si="12"/>
        <v>41526933</v>
      </c>
      <c r="J28" s="60">
        <f t="shared" si="12"/>
        <v>41374771</v>
      </c>
      <c r="K28" s="60">
        <f t="shared" si="12"/>
        <v>42900121</v>
      </c>
      <c r="L28" s="60">
        <f t="shared" si="12"/>
        <v>41533611</v>
      </c>
      <c r="M28" s="60">
        <f t="shared" si="12"/>
        <v>39360110</v>
      </c>
      <c r="N28" s="60">
        <f t="shared" si="12"/>
        <v>39848783</v>
      </c>
      <c r="O28" s="60">
        <f t="shared" si="12"/>
        <v>41227027</v>
      </c>
      <c r="P28" s="60">
        <f t="shared" si="12"/>
        <v>43018029</v>
      </c>
      <c r="Q28" s="60">
        <f t="shared" si="12"/>
        <v>40842248</v>
      </c>
      <c r="R28" s="60">
        <f t="shared" si="12"/>
        <v>38271825</v>
      </c>
      <c r="S28" s="60">
        <f t="shared" si="12"/>
        <v>38309598</v>
      </c>
      <c r="T28" s="60">
        <f t="shared" si="12"/>
        <v>37774738</v>
      </c>
      <c r="U28" s="60">
        <f t="shared" si="12"/>
        <v>40904029</v>
      </c>
      <c r="V28" s="60">
        <f t="shared" si="12"/>
        <v>40754149</v>
      </c>
      <c r="W28" s="60">
        <f t="shared" si="12"/>
        <v>42256619</v>
      </c>
      <c r="X28" s="60">
        <f t="shared" si="12"/>
        <v>40910607</v>
      </c>
      <c r="Y28" s="60">
        <f t="shared" si="12"/>
        <v>38769708</v>
      </c>
      <c r="Z28" s="60">
        <f t="shared" si="12"/>
        <v>39251051</v>
      </c>
      <c r="AA28" s="60">
        <f t="shared" si="12"/>
        <v>40608622</v>
      </c>
      <c r="AB28" s="60">
        <f t="shared" si="12"/>
        <v>42372758</v>
      </c>
      <c r="AC28" s="60">
        <f t="shared" si="12"/>
        <v>40229615</v>
      </c>
      <c r="AD28" s="60">
        <f t="shared" si="12"/>
        <v>37697747</v>
      </c>
      <c r="AE28" s="60">
        <f t="shared" si="12"/>
        <v>37734954</v>
      </c>
      <c r="AF28" s="60">
        <f t="shared" si="12"/>
        <v>37208117</v>
      </c>
      <c r="AG28" s="60">
        <f t="shared" si="12"/>
        <v>40290469</v>
      </c>
      <c r="AH28" s="60">
        <f t="shared" si="12"/>
        <v>40142837</v>
      </c>
      <c r="AI28" s="60">
        <f t="shared" si="12"/>
        <v>41622769</v>
      </c>
      <c r="AJ28" s="60">
        <f t="shared" si="12"/>
        <v>40296948</v>
      </c>
      <c r="AK28" s="60">
        <f t="shared" si="12"/>
        <v>38188162</v>
      </c>
      <c r="AL28" s="60">
        <f t="shared" si="12"/>
        <v>38662285</v>
      </c>
      <c r="AM28" s="60">
        <f t="shared" si="12"/>
        <v>39999493</v>
      </c>
      <c r="AN28" s="60">
        <f t="shared" si="12"/>
        <v>41737167</v>
      </c>
      <c r="AO28" s="60">
        <f t="shared" si="12"/>
        <v>39626170</v>
      </c>
      <c r="AP28" s="60">
        <f t="shared" si="12"/>
        <v>37132281</v>
      </c>
      <c r="AQ28" s="60">
        <f t="shared" si="12"/>
        <v>37168929</v>
      </c>
      <c r="AR28" s="60">
        <f t="shared" si="12"/>
        <v>36649995</v>
      </c>
      <c r="AS28" s="60">
        <f t="shared" si="12"/>
        <v>39686112</v>
      </c>
      <c r="AT28" s="60">
        <f t="shared" si="12"/>
        <v>39540695</v>
      </c>
      <c r="AU28" s="60">
        <f t="shared" si="12"/>
        <v>40998428</v>
      </c>
      <c r="AV28" s="60">
        <f t="shared" si="12"/>
        <v>39692494</v>
      </c>
      <c r="AW28" s="60">
        <f t="shared" si="12"/>
        <v>37615340</v>
      </c>
      <c r="AX28" s="60">
        <f t="shared" si="12"/>
        <v>38082351</v>
      </c>
      <c r="AY28" s="60">
        <f t="shared" si="12"/>
        <v>39399500</v>
      </c>
      <c r="AZ28" s="60">
        <f t="shared" si="12"/>
        <v>41111110</v>
      </c>
      <c r="BA28" s="60">
        <f t="shared" si="12"/>
        <v>39031778</v>
      </c>
      <c r="BB28" s="60">
        <f t="shared" si="12"/>
        <v>36575297</v>
      </c>
      <c r="BC28" s="60">
        <f t="shared" si="12"/>
        <v>36611395</v>
      </c>
      <c r="BD28" s="60">
        <f t="shared" si="12"/>
        <v>36100245</v>
      </c>
      <c r="BE28" s="60">
        <f t="shared" si="12"/>
        <v>39090820</v>
      </c>
      <c r="BF28" s="60">
        <f t="shared" si="12"/>
        <v>38947584</v>
      </c>
      <c r="BG28" s="60">
        <f t="shared" si="12"/>
        <v>40383451</v>
      </c>
      <c r="BH28" s="60">
        <f t="shared" si="12"/>
        <v>39097106</v>
      </c>
      <c r="BI28" s="60">
        <f t="shared" si="12"/>
        <v>37051110</v>
      </c>
      <c r="BJ28" s="60">
        <f t="shared" si="12"/>
        <v>37511116</v>
      </c>
      <c r="BK28" s="60">
        <f t="shared" si="12"/>
        <v>38808508</v>
      </c>
      <c r="BL28" s="60">
        <f t="shared" si="12"/>
        <v>40494443</v>
      </c>
      <c r="BM28" s="60">
        <f t="shared" si="12"/>
        <v>38446301</v>
      </c>
      <c r="BN28" s="60">
        <f t="shared" si="12"/>
        <v>36026668</v>
      </c>
      <c r="BO28" s="60">
        <f t="shared" ref="BO28:BU28" si="13">BO18</f>
        <v>36062224</v>
      </c>
      <c r="BP28" s="60">
        <f t="shared" si="13"/>
        <v>35558742</v>
      </c>
      <c r="BQ28" s="60">
        <f t="shared" si="13"/>
        <v>38504458</v>
      </c>
      <c r="BR28" s="60">
        <f t="shared" si="13"/>
        <v>38363370</v>
      </c>
      <c r="BS28" s="60">
        <f t="shared" si="13"/>
        <v>39777700</v>
      </c>
      <c r="BT28" s="60">
        <f t="shared" si="13"/>
        <v>38510650</v>
      </c>
      <c r="BU28" s="60">
        <f t="shared" si="13"/>
        <v>36495343</v>
      </c>
      <c r="BV28" s="50"/>
    </row>
    <row r="29" spans="1:74" s="5" customFormat="1" ht="11.25" x14ac:dyDescent="0.2">
      <c r="A29" s="59" t="s">
        <v>145</v>
      </c>
      <c r="B29" s="60">
        <f t="shared" ref="B29:BM29" si="14">B16+B17</f>
        <v>52169237</v>
      </c>
      <c r="C29" s="60">
        <f t="shared" si="14"/>
        <v>44446029</v>
      </c>
      <c r="D29" s="60">
        <f t="shared" si="14"/>
        <v>48418745</v>
      </c>
      <c r="E29" s="60">
        <f t="shared" si="14"/>
        <v>42361889</v>
      </c>
      <c r="F29" s="60">
        <f t="shared" si="14"/>
        <v>44959191</v>
      </c>
      <c r="G29" s="60">
        <f t="shared" si="14"/>
        <v>46482948</v>
      </c>
      <c r="H29" s="60">
        <f t="shared" si="14"/>
        <v>52455056</v>
      </c>
      <c r="I29" s="60">
        <f t="shared" si="14"/>
        <v>52616302</v>
      </c>
      <c r="J29" s="60">
        <f t="shared" si="14"/>
        <v>48227844</v>
      </c>
      <c r="K29" s="60">
        <f t="shared" si="14"/>
        <v>49293868</v>
      </c>
      <c r="L29" s="60">
        <f t="shared" si="14"/>
        <v>49262452</v>
      </c>
      <c r="M29" s="60">
        <f t="shared" si="14"/>
        <v>53485446</v>
      </c>
      <c r="N29" s="60">
        <f t="shared" si="14"/>
        <v>47718102</v>
      </c>
      <c r="O29" s="60">
        <f t="shared" si="14"/>
        <v>41101913</v>
      </c>
      <c r="P29" s="60">
        <f t="shared" si="14"/>
        <v>49610329</v>
      </c>
      <c r="Q29" s="60">
        <f t="shared" si="14"/>
        <v>46636629</v>
      </c>
      <c r="R29" s="60">
        <f t="shared" si="14"/>
        <v>46903926</v>
      </c>
      <c r="S29" s="60">
        <f t="shared" si="14"/>
        <v>46410974</v>
      </c>
      <c r="T29" s="60">
        <f t="shared" si="14"/>
        <v>52837277</v>
      </c>
      <c r="U29" s="60">
        <f t="shared" si="14"/>
        <v>52297122</v>
      </c>
      <c r="V29" s="60">
        <f t="shared" si="14"/>
        <v>47670505</v>
      </c>
      <c r="W29" s="60">
        <f t="shared" si="14"/>
        <v>49417414</v>
      </c>
      <c r="X29" s="60">
        <f t="shared" si="14"/>
        <v>49557610</v>
      </c>
      <c r="Y29" s="60">
        <f t="shared" si="14"/>
        <v>52548961</v>
      </c>
      <c r="Z29" s="60">
        <f t="shared" si="14"/>
        <v>46279841</v>
      </c>
      <c r="AA29" s="60">
        <f t="shared" si="14"/>
        <v>39906401</v>
      </c>
      <c r="AB29" s="60">
        <f t="shared" si="14"/>
        <v>48262988</v>
      </c>
      <c r="AC29" s="60">
        <f t="shared" si="14"/>
        <v>45363235</v>
      </c>
      <c r="AD29" s="60">
        <f t="shared" si="14"/>
        <v>45526873</v>
      </c>
      <c r="AE29" s="60">
        <f t="shared" si="14"/>
        <v>44974488</v>
      </c>
      <c r="AF29" s="60">
        <f t="shared" si="14"/>
        <v>51053405</v>
      </c>
      <c r="AG29" s="60">
        <f t="shared" si="14"/>
        <v>50560488</v>
      </c>
      <c r="AH29" s="60">
        <f t="shared" si="14"/>
        <v>46083471</v>
      </c>
      <c r="AI29" s="60">
        <f t="shared" si="14"/>
        <v>47901028</v>
      </c>
      <c r="AJ29" s="60">
        <f t="shared" si="14"/>
        <v>48214157</v>
      </c>
      <c r="AK29" s="60">
        <f t="shared" si="14"/>
        <v>52004317</v>
      </c>
      <c r="AL29" s="60">
        <f t="shared" si="14"/>
        <v>46415040</v>
      </c>
      <c r="AM29" s="60">
        <f t="shared" si="14"/>
        <v>39906653</v>
      </c>
      <c r="AN29" s="60">
        <f t="shared" si="14"/>
        <v>48157739</v>
      </c>
      <c r="AO29" s="60">
        <f t="shared" si="14"/>
        <v>45203626</v>
      </c>
      <c r="AP29" s="60">
        <f t="shared" si="14"/>
        <v>45344698</v>
      </c>
      <c r="AQ29" s="60">
        <f t="shared" si="14"/>
        <v>44779602</v>
      </c>
      <c r="AR29" s="60">
        <f t="shared" si="14"/>
        <v>50780354</v>
      </c>
      <c r="AS29" s="60">
        <f t="shared" si="14"/>
        <v>50266938</v>
      </c>
      <c r="AT29" s="60">
        <f t="shared" si="14"/>
        <v>45705507</v>
      </c>
      <c r="AU29" s="60">
        <f t="shared" si="14"/>
        <v>47475779</v>
      </c>
      <c r="AV29" s="60">
        <f t="shared" si="14"/>
        <v>47783198</v>
      </c>
      <c r="AW29" s="60">
        <f t="shared" si="14"/>
        <v>51445510</v>
      </c>
      <c r="AX29" s="60">
        <f t="shared" si="14"/>
        <v>46359718</v>
      </c>
      <c r="AY29" s="60">
        <f t="shared" si="14"/>
        <v>40094844</v>
      </c>
      <c r="AZ29" s="60">
        <f t="shared" si="14"/>
        <v>47789786</v>
      </c>
      <c r="BA29" s="60">
        <f t="shared" si="14"/>
        <v>44416767</v>
      </c>
      <c r="BB29" s="60">
        <f t="shared" si="14"/>
        <v>44559369</v>
      </c>
      <c r="BC29" s="60">
        <f t="shared" si="14"/>
        <v>43981342</v>
      </c>
      <c r="BD29" s="60">
        <f t="shared" si="14"/>
        <v>49822332</v>
      </c>
      <c r="BE29" s="60">
        <f t="shared" si="14"/>
        <v>49284275</v>
      </c>
      <c r="BF29" s="60">
        <f t="shared" si="14"/>
        <v>44751452</v>
      </c>
      <c r="BG29" s="60">
        <f t="shared" si="14"/>
        <v>46539638</v>
      </c>
      <c r="BH29" s="60">
        <f t="shared" si="14"/>
        <v>46915908</v>
      </c>
      <c r="BI29" s="60">
        <f t="shared" si="14"/>
        <v>50505403</v>
      </c>
      <c r="BJ29" s="60">
        <f t="shared" si="14"/>
        <v>45066277</v>
      </c>
      <c r="BK29" s="60">
        <f t="shared" si="14"/>
        <v>38578405</v>
      </c>
      <c r="BL29" s="60">
        <f t="shared" si="14"/>
        <v>46394923</v>
      </c>
      <c r="BM29" s="60">
        <f t="shared" si="14"/>
        <v>43418222</v>
      </c>
      <c r="BN29" s="60">
        <f t="shared" ref="BN29:BU29" si="15">BN16+BN17</f>
        <v>43491734</v>
      </c>
      <c r="BO29" s="60">
        <f t="shared" si="15"/>
        <v>42852669</v>
      </c>
      <c r="BP29" s="60">
        <f t="shared" si="15"/>
        <v>48526986</v>
      </c>
      <c r="BQ29" s="60">
        <f t="shared" si="15"/>
        <v>48061071</v>
      </c>
      <c r="BR29" s="60">
        <f t="shared" si="15"/>
        <v>43575617</v>
      </c>
      <c r="BS29" s="60">
        <f t="shared" si="15"/>
        <v>45354282</v>
      </c>
      <c r="BT29" s="60">
        <f t="shared" si="15"/>
        <v>45813037</v>
      </c>
      <c r="BU29" s="60">
        <f t="shared" si="15"/>
        <v>49340353</v>
      </c>
      <c r="BV29" s="50"/>
    </row>
    <row r="30" spans="1:74" s="50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</row>
    <row r="31" spans="1:74" s="5" customFormat="1" ht="11.25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V31" s="50"/>
    </row>
    <row r="32" spans="1:74" s="5" customFormat="1" ht="11.25" x14ac:dyDescent="0.2">
      <c r="A32" s="7" t="s">
        <v>146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V32" s="50"/>
    </row>
    <row r="33" spans="1:74" s="5" customFormat="1" ht="11.25" x14ac:dyDescent="0.2">
      <c r="A33" s="24" t="s">
        <v>130</v>
      </c>
      <c r="B33" s="53">
        <f t="shared" ref="B33:BM33" si="16">B5</f>
        <v>43831</v>
      </c>
      <c r="C33" s="53">
        <f t="shared" si="16"/>
        <v>43862</v>
      </c>
      <c r="D33" s="53">
        <f t="shared" si="16"/>
        <v>43891</v>
      </c>
      <c r="E33" s="53">
        <f t="shared" si="16"/>
        <v>43922</v>
      </c>
      <c r="F33" s="53">
        <f t="shared" si="16"/>
        <v>43952</v>
      </c>
      <c r="G33" s="53">
        <f t="shared" si="16"/>
        <v>43983</v>
      </c>
      <c r="H33" s="53">
        <f t="shared" si="16"/>
        <v>44013</v>
      </c>
      <c r="I33" s="53">
        <f t="shared" si="16"/>
        <v>44044</v>
      </c>
      <c r="J33" s="53">
        <f t="shared" si="16"/>
        <v>44075</v>
      </c>
      <c r="K33" s="53">
        <f t="shared" si="16"/>
        <v>44105</v>
      </c>
      <c r="L33" s="53">
        <f t="shared" si="16"/>
        <v>44136</v>
      </c>
      <c r="M33" s="53">
        <f t="shared" si="16"/>
        <v>44166</v>
      </c>
      <c r="N33" s="53">
        <f t="shared" si="16"/>
        <v>44197</v>
      </c>
      <c r="O33" s="53">
        <f t="shared" si="16"/>
        <v>44228</v>
      </c>
      <c r="P33" s="53">
        <f t="shared" si="16"/>
        <v>44256</v>
      </c>
      <c r="Q33" s="53">
        <f t="shared" si="16"/>
        <v>44287</v>
      </c>
      <c r="R33" s="53">
        <f t="shared" si="16"/>
        <v>44317</v>
      </c>
      <c r="S33" s="53">
        <f t="shared" si="16"/>
        <v>44348</v>
      </c>
      <c r="T33" s="53">
        <f t="shared" si="16"/>
        <v>44378</v>
      </c>
      <c r="U33" s="53">
        <f t="shared" si="16"/>
        <v>44409</v>
      </c>
      <c r="V33" s="53">
        <f t="shared" si="16"/>
        <v>44440</v>
      </c>
      <c r="W33" s="53">
        <f t="shared" si="16"/>
        <v>44470</v>
      </c>
      <c r="X33" s="53">
        <f t="shared" si="16"/>
        <v>44501</v>
      </c>
      <c r="Y33" s="53">
        <f t="shared" si="16"/>
        <v>44531</v>
      </c>
      <c r="Z33" s="53">
        <f t="shared" si="16"/>
        <v>44562</v>
      </c>
      <c r="AA33" s="53">
        <f t="shared" si="16"/>
        <v>44593</v>
      </c>
      <c r="AB33" s="53">
        <f t="shared" si="16"/>
        <v>44621</v>
      </c>
      <c r="AC33" s="53">
        <f t="shared" si="16"/>
        <v>44652</v>
      </c>
      <c r="AD33" s="53">
        <f t="shared" si="16"/>
        <v>44682</v>
      </c>
      <c r="AE33" s="53">
        <f t="shared" si="16"/>
        <v>44713</v>
      </c>
      <c r="AF33" s="53">
        <f t="shared" si="16"/>
        <v>44743</v>
      </c>
      <c r="AG33" s="53">
        <f t="shared" si="16"/>
        <v>44774</v>
      </c>
      <c r="AH33" s="53">
        <f t="shared" si="16"/>
        <v>44805</v>
      </c>
      <c r="AI33" s="53">
        <f t="shared" si="16"/>
        <v>44835</v>
      </c>
      <c r="AJ33" s="53">
        <f t="shared" si="16"/>
        <v>44866</v>
      </c>
      <c r="AK33" s="53">
        <f t="shared" si="16"/>
        <v>44896</v>
      </c>
      <c r="AL33" s="53">
        <f t="shared" si="16"/>
        <v>44927</v>
      </c>
      <c r="AM33" s="53">
        <f t="shared" si="16"/>
        <v>44958</v>
      </c>
      <c r="AN33" s="53">
        <f t="shared" si="16"/>
        <v>44986</v>
      </c>
      <c r="AO33" s="53">
        <f t="shared" si="16"/>
        <v>45017</v>
      </c>
      <c r="AP33" s="53">
        <f t="shared" si="16"/>
        <v>45047</v>
      </c>
      <c r="AQ33" s="53">
        <f t="shared" si="16"/>
        <v>45078</v>
      </c>
      <c r="AR33" s="53">
        <f t="shared" si="16"/>
        <v>45108</v>
      </c>
      <c r="AS33" s="53">
        <f t="shared" si="16"/>
        <v>45139</v>
      </c>
      <c r="AT33" s="53">
        <f t="shared" si="16"/>
        <v>45170</v>
      </c>
      <c r="AU33" s="53">
        <f t="shared" si="16"/>
        <v>45200</v>
      </c>
      <c r="AV33" s="53">
        <f t="shared" si="16"/>
        <v>45231</v>
      </c>
      <c r="AW33" s="53">
        <f t="shared" si="16"/>
        <v>45261</v>
      </c>
      <c r="AX33" s="53">
        <f t="shared" si="16"/>
        <v>45292</v>
      </c>
      <c r="AY33" s="53">
        <f t="shared" si="16"/>
        <v>45323</v>
      </c>
      <c r="AZ33" s="53">
        <f t="shared" si="16"/>
        <v>45352</v>
      </c>
      <c r="BA33" s="53">
        <f t="shared" si="16"/>
        <v>45383</v>
      </c>
      <c r="BB33" s="53">
        <f t="shared" si="16"/>
        <v>45413</v>
      </c>
      <c r="BC33" s="53">
        <f t="shared" si="16"/>
        <v>45444</v>
      </c>
      <c r="BD33" s="53">
        <f t="shared" si="16"/>
        <v>45474</v>
      </c>
      <c r="BE33" s="53">
        <f t="shared" si="16"/>
        <v>45505</v>
      </c>
      <c r="BF33" s="53">
        <f t="shared" si="16"/>
        <v>45536</v>
      </c>
      <c r="BG33" s="53">
        <f t="shared" si="16"/>
        <v>45566</v>
      </c>
      <c r="BH33" s="53">
        <f t="shared" si="16"/>
        <v>45597</v>
      </c>
      <c r="BI33" s="53">
        <f t="shared" si="16"/>
        <v>45627</v>
      </c>
      <c r="BJ33" s="53">
        <f t="shared" si="16"/>
        <v>45658</v>
      </c>
      <c r="BK33" s="53">
        <f t="shared" si="16"/>
        <v>45689</v>
      </c>
      <c r="BL33" s="53">
        <f t="shared" si="16"/>
        <v>45717</v>
      </c>
      <c r="BM33" s="53">
        <f t="shared" si="16"/>
        <v>45748</v>
      </c>
      <c r="BN33" s="53">
        <f t="shared" ref="BN33:BU33" si="17">BN5</f>
        <v>45778</v>
      </c>
      <c r="BO33" s="53">
        <f t="shared" si="17"/>
        <v>45809</v>
      </c>
      <c r="BP33" s="53">
        <f t="shared" si="17"/>
        <v>45839</v>
      </c>
      <c r="BQ33" s="53">
        <f t="shared" si="17"/>
        <v>45870</v>
      </c>
      <c r="BR33" s="53">
        <f t="shared" si="17"/>
        <v>45901</v>
      </c>
      <c r="BS33" s="53">
        <f t="shared" si="17"/>
        <v>45931</v>
      </c>
      <c r="BT33" s="53">
        <f t="shared" si="17"/>
        <v>45962</v>
      </c>
      <c r="BU33" s="53">
        <f t="shared" si="17"/>
        <v>45992</v>
      </c>
      <c r="BV33" s="50" t="s">
        <v>131</v>
      </c>
    </row>
    <row r="34" spans="1:74" s="5" customFormat="1" ht="11.25" x14ac:dyDescent="0.2">
      <c r="A34" s="27" t="s">
        <v>135</v>
      </c>
      <c r="B34" s="54">
        <v>369200</v>
      </c>
      <c r="C34" s="54">
        <v>332613</v>
      </c>
      <c r="D34" s="54">
        <v>322397</v>
      </c>
      <c r="E34" s="54">
        <v>296389</v>
      </c>
      <c r="F34" s="54">
        <v>330810</v>
      </c>
      <c r="G34" s="54">
        <v>338499</v>
      </c>
      <c r="H34" s="54">
        <v>369980</v>
      </c>
      <c r="I34" s="54">
        <v>365854</v>
      </c>
      <c r="J34" s="54">
        <v>336565</v>
      </c>
      <c r="K34" s="54">
        <v>346557</v>
      </c>
      <c r="L34" s="54">
        <v>341789</v>
      </c>
      <c r="M34" s="54">
        <v>361055</v>
      </c>
      <c r="N34" s="54">
        <v>336605</v>
      </c>
      <c r="O34" s="54">
        <v>296111</v>
      </c>
      <c r="P34" s="54">
        <v>329674</v>
      </c>
      <c r="Q34" s="54">
        <v>325694</v>
      </c>
      <c r="R34" s="54">
        <v>343134</v>
      </c>
      <c r="S34" s="54">
        <v>334767</v>
      </c>
      <c r="T34" s="54">
        <v>368653</v>
      </c>
      <c r="U34" s="54">
        <v>360335</v>
      </c>
      <c r="V34" s="54">
        <v>329335</v>
      </c>
      <c r="W34" s="54">
        <v>343760</v>
      </c>
      <c r="X34" s="54">
        <v>340351</v>
      </c>
      <c r="Y34" s="54">
        <v>351610</v>
      </c>
      <c r="Z34" s="54">
        <v>323902</v>
      </c>
      <c r="AA34" s="54">
        <v>295664</v>
      </c>
      <c r="AB34" s="54">
        <v>318202</v>
      </c>
      <c r="AC34" s="54">
        <v>313997</v>
      </c>
      <c r="AD34" s="54">
        <v>329942</v>
      </c>
      <c r="AE34" s="54">
        <v>321370</v>
      </c>
      <c r="AF34" s="54">
        <v>352933</v>
      </c>
      <c r="AG34" s="54">
        <v>345243</v>
      </c>
      <c r="AH34" s="54">
        <v>315361</v>
      </c>
      <c r="AI34" s="54">
        <v>329956</v>
      </c>
      <c r="AJ34" s="54">
        <v>327835</v>
      </c>
      <c r="AK34" s="54">
        <v>344533</v>
      </c>
      <c r="AL34" s="54">
        <v>321607</v>
      </c>
      <c r="AM34" s="54">
        <v>292711</v>
      </c>
      <c r="AN34" s="54">
        <v>314164</v>
      </c>
      <c r="AO34" s="54">
        <v>309530</v>
      </c>
      <c r="AP34" s="54">
        <v>325273</v>
      </c>
      <c r="AQ34" s="54">
        <v>316955</v>
      </c>
      <c r="AR34" s="54">
        <v>347973</v>
      </c>
      <c r="AS34" s="54">
        <v>340432</v>
      </c>
      <c r="AT34" s="54">
        <v>310131</v>
      </c>
      <c r="AU34" s="54">
        <v>324235</v>
      </c>
      <c r="AV34" s="54">
        <v>322070</v>
      </c>
      <c r="AW34" s="54">
        <v>337974</v>
      </c>
      <c r="AX34" s="54">
        <v>322217</v>
      </c>
      <c r="AY34" s="54">
        <v>295091</v>
      </c>
      <c r="AZ34" s="54">
        <v>313007</v>
      </c>
      <c r="BA34" s="54">
        <v>305392</v>
      </c>
      <c r="BB34" s="54">
        <v>320913</v>
      </c>
      <c r="BC34" s="54">
        <v>312640</v>
      </c>
      <c r="BD34" s="54">
        <v>342874</v>
      </c>
      <c r="BE34" s="54">
        <v>335288</v>
      </c>
      <c r="BF34" s="54">
        <v>305020</v>
      </c>
      <c r="BG34" s="54">
        <v>319409</v>
      </c>
      <c r="BH34" s="54">
        <v>317680</v>
      </c>
      <c r="BI34" s="54">
        <v>333308</v>
      </c>
      <c r="BJ34" s="54">
        <v>314943</v>
      </c>
      <c r="BK34" s="54">
        <v>275971</v>
      </c>
      <c r="BL34" s="54">
        <v>305709</v>
      </c>
      <c r="BM34" s="54">
        <v>300199</v>
      </c>
      <c r="BN34" s="54">
        <v>314826</v>
      </c>
      <c r="BO34" s="54">
        <v>306177</v>
      </c>
      <c r="BP34" s="54">
        <v>335606</v>
      </c>
      <c r="BQ34" s="54">
        <v>328661</v>
      </c>
      <c r="BR34" s="54">
        <v>298505</v>
      </c>
      <c r="BS34" s="54">
        <v>312925</v>
      </c>
      <c r="BT34" s="54">
        <v>311729</v>
      </c>
      <c r="BU34" s="54">
        <v>327171</v>
      </c>
      <c r="BV34" s="55">
        <v>0</v>
      </c>
    </row>
    <row r="35" spans="1:74" s="5" customFormat="1" ht="11.25" x14ac:dyDescent="0.2">
      <c r="A35" s="27" t="s">
        <v>136</v>
      </c>
      <c r="B35" s="54">
        <v>283176</v>
      </c>
      <c r="C35" s="54">
        <v>251367</v>
      </c>
      <c r="D35" s="54">
        <v>242077</v>
      </c>
      <c r="E35" s="54">
        <v>229362</v>
      </c>
      <c r="F35" s="54">
        <v>252923</v>
      </c>
      <c r="G35" s="54">
        <v>255636</v>
      </c>
      <c r="H35" s="54">
        <v>265800</v>
      </c>
      <c r="I35" s="54">
        <v>261874</v>
      </c>
      <c r="J35" s="54">
        <v>244486</v>
      </c>
      <c r="K35" s="54">
        <v>256928</v>
      </c>
      <c r="L35" s="54">
        <v>252586</v>
      </c>
      <c r="M35" s="54">
        <v>266334</v>
      </c>
      <c r="N35" s="54">
        <v>256013</v>
      </c>
      <c r="O35" s="54">
        <v>222381</v>
      </c>
      <c r="P35" s="54">
        <v>245512</v>
      </c>
      <c r="Q35" s="54">
        <v>249533</v>
      </c>
      <c r="R35" s="54">
        <v>261272</v>
      </c>
      <c r="S35" s="54">
        <v>253757</v>
      </c>
      <c r="T35" s="54">
        <v>266615</v>
      </c>
      <c r="U35" s="54">
        <v>259019</v>
      </c>
      <c r="V35" s="54">
        <v>240798</v>
      </c>
      <c r="W35" s="54">
        <v>256827</v>
      </c>
      <c r="X35" s="54">
        <v>253391</v>
      </c>
      <c r="Y35" s="54">
        <v>260886</v>
      </c>
      <c r="Z35" s="54">
        <v>247447</v>
      </c>
      <c r="AA35" s="54">
        <v>222881</v>
      </c>
      <c r="AB35" s="54">
        <v>238045</v>
      </c>
      <c r="AC35" s="54">
        <v>241813</v>
      </c>
      <c r="AD35" s="54">
        <v>252674</v>
      </c>
      <c r="AE35" s="54">
        <v>245027</v>
      </c>
      <c r="AF35" s="54">
        <v>256591</v>
      </c>
      <c r="AG35" s="54">
        <v>249356</v>
      </c>
      <c r="AH35" s="54">
        <v>231817</v>
      </c>
      <c r="AI35" s="54">
        <v>247791</v>
      </c>
      <c r="AJ35" s="54">
        <v>245224</v>
      </c>
      <c r="AK35" s="54">
        <v>256863</v>
      </c>
      <c r="AL35" s="54">
        <v>247051</v>
      </c>
      <c r="AM35" s="54">
        <v>221910</v>
      </c>
      <c r="AN35" s="54">
        <v>236587</v>
      </c>
      <c r="AO35" s="54">
        <v>239965</v>
      </c>
      <c r="AP35" s="54">
        <v>250639</v>
      </c>
      <c r="AQ35" s="54">
        <v>242979</v>
      </c>
      <c r="AR35" s="54">
        <v>254147</v>
      </c>
      <c r="AS35" s="54">
        <v>246939</v>
      </c>
      <c r="AT35" s="54">
        <v>229133</v>
      </c>
      <c r="AU35" s="54">
        <v>244832</v>
      </c>
      <c r="AV35" s="54">
        <v>242305</v>
      </c>
      <c r="AW35" s="54">
        <v>253453</v>
      </c>
      <c r="AX35" s="54">
        <v>246437</v>
      </c>
      <c r="AY35" s="54">
        <v>222765</v>
      </c>
      <c r="AZ35" s="54">
        <v>234484</v>
      </c>
      <c r="BA35" s="54">
        <v>235447</v>
      </c>
      <c r="BB35" s="54">
        <v>245890</v>
      </c>
      <c r="BC35" s="54">
        <v>238297</v>
      </c>
      <c r="BD35" s="54">
        <v>248835</v>
      </c>
      <c r="BE35" s="54">
        <v>241683</v>
      </c>
      <c r="BF35" s="54">
        <v>223891</v>
      </c>
      <c r="BG35" s="54">
        <v>239502</v>
      </c>
      <c r="BH35" s="54">
        <v>237322</v>
      </c>
      <c r="BI35" s="54">
        <v>248119</v>
      </c>
      <c r="BJ35" s="54">
        <v>238855</v>
      </c>
      <c r="BK35" s="54">
        <v>206484</v>
      </c>
      <c r="BL35" s="54">
        <v>227142</v>
      </c>
      <c r="BM35" s="54">
        <v>229652</v>
      </c>
      <c r="BN35" s="54">
        <v>239470</v>
      </c>
      <c r="BO35" s="54">
        <v>231795</v>
      </c>
      <c r="BP35" s="54">
        <v>241844</v>
      </c>
      <c r="BQ35" s="54">
        <v>235245</v>
      </c>
      <c r="BR35" s="54">
        <v>217567</v>
      </c>
      <c r="BS35" s="54">
        <v>232959</v>
      </c>
      <c r="BT35" s="54">
        <v>231241</v>
      </c>
      <c r="BU35" s="54">
        <v>241803</v>
      </c>
      <c r="BV35" s="55">
        <v>0</v>
      </c>
    </row>
    <row r="36" spans="1:74" s="5" customFormat="1" ht="11.25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V36" s="50"/>
    </row>
    <row r="37" spans="1:74" s="5" customFormat="1" ht="11.25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V37" s="50"/>
    </row>
    <row r="38" spans="1:74" s="5" customFormat="1" ht="11.25" x14ac:dyDescent="0.2">
      <c r="A38" s="7" t="s">
        <v>147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V38" s="50"/>
    </row>
    <row r="39" spans="1:74" s="5" customFormat="1" ht="11.25" x14ac:dyDescent="0.2">
      <c r="A39" s="24" t="s">
        <v>130</v>
      </c>
      <c r="B39" s="53">
        <f t="shared" ref="B39:BM39" si="18">B5</f>
        <v>43831</v>
      </c>
      <c r="C39" s="53">
        <f t="shared" si="18"/>
        <v>43862</v>
      </c>
      <c r="D39" s="53">
        <f t="shared" si="18"/>
        <v>43891</v>
      </c>
      <c r="E39" s="53">
        <f t="shared" si="18"/>
        <v>43922</v>
      </c>
      <c r="F39" s="53">
        <f t="shared" si="18"/>
        <v>43952</v>
      </c>
      <c r="G39" s="53">
        <f t="shared" si="18"/>
        <v>43983</v>
      </c>
      <c r="H39" s="53">
        <f t="shared" si="18"/>
        <v>44013</v>
      </c>
      <c r="I39" s="53">
        <f t="shared" si="18"/>
        <v>44044</v>
      </c>
      <c r="J39" s="53">
        <f t="shared" si="18"/>
        <v>44075</v>
      </c>
      <c r="K39" s="53">
        <f t="shared" si="18"/>
        <v>44105</v>
      </c>
      <c r="L39" s="53">
        <f t="shared" si="18"/>
        <v>44136</v>
      </c>
      <c r="M39" s="53">
        <f t="shared" si="18"/>
        <v>44166</v>
      </c>
      <c r="N39" s="53">
        <f t="shared" si="18"/>
        <v>44197</v>
      </c>
      <c r="O39" s="53">
        <f t="shared" si="18"/>
        <v>44228</v>
      </c>
      <c r="P39" s="53">
        <f t="shared" si="18"/>
        <v>44256</v>
      </c>
      <c r="Q39" s="53">
        <f t="shared" si="18"/>
        <v>44287</v>
      </c>
      <c r="R39" s="53">
        <f t="shared" si="18"/>
        <v>44317</v>
      </c>
      <c r="S39" s="53">
        <f t="shared" si="18"/>
        <v>44348</v>
      </c>
      <c r="T39" s="53">
        <f t="shared" si="18"/>
        <v>44378</v>
      </c>
      <c r="U39" s="53">
        <f t="shared" si="18"/>
        <v>44409</v>
      </c>
      <c r="V39" s="53">
        <f t="shared" si="18"/>
        <v>44440</v>
      </c>
      <c r="W39" s="53">
        <f t="shared" si="18"/>
        <v>44470</v>
      </c>
      <c r="X39" s="53">
        <f t="shared" si="18"/>
        <v>44501</v>
      </c>
      <c r="Y39" s="53">
        <f t="shared" si="18"/>
        <v>44531</v>
      </c>
      <c r="Z39" s="53">
        <f t="shared" si="18"/>
        <v>44562</v>
      </c>
      <c r="AA39" s="53">
        <f t="shared" si="18"/>
        <v>44593</v>
      </c>
      <c r="AB39" s="53">
        <f t="shared" si="18"/>
        <v>44621</v>
      </c>
      <c r="AC39" s="53">
        <f t="shared" si="18"/>
        <v>44652</v>
      </c>
      <c r="AD39" s="53">
        <f t="shared" si="18"/>
        <v>44682</v>
      </c>
      <c r="AE39" s="53">
        <f t="shared" si="18"/>
        <v>44713</v>
      </c>
      <c r="AF39" s="53">
        <f t="shared" si="18"/>
        <v>44743</v>
      </c>
      <c r="AG39" s="53">
        <f t="shared" si="18"/>
        <v>44774</v>
      </c>
      <c r="AH39" s="53">
        <f t="shared" si="18"/>
        <v>44805</v>
      </c>
      <c r="AI39" s="53">
        <f t="shared" si="18"/>
        <v>44835</v>
      </c>
      <c r="AJ39" s="53">
        <f t="shared" si="18"/>
        <v>44866</v>
      </c>
      <c r="AK39" s="53">
        <f t="shared" si="18"/>
        <v>44896</v>
      </c>
      <c r="AL39" s="53">
        <f t="shared" si="18"/>
        <v>44927</v>
      </c>
      <c r="AM39" s="53">
        <f t="shared" si="18"/>
        <v>44958</v>
      </c>
      <c r="AN39" s="53">
        <f t="shared" si="18"/>
        <v>44986</v>
      </c>
      <c r="AO39" s="53">
        <f t="shared" si="18"/>
        <v>45017</v>
      </c>
      <c r="AP39" s="53">
        <f t="shared" si="18"/>
        <v>45047</v>
      </c>
      <c r="AQ39" s="53">
        <f t="shared" si="18"/>
        <v>45078</v>
      </c>
      <c r="AR39" s="53">
        <f t="shared" si="18"/>
        <v>45108</v>
      </c>
      <c r="AS39" s="53">
        <f t="shared" si="18"/>
        <v>45139</v>
      </c>
      <c r="AT39" s="53">
        <f t="shared" si="18"/>
        <v>45170</v>
      </c>
      <c r="AU39" s="53">
        <f t="shared" si="18"/>
        <v>45200</v>
      </c>
      <c r="AV39" s="53">
        <f t="shared" si="18"/>
        <v>45231</v>
      </c>
      <c r="AW39" s="53">
        <f t="shared" si="18"/>
        <v>45261</v>
      </c>
      <c r="AX39" s="53">
        <f t="shared" si="18"/>
        <v>45292</v>
      </c>
      <c r="AY39" s="53">
        <f t="shared" si="18"/>
        <v>45323</v>
      </c>
      <c r="AZ39" s="53">
        <f t="shared" si="18"/>
        <v>45352</v>
      </c>
      <c r="BA39" s="53">
        <f t="shared" si="18"/>
        <v>45383</v>
      </c>
      <c r="BB39" s="53">
        <f t="shared" si="18"/>
        <v>45413</v>
      </c>
      <c r="BC39" s="53">
        <f t="shared" si="18"/>
        <v>45444</v>
      </c>
      <c r="BD39" s="53">
        <f t="shared" si="18"/>
        <v>45474</v>
      </c>
      <c r="BE39" s="53">
        <f t="shared" si="18"/>
        <v>45505</v>
      </c>
      <c r="BF39" s="53">
        <f t="shared" si="18"/>
        <v>45536</v>
      </c>
      <c r="BG39" s="53">
        <f t="shared" si="18"/>
        <v>45566</v>
      </c>
      <c r="BH39" s="53">
        <f t="shared" si="18"/>
        <v>45597</v>
      </c>
      <c r="BI39" s="53">
        <f t="shared" si="18"/>
        <v>45627</v>
      </c>
      <c r="BJ39" s="53">
        <f t="shared" si="18"/>
        <v>45658</v>
      </c>
      <c r="BK39" s="53">
        <f t="shared" si="18"/>
        <v>45689</v>
      </c>
      <c r="BL39" s="53">
        <f t="shared" si="18"/>
        <v>45717</v>
      </c>
      <c r="BM39" s="53">
        <f t="shared" si="18"/>
        <v>45748</v>
      </c>
      <c r="BN39" s="53">
        <f t="shared" ref="BN39:BU39" si="19">BN5</f>
        <v>45778</v>
      </c>
      <c r="BO39" s="53">
        <f t="shared" si="19"/>
        <v>45809</v>
      </c>
      <c r="BP39" s="53">
        <f t="shared" si="19"/>
        <v>45839</v>
      </c>
      <c r="BQ39" s="53">
        <f t="shared" si="19"/>
        <v>45870</v>
      </c>
      <c r="BR39" s="53">
        <f t="shared" si="19"/>
        <v>45901</v>
      </c>
      <c r="BS39" s="53">
        <f t="shared" si="19"/>
        <v>45931</v>
      </c>
      <c r="BT39" s="53">
        <f t="shared" si="19"/>
        <v>45962</v>
      </c>
      <c r="BU39" s="53">
        <f t="shared" si="19"/>
        <v>45992</v>
      </c>
      <c r="BV39" s="50" t="s">
        <v>131</v>
      </c>
    </row>
    <row r="40" spans="1:74" s="5" customFormat="1" ht="11.25" x14ac:dyDescent="0.2">
      <c r="A40" s="27">
        <v>7</v>
      </c>
      <c r="B40" s="54">
        <v>1034326</v>
      </c>
      <c r="C40" s="54">
        <v>1034971</v>
      </c>
      <c r="D40" s="54">
        <v>1036433</v>
      </c>
      <c r="E40" s="54">
        <v>1036894</v>
      </c>
      <c r="F40" s="54">
        <v>1037583</v>
      </c>
      <c r="G40" s="54">
        <v>1038104</v>
      </c>
      <c r="H40" s="54">
        <v>1038421</v>
      </c>
      <c r="I40" s="54">
        <v>1039287</v>
      </c>
      <c r="J40" s="54">
        <v>1040603</v>
      </c>
      <c r="K40" s="54">
        <v>1042099</v>
      </c>
      <c r="L40" s="54">
        <v>1043665</v>
      </c>
      <c r="M40" s="54">
        <v>1044952</v>
      </c>
      <c r="N40" s="54">
        <v>1046235</v>
      </c>
      <c r="O40" s="54">
        <v>1047534</v>
      </c>
      <c r="P40" s="54">
        <v>1048559</v>
      </c>
      <c r="Q40" s="54">
        <v>1049110</v>
      </c>
      <c r="R40" s="54">
        <v>1049677</v>
      </c>
      <c r="S40" s="54">
        <v>1050243</v>
      </c>
      <c r="T40" s="54">
        <v>1050809</v>
      </c>
      <c r="U40" s="54">
        <v>1051816</v>
      </c>
      <c r="V40" s="54">
        <v>1052823</v>
      </c>
      <c r="W40" s="54">
        <v>1053831</v>
      </c>
      <c r="X40" s="54">
        <v>1055020</v>
      </c>
      <c r="Y40" s="54">
        <v>1056210</v>
      </c>
      <c r="Z40" s="54">
        <v>1057399</v>
      </c>
      <c r="AA40" s="54">
        <v>1058015</v>
      </c>
      <c r="AB40" s="54">
        <v>1058630</v>
      </c>
      <c r="AC40" s="54">
        <v>1059246</v>
      </c>
      <c r="AD40" s="54">
        <v>1059751</v>
      </c>
      <c r="AE40" s="54">
        <v>1060256</v>
      </c>
      <c r="AF40" s="54">
        <v>1060760</v>
      </c>
      <c r="AG40" s="54">
        <v>1061772</v>
      </c>
      <c r="AH40" s="54">
        <v>1062784</v>
      </c>
      <c r="AI40" s="54">
        <v>1063795</v>
      </c>
      <c r="AJ40" s="54">
        <v>1065043</v>
      </c>
      <c r="AK40" s="54">
        <v>1066290</v>
      </c>
      <c r="AL40" s="54">
        <v>1067537</v>
      </c>
      <c r="AM40" s="54">
        <v>1068267</v>
      </c>
      <c r="AN40" s="54">
        <v>1068997</v>
      </c>
      <c r="AO40" s="54">
        <v>1069728</v>
      </c>
      <c r="AP40" s="54">
        <v>1070375</v>
      </c>
      <c r="AQ40" s="54">
        <v>1071023</v>
      </c>
      <c r="AR40" s="54">
        <v>1071671</v>
      </c>
      <c r="AS40" s="54">
        <v>1072839</v>
      </c>
      <c r="AT40" s="54">
        <v>1074007</v>
      </c>
      <c r="AU40" s="54">
        <v>1075175</v>
      </c>
      <c r="AV40" s="54">
        <v>1076581</v>
      </c>
      <c r="AW40" s="54">
        <v>1077987</v>
      </c>
      <c r="AX40" s="54">
        <v>1079393</v>
      </c>
      <c r="AY40" s="54">
        <v>1080258</v>
      </c>
      <c r="AZ40" s="54">
        <v>1081124</v>
      </c>
      <c r="BA40" s="54">
        <v>1081989</v>
      </c>
      <c r="BB40" s="54">
        <v>1082741</v>
      </c>
      <c r="BC40" s="54">
        <v>1083493</v>
      </c>
      <c r="BD40" s="54">
        <v>1084245</v>
      </c>
      <c r="BE40" s="54">
        <v>1085486</v>
      </c>
      <c r="BF40" s="54">
        <v>1086727</v>
      </c>
      <c r="BG40" s="54">
        <v>1087967</v>
      </c>
      <c r="BH40" s="54">
        <v>1089415</v>
      </c>
      <c r="BI40" s="54">
        <v>1090863</v>
      </c>
      <c r="BJ40" s="54">
        <v>1092311</v>
      </c>
      <c r="BK40" s="54">
        <v>1093195</v>
      </c>
      <c r="BL40" s="54">
        <v>1094079</v>
      </c>
      <c r="BM40" s="54">
        <v>1094963</v>
      </c>
      <c r="BN40" s="54">
        <v>1095718</v>
      </c>
      <c r="BO40" s="54">
        <v>1096473</v>
      </c>
      <c r="BP40" s="54">
        <v>1097229</v>
      </c>
      <c r="BQ40" s="54">
        <v>1098461</v>
      </c>
      <c r="BR40" s="54">
        <v>1099694</v>
      </c>
      <c r="BS40" s="54">
        <v>1100927</v>
      </c>
      <c r="BT40" s="54">
        <v>1102361</v>
      </c>
      <c r="BU40" s="54">
        <v>1103796</v>
      </c>
      <c r="BV40" s="55">
        <v>0</v>
      </c>
    </row>
    <row r="41" spans="1:74" s="5" customFormat="1" ht="11.25" x14ac:dyDescent="0.2">
      <c r="A41" s="27" t="s">
        <v>132</v>
      </c>
      <c r="B41" s="54">
        <v>3</v>
      </c>
      <c r="C41" s="54">
        <v>3</v>
      </c>
      <c r="D41" s="54">
        <v>3</v>
      </c>
      <c r="E41" s="54">
        <v>3</v>
      </c>
      <c r="F41" s="54">
        <v>3</v>
      </c>
      <c r="G41" s="54">
        <v>3</v>
      </c>
      <c r="H41" s="54">
        <v>3</v>
      </c>
      <c r="I41" s="54">
        <v>3</v>
      </c>
      <c r="J41" s="54">
        <v>3</v>
      </c>
      <c r="K41" s="54">
        <v>3</v>
      </c>
      <c r="L41" s="54">
        <v>3</v>
      </c>
      <c r="M41" s="54">
        <v>3</v>
      </c>
      <c r="N41" s="54">
        <v>3</v>
      </c>
      <c r="O41" s="54">
        <v>3</v>
      </c>
      <c r="P41" s="54">
        <v>3</v>
      </c>
      <c r="Q41" s="54">
        <v>3</v>
      </c>
      <c r="R41" s="54">
        <v>3</v>
      </c>
      <c r="S41" s="54">
        <v>3</v>
      </c>
      <c r="T41" s="54">
        <v>3</v>
      </c>
      <c r="U41" s="54">
        <v>3</v>
      </c>
      <c r="V41" s="54">
        <v>3</v>
      </c>
      <c r="W41" s="54">
        <v>3</v>
      </c>
      <c r="X41" s="54">
        <v>3</v>
      </c>
      <c r="Y41" s="54">
        <v>3</v>
      </c>
      <c r="Z41" s="54">
        <v>3</v>
      </c>
      <c r="AA41" s="54">
        <v>3</v>
      </c>
      <c r="AB41" s="54">
        <v>3</v>
      </c>
      <c r="AC41" s="54">
        <v>3</v>
      </c>
      <c r="AD41" s="54">
        <v>3</v>
      </c>
      <c r="AE41" s="54">
        <v>3</v>
      </c>
      <c r="AF41" s="54">
        <v>3</v>
      </c>
      <c r="AG41" s="54">
        <v>3</v>
      </c>
      <c r="AH41" s="54">
        <v>3</v>
      </c>
      <c r="AI41" s="54">
        <v>3</v>
      </c>
      <c r="AJ41" s="54">
        <v>3</v>
      </c>
      <c r="AK41" s="54">
        <v>3</v>
      </c>
      <c r="AL41" s="54">
        <v>3</v>
      </c>
      <c r="AM41" s="54">
        <v>3</v>
      </c>
      <c r="AN41" s="54">
        <v>3</v>
      </c>
      <c r="AO41" s="54">
        <v>3</v>
      </c>
      <c r="AP41" s="54">
        <v>3</v>
      </c>
      <c r="AQ41" s="54">
        <v>3</v>
      </c>
      <c r="AR41" s="54">
        <v>3</v>
      </c>
      <c r="AS41" s="54">
        <v>3</v>
      </c>
      <c r="AT41" s="54">
        <v>3</v>
      </c>
      <c r="AU41" s="54">
        <v>3</v>
      </c>
      <c r="AV41" s="54">
        <v>3</v>
      </c>
      <c r="AW41" s="54">
        <v>3</v>
      </c>
      <c r="AX41" s="54">
        <v>3</v>
      </c>
      <c r="AY41" s="54">
        <v>3</v>
      </c>
      <c r="AZ41" s="54">
        <v>3</v>
      </c>
      <c r="BA41" s="54">
        <v>3</v>
      </c>
      <c r="BB41" s="54">
        <v>3</v>
      </c>
      <c r="BC41" s="54">
        <v>3</v>
      </c>
      <c r="BD41" s="54">
        <v>3</v>
      </c>
      <c r="BE41" s="54">
        <v>3</v>
      </c>
      <c r="BF41" s="54">
        <v>3</v>
      </c>
      <c r="BG41" s="54">
        <v>3</v>
      </c>
      <c r="BH41" s="54">
        <v>3</v>
      </c>
      <c r="BI41" s="54">
        <v>3</v>
      </c>
      <c r="BJ41" s="54">
        <v>3</v>
      </c>
      <c r="BK41" s="54">
        <v>3</v>
      </c>
      <c r="BL41" s="54">
        <v>3</v>
      </c>
      <c r="BM41" s="54">
        <v>3</v>
      </c>
      <c r="BN41" s="54">
        <v>3</v>
      </c>
      <c r="BO41" s="54">
        <v>3</v>
      </c>
      <c r="BP41" s="54">
        <v>3</v>
      </c>
      <c r="BQ41" s="54">
        <v>3</v>
      </c>
      <c r="BR41" s="54">
        <v>3</v>
      </c>
      <c r="BS41" s="54">
        <v>3</v>
      </c>
      <c r="BT41" s="54">
        <v>3</v>
      </c>
      <c r="BU41" s="54">
        <v>3</v>
      </c>
      <c r="BV41" s="55">
        <v>0</v>
      </c>
    </row>
    <row r="42" spans="1:74" s="5" customFormat="1" ht="11.25" x14ac:dyDescent="0.2">
      <c r="A42" s="27" t="s">
        <v>133</v>
      </c>
      <c r="B42" s="54">
        <v>123457</v>
      </c>
      <c r="C42" s="54">
        <v>123570</v>
      </c>
      <c r="D42" s="54">
        <v>123577</v>
      </c>
      <c r="E42" s="54">
        <v>123564</v>
      </c>
      <c r="F42" s="54">
        <v>123373</v>
      </c>
      <c r="G42" s="54">
        <v>123013</v>
      </c>
      <c r="H42" s="54">
        <v>122627</v>
      </c>
      <c r="I42" s="54">
        <v>122363</v>
      </c>
      <c r="J42" s="54">
        <v>122367</v>
      </c>
      <c r="K42" s="54">
        <v>122591</v>
      </c>
      <c r="L42" s="54">
        <v>122894</v>
      </c>
      <c r="M42" s="54">
        <v>123035</v>
      </c>
      <c r="N42" s="54">
        <v>122975</v>
      </c>
      <c r="O42" s="54">
        <v>123215</v>
      </c>
      <c r="P42" s="54">
        <v>123496</v>
      </c>
      <c r="Q42" s="54">
        <v>123739</v>
      </c>
      <c r="R42" s="54">
        <v>123828</v>
      </c>
      <c r="S42" s="54">
        <v>123950</v>
      </c>
      <c r="T42" s="54">
        <v>124067</v>
      </c>
      <c r="U42" s="54">
        <v>124116</v>
      </c>
      <c r="V42" s="54">
        <v>124166</v>
      </c>
      <c r="W42" s="54">
        <v>124258</v>
      </c>
      <c r="X42" s="54">
        <v>124395</v>
      </c>
      <c r="Y42" s="54">
        <v>124449</v>
      </c>
      <c r="Z42" s="54">
        <v>124515</v>
      </c>
      <c r="AA42" s="54">
        <v>124644</v>
      </c>
      <c r="AB42" s="54">
        <v>124813</v>
      </c>
      <c r="AC42" s="54">
        <v>124945</v>
      </c>
      <c r="AD42" s="54">
        <v>125079</v>
      </c>
      <c r="AE42" s="54">
        <v>125243</v>
      </c>
      <c r="AF42" s="54">
        <v>125405</v>
      </c>
      <c r="AG42" s="54">
        <v>125492</v>
      </c>
      <c r="AH42" s="54">
        <v>125584</v>
      </c>
      <c r="AI42" s="54">
        <v>125717</v>
      </c>
      <c r="AJ42" s="54">
        <v>125888</v>
      </c>
      <c r="AK42" s="54">
        <v>125971</v>
      </c>
      <c r="AL42" s="54">
        <v>126080</v>
      </c>
      <c r="AM42" s="54">
        <v>126234</v>
      </c>
      <c r="AN42" s="54">
        <v>126419</v>
      </c>
      <c r="AO42" s="54">
        <v>126568</v>
      </c>
      <c r="AP42" s="54">
        <v>126709</v>
      </c>
      <c r="AQ42" s="54">
        <v>126880</v>
      </c>
      <c r="AR42" s="54">
        <v>127048</v>
      </c>
      <c r="AS42" s="54">
        <v>127134</v>
      </c>
      <c r="AT42" s="54">
        <v>127226</v>
      </c>
      <c r="AU42" s="54">
        <v>127359</v>
      </c>
      <c r="AV42" s="54">
        <v>127527</v>
      </c>
      <c r="AW42" s="54">
        <v>127606</v>
      </c>
      <c r="AX42" s="54">
        <v>127612</v>
      </c>
      <c r="AY42" s="54">
        <v>127757</v>
      </c>
      <c r="AZ42" s="54">
        <v>127933</v>
      </c>
      <c r="BA42" s="54">
        <v>128074</v>
      </c>
      <c r="BB42" s="54">
        <v>128200</v>
      </c>
      <c r="BC42" s="54">
        <v>128358</v>
      </c>
      <c r="BD42" s="54">
        <v>128512</v>
      </c>
      <c r="BE42" s="54">
        <v>128582</v>
      </c>
      <c r="BF42" s="54">
        <v>128658</v>
      </c>
      <c r="BG42" s="54">
        <v>128775</v>
      </c>
      <c r="BH42" s="54">
        <v>128924</v>
      </c>
      <c r="BI42" s="54">
        <v>128985</v>
      </c>
      <c r="BJ42" s="54">
        <v>128972</v>
      </c>
      <c r="BK42" s="54">
        <v>129100</v>
      </c>
      <c r="BL42" s="54">
        <v>129260</v>
      </c>
      <c r="BM42" s="54">
        <v>129384</v>
      </c>
      <c r="BN42" s="54">
        <v>129498</v>
      </c>
      <c r="BO42" s="54">
        <v>129646</v>
      </c>
      <c r="BP42" s="54">
        <v>129788</v>
      </c>
      <c r="BQ42" s="54">
        <v>129853</v>
      </c>
      <c r="BR42" s="54">
        <v>129921</v>
      </c>
      <c r="BS42" s="54">
        <v>130033</v>
      </c>
      <c r="BT42" s="54">
        <v>130182</v>
      </c>
      <c r="BU42" s="54">
        <v>130241</v>
      </c>
      <c r="BV42" s="55">
        <v>0</v>
      </c>
    </row>
    <row r="43" spans="1:74" s="5" customFormat="1" ht="11.25" x14ac:dyDescent="0.2">
      <c r="A43" s="63" t="s">
        <v>134</v>
      </c>
      <c r="B43" s="54">
        <v>7574</v>
      </c>
      <c r="C43" s="54">
        <v>7602</v>
      </c>
      <c r="D43" s="54">
        <v>7580</v>
      </c>
      <c r="E43" s="54">
        <v>7559</v>
      </c>
      <c r="F43" s="54">
        <v>7539</v>
      </c>
      <c r="G43" s="54">
        <v>7509</v>
      </c>
      <c r="H43" s="54">
        <v>7475</v>
      </c>
      <c r="I43" s="54">
        <v>7450</v>
      </c>
      <c r="J43" s="54">
        <v>7440</v>
      </c>
      <c r="K43" s="54">
        <v>7449</v>
      </c>
      <c r="L43" s="54">
        <v>7465</v>
      </c>
      <c r="M43" s="54">
        <v>7473</v>
      </c>
      <c r="N43" s="54">
        <v>7487</v>
      </c>
      <c r="O43" s="54">
        <v>7505</v>
      </c>
      <c r="P43" s="54">
        <v>7500</v>
      </c>
      <c r="Q43" s="54">
        <v>7496</v>
      </c>
      <c r="R43" s="54">
        <v>7492</v>
      </c>
      <c r="S43" s="54">
        <v>7492</v>
      </c>
      <c r="T43" s="54">
        <v>7488</v>
      </c>
      <c r="U43" s="54">
        <v>7482</v>
      </c>
      <c r="V43" s="54">
        <v>7473</v>
      </c>
      <c r="W43" s="54">
        <v>7474</v>
      </c>
      <c r="X43" s="54">
        <v>7480</v>
      </c>
      <c r="Y43" s="54">
        <v>7483</v>
      </c>
      <c r="Z43" s="54">
        <v>7490</v>
      </c>
      <c r="AA43" s="54">
        <v>7501</v>
      </c>
      <c r="AB43" s="54">
        <v>7489</v>
      </c>
      <c r="AC43" s="54">
        <v>7478</v>
      </c>
      <c r="AD43" s="54">
        <v>7477</v>
      </c>
      <c r="AE43" s="54">
        <v>7480</v>
      </c>
      <c r="AF43" s="54">
        <v>7478</v>
      </c>
      <c r="AG43" s="54">
        <v>7474</v>
      </c>
      <c r="AH43" s="54">
        <v>7468</v>
      </c>
      <c r="AI43" s="54">
        <v>7471</v>
      </c>
      <c r="AJ43" s="54">
        <v>7479</v>
      </c>
      <c r="AK43" s="54">
        <v>7483</v>
      </c>
      <c r="AL43" s="54">
        <v>7478</v>
      </c>
      <c r="AM43" s="54">
        <v>7484</v>
      </c>
      <c r="AN43" s="54">
        <v>7473</v>
      </c>
      <c r="AO43" s="54">
        <v>7463</v>
      </c>
      <c r="AP43" s="54">
        <v>7462</v>
      </c>
      <c r="AQ43" s="54">
        <v>7465</v>
      </c>
      <c r="AR43" s="54">
        <v>7464</v>
      </c>
      <c r="AS43" s="54">
        <v>7460</v>
      </c>
      <c r="AT43" s="54">
        <v>7454</v>
      </c>
      <c r="AU43" s="54">
        <v>7456</v>
      </c>
      <c r="AV43" s="54">
        <v>7464</v>
      </c>
      <c r="AW43" s="54">
        <v>7468</v>
      </c>
      <c r="AX43" s="54">
        <v>7563</v>
      </c>
      <c r="AY43" s="54">
        <v>7568</v>
      </c>
      <c r="AZ43" s="54">
        <v>7557</v>
      </c>
      <c r="BA43" s="54">
        <v>7546</v>
      </c>
      <c r="BB43" s="54">
        <v>7545</v>
      </c>
      <c r="BC43" s="54">
        <v>7546</v>
      </c>
      <c r="BD43" s="54">
        <v>7544</v>
      </c>
      <c r="BE43" s="54">
        <v>7539</v>
      </c>
      <c r="BF43" s="54">
        <v>7532</v>
      </c>
      <c r="BG43" s="54">
        <v>7534</v>
      </c>
      <c r="BH43" s="54">
        <v>7541</v>
      </c>
      <c r="BI43" s="54">
        <v>7543</v>
      </c>
      <c r="BJ43" s="54">
        <v>7639</v>
      </c>
      <c r="BK43" s="54">
        <v>7643</v>
      </c>
      <c r="BL43" s="54">
        <v>7630</v>
      </c>
      <c r="BM43" s="54">
        <v>7618</v>
      </c>
      <c r="BN43" s="54">
        <v>7616</v>
      </c>
      <c r="BO43" s="54">
        <v>7617</v>
      </c>
      <c r="BP43" s="54">
        <v>7614</v>
      </c>
      <c r="BQ43" s="54">
        <v>7609</v>
      </c>
      <c r="BR43" s="54">
        <v>7601</v>
      </c>
      <c r="BS43" s="54">
        <v>7603</v>
      </c>
      <c r="BT43" s="54">
        <v>7609</v>
      </c>
      <c r="BU43" s="54">
        <v>7612</v>
      </c>
      <c r="BV43" s="55">
        <v>0</v>
      </c>
    </row>
    <row r="44" spans="1:74" s="5" customFormat="1" ht="11.25" x14ac:dyDescent="0.2">
      <c r="A44" s="27" t="s">
        <v>135</v>
      </c>
      <c r="B44" s="54">
        <v>799</v>
      </c>
      <c r="C44" s="54">
        <v>800</v>
      </c>
      <c r="D44" s="54">
        <v>799</v>
      </c>
      <c r="E44" s="54">
        <v>797</v>
      </c>
      <c r="F44" s="54">
        <v>795</v>
      </c>
      <c r="G44" s="54">
        <v>792</v>
      </c>
      <c r="H44" s="54">
        <v>788</v>
      </c>
      <c r="I44" s="54">
        <v>786</v>
      </c>
      <c r="J44" s="54">
        <v>786</v>
      </c>
      <c r="K44" s="54">
        <v>787</v>
      </c>
      <c r="L44" s="54">
        <v>788</v>
      </c>
      <c r="M44" s="54">
        <v>788</v>
      </c>
      <c r="N44" s="54">
        <v>789</v>
      </c>
      <c r="O44" s="54">
        <v>790</v>
      </c>
      <c r="P44" s="54">
        <v>791</v>
      </c>
      <c r="Q44" s="54">
        <v>790</v>
      </c>
      <c r="R44" s="54">
        <v>790</v>
      </c>
      <c r="S44" s="54">
        <v>790</v>
      </c>
      <c r="T44" s="54">
        <v>789</v>
      </c>
      <c r="U44" s="54">
        <v>789</v>
      </c>
      <c r="V44" s="54">
        <v>789</v>
      </c>
      <c r="W44" s="54">
        <v>789</v>
      </c>
      <c r="X44" s="54">
        <v>789</v>
      </c>
      <c r="Y44" s="54">
        <v>789</v>
      </c>
      <c r="Z44" s="54">
        <v>790</v>
      </c>
      <c r="AA44" s="54">
        <v>790</v>
      </c>
      <c r="AB44" s="54">
        <v>790</v>
      </c>
      <c r="AC44" s="54">
        <v>789</v>
      </c>
      <c r="AD44" s="54">
        <v>789</v>
      </c>
      <c r="AE44" s="54">
        <v>789</v>
      </c>
      <c r="AF44" s="54">
        <v>789</v>
      </c>
      <c r="AG44" s="54">
        <v>789</v>
      </c>
      <c r="AH44" s="54">
        <v>789</v>
      </c>
      <c r="AI44" s="54">
        <v>789</v>
      </c>
      <c r="AJ44" s="54">
        <v>789</v>
      </c>
      <c r="AK44" s="54">
        <v>789</v>
      </c>
      <c r="AL44" s="54">
        <v>791</v>
      </c>
      <c r="AM44" s="54">
        <v>791</v>
      </c>
      <c r="AN44" s="54">
        <v>791</v>
      </c>
      <c r="AO44" s="54">
        <v>790</v>
      </c>
      <c r="AP44" s="54">
        <v>790</v>
      </c>
      <c r="AQ44" s="54">
        <v>790</v>
      </c>
      <c r="AR44" s="54">
        <v>790</v>
      </c>
      <c r="AS44" s="54">
        <v>790</v>
      </c>
      <c r="AT44" s="54">
        <v>790</v>
      </c>
      <c r="AU44" s="54">
        <v>790</v>
      </c>
      <c r="AV44" s="54">
        <v>790</v>
      </c>
      <c r="AW44" s="54">
        <v>790</v>
      </c>
      <c r="AX44" s="54">
        <v>800</v>
      </c>
      <c r="AY44" s="54">
        <v>799</v>
      </c>
      <c r="AZ44" s="54">
        <v>799</v>
      </c>
      <c r="BA44" s="54">
        <v>798</v>
      </c>
      <c r="BB44" s="54">
        <v>798</v>
      </c>
      <c r="BC44" s="54">
        <v>798</v>
      </c>
      <c r="BD44" s="54">
        <v>798</v>
      </c>
      <c r="BE44" s="54">
        <v>798</v>
      </c>
      <c r="BF44" s="54">
        <v>797</v>
      </c>
      <c r="BG44" s="54">
        <v>798</v>
      </c>
      <c r="BH44" s="54">
        <v>798</v>
      </c>
      <c r="BI44" s="54">
        <v>797</v>
      </c>
      <c r="BJ44" s="54">
        <v>807</v>
      </c>
      <c r="BK44" s="54">
        <v>806</v>
      </c>
      <c r="BL44" s="54">
        <v>806</v>
      </c>
      <c r="BM44" s="54">
        <v>805</v>
      </c>
      <c r="BN44" s="54">
        <v>805</v>
      </c>
      <c r="BO44" s="54">
        <v>805</v>
      </c>
      <c r="BP44" s="54">
        <v>805</v>
      </c>
      <c r="BQ44" s="54">
        <v>804</v>
      </c>
      <c r="BR44" s="54">
        <v>804</v>
      </c>
      <c r="BS44" s="54">
        <v>804</v>
      </c>
      <c r="BT44" s="54">
        <v>804</v>
      </c>
      <c r="BU44" s="54">
        <v>804</v>
      </c>
      <c r="BV44" s="55">
        <v>0</v>
      </c>
    </row>
    <row r="45" spans="1:74" s="5" customFormat="1" ht="11.25" x14ac:dyDescent="0.2">
      <c r="A45" s="27">
        <v>29</v>
      </c>
      <c r="B45" s="54">
        <v>534</v>
      </c>
      <c r="C45" s="54">
        <v>538</v>
      </c>
      <c r="D45" s="54">
        <v>533</v>
      </c>
      <c r="E45" s="54">
        <v>557</v>
      </c>
      <c r="F45" s="54">
        <v>614</v>
      </c>
      <c r="G45" s="54">
        <v>650</v>
      </c>
      <c r="H45" s="54">
        <v>691</v>
      </c>
      <c r="I45" s="54">
        <v>707</v>
      </c>
      <c r="J45" s="54">
        <v>705</v>
      </c>
      <c r="K45" s="54">
        <v>659</v>
      </c>
      <c r="L45" s="54">
        <v>570</v>
      </c>
      <c r="M45" s="54">
        <v>558</v>
      </c>
      <c r="N45" s="54">
        <v>536</v>
      </c>
      <c r="O45" s="54">
        <v>538</v>
      </c>
      <c r="P45" s="54">
        <v>535</v>
      </c>
      <c r="Q45" s="54">
        <v>560</v>
      </c>
      <c r="R45" s="54">
        <v>619</v>
      </c>
      <c r="S45" s="54">
        <v>658</v>
      </c>
      <c r="T45" s="54">
        <v>702</v>
      </c>
      <c r="U45" s="54">
        <v>721</v>
      </c>
      <c r="V45" s="54">
        <v>718</v>
      </c>
      <c r="W45" s="54">
        <v>671</v>
      </c>
      <c r="X45" s="54">
        <v>580</v>
      </c>
      <c r="Y45" s="54">
        <v>567</v>
      </c>
      <c r="Z45" s="54">
        <v>545</v>
      </c>
      <c r="AA45" s="54">
        <v>547</v>
      </c>
      <c r="AB45" s="54">
        <v>543</v>
      </c>
      <c r="AC45" s="54">
        <v>568</v>
      </c>
      <c r="AD45" s="54">
        <v>628</v>
      </c>
      <c r="AE45" s="54">
        <v>668</v>
      </c>
      <c r="AF45" s="54">
        <v>713</v>
      </c>
      <c r="AG45" s="54">
        <v>732</v>
      </c>
      <c r="AH45" s="54">
        <v>730</v>
      </c>
      <c r="AI45" s="54">
        <v>682</v>
      </c>
      <c r="AJ45" s="54">
        <v>589</v>
      </c>
      <c r="AK45" s="54">
        <v>576</v>
      </c>
      <c r="AL45" s="54">
        <v>554</v>
      </c>
      <c r="AM45" s="54">
        <v>556</v>
      </c>
      <c r="AN45" s="54">
        <v>552</v>
      </c>
      <c r="AO45" s="54">
        <v>577</v>
      </c>
      <c r="AP45" s="54">
        <v>638</v>
      </c>
      <c r="AQ45" s="54">
        <v>679</v>
      </c>
      <c r="AR45" s="54">
        <v>725</v>
      </c>
      <c r="AS45" s="54">
        <v>744</v>
      </c>
      <c r="AT45" s="54">
        <v>742</v>
      </c>
      <c r="AU45" s="54">
        <v>694</v>
      </c>
      <c r="AV45" s="54">
        <v>599</v>
      </c>
      <c r="AW45" s="54">
        <v>586</v>
      </c>
      <c r="AX45" s="54">
        <v>561</v>
      </c>
      <c r="AY45" s="54">
        <v>563</v>
      </c>
      <c r="AZ45" s="54">
        <v>559</v>
      </c>
      <c r="BA45" s="54">
        <v>584</v>
      </c>
      <c r="BB45" s="54">
        <v>646</v>
      </c>
      <c r="BC45" s="54">
        <v>687</v>
      </c>
      <c r="BD45" s="54">
        <v>734</v>
      </c>
      <c r="BE45" s="54">
        <v>753</v>
      </c>
      <c r="BF45" s="54">
        <v>751</v>
      </c>
      <c r="BG45" s="54">
        <v>701</v>
      </c>
      <c r="BH45" s="54">
        <v>606</v>
      </c>
      <c r="BI45" s="54">
        <v>593</v>
      </c>
      <c r="BJ45" s="54">
        <v>567</v>
      </c>
      <c r="BK45" s="54">
        <v>569</v>
      </c>
      <c r="BL45" s="54">
        <v>565</v>
      </c>
      <c r="BM45" s="54">
        <v>590</v>
      </c>
      <c r="BN45" s="54">
        <v>653</v>
      </c>
      <c r="BO45" s="54">
        <v>694</v>
      </c>
      <c r="BP45" s="54">
        <v>741</v>
      </c>
      <c r="BQ45" s="54">
        <v>761</v>
      </c>
      <c r="BR45" s="54">
        <v>758</v>
      </c>
      <c r="BS45" s="54">
        <v>708</v>
      </c>
      <c r="BT45" s="54">
        <v>612</v>
      </c>
      <c r="BU45" s="54">
        <v>599</v>
      </c>
      <c r="BV45" s="55">
        <v>0</v>
      </c>
    </row>
    <row r="46" spans="1:74" s="5" customFormat="1" ht="11.25" x14ac:dyDescent="0.2">
      <c r="A46" s="27" t="s">
        <v>136</v>
      </c>
      <c r="B46" s="54">
        <v>485</v>
      </c>
      <c r="C46" s="54">
        <v>486</v>
      </c>
      <c r="D46" s="54">
        <v>485</v>
      </c>
      <c r="E46" s="54">
        <v>482</v>
      </c>
      <c r="F46" s="54">
        <v>481</v>
      </c>
      <c r="G46" s="54">
        <v>480</v>
      </c>
      <c r="H46" s="54">
        <v>478</v>
      </c>
      <c r="I46" s="54">
        <v>477</v>
      </c>
      <c r="J46" s="54">
        <v>478</v>
      </c>
      <c r="K46" s="54">
        <v>478</v>
      </c>
      <c r="L46" s="54">
        <v>479</v>
      </c>
      <c r="M46" s="54">
        <v>479</v>
      </c>
      <c r="N46" s="54">
        <v>481</v>
      </c>
      <c r="O46" s="54">
        <v>482</v>
      </c>
      <c r="P46" s="54">
        <v>482</v>
      </c>
      <c r="Q46" s="54">
        <v>480</v>
      </c>
      <c r="R46" s="54">
        <v>481</v>
      </c>
      <c r="S46" s="54">
        <v>481</v>
      </c>
      <c r="T46" s="54">
        <v>481</v>
      </c>
      <c r="U46" s="54">
        <v>481</v>
      </c>
      <c r="V46" s="54">
        <v>482</v>
      </c>
      <c r="W46" s="54">
        <v>481</v>
      </c>
      <c r="X46" s="54">
        <v>482</v>
      </c>
      <c r="Y46" s="54">
        <v>482</v>
      </c>
      <c r="Z46" s="54">
        <v>484</v>
      </c>
      <c r="AA46" s="54">
        <v>484</v>
      </c>
      <c r="AB46" s="54">
        <v>484</v>
      </c>
      <c r="AC46" s="54">
        <v>482</v>
      </c>
      <c r="AD46" s="54">
        <v>482</v>
      </c>
      <c r="AE46" s="54">
        <v>483</v>
      </c>
      <c r="AF46" s="54">
        <v>483</v>
      </c>
      <c r="AG46" s="54">
        <v>483</v>
      </c>
      <c r="AH46" s="54">
        <v>484</v>
      </c>
      <c r="AI46" s="54">
        <v>484</v>
      </c>
      <c r="AJ46" s="54">
        <v>484</v>
      </c>
      <c r="AK46" s="54">
        <v>484</v>
      </c>
      <c r="AL46" s="54">
        <v>486</v>
      </c>
      <c r="AM46" s="54">
        <v>486</v>
      </c>
      <c r="AN46" s="54">
        <v>486</v>
      </c>
      <c r="AO46" s="54">
        <v>484</v>
      </c>
      <c r="AP46" s="54">
        <v>485</v>
      </c>
      <c r="AQ46" s="54">
        <v>485</v>
      </c>
      <c r="AR46" s="54">
        <v>485</v>
      </c>
      <c r="AS46" s="54">
        <v>486</v>
      </c>
      <c r="AT46" s="54">
        <v>486</v>
      </c>
      <c r="AU46" s="54">
        <v>486</v>
      </c>
      <c r="AV46" s="54">
        <v>486</v>
      </c>
      <c r="AW46" s="54">
        <v>486</v>
      </c>
      <c r="AX46" s="54">
        <v>490</v>
      </c>
      <c r="AY46" s="54">
        <v>490</v>
      </c>
      <c r="AZ46" s="54">
        <v>490</v>
      </c>
      <c r="BA46" s="54">
        <v>488</v>
      </c>
      <c r="BB46" s="54">
        <v>488</v>
      </c>
      <c r="BC46" s="54">
        <v>489</v>
      </c>
      <c r="BD46" s="54">
        <v>489</v>
      </c>
      <c r="BE46" s="54">
        <v>489</v>
      </c>
      <c r="BF46" s="54">
        <v>490</v>
      </c>
      <c r="BG46" s="54">
        <v>489</v>
      </c>
      <c r="BH46" s="54">
        <v>490</v>
      </c>
      <c r="BI46" s="54">
        <v>490</v>
      </c>
      <c r="BJ46" s="54">
        <v>493</v>
      </c>
      <c r="BK46" s="54">
        <v>494</v>
      </c>
      <c r="BL46" s="54">
        <v>494</v>
      </c>
      <c r="BM46" s="54">
        <v>491</v>
      </c>
      <c r="BN46" s="54">
        <v>491</v>
      </c>
      <c r="BO46" s="54">
        <v>492</v>
      </c>
      <c r="BP46" s="54">
        <v>492</v>
      </c>
      <c r="BQ46" s="54">
        <v>492</v>
      </c>
      <c r="BR46" s="54">
        <v>493</v>
      </c>
      <c r="BS46" s="54">
        <v>493</v>
      </c>
      <c r="BT46" s="54">
        <v>493</v>
      </c>
      <c r="BU46" s="54">
        <v>493</v>
      </c>
      <c r="BV46" s="55">
        <v>0</v>
      </c>
    </row>
    <row r="47" spans="1:74" s="5" customFormat="1" ht="11.25" x14ac:dyDescent="0.2">
      <c r="A47" s="27">
        <v>35</v>
      </c>
      <c r="B47" s="54">
        <v>1</v>
      </c>
      <c r="C47" s="54">
        <v>1</v>
      </c>
      <c r="D47" s="54">
        <v>1</v>
      </c>
      <c r="E47" s="54">
        <v>1</v>
      </c>
      <c r="F47" s="54">
        <v>1</v>
      </c>
      <c r="G47" s="54">
        <v>1</v>
      </c>
      <c r="H47" s="54">
        <v>1</v>
      </c>
      <c r="I47" s="54">
        <v>1</v>
      </c>
      <c r="J47" s="54">
        <v>1</v>
      </c>
      <c r="K47" s="54">
        <v>1</v>
      </c>
      <c r="L47" s="54">
        <v>1</v>
      </c>
      <c r="M47" s="54">
        <v>1</v>
      </c>
      <c r="N47" s="54">
        <v>1</v>
      </c>
      <c r="O47" s="54">
        <v>1</v>
      </c>
      <c r="P47" s="54">
        <v>1</v>
      </c>
      <c r="Q47" s="54">
        <v>1</v>
      </c>
      <c r="R47" s="54">
        <v>1</v>
      </c>
      <c r="S47" s="54">
        <v>1</v>
      </c>
      <c r="T47" s="54">
        <v>1</v>
      </c>
      <c r="U47" s="54">
        <v>1</v>
      </c>
      <c r="V47" s="54">
        <v>1</v>
      </c>
      <c r="W47" s="54">
        <v>1</v>
      </c>
      <c r="X47" s="54">
        <v>1</v>
      </c>
      <c r="Y47" s="54">
        <v>1</v>
      </c>
      <c r="Z47" s="54">
        <v>1</v>
      </c>
      <c r="AA47" s="54">
        <v>1</v>
      </c>
      <c r="AB47" s="54">
        <v>1</v>
      </c>
      <c r="AC47" s="54">
        <v>1</v>
      </c>
      <c r="AD47" s="54">
        <v>1</v>
      </c>
      <c r="AE47" s="54">
        <v>1</v>
      </c>
      <c r="AF47" s="54">
        <v>1</v>
      </c>
      <c r="AG47" s="54">
        <v>1</v>
      </c>
      <c r="AH47" s="54">
        <v>1</v>
      </c>
      <c r="AI47" s="54">
        <v>1</v>
      </c>
      <c r="AJ47" s="54">
        <v>1</v>
      </c>
      <c r="AK47" s="54">
        <v>1</v>
      </c>
      <c r="AL47" s="54">
        <v>1</v>
      </c>
      <c r="AM47" s="54">
        <v>1</v>
      </c>
      <c r="AN47" s="54">
        <v>1</v>
      </c>
      <c r="AO47" s="54">
        <v>1</v>
      </c>
      <c r="AP47" s="54">
        <v>1</v>
      </c>
      <c r="AQ47" s="54">
        <v>1</v>
      </c>
      <c r="AR47" s="54">
        <v>1</v>
      </c>
      <c r="AS47" s="54">
        <v>1</v>
      </c>
      <c r="AT47" s="54">
        <v>1</v>
      </c>
      <c r="AU47" s="54">
        <v>1</v>
      </c>
      <c r="AV47" s="54">
        <v>1</v>
      </c>
      <c r="AW47" s="54">
        <v>1</v>
      </c>
      <c r="AX47" s="54">
        <v>1</v>
      </c>
      <c r="AY47" s="54">
        <v>1</v>
      </c>
      <c r="AZ47" s="54">
        <v>1</v>
      </c>
      <c r="BA47" s="54">
        <v>1</v>
      </c>
      <c r="BB47" s="54">
        <v>1</v>
      </c>
      <c r="BC47" s="54">
        <v>1</v>
      </c>
      <c r="BD47" s="54">
        <v>1</v>
      </c>
      <c r="BE47" s="54">
        <v>1</v>
      </c>
      <c r="BF47" s="54">
        <v>1</v>
      </c>
      <c r="BG47" s="54">
        <v>1</v>
      </c>
      <c r="BH47" s="54">
        <v>1</v>
      </c>
      <c r="BI47" s="54">
        <v>1</v>
      </c>
      <c r="BJ47" s="54">
        <v>1</v>
      </c>
      <c r="BK47" s="54">
        <v>1</v>
      </c>
      <c r="BL47" s="54">
        <v>1</v>
      </c>
      <c r="BM47" s="54">
        <v>1</v>
      </c>
      <c r="BN47" s="54">
        <v>1</v>
      </c>
      <c r="BO47" s="54">
        <v>1</v>
      </c>
      <c r="BP47" s="54">
        <v>1</v>
      </c>
      <c r="BQ47" s="54">
        <v>1</v>
      </c>
      <c r="BR47" s="54">
        <v>1</v>
      </c>
      <c r="BS47" s="54">
        <v>1</v>
      </c>
      <c r="BT47" s="54">
        <v>1</v>
      </c>
      <c r="BU47" s="54">
        <v>1</v>
      </c>
      <c r="BV47" s="55">
        <v>0</v>
      </c>
    </row>
    <row r="48" spans="1:74" s="5" customFormat="1" ht="11.25" x14ac:dyDescent="0.2">
      <c r="A48" s="27">
        <v>40</v>
      </c>
      <c r="B48" s="54">
        <v>33</v>
      </c>
      <c r="C48" s="54">
        <v>33</v>
      </c>
      <c r="D48" s="54">
        <v>33</v>
      </c>
      <c r="E48" s="54">
        <v>33</v>
      </c>
      <c r="F48" s="54">
        <v>33</v>
      </c>
      <c r="G48" s="54">
        <v>33</v>
      </c>
      <c r="H48" s="54">
        <v>32</v>
      </c>
      <c r="I48" s="54">
        <v>32</v>
      </c>
      <c r="J48" s="54">
        <v>32</v>
      </c>
      <c r="K48" s="54">
        <v>32</v>
      </c>
      <c r="L48" s="54">
        <v>32</v>
      </c>
      <c r="M48" s="54">
        <v>32</v>
      </c>
      <c r="N48" s="54">
        <v>32</v>
      </c>
      <c r="O48" s="54">
        <v>32</v>
      </c>
      <c r="P48" s="54">
        <v>33</v>
      </c>
      <c r="Q48" s="54">
        <v>33</v>
      </c>
      <c r="R48" s="54">
        <v>32</v>
      </c>
      <c r="S48" s="54">
        <v>32</v>
      </c>
      <c r="T48" s="54">
        <v>32</v>
      </c>
      <c r="U48" s="54">
        <v>32</v>
      </c>
      <c r="V48" s="54">
        <v>32</v>
      </c>
      <c r="W48" s="54">
        <v>32</v>
      </c>
      <c r="X48" s="54">
        <v>32</v>
      </c>
      <c r="Y48" s="54">
        <v>32</v>
      </c>
      <c r="Z48" s="54">
        <v>32</v>
      </c>
      <c r="AA48" s="54">
        <v>32</v>
      </c>
      <c r="AB48" s="54">
        <v>32</v>
      </c>
      <c r="AC48" s="54">
        <v>32</v>
      </c>
      <c r="AD48" s="54">
        <v>32</v>
      </c>
      <c r="AE48" s="54">
        <v>32</v>
      </c>
      <c r="AF48" s="54">
        <v>32</v>
      </c>
      <c r="AG48" s="54">
        <v>32</v>
      </c>
      <c r="AH48" s="54">
        <v>32</v>
      </c>
      <c r="AI48" s="54">
        <v>32</v>
      </c>
      <c r="AJ48" s="54">
        <v>32</v>
      </c>
      <c r="AK48" s="54">
        <v>32</v>
      </c>
      <c r="AL48" s="54">
        <v>32</v>
      </c>
      <c r="AM48" s="54">
        <v>32</v>
      </c>
      <c r="AN48" s="54">
        <v>32</v>
      </c>
      <c r="AO48" s="54">
        <v>32</v>
      </c>
      <c r="AP48" s="54">
        <v>32</v>
      </c>
      <c r="AQ48" s="54">
        <v>32</v>
      </c>
      <c r="AR48" s="54">
        <v>32</v>
      </c>
      <c r="AS48" s="54">
        <v>32</v>
      </c>
      <c r="AT48" s="54">
        <v>32</v>
      </c>
      <c r="AU48" s="54">
        <v>32</v>
      </c>
      <c r="AV48" s="54">
        <v>32</v>
      </c>
      <c r="AW48" s="54">
        <v>32</v>
      </c>
      <c r="AX48" s="54">
        <v>33</v>
      </c>
      <c r="AY48" s="54">
        <v>33</v>
      </c>
      <c r="AZ48" s="54">
        <v>33</v>
      </c>
      <c r="BA48" s="54">
        <v>33</v>
      </c>
      <c r="BB48" s="54">
        <v>33</v>
      </c>
      <c r="BC48" s="54">
        <v>33</v>
      </c>
      <c r="BD48" s="54">
        <v>33</v>
      </c>
      <c r="BE48" s="54">
        <v>33</v>
      </c>
      <c r="BF48" s="54">
        <v>33</v>
      </c>
      <c r="BG48" s="54">
        <v>33</v>
      </c>
      <c r="BH48" s="54">
        <v>33</v>
      </c>
      <c r="BI48" s="54">
        <v>33</v>
      </c>
      <c r="BJ48" s="54">
        <v>33</v>
      </c>
      <c r="BK48" s="54">
        <v>33</v>
      </c>
      <c r="BL48" s="54">
        <v>33</v>
      </c>
      <c r="BM48" s="54">
        <v>33</v>
      </c>
      <c r="BN48" s="54">
        <v>33</v>
      </c>
      <c r="BO48" s="54">
        <v>33</v>
      </c>
      <c r="BP48" s="54">
        <v>33</v>
      </c>
      <c r="BQ48" s="54">
        <v>33</v>
      </c>
      <c r="BR48" s="54">
        <v>33</v>
      </c>
      <c r="BS48" s="54">
        <v>33</v>
      </c>
      <c r="BT48" s="54">
        <v>33</v>
      </c>
      <c r="BU48" s="54">
        <v>33</v>
      </c>
      <c r="BV48" s="55">
        <v>0</v>
      </c>
    </row>
    <row r="49" spans="1:74" s="5" customFormat="1" ht="11.25" x14ac:dyDescent="0.2">
      <c r="A49" s="27">
        <v>43</v>
      </c>
      <c r="B49" s="54">
        <v>156</v>
      </c>
      <c r="C49" s="54">
        <v>156</v>
      </c>
      <c r="D49" s="54">
        <v>156</v>
      </c>
      <c r="E49" s="54">
        <v>156</v>
      </c>
      <c r="F49" s="54">
        <v>155</v>
      </c>
      <c r="G49" s="54">
        <v>154</v>
      </c>
      <c r="H49" s="54">
        <v>154</v>
      </c>
      <c r="I49" s="54">
        <v>153</v>
      </c>
      <c r="J49" s="54">
        <v>153</v>
      </c>
      <c r="K49" s="54">
        <v>153</v>
      </c>
      <c r="L49" s="54">
        <v>154</v>
      </c>
      <c r="M49" s="54">
        <v>154</v>
      </c>
      <c r="N49" s="54">
        <v>154</v>
      </c>
      <c r="O49" s="54">
        <v>154</v>
      </c>
      <c r="P49" s="54">
        <v>154</v>
      </c>
      <c r="Q49" s="54">
        <v>154</v>
      </c>
      <c r="R49" s="54">
        <v>154</v>
      </c>
      <c r="S49" s="54">
        <v>154</v>
      </c>
      <c r="T49" s="54">
        <v>154</v>
      </c>
      <c r="U49" s="54">
        <v>154</v>
      </c>
      <c r="V49" s="54">
        <v>154</v>
      </c>
      <c r="W49" s="54">
        <v>154</v>
      </c>
      <c r="X49" s="54">
        <v>154</v>
      </c>
      <c r="Y49" s="54">
        <v>154</v>
      </c>
      <c r="Z49" s="54">
        <v>154</v>
      </c>
      <c r="AA49" s="54">
        <v>154</v>
      </c>
      <c r="AB49" s="54">
        <v>154</v>
      </c>
      <c r="AC49" s="54">
        <v>153</v>
      </c>
      <c r="AD49" s="54">
        <v>153</v>
      </c>
      <c r="AE49" s="54">
        <v>153</v>
      </c>
      <c r="AF49" s="54">
        <v>153</v>
      </c>
      <c r="AG49" s="54">
        <v>153</v>
      </c>
      <c r="AH49" s="54">
        <v>153</v>
      </c>
      <c r="AI49" s="54">
        <v>153</v>
      </c>
      <c r="AJ49" s="54">
        <v>153</v>
      </c>
      <c r="AK49" s="54">
        <v>154</v>
      </c>
      <c r="AL49" s="54">
        <v>154</v>
      </c>
      <c r="AM49" s="54">
        <v>154</v>
      </c>
      <c r="AN49" s="54">
        <v>154</v>
      </c>
      <c r="AO49" s="54">
        <v>154</v>
      </c>
      <c r="AP49" s="54">
        <v>154</v>
      </c>
      <c r="AQ49" s="54">
        <v>153</v>
      </c>
      <c r="AR49" s="54">
        <v>154</v>
      </c>
      <c r="AS49" s="54">
        <v>153</v>
      </c>
      <c r="AT49" s="54">
        <v>153</v>
      </c>
      <c r="AU49" s="54">
        <v>154</v>
      </c>
      <c r="AV49" s="54">
        <v>154</v>
      </c>
      <c r="AW49" s="54">
        <v>154</v>
      </c>
      <c r="AX49" s="54">
        <v>156</v>
      </c>
      <c r="AY49" s="54">
        <v>156</v>
      </c>
      <c r="AZ49" s="54">
        <v>156</v>
      </c>
      <c r="BA49" s="54">
        <v>155</v>
      </c>
      <c r="BB49" s="54">
        <v>155</v>
      </c>
      <c r="BC49" s="54">
        <v>155</v>
      </c>
      <c r="BD49" s="54">
        <v>155</v>
      </c>
      <c r="BE49" s="54">
        <v>155</v>
      </c>
      <c r="BF49" s="54">
        <v>155</v>
      </c>
      <c r="BG49" s="54">
        <v>155</v>
      </c>
      <c r="BH49" s="54">
        <v>155</v>
      </c>
      <c r="BI49" s="54">
        <v>155</v>
      </c>
      <c r="BJ49" s="54">
        <v>157</v>
      </c>
      <c r="BK49" s="54">
        <v>157</v>
      </c>
      <c r="BL49" s="54">
        <v>157</v>
      </c>
      <c r="BM49" s="54">
        <v>157</v>
      </c>
      <c r="BN49" s="54">
        <v>157</v>
      </c>
      <c r="BO49" s="54">
        <v>157</v>
      </c>
      <c r="BP49" s="54">
        <v>157</v>
      </c>
      <c r="BQ49" s="54">
        <v>157</v>
      </c>
      <c r="BR49" s="54">
        <v>157</v>
      </c>
      <c r="BS49" s="54">
        <v>157</v>
      </c>
      <c r="BT49" s="54">
        <v>157</v>
      </c>
      <c r="BU49" s="54">
        <v>157</v>
      </c>
      <c r="BV49" s="55">
        <v>0</v>
      </c>
    </row>
    <row r="50" spans="1:74" s="5" customFormat="1" ht="11.25" x14ac:dyDescent="0.2">
      <c r="A50" s="27">
        <v>46</v>
      </c>
      <c r="B50" s="54">
        <v>6</v>
      </c>
      <c r="C50" s="54">
        <v>6</v>
      </c>
      <c r="D50" s="54">
        <v>6</v>
      </c>
      <c r="E50" s="54">
        <v>6</v>
      </c>
      <c r="F50" s="54">
        <v>6</v>
      </c>
      <c r="G50" s="54">
        <v>6</v>
      </c>
      <c r="H50" s="54">
        <v>6</v>
      </c>
      <c r="I50" s="54">
        <v>6</v>
      </c>
      <c r="J50" s="54">
        <v>6</v>
      </c>
      <c r="K50" s="54">
        <v>6</v>
      </c>
      <c r="L50" s="54">
        <v>6</v>
      </c>
      <c r="M50" s="54">
        <v>6</v>
      </c>
      <c r="N50" s="54">
        <v>6</v>
      </c>
      <c r="O50" s="54">
        <v>6</v>
      </c>
      <c r="P50" s="54">
        <v>6</v>
      </c>
      <c r="Q50" s="54">
        <v>6</v>
      </c>
      <c r="R50" s="54">
        <v>6</v>
      </c>
      <c r="S50" s="54">
        <v>6</v>
      </c>
      <c r="T50" s="54">
        <v>6</v>
      </c>
      <c r="U50" s="54">
        <v>6</v>
      </c>
      <c r="V50" s="54">
        <v>6</v>
      </c>
      <c r="W50" s="54">
        <v>6</v>
      </c>
      <c r="X50" s="54">
        <v>6</v>
      </c>
      <c r="Y50" s="54">
        <v>6</v>
      </c>
      <c r="Z50" s="54">
        <v>6</v>
      </c>
      <c r="AA50" s="54">
        <v>6</v>
      </c>
      <c r="AB50" s="54">
        <v>6</v>
      </c>
      <c r="AC50" s="54">
        <v>6</v>
      </c>
      <c r="AD50" s="54">
        <v>6</v>
      </c>
      <c r="AE50" s="54">
        <v>6</v>
      </c>
      <c r="AF50" s="54">
        <v>6</v>
      </c>
      <c r="AG50" s="54">
        <v>6</v>
      </c>
      <c r="AH50" s="54">
        <v>6</v>
      </c>
      <c r="AI50" s="54">
        <v>6</v>
      </c>
      <c r="AJ50" s="54">
        <v>6</v>
      </c>
      <c r="AK50" s="54">
        <v>6</v>
      </c>
      <c r="AL50" s="54">
        <v>6</v>
      </c>
      <c r="AM50" s="54">
        <v>6</v>
      </c>
      <c r="AN50" s="54">
        <v>6</v>
      </c>
      <c r="AO50" s="54">
        <v>6</v>
      </c>
      <c r="AP50" s="54">
        <v>6</v>
      </c>
      <c r="AQ50" s="54">
        <v>6</v>
      </c>
      <c r="AR50" s="54">
        <v>6</v>
      </c>
      <c r="AS50" s="54">
        <v>6</v>
      </c>
      <c r="AT50" s="54">
        <v>6</v>
      </c>
      <c r="AU50" s="54">
        <v>6</v>
      </c>
      <c r="AV50" s="54">
        <v>6</v>
      </c>
      <c r="AW50" s="54">
        <v>6</v>
      </c>
      <c r="AX50" s="54">
        <v>6</v>
      </c>
      <c r="AY50" s="54">
        <v>6</v>
      </c>
      <c r="AZ50" s="54">
        <v>6</v>
      </c>
      <c r="BA50" s="54">
        <v>6</v>
      </c>
      <c r="BB50" s="54">
        <v>6</v>
      </c>
      <c r="BC50" s="54">
        <v>6</v>
      </c>
      <c r="BD50" s="54">
        <v>6</v>
      </c>
      <c r="BE50" s="54">
        <v>6</v>
      </c>
      <c r="BF50" s="54">
        <v>6</v>
      </c>
      <c r="BG50" s="54">
        <v>6</v>
      </c>
      <c r="BH50" s="54">
        <v>6</v>
      </c>
      <c r="BI50" s="54">
        <v>6</v>
      </c>
      <c r="BJ50" s="54">
        <v>6</v>
      </c>
      <c r="BK50" s="54">
        <v>6</v>
      </c>
      <c r="BL50" s="54">
        <v>6</v>
      </c>
      <c r="BM50" s="54">
        <v>6</v>
      </c>
      <c r="BN50" s="54">
        <v>6</v>
      </c>
      <c r="BO50" s="54">
        <v>6</v>
      </c>
      <c r="BP50" s="54">
        <v>6</v>
      </c>
      <c r="BQ50" s="54">
        <v>6</v>
      </c>
      <c r="BR50" s="54">
        <v>6</v>
      </c>
      <c r="BS50" s="54">
        <v>6</v>
      </c>
      <c r="BT50" s="54">
        <v>6</v>
      </c>
      <c r="BU50" s="54">
        <v>6</v>
      </c>
      <c r="BV50" s="55">
        <v>0</v>
      </c>
    </row>
    <row r="51" spans="1:74" s="5" customFormat="1" ht="11.25" x14ac:dyDescent="0.2">
      <c r="A51" s="27">
        <v>49</v>
      </c>
      <c r="B51" s="54">
        <v>19</v>
      </c>
      <c r="C51" s="54">
        <v>19</v>
      </c>
      <c r="D51" s="54">
        <v>19</v>
      </c>
      <c r="E51" s="54">
        <v>19</v>
      </c>
      <c r="F51" s="54">
        <v>19</v>
      </c>
      <c r="G51" s="54">
        <v>19</v>
      </c>
      <c r="H51" s="54">
        <v>19</v>
      </c>
      <c r="I51" s="54">
        <v>19</v>
      </c>
      <c r="J51" s="54">
        <v>19</v>
      </c>
      <c r="K51" s="54">
        <v>19</v>
      </c>
      <c r="L51" s="54">
        <v>19</v>
      </c>
      <c r="M51" s="54">
        <v>19</v>
      </c>
      <c r="N51" s="54">
        <v>19</v>
      </c>
      <c r="O51" s="54">
        <v>19</v>
      </c>
      <c r="P51" s="54">
        <v>19</v>
      </c>
      <c r="Q51" s="54">
        <v>19</v>
      </c>
      <c r="R51" s="54">
        <v>19</v>
      </c>
      <c r="S51" s="54">
        <v>19</v>
      </c>
      <c r="T51" s="54">
        <v>19</v>
      </c>
      <c r="U51" s="54">
        <v>19</v>
      </c>
      <c r="V51" s="54">
        <v>19</v>
      </c>
      <c r="W51" s="54">
        <v>19</v>
      </c>
      <c r="X51" s="54">
        <v>19</v>
      </c>
      <c r="Y51" s="54">
        <v>19</v>
      </c>
      <c r="Z51" s="54">
        <v>19</v>
      </c>
      <c r="AA51" s="54">
        <v>19</v>
      </c>
      <c r="AB51" s="54">
        <v>19</v>
      </c>
      <c r="AC51" s="54">
        <v>19</v>
      </c>
      <c r="AD51" s="54">
        <v>19</v>
      </c>
      <c r="AE51" s="54">
        <v>19</v>
      </c>
      <c r="AF51" s="54">
        <v>19</v>
      </c>
      <c r="AG51" s="54">
        <v>19</v>
      </c>
      <c r="AH51" s="54">
        <v>19</v>
      </c>
      <c r="AI51" s="54">
        <v>19</v>
      </c>
      <c r="AJ51" s="54">
        <v>19</v>
      </c>
      <c r="AK51" s="54">
        <v>19</v>
      </c>
      <c r="AL51" s="54">
        <v>19</v>
      </c>
      <c r="AM51" s="54">
        <v>19</v>
      </c>
      <c r="AN51" s="54">
        <v>19</v>
      </c>
      <c r="AO51" s="54">
        <v>19</v>
      </c>
      <c r="AP51" s="54">
        <v>19</v>
      </c>
      <c r="AQ51" s="54">
        <v>19</v>
      </c>
      <c r="AR51" s="54">
        <v>19</v>
      </c>
      <c r="AS51" s="54">
        <v>19</v>
      </c>
      <c r="AT51" s="54">
        <v>19</v>
      </c>
      <c r="AU51" s="54">
        <v>19</v>
      </c>
      <c r="AV51" s="54">
        <v>19</v>
      </c>
      <c r="AW51" s="54">
        <v>19</v>
      </c>
      <c r="AX51" s="54">
        <v>19</v>
      </c>
      <c r="AY51" s="54">
        <v>19</v>
      </c>
      <c r="AZ51" s="54">
        <v>19</v>
      </c>
      <c r="BA51" s="54">
        <v>19</v>
      </c>
      <c r="BB51" s="54">
        <v>19</v>
      </c>
      <c r="BC51" s="54">
        <v>19</v>
      </c>
      <c r="BD51" s="54">
        <v>19</v>
      </c>
      <c r="BE51" s="54">
        <v>19</v>
      </c>
      <c r="BF51" s="54">
        <v>19</v>
      </c>
      <c r="BG51" s="54">
        <v>19</v>
      </c>
      <c r="BH51" s="54">
        <v>19</v>
      </c>
      <c r="BI51" s="54">
        <v>19</v>
      </c>
      <c r="BJ51" s="54">
        <v>19</v>
      </c>
      <c r="BK51" s="54">
        <v>19</v>
      </c>
      <c r="BL51" s="54">
        <v>19</v>
      </c>
      <c r="BM51" s="54">
        <v>19</v>
      </c>
      <c r="BN51" s="54">
        <v>19</v>
      </c>
      <c r="BO51" s="54">
        <v>19</v>
      </c>
      <c r="BP51" s="54">
        <v>19</v>
      </c>
      <c r="BQ51" s="54">
        <v>19</v>
      </c>
      <c r="BR51" s="54">
        <v>19</v>
      </c>
      <c r="BS51" s="54">
        <v>19</v>
      </c>
      <c r="BT51" s="54">
        <v>19</v>
      </c>
      <c r="BU51" s="54">
        <v>19</v>
      </c>
      <c r="BV51" s="55">
        <v>0</v>
      </c>
    </row>
    <row r="52" spans="1:74" s="5" customFormat="1" ht="11.25" x14ac:dyDescent="0.2">
      <c r="A52" s="27" t="s">
        <v>137</v>
      </c>
      <c r="B52" s="54">
        <v>95</v>
      </c>
      <c r="C52" s="54">
        <v>95</v>
      </c>
      <c r="D52" s="54">
        <v>95</v>
      </c>
      <c r="E52" s="54">
        <v>95</v>
      </c>
      <c r="F52" s="54">
        <v>95</v>
      </c>
      <c r="G52" s="54">
        <v>95</v>
      </c>
      <c r="H52" s="54">
        <v>95</v>
      </c>
      <c r="I52" s="54">
        <v>95</v>
      </c>
      <c r="J52" s="54">
        <v>95</v>
      </c>
      <c r="K52" s="54">
        <v>95</v>
      </c>
      <c r="L52" s="54">
        <v>95</v>
      </c>
      <c r="M52" s="54">
        <v>95</v>
      </c>
      <c r="N52" s="54">
        <v>95</v>
      </c>
      <c r="O52" s="54">
        <v>95</v>
      </c>
      <c r="P52" s="54">
        <v>95</v>
      </c>
      <c r="Q52" s="54">
        <v>95</v>
      </c>
      <c r="R52" s="54">
        <v>95</v>
      </c>
      <c r="S52" s="54">
        <v>95</v>
      </c>
      <c r="T52" s="54">
        <v>95</v>
      </c>
      <c r="U52" s="54">
        <v>95</v>
      </c>
      <c r="V52" s="54">
        <v>95</v>
      </c>
      <c r="W52" s="54">
        <v>95</v>
      </c>
      <c r="X52" s="54">
        <v>95</v>
      </c>
      <c r="Y52" s="54">
        <v>95</v>
      </c>
      <c r="Z52" s="54">
        <v>95</v>
      </c>
      <c r="AA52" s="54">
        <v>95</v>
      </c>
      <c r="AB52" s="54">
        <v>95</v>
      </c>
      <c r="AC52" s="54">
        <v>95</v>
      </c>
      <c r="AD52" s="54">
        <v>95</v>
      </c>
      <c r="AE52" s="54">
        <v>95</v>
      </c>
      <c r="AF52" s="54">
        <v>95</v>
      </c>
      <c r="AG52" s="54">
        <v>95</v>
      </c>
      <c r="AH52" s="54">
        <v>95</v>
      </c>
      <c r="AI52" s="54">
        <v>95</v>
      </c>
      <c r="AJ52" s="54">
        <v>95</v>
      </c>
      <c r="AK52" s="54">
        <v>95</v>
      </c>
      <c r="AL52" s="54">
        <v>95</v>
      </c>
      <c r="AM52" s="54">
        <v>95</v>
      </c>
      <c r="AN52" s="54">
        <v>95</v>
      </c>
      <c r="AO52" s="54">
        <v>95</v>
      </c>
      <c r="AP52" s="54">
        <v>95</v>
      </c>
      <c r="AQ52" s="54">
        <v>95</v>
      </c>
      <c r="AR52" s="54">
        <v>95</v>
      </c>
      <c r="AS52" s="54">
        <v>95</v>
      </c>
      <c r="AT52" s="54">
        <v>95</v>
      </c>
      <c r="AU52" s="54">
        <v>95</v>
      </c>
      <c r="AV52" s="54">
        <v>95</v>
      </c>
      <c r="AW52" s="54">
        <v>95</v>
      </c>
      <c r="AX52" s="54">
        <v>95</v>
      </c>
      <c r="AY52" s="54">
        <v>95</v>
      </c>
      <c r="AZ52" s="54">
        <v>95</v>
      </c>
      <c r="BA52" s="54">
        <v>95</v>
      </c>
      <c r="BB52" s="54">
        <v>95</v>
      </c>
      <c r="BC52" s="54">
        <v>95</v>
      </c>
      <c r="BD52" s="54">
        <v>95</v>
      </c>
      <c r="BE52" s="54">
        <v>95</v>
      </c>
      <c r="BF52" s="54">
        <v>95</v>
      </c>
      <c r="BG52" s="54">
        <v>95</v>
      </c>
      <c r="BH52" s="54">
        <v>95</v>
      </c>
      <c r="BI52" s="54">
        <v>95</v>
      </c>
      <c r="BJ52" s="54">
        <v>95</v>
      </c>
      <c r="BK52" s="54">
        <v>95</v>
      </c>
      <c r="BL52" s="54">
        <v>95</v>
      </c>
      <c r="BM52" s="54">
        <v>95</v>
      </c>
      <c r="BN52" s="54">
        <v>95</v>
      </c>
      <c r="BO52" s="54">
        <v>95</v>
      </c>
      <c r="BP52" s="54">
        <v>95</v>
      </c>
      <c r="BQ52" s="54">
        <v>95</v>
      </c>
      <c r="BR52" s="54">
        <v>95</v>
      </c>
      <c r="BS52" s="54">
        <v>95</v>
      </c>
      <c r="BT52" s="54">
        <v>95</v>
      </c>
      <c r="BU52" s="54">
        <v>95</v>
      </c>
      <c r="BV52" s="55">
        <v>0</v>
      </c>
    </row>
    <row r="53" spans="1:74" s="5" customFormat="1" ht="11.25" x14ac:dyDescent="0.2">
      <c r="A53" s="27" t="s">
        <v>138</v>
      </c>
      <c r="B53" s="54">
        <v>8276</v>
      </c>
      <c r="C53" s="54">
        <v>8295</v>
      </c>
      <c r="D53" s="54">
        <v>8306</v>
      </c>
      <c r="E53" s="54">
        <v>8349</v>
      </c>
      <c r="F53" s="54">
        <v>8371</v>
      </c>
      <c r="G53" s="54">
        <v>8376</v>
      </c>
      <c r="H53" s="54">
        <v>8382</v>
      </c>
      <c r="I53" s="54">
        <v>8388</v>
      </c>
      <c r="J53" s="54">
        <v>8417</v>
      </c>
      <c r="K53" s="54">
        <v>8446</v>
      </c>
      <c r="L53" s="54">
        <v>8457</v>
      </c>
      <c r="M53" s="54">
        <v>8477</v>
      </c>
      <c r="N53" s="54">
        <v>8491</v>
      </c>
      <c r="O53" s="54">
        <v>8511</v>
      </c>
      <c r="P53" s="54">
        <v>8520</v>
      </c>
      <c r="Q53" s="54">
        <v>8539</v>
      </c>
      <c r="R53" s="54">
        <v>8565</v>
      </c>
      <c r="S53" s="54">
        <v>8577</v>
      </c>
      <c r="T53" s="54">
        <v>8591</v>
      </c>
      <c r="U53" s="54">
        <v>8602</v>
      </c>
      <c r="V53" s="54">
        <v>8631</v>
      </c>
      <c r="W53" s="54">
        <v>8657</v>
      </c>
      <c r="X53" s="54">
        <v>8665</v>
      </c>
      <c r="Y53" s="54">
        <v>8683</v>
      </c>
      <c r="Z53" s="54">
        <v>8698</v>
      </c>
      <c r="AA53" s="54">
        <v>8716</v>
      </c>
      <c r="AB53" s="54">
        <v>8724</v>
      </c>
      <c r="AC53" s="54">
        <v>8740</v>
      </c>
      <c r="AD53" s="54">
        <v>8766</v>
      </c>
      <c r="AE53" s="54">
        <v>8778</v>
      </c>
      <c r="AF53" s="54">
        <v>8792</v>
      </c>
      <c r="AG53" s="54">
        <v>8803</v>
      </c>
      <c r="AH53" s="54">
        <v>8834</v>
      </c>
      <c r="AI53" s="54">
        <v>8859</v>
      </c>
      <c r="AJ53" s="54">
        <v>8867</v>
      </c>
      <c r="AK53" s="54">
        <v>8885</v>
      </c>
      <c r="AL53" s="54">
        <v>8901</v>
      </c>
      <c r="AM53" s="54">
        <v>8917</v>
      </c>
      <c r="AN53" s="54">
        <v>8925</v>
      </c>
      <c r="AO53" s="54">
        <v>8941</v>
      </c>
      <c r="AP53" s="54">
        <v>8967</v>
      </c>
      <c r="AQ53" s="54">
        <v>8978</v>
      </c>
      <c r="AR53" s="54">
        <v>8991</v>
      </c>
      <c r="AS53" s="54">
        <v>9002</v>
      </c>
      <c r="AT53" s="54">
        <v>9031</v>
      </c>
      <c r="AU53" s="54">
        <v>9056</v>
      </c>
      <c r="AV53" s="54">
        <v>9064</v>
      </c>
      <c r="AW53" s="54">
        <v>9081</v>
      </c>
      <c r="AX53" s="54">
        <v>9076</v>
      </c>
      <c r="AY53" s="54">
        <v>9092</v>
      </c>
      <c r="AZ53" s="54">
        <v>9099</v>
      </c>
      <c r="BA53" s="54">
        <v>9113</v>
      </c>
      <c r="BB53" s="54">
        <v>9140</v>
      </c>
      <c r="BC53" s="54">
        <v>9149</v>
      </c>
      <c r="BD53" s="54">
        <v>9162</v>
      </c>
      <c r="BE53" s="54">
        <v>9172</v>
      </c>
      <c r="BF53" s="54">
        <v>9201</v>
      </c>
      <c r="BG53" s="54">
        <v>9226</v>
      </c>
      <c r="BH53" s="54">
        <v>9232</v>
      </c>
      <c r="BI53" s="54">
        <v>9249</v>
      </c>
      <c r="BJ53" s="54">
        <v>9243</v>
      </c>
      <c r="BK53" s="54">
        <v>9258</v>
      </c>
      <c r="BL53" s="54">
        <v>9264</v>
      </c>
      <c r="BM53" s="54">
        <v>9279</v>
      </c>
      <c r="BN53" s="54">
        <v>9304</v>
      </c>
      <c r="BO53" s="54">
        <v>9314</v>
      </c>
      <c r="BP53" s="54">
        <v>9326</v>
      </c>
      <c r="BQ53" s="54">
        <v>9336</v>
      </c>
      <c r="BR53" s="54">
        <v>9364</v>
      </c>
      <c r="BS53" s="54">
        <v>9388</v>
      </c>
      <c r="BT53" s="54">
        <v>9395</v>
      </c>
      <c r="BU53" s="54">
        <v>9411</v>
      </c>
      <c r="BV53" s="55">
        <v>0</v>
      </c>
    </row>
    <row r="54" spans="1:74" s="5" customFormat="1" ht="11.25" x14ac:dyDescent="0.2">
      <c r="A54" s="27" t="s">
        <v>139</v>
      </c>
      <c r="B54" s="54">
        <v>16</v>
      </c>
      <c r="C54" s="54">
        <v>16</v>
      </c>
      <c r="D54" s="54">
        <v>16</v>
      </c>
      <c r="E54" s="54">
        <v>16</v>
      </c>
      <c r="F54" s="54">
        <v>16</v>
      </c>
      <c r="G54" s="54">
        <v>16</v>
      </c>
      <c r="H54" s="54">
        <v>16</v>
      </c>
      <c r="I54" s="54">
        <v>16</v>
      </c>
      <c r="J54" s="54">
        <v>16</v>
      </c>
      <c r="K54" s="54">
        <v>16</v>
      </c>
      <c r="L54" s="54">
        <v>16</v>
      </c>
      <c r="M54" s="54">
        <v>16</v>
      </c>
      <c r="N54" s="54">
        <v>16</v>
      </c>
      <c r="O54" s="54">
        <v>16</v>
      </c>
      <c r="P54" s="54">
        <v>16</v>
      </c>
      <c r="Q54" s="54">
        <v>16</v>
      </c>
      <c r="R54" s="54">
        <v>16</v>
      </c>
      <c r="S54" s="54">
        <v>16</v>
      </c>
      <c r="T54" s="54">
        <v>16</v>
      </c>
      <c r="U54" s="54">
        <v>16</v>
      </c>
      <c r="V54" s="54">
        <v>16</v>
      </c>
      <c r="W54" s="54">
        <v>16</v>
      </c>
      <c r="X54" s="54">
        <v>16</v>
      </c>
      <c r="Y54" s="54">
        <v>16</v>
      </c>
      <c r="Z54" s="54">
        <v>16</v>
      </c>
      <c r="AA54" s="54">
        <v>16</v>
      </c>
      <c r="AB54" s="54">
        <v>16</v>
      </c>
      <c r="AC54" s="54">
        <v>16</v>
      </c>
      <c r="AD54" s="54">
        <v>16</v>
      </c>
      <c r="AE54" s="54">
        <v>16</v>
      </c>
      <c r="AF54" s="54">
        <v>16</v>
      </c>
      <c r="AG54" s="54">
        <v>16</v>
      </c>
      <c r="AH54" s="54">
        <v>16</v>
      </c>
      <c r="AI54" s="54">
        <v>16</v>
      </c>
      <c r="AJ54" s="54">
        <v>16</v>
      </c>
      <c r="AK54" s="54">
        <v>16</v>
      </c>
      <c r="AL54" s="54">
        <v>16</v>
      </c>
      <c r="AM54" s="54">
        <v>16</v>
      </c>
      <c r="AN54" s="54">
        <v>16</v>
      </c>
      <c r="AO54" s="54">
        <v>16</v>
      </c>
      <c r="AP54" s="54">
        <v>16</v>
      </c>
      <c r="AQ54" s="54">
        <v>16</v>
      </c>
      <c r="AR54" s="54">
        <v>16</v>
      </c>
      <c r="AS54" s="54">
        <v>16</v>
      </c>
      <c r="AT54" s="54">
        <v>16</v>
      </c>
      <c r="AU54" s="54">
        <v>16</v>
      </c>
      <c r="AV54" s="54">
        <v>16</v>
      </c>
      <c r="AW54" s="54">
        <v>16</v>
      </c>
      <c r="AX54" s="54">
        <v>16</v>
      </c>
      <c r="AY54" s="54">
        <v>16</v>
      </c>
      <c r="AZ54" s="54">
        <v>16</v>
      </c>
      <c r="BA54" s="54">
        <v>16</v>
      </c>
      <c r="BB54" s="54">
        <v>16</v>
      </c>
      <c r="BC54" s="54">
        <v>16</v>
      </c>
      <c r="BD54" s="54">
        <v>16</v>
      </c>
      <c r="BE54" s="54">
        <v>16</v>
      </c>
      <c r="BF54" s="54">
        <v>16</v>
      </c>
      <c r="BG54" s="54">
        <v>16</v>
      </c>
      <c r="BH54" s="54">
        <v>16</v>
      </c>
      <c r="BI54" s="54">
        <v>16</v>
      </c>
      <c r="BJ54" s="54">
        <v>16</v>
      </c>
      <c r="BK54" s="54">
        <v>16</v>
      </c>
      <c r="BL54" s="54">
        <v>16</v>
      </c>
      <c r="BM54" s="54">
        <v>16</v>
      </c>
      <c r="BN54" s="54">
        <v>16</v>
      </c>
      <c r="BO54" s="54">
        <v>16</v>
      </c>
      <c r="BP54" s="54">
        <v>16</v>
      </c>
      <c r="BQ54" s="54">
        <v>16</v>
      </c>
      <c r="BR54" s="54">
        <v>16</v>
      </c>
      <c r="BS54" s="54">
        <v>16</v>
      </c>
      <c r="BT54" s="54">
        <v>16</v>
      </c>
      <c r="BU54" s="54">
        <v>16</v>
      </c>
      <c r="BV54" s="55">
        <v>0</v>
      </c>
    </row>
    <row r="55" spans="1:74" s="5" customFormat="1" ht="11.25" x14ac:dyDescent="0.2">
      <c r="A55" s="27" t="s">
        <v>140</v>
      </c>
      <c r="B55" s="56">
        <v>8</v>
      </c>
      <c r="C55" s="56">
        <v>8</v>
      </c>
      <c r="D55" s="56">
        <v>8</v>
      </c>
      <c r="E55" s="56">
        <v>8</v>
      </c>
      <c r="F55" s="56">
        <v>8</v>
      </c>
      <c r="G55" s="56">
        <v>8</v>
      </c>
      <c r="H55" s="56">
        <v>8</v>
      </c>
      <c r="I55" s="56">
        <v>8</v>
      </c>
      <c r="J55" s="56">
        <v>8</v>
      </c>
      <c r="K55" s="56">
        <v>8</v>
      </c>
      <c r="L55" s="56">
        <v>8</v>
      </c>
      <c r="M55" s="56">
        <v>8</v>
      </c>
      <c r="N55" s="56">
        <v>8</v>
      </c>
      <c r="O55" s="56">
        <v>8</v>
      </c>
      <c r="P55" s="56">
        <v>8</v>
      </c>
      <c r="Q55" s="56">
        <v>8</v>
      </c>
      <c r="R55" s="56">
        <v>8</v>
      </c>
      <c r="S55" s="56">
        <v>8</v>
      </c>
      <c r="T55" s="56">
        <v>8</v>
      </c>
      <c r="U55" s="56">
        <v>8</v>
      </c>
      <c r="V55" s="56">
        <v>8</v>
      </c>
      <c r="W55" s="56">
        <v>8</v>
      </c>
      <c r="X55" s="56">
        <v>8</v>
      </c>
      <c r="Y55" s="56">
        <v>8</v>
      </c>
      <c r="Z55" s="56">
        <v>8</v>
      </c>
      <c r="AA55" s="56">
        <v>8</v>
      </c>
      <c r="AB55" s="56">
        <v>8</v>
      </c>
      <c r="AC55" s="56">
        <v>8</v>
      </c>
      <c r="AD55" s="56">
        <v>8</v>
      </c>
      <c r="AE55" s="56">
        <v>8</v>
      </c>
      <c r="AF55" s="56">
        <v>8</v>
      </c>
      <c r="AG55" s="56">
        <v>8</v>
      </c>
      <c r="AH55" s="56">
        <v>8</v>
      </c>
      <c r="AI55" s="56">
        <v>8</v>
      </c>
      <c r="AJ55" s="56">
        <v>8</v>
      </c>
      <c r="AK55" s="56">
        <v>8</v>
      </c>
      <c r="AL55" s="56">
        <v>8</v>
      </c>
      <c r="AM55" s="56">
        <v>8</v>
      </c>
      <c r="AN55" s="56">
        <v>8</v>
      </c>
      <c r="AO55" s="56">
        <v>8</v>
      </c>
      <c r="AP55" s="56">
        <v>8</v>
      </c>
      <c r="AQ55" s="56">
        <v>8</v>
      </c>
      <c r="AR55" s="56">
        <v>8</v>
      </c>
      <c r="AS55" s="56">
        <v>8</v>
      </c>
      <c r="AT55" s="56">
        <v>8</v>
      </c>
      <c r="AU55" s="56">
        <v>8</v>
      </c>
      <c r="AV55" s="56">
        <v>8</v>
      </c>
      <c r="AW55" s="56">
        <v>8</v>
      </c>
      <c r="AX55" s="56">
        <v>8</v>
      </c>
      <c r="AY55" s="56">
        <v>8</v>
      </c>
      <c r="AZ55" s="56">
        <v>8</v>
      </c>
      <c r="BA55" s="56">
        <v>8</v>
      </c>
      <c r="BB55" s="56">
        <v>8</v>
      </c>
      <c r="BC55" s="56">
        <v>8</v>
      </c>
      <c r="BD55" s="56">
        <v>8</v>
      </c>
      <c r="BE55" s="56">
        <v>8</v>
      </c>
      <c r="BF55" s="56">
        <v>8</v>
      </c>
      <c r="BG55" s="56">
        <v>8</v>
      </c>
      <c r="BH55" s="56">
        <v>8</v>
      </c>
      <c r="BI55" s="56">
        <v>8</v>
      </c>
      <c r="BJ55" s="56">
        <v>8</v>
      </c>
      <c r="BK55" s="56">
        <v>8</v>
      </c>
      <c r="BL55" s="56">
        <v>8</v>
      </c>
      <c r="BM55" s="56">
        <v>8</v>
      </c>
      <c r="BN55" s="56">
        <v>8</v>
      </c>
      <c r="BO55" s="56">
        <v>8</v>
      </c>
      <c r="BP55" s="56">
        <v>8</v>
      </c>
      <c r="BQ55" s="56">
        <v>8</v>
      </c>
      <c r="BR55" s="56">
        <v>8</v>
      </c>
      <c r="BS55" s="56">
        <v>8</v>
      </c>
      <c r="BT55" s="56">
        <v>8</v>
      </c>
      <c r="BU55" s="56">
        <v>8</v>
      </c>
      <c r="BV55" s="55">
        <v>0</v>
      </c>
    </row>
    <row r="56" spans="1:74" s="5" customFormat="1" ht="11.25" x14ac:dyDescent="0.2">
      <c r="A56" s="5" t="s">
        <v>30</v>
      </c>
      <c r="B56" s="64">
        <f>SUM(B40:B55)</f>
        <v>1175788</v>
      </c>
      <c r="C56" s="64">
        <f t="shared" ref="C56:BN56" si="20">SUM(C40:C55)</f>
        <v>1176599</v>
      </c>
      <c r="D56" s="64">
        <f t="shared" si="20"/>
        <v>1178050</v>
      </c>
      <c r="E56" s="64">
        <f t="shared" si="20"/>
        <v>1178539</v>
      </c>
      <c r="F56" s="64">
        <f t="shared" si="20"/>
        <v>1179092</v>
      </c>
      <c r="G56" s="64">
        <f t="shared" si="20"/>
        <v>1179259</v>
      </c>
      <c r="H56" s="64">
        <f t="shared" si="20"/>
        <v>1179196</v>
      </c>
      <c r="I56" s="64">
        <f t="shared" si="20"/>
        <v>1179791</v>
      </c>
      <c r="J56" s="64">
        <f t="shared" si="20"/>
        <v>1181129</v>
      </c>
      <c r="K56" s="64">
        <f t="shared" si="20"/>
        <v>1182842</v>
      </c>
      <c r="L56" s="64">
        <f t="shared" si="20"/>
        <v>1184652</v>
      </c>
      <c r="M56" s="64">
        <f t="shared" si="20"/>
        <v>1186096</v>
      </c>
      <c r="N56" s="64">
        <f t="shared" si="20"/>
        <v>1187328</v>
      </c>
      <c r="O56" s="64">
        <f t="shared" si="20"/>
        <v>1188909</v>
      </c>
      <c r="P56" s="64">
        <f t="shared" si="20"/>
        <v>1190218</v>
      </c>
      <c r="Q56" s="64">
        <f t="shared" si="20"/>
        <v>1191049</v>
      </c>
      <c r="R56" s="64">
        <f t="shared" si="20"/>
        <v>1191786</v>
      </c>
      <c r="S56" s="64">
        <f t="shared" si="20"/>
        <v>1192525</v>
      </c>
      <c r="T56" s="64">
        <f t="shared" si="20"/>
        <v>1193261</v>
      </c>
      <c r="U56" s="64">
        <f t="shared" si="20"/>
        <v>1194341</v>
      </c>
      <c r="V56" s="64">
        <f t="shared" si="20"/>
        <v>1195416</v>
      </c>
      <c r="W56" s="64">
        <f t="shared" si="20"/>
        <v>1196495</v>
      </c>
      <c r="X56" s="64">
        <f t="shared" si="20"/>
        <v>1197745</v>
      </c>
      <c r="Y56" s="64">
        <f t="shared" si="20"/>
        <v>1198997</v>
      </c>
      <c r="Z56" s="64">
        <f t="shared" si="20"/>
        <v>1200255</v>
      </c>
      <c r="AA56" s="64">
        <f t="shared" si="20"/>
        <v>1201031</v>
      </c>
      <c r="AB56" s="64">
        <f t="shared" si="20"/>
        <v>1201807</v>
      </c>
      <c r="AC56" s="64">
        <f t="shared" si="20"/>
        <v>1202581</v>
      </c>
      <c r="AD56" s="64">
        <f t="shared" si="20"/>
        <v>1203305</v>
      </c>
      <c r="AE56" s="64">
        <f t="shared" si="20"/>
        <v>1204030</v>
      </c>
      <c r="AF56" s="64">
        <f t="shared" si="20"/>
        <v>1204753</v>
      </c>
      <c r="AG56" s="64">
        <f t="shared" si="20"/>
        <v>1205878</v>
      </c>
      <c r="AH56" s="64">
        <f t="shared" si="20"/>
        <v>1207006</v>
      </c>
      <c r="AI56" s="64">
        <f t="shared" si="20"/>
        <v>1208130</v>
      </c>
      <c r="AJ56" s="64">
        <f t="shared" si="20"/>
        <v>1209472</v>
      </c>
      <c r="AK56" s="64">
        <f t="shared" si="20"/>
        <v>1210812</v>
      </c>
      <c r="AL56" s="64">
        <f t="shared" si="20"/>
        <v>1212161</v>
      </c>
      <c r="AM56" s="64">
        <f t="shared" si="20"/>
        <v>1213069</v>
      </c>
      <c r="AN56" s="64">
        <f t="shared" si="20"/>
        <v>1213977</v>
      </c>
      <c r="AO56" s="64">
        <f t="shared" si="20"/>
        <v>1214885</v>
      </c>
      <c r="AP56" s="64">
        <f t="shared" si="20"/>
        <v>1215760</v>
      </c>
      <c r="AQ56" s="64">
        <f t="shared" si="20"/>
        <v>1216633</v>
      </c>
      <c r="AR56" s="64">
        <f t="shared" si="20"/>
        <v>1217508</v>
      </c>
      <c r="AS56" s="64">
        <f t="shared" si="20"/>
        <v>1218788</v>
      </c>
      <c r="AT56" s="64">
        <f t="shared" si="20"/>
        <v>1220069</v>
      </c>
      <c r="AU56" s="64">
        <f t="shared" si="20"/>
        <v>1221350</v>
      </c>
      <c r="AV56" s="64">
        <f t="shared" si="20"/>
        <v>1222845</v>
      </c>
      <c r="AW56" s="64">
        <f t="shared" si="20"/>
        <v>1224338</v>
      </c>
      <c r="AX56" s="64">
        <f t="shared" si="20"/>
        <v>1225832</v>
      </c>
      <c r="AY56" s="64">
        <f t="shared" si="20"/>
        <v>1226864</v>
      </c>
      <c r="AZ56" s="64">
        <f t="shared" si="20"/>
        <v>1227898</v>
      </c>
      <c r="BA56" s="64">
        <f t="shared" si="20"/>
        <v>1228928</v>
      </c>
      <c r="BB56" s="64">
        <f t="shared" si="20"/>
        <v>1229894</v>
      </c>
      <c r="BC56" s="64">
        <f t="shared" si="20"/>
        <v>1230856</v>
      </c>
      <c r="BD56" s="64">
        <f t="shared" si="20"/>
        <v>1231820</v>
      </c>
      <c r="BE56" s="64">
        <f t="shared" si="20"/>
        <v>1233155</v>
      </c>
      <c r="BF56" s="64">
        <f t="shared" si="20"/>
        <v>1234492</v>
      </c>
      <c r="BG56" s="64">
        <f t="shared" si="20"/>
        <v>1235826</v>
      </c>
      <c r="BH56" s="64">
        <f t="shared" si="20"/>
        <v>1237342</v>
      </c>
      <c r="BI56" s="64">
        <f t="shared" si="20"/>
        <v>1238856</v>
      </c>
      <c r="BJ56" s="64">
        <f t="shared" si="20"/>
        <v>1240370</v>
      </c>
      <c r="BK56" s="64">
        <f t="shared" si="20"/>
        <v>1241403</v>
      </c>
      <c r="BL56" s="64">
        <f t="shared" si="20"/>
        <v>1242436</v>
      </c>
      <c r="BM56" s="64">
        <f t="shared" si="20"/>
        <v>1243468</v>
      </c>
      <c r="BN56" s="64">
        <f t="shared" si="20"/>
        <v>1244423</v>
      </c>
      <c r="BO56" s="64">
        <f t="shared" ref="BO56:BU56" si="21">SUM(BO40:BO55)</f>
        <v>1245379</v>
      </c>
      <c r="BP56" s="64">
        <f t="shared" si="21"/>
        <v>1246333</v>
      </c>
      <c r="BQ56" s="64">
        <f t="shared" si="21"/>
        <v>1247654</v>
      </c>
      <c r="BR56" s="64">
        <f t="shared" si="21"/>
        <v>1248973</v>
      </c>
      <c r="BS56" s="64">
        <f t="shared" si="21"/>
        <v>1250294</v>
      </c>
      <c r="BT56" s="64">
        <f t="shared" si="21"/>
        <v>1251794</v>
      </c>
      <c r="BU56" s="64">
        <f t="shared" si="21"/>
        <v>1253294</v>
      </c>
      <c r="BV56" s="55">
        <v>0</v>
      </c>
    </row>
    <row r="57" spans="1:74" s="5" customFormat="1" ht="11.25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0"/>
    </row>
    <row r="58" spans="1:74" s="5" customFormat="1" ht="11.25" x14ac:dyDescent="0.2">
      <c r="A58" s="59" t="s">
        <v>141</v>
      </c>
      <c r="B58" s="60">
        <f>B40</f>
        <v>1034326</v>
      </c>
      <c r="C58" s="60">
        <f t="shared" ref="C58:BN58" si="22">C40</f>
        <v>1034971</v>
      </c>
      <c r="D58" s="60">
        <f t="shared" si="22"/>
        <v>1036433</v>
      </c>
      <c r="E58" s="60">
        <f t="shared" si="22"/>
        <v>1036894</v>
      </c>
      <c r="F58" s="60">
        <f t="shared" si="22"/>
        <v>1037583</v>
      </c>
      <c r="G58" s="60">
        <f t="shared" si="22"/>
        <v>1038104</v>
      </c>
      <c r="H58" s="60">
        <f t="shared" si="22"/>
        <v>1038421</v>
      </c>
      <c r="I58" s="60">
        <f t="shared" si="22"/>
        <v>1039287</v>
      </c>
      <c r="J58" s="60">
        <f t="shared" si="22"/>
        <v>1040603</v>
      </c>
      <c r="K58" s="60">
        <f t="shared" si="22"/>
        <v>1042099</v>
      </c>
      <c r="L58" s="60">
        <f t="shared" si="22"/>
        <v>1043665</v>
      </c>
      <c r="M58" s="60">
        <f t="shared" si="22"/>
        <v>1044952</v>
      </c>
      <c r="N58" s="60">
        <f t="shared" si="22"/>
        <v>1046235</v>
      </c>
      <c r="O58" s="60">
        <f t="shared" si="22"/>
        <v>1047534</v>
      </c>
      <c r="P58" s="60">
        <f t="shared" si="22"/>
        <v>1048559</v>
      </c>
      <c r="Q58" s="60">
        <f t="shared" si="22"/>
        <v>1049110</v>
      </c>
      <c r="R58" s="60">
        <f t="shared" si="22"/>
        <v>1049677</v>
      </c>
      <c r="S58" s="60">
        <f t="shared" si="22"/>
        <v>1050243</v>
      </c>
      <c r="T58" s="60">
        <f t="shared" si="22"/>
        <v>1050809</v>
      </c>
      <c r="U58" s="60">
        <f t="shared" si="22"/>
        <v>1051816</v>
      </c>
      <c r="V58" s="60">
        <f t="shared" si="22"/>
        <v>1052823</v>
      </c>
      <c r="W58" s="60">
        <f t="shared" si="22"/>
        <v>1053831</v>
      </c>
      <c r="X58" s="60">
        <f t="shared" si="22"/>
        <v>1055020</v>
      </c>
      <c r="Y58" s="60">
        <f t="shared" si="22"/>
        <v>1056210</v>
      </c>
      <c r="Z58" s="60">
        <f t="shared" si="22"/>
        <v>1057399</v>
      </c>
      <c r="AA58" s="60">
        <f t="shared" si="22"/>
        <v>1058015</v>
      </c>
      <c r="AB58" s="60">
        <f t="shared" si="22"/>
        <v>1058630</v>
      </c>
      <c r="AC58" s="60">
        <f t="shared" si="22"/>
        <v>1059246</v>
      </c>
      <c r="AD58" s="60">
        <f t="shared" si="22"/>
        <v>1059751</v>
      </c>
      <c r="AE58" s="60">
        <f t="shared" si="22"/>
        <v>1060256</v>
      </c>
      <c r="AF58" s="60">
        <f t="shared" si="22"/>
        <v>1060760</v>
      </c>
      <c r="AG58" s="60">
        <f t="shared" si="22"/>
        <v>1061772</v>
      </c>
      <c r="AH58" s="60">
        <f t="shared" si="22"/>
        <v>1062784</v>
      </c>
      <c r="AI58" s="60">
        <f t="shared" si="22"/>
        <v>1063795</v>
      </c>
      <c r="AJ58" s="60">
        <f t="shared" si="22"/>
        <v>1065043</v>
      </c>
      <c r="AK58" s="60">
        <f t="shared" si="22"/>
        <v>1066290</v>
      </c>
      <c r="AL58" s="60">
        <f t="shared" si="22"/>
        <v>1067537</v>
      </c>
      <c r="AM58" s="60">
        <f t="shared" si="22"/>
        <v>1068267</v>
      </c>
      <c r="AN58" s="60">
        <f t="shared" si="22"/>
        <v>1068997</v>
      </c>
      <c r="AO58" s="60">
        <f t="shared" si="22"/>
        <v>1069728</v>
      </c>
      <c r="AP58" s="60">
        <f t="shared" si="22"/>
        <v>1070375</v>
      </c>
      <c r="AQ58" s="60">
        <f t="shared" si="22"/>
        <v>1071023</v>
      </c>
      <c r="AR58" s="60">
        <f t="shared" si="22"/>
        <v>1071671</v>
      </c>
      <c r="AS58" s="60">
        <f t="shared" si="22"/>
        <v>1072839</v>
      </c>
      <c r="AT58" s="60">
        <f t="shared" si="22"/>
        <v>1074007</v>
      </c>
      <c r="AU58" s="60">
        <f t="shared" si="22"/>
        <v>1075175</v>
      </c>
      <c r="AV58" s="60">
        <f t="shared" si="22"/>
        <v>1076581</v>
      </c>
      <c r="AW58" s="60">
        <f t="shared" si="22"/>
        <v>1077987</v>
      </c>
      <c r="AX58" s="60">
        <f t="shared" si="22"/>
        <v>1079393</v>
      </c>
      <c r="AY58" s="60">
        <f t="shared" si="22"/>
        <v>1080258</v>
      </c>
      <c r="AZ58" s="60">
        <f t="shared" si="22"/>
        <v>1081124</v>
      </c>
      <c r="BA58" s="60">
        <f t="shared" si="22"/>
        <v>1081989</v>
      </c>
      <c r="BB58" s="60">
        <f t="shared" si="22"/>
        <v>1082741</v>
      </c>
      <c r="BC58" s="60">
        <f t="shared" si="22"/>
        <v>1083493</v>
      </c>
      <c r="BD58" s="60">
        <f t="shared" si="22"/>
        <v>1084245</v>
      </c>
      <c r="BE58" s="60">
        <f t="shared" si="22"/>
        <v>1085486</v>
      </c>
      <c r="BF58" s="60">
        <f t="shared" si="22"/>
        <v>1086727</v>
      </c>
      <c r="BG58" s="60">
        <f t="shared" si="22"/>
        <v>1087967</v>
      </c>
      <c r="BH58" s="60">
        <f t="shared" si="22"/>
        <v>1089415</v>
      </c>
      <c r="BI58" s="60">
        <f t="shared" si="22"/>
        <v>1090863</v>
      </c>
      <c r="BJ58" s="60">
        <f t="shared" si="22"/>
        <v>1092311</v>
      </c>
      <c r="BK58" s="60">
        <f t="shared" si="22"/>
        <v>1093195</v>
      </c>
      <c r="BL58" s="60">
        <f t="shared" si="22"/>
        <v>1094079</v>
      </c>
      <c r="BM58" s="60">
        <f t="shared" si="22"/>
        <v>1094963</v>
      </c>
      <c r="BN58" s="60">
        <f t="shared" si="22"/>
        <v>1095718</v>
      </c>
      <c r="BO58" s="60">
        <f t="shared" ref="BO58:BU58" si="23">BO40</f>
        <v>1096473</v>
      </c>
      <c r="BP58" s="60">
        <f t="shared" si="23"/>
        <v>1097229</v>
      </c>
      <c r="BQ58" s="60">
        <f t="shared" si="23"/>
        <v>1098461</v>
      </c>
      <c r="BR58" s="60">
        <f t="shared" si="23"/>
        <v>1099694</v>
      </c>
      <c r="BS58" s="60">
        <f t="shared" si="23"/>
        <v>1100927</v>
      </c>
      <c r="BT58" s="60">
        <f t="shared" si="23"/>
        <v>1102361</v>
      </c>
      <c r="BU58" s="60">
        <f t="shared" si="23"/>
        <v>1103796</v>
      </c>
      <c r="BV58" s="50"/>
    </row>
    <row r="59" spans="1:74" s="5" customFormat="1" ht="11.25" x14ac:dyDescent="0.2">
      <c r="A59" s="59" t="s">
        <v>13</v>
      </c>
      <c r="B59" s="60">
        <f t="shared" ref="B59:BM59" si="24">B42</f>
        <v>123457</v>
      </c>
      <c r="C59" s="60">
        <f t="shared" si="24"/>
        <v>123570</v>
      </c>
      <c r="D59" s="60">
        <f t="shared" si="24"/>
        <v>123577</v>
      </c>
      <c r="E59" s="60">
        <f t="shared" si="24"/>
        <v>123564</v>
      </c>
      <c r="F59" s="60">
        <f t="shared" si="24"/>
        <v>123373</v>
      </c>
      <c r="G59" s="60">
        <f t="shared" si="24"/>
        <v>123013</v>
      </c>
      <c r="H59" s="60">
        <f t="shared" si="24"/>
        <v>122627</v>
      </c>
      <c r="I59" s="60">
        <f t="shared" si="24"/>
        <v>122363</v>
      </c>
      <c r="J59" s="60">
        <f t="shared" si="24"/>
        <v>122367</v>
      </c>
      <c r="K59" s="60">
        <f t="shared" si="24"/>
        <v>122591</v>
      </c>
      <c r="L59" s="60">
        <f t="shared" si="24"/>
        <v>122894</v>
      </c>
      <c r="M59" s="60">
        <f t="shared" si="24"/>
        <v>123035</v>
      </c>
      <c r="N59" s="60">
        <f t="shared" si="24"/>
        <v>122975</v>
      </c>
      <c r="O59" s="60">
        <f t="shared" si="24"/>
        <v>123215</v>
      </c>
      <c r="P59" s="60">
        <f t="shared" si="24"/>
        <v>123496</v>
      </c>
      <c r="Q59" s="60">
        <f t="shared" si="24"/>
        <v>123739</v>
      </c>
      <c r="R59" s="60">
        <f t="shared" si="24"/>
        <v>123828</v>
      </c>
      <c r="S59" s="60">
        <f t="shared" si="24"/>
        <v>123950</v>
      </c>
      <c r="T59" s="60">
        <f t="shared" si="24"/>
        <v>124067</v>
      </c>
      <c r="U59" s="60">
        <f t="shared" si="24"/>
        <v>124116</v>
      </c>
      <c r="V59" s="60">
        <f t="shared" si="24"/>
        <v>124166</v>
      </c>
      <c r="W59" s="60">
        <f t="shared" si="24"/>
        <v>124258</v>
      </c>
      <c r="X59" s="60">
        <f t="shared" si="24"/>
        <v>124395</v>
      </c>
      <c r="Y59" s="60">
        <f t="shared" si="24"/>
        <v>124449</v>
      </c>
      <c r="Z59" s="60">
        <f t="shared" si="24"/>
        <v>124515</v>
      </c>
      <c r="AA59" s="60">
        <f t="shared" si="24"/>
        <v>124644</v>
      </c>
      <c r="AB59" s="60">
        <f t="shared" si="24"/>
        <v>124813</v>
      </c>
      <c r="AC59" s="60">
        <f t="shared" si="24"/>
        <v>124945</v>
      </c>
      <c r="AD59" s="60">
        <f t="shared" si="24"/>
        <v>125079</v>
      </c>
      <c r="AE59" s="60">
        <f t="shared" si="24"/>
        <v>125243</v>
      </c>
      <c r="AF59" s="60">
        <f t="shared" si="24"/>
        <v>125405</v>
      </c>
      <c r="AG59" s="60">
        <f t="shared" si="24"/>
        <v>125492</v>
      </c>
      <c r="AH59" s="60">
        <f t="shared" si="24"/>
        <v>125584</v>
      </c>
      <c r="AI59" s="60">
        <f t="shared" si="24"/>
        <v>125717</v>
      </c>
      <c r="AJ59" s="60">
        <f t="shared" si="24"/>
        <v>125888</v>
      </c>
      <c r="AK59" s="60">
        <f t="shared" si="24"/>
        <v>125971</v>
      </c>
      <c r="AL59" s="60">
        <f t="shared" si="24"/>
        <v>126080</v>
      </c>
      <c r="AM59" s="60">
        <f t="shared" si="24"/>
        <v>126234</v>
      </c>
      <c r="AN59" s="60">
        <f t="shared" si="24"/>
        <v>126419</v>
      </c>
      <c r="AO59" s="60">
        <f t="shared" si="24"/>
        <v>126568</v>
      </c>
      <c r="AP59" s="60">
        <f t="shared" si="24"/>
        <v>126709</v>
      </c>
      <c r="AQ59" s="60">
        <f t="shared" si="24"/>
        <v>126880</v>
      </c>
      <c r="AR59" s="60">
        <f t="shared" si="24"/>
        <v>127048</v>
      </c>
      <c r="AS59" s="60">
        <f t="shared" si="24"/>
        <v>127134</v>
      </c>
      <c r="AT59" s="60">
        <f t="shared" si="24"/>
        <v>127226</v>
      </c>
      <c r="AU59" s="60">
        <f t="shared" si="24"/>
        <v>127359</v>
      </c>
      <c r="AV59" s="60">
        <f t="shared" si="24"/>
        <v>127527</v>
      </c>
      <c r="AW59" s="60">
        <f t="shared" si="24"/>
        <v>127606</v>
      </c>
      <c r="AX59" s="60">
        <f t="shared" si="24"/>
        <v>127612</v>
      </c>
      <c r="AY59" s="60">
        <f t="shared" si="24"/>
        <v>127757</v>
      </c>
      <c r="AZ59" s="60">
        <f t="shared" si="24"/>
        <v>127933</v>
      </c>
      <c r="BA59" s="60">
        <f t="shared" si="24"/>
        <v>128074</v>
      </c>
      <c r="BB59" s="60">
        <f t="shared" si="24"/>
        <v>128200</v>
      </c>
      <c r="BC59" s="60">
        <f t="shared" si="24"/>
        <v>128358</v>
      </c>
      <c r="BD59" s="60">
        <f t="shared" si="24"/>
        <v>128512</v>
      </c>
      <c r="BE59" s="60">
        <f t="shared" si="24"/>
        <v>128582</v>
      </c>
      <c r="BF59" s="60">
        <f t="shared" si="24"/>
        <v>128658</v>
      </c>
      <c r="BG59" s="60">
        <f t="shared" si="24"/>
        <v>128775</v>
      </c>
      <c r="BH59" s="60">
        <f t="shared" si="24"/>
        <v>128924</v>
      </c>
      <c r="BI59" s="60">
        <f t="shared" si="24"/>
        <v>128985</v>
      </c>
      <c r="BJ59" s="60">
        <f t="shared" si="24"/>
        <v>128972</v>
      </c>
      <c r="BK59" s="60">
        <f t="shared" si="24"/>
        <v>129100</v>
      </c>
      <c r="BL59" s="60">
        <f t="shared" si="24"/>
        <v>129260</v>
      </c>
      <c r="BM59" s="60">
        <f t="shared" si="24"/>
        <v>129384</v>
      </c>
      <c r="BN59" s="60">
        <f t="shared" ref="BN59:BU59" si="25">BN42</f>
        <v>129498</v>
      </c>
      <c r="BO59" s="60">
        <f t="shared" si="25"/>
        <v>129646</v>
      </c>
      <c r="BP59" s="60">
        <f t="shared" si="25"/>
        <v>129788</v>
      </c>
      <c r="BQ59" s="60">
        <f t="shared" si="25"/>
        <v>129853</v>
      </c>
      <c r="BR59" s="60">
        <f t="shared" si="25"/>
        <v>129921</v>
      </c>
      <c r="BS59" s="60">
        <f t="shared" si="25"/>
        <v>130033</v>
      </c>
      <c r="BT59" s="60">
        <f t="shared" si="25"/>
        <v>130182</v>
      </c>
      <c r="BU59" s="60">
        <f t="shared" si="25"/>
        <v>130241</v>
      </c>
      <c r="BV59" s="50"/>
    </row>
    <row r="60" spans="1:74" s="5" customFormat="1" ht="11.25" x14ac:dyDescent="0.2">
      <c r="A60" s="59" t="s">
        <v>148</v>
      </c>
      <c r="B60" s="60">
        <f>B44</f>
        <v>799</v>
      </c>
      <c r="C60" s="60">
        <f t="shared" ref="C60:BN60" si="26">C44</f>
        <v>800</v>
      </c>
      <c r="D60" s="60">
        <f t="shared" si="26"/>
        <v>799</v>
      </c>
      <c r="E60" s="60">
        <f t="shared" si="26"/>
        <v>797</v>
      </c>
      <c r="F60" s="60">
        <f t="shared" si="26"/>
        <v>795</v>
      </c>
      <c r="G60" s="60">
        <f t="shared" si="26"/>
        <v>792</v>
      </c>
      <c r="H60" s="60">
        <f t="shared" si="26"/>
        <v>788</v>
      </c>
      <c r="I60" s="60">
        <f t="shared" si="26"/>
        <v>786</v>
      </c>
      <c r="J60" s="60">
        <f t="shared" si="26"/>
        <v>786</v>
      </c>
      <c r="K60" s="60">
        <f t="shared" si="26"/>
        <v>787</v>
      </c>
      <c r="L60" s="60">
        <f t="shared" si="26"/>
        <v>788</v>
      </c>
      <c r="M60" s="60">
        <f t="shared" si="26"/>
        <v>788</v>
      </c>
      <c r="N60" s="60">
        <f t="shared" si="26"/>
        <v>789</v>
      </c>
      <c r="O60" s="60">
        <f t="shared" si="26"/>
        <v>790</v>
      </c>
      <c r="P60" s="60">
        <f t="shared" si="26"/>
        <v>791</v>
      </c>
      <c r="Q60" s="60">
        <f t="shared" si="26"/>
        <v>790</v>
      </c>
      <c r="R60" s="60">
        <f t="shared" si="26"/>
        <v>790</v>
      </c>
      <c r="S60" s="60">
        <f t="shared" si="26"/>
        <v>790</v>
      </c>
      <c r="T60" s="60">
        <f t="shared" si="26"/>
        <v>789</v>
      </c>
      <c r="U60" s="60">
        <f t="shared" si="26"/>
        <v>789</v>
      </c>
      <c r="V60" s="60">
        <f t="shared" si="26"/>
        <v>789</v>
      </c>
      <c r="W60" s="60">
        <f t="shared" si="26"/>
        <v>789</v>
      </c>
      <c r="X60" s="60">
        <f t="shared" si="26"/>
        <v>789</v>
      </c>
      <c r="Y60" s="60">
        <f t="shared" si="26"/>
        <v>789</v>
      </c>
      <c r="Z60" s="60">
        <f t="shared" si="26"/>
        <v>790</v>
      </c>
      <c r="AA60" s="60">
        <f t="shared" si="26"/>
        <v>790</v>
      </c>
      <c r="AB60" s="60">
        <f t="shared" si="26"/>
        <v>790</v>
      </c>
      <c r="AC60" s="60">
        <f t="shared" si="26"/>
        <v>789</v>
      </c>
      <c r="AD60" s="60">
        <f t="shared" si="26"/>
        <v>789</v>
      </c>
      <c r="AE60" s="60">
        <f t="shared" si="26"/>
        <v>789</v>
      </c>
      <c r="AF60" s="60">
        <f t="shared" si="26"/>
        <v>789</v>
      </c>
      <c r="AG60" s="60">
        <f t="shared" si="26"/>
        <v>789</v>
      </c>
      <c r="AH60" s="60">
        <f t="shared" si="26"/>
        <v>789</v>
      </c>
      <c r="AI60" s="60">
        <f t="shared" si="26"/>
        <v>789</v>
      </c>
      <c r="AJ60" s="60">
        <f t="shared" si="26"/>
        <v>789</v>
      </c>
      <c r="AK60" s="60">
        <f t="shared" si="26"/>
        <v>789</v>
      </c>
      <c r="AL60" s="60">
        <f t="shared" si="26"/>
        <v>791</v>
      </c>
      <c r="AM60" s="60">
        <f t="shared" si="26"/>
        <v>791</v>
      </c>
      <c r="AN60" s="60">
        <f t="shared" si="26"/>
        <v>791</v>
      </c>
      <c r="AO60" s="60">
        <f t="shared" si="26"/>
        <v>790</v>
      </c>
      <c r="AP60" s="60">
        <f t="shared" si="26"/>
        <v>790</v>
      </c>
      <c r="AQ60" s="60">
        <f t="shared" si="26"/>
        <v>790</v>
      </c>
      <c r="AR60" s="60">
        <f t="shared" si="26"/>
        <v>790</v>
      </c>
      <c r="AS60" s="60">
        <f t="shared" si="26"/>
        <v>790</v>
      </c>
      <c r="AT60" s="60">
        <f t="shared" si="26"/>
        <v>790</v>
      </c>
      <c r="AU60" s="60">
        <f t="shared" si="26"/>
        <v>790</v>
      </c>
      <c r="AV60" s="60">
        <f t="shared" si="26"/>
        <v>790</v>
      </c>
      <c r="AW60" s="60">
        <f t="shared" si="26"/>
        <v>790</v>
      </c>
      <c r="AX60" s="60">
        <f t="shared" si="26"/>
        <v>800</v>
      </c>
      <c r="AY60" s="60">
        <f t="shared" si="26"/>
        <v>799</v>
      </c>
      <c r="AZ60" s="60">
        <f t="shared" si="26"/>
        <v>799</v>
      </c>
      <c r="BA60" s="60">
        <f t="shared" si="26"/>
        <v>798</v>
      </c>
      <c r="BB60" s="60">
        <f t="shared" si="26"/>
        <v>798</v>
      </c>
      <c r="BC60" s="60">
        <f t="shared" si="26"/>
        <v>798</v>
      </c>
      <c r="BD60" s="60">
        <f t="shared" si="26"/>
        <v>798</v>
      </c>
      <c r="BE60" s="60">
        <f t="shared" si="26"/>
        <v>798</v>
      </c>
      <c r="BF60" s="60">
        <f t="shared" si="26"/>
        <v>797</v>
      </c>
      <c r="BG60" s="60">
        <f t="shared" si="26"/>
        <v>798</v>
      </c>
      <c r="BH60" s="60">
        <f t="shared" si="26"/>
        <v>798</v>
      </c>
      <c r="BI60" s="60">
        <f t="shared" si="26"/>
        <v>797</v>
      </c>
      <c r="BJ60" s="60">
        <f t="shared" si="26"/>
        <v>807</v>
      </c>
      <c r="BK60" s="60">
        <f t="shared" si="26"/>
        <v>806</v>
      </c>
      <c r="BL60" s="60">
        <f t="shared" si="26"/>
        <v>806</v>
      </c>
      <c r="BM60" s="60">
        <f t="shared" si="26"/>
        <v>805</v>
      </c>
      <c r="BN60" s="60">
        <f t="shared" si="26"/>
        <v>805</v>
      </c>
      <c r="BO60" s="60">
        <f t="shared" ref="BO60:BU60" si="27">BO44</f>
        <v>805</v>
      </c>
      <c r="BP60" s="60">
        <f t="shared" si="27"/>
        <v>805</v>
      </c>
      <c r="BQ60" s="60">
        <f t="shared" si="27"/>
        <v>804</v>
      </c>
      <c r="BR60" s="60">
        <f t="shared" si="27"/>
        <v>804</v>
      </c>
      <c r="BS60" s="60">
        <f t="shared" si="27"/>
        <v>804</v>
      </c>
      <c r="BT60" s="60">
        <f t="shared" si="27"/>
        <v>804</v>
      </c>
      <c r="BU60" s="60">
        <f t="shared" si="27"/>
        <v>804</v>
      </c>
      <c r="BV60" s="50"/>
    </row>
    <row r="61" spans="1:74" s="5" customFormat="1" ht="11.25" x14ac:dyDescent="0.2">
      <c r="A61" s="59" t="s">
        <v>149</v>
      </c>
      <c r="B61" s="60">
        <f>B46</f>
        <v>485</v>
      </c>
      <c r="C61" s="60">
        <f t="shared" ref="C61:BN61" si="28">C46</f>
        <v>486</v>
      </c>
      <c r="D61" s="60">
        <f t="shared" si="28"/>
        <v>485</v>
      </c>
      <c r="E61" s="60">
        <f t="shared" si="28"/>
        <v>482</v>
      </c>
      <c r="F61" s="60">
        <f t="shared" si="28"/>
        <v>481</v>
      </c>
      <c r="G61" s="60">
        <f t="shared" si="28"/>
        <v>480</v>
      </c>
      <c r="H61" s="60">
        <f t="shared" si="28"/>
        <v>478</v>
      </c>
      <c r="I61" s="60">
        <f t="shared" si="28"/>
        <v>477</v>
      </c>
      <c r="J61" s="60">
        <f t="shared" si="28"/>
        <v>478</v>
      </c>
      <c r="K61" s="60">
        <f t="shared" si="28"/>
        <v>478</v>
      </c>
      <c r="L61" s="60">
        <f t="shared" si="28"/>
        <v>479</v>
      </c>
      <c r="M61" s="60">
        <f t="shared" si="28"/>
        <v>479</v>
      </c>
      <c r="N61" s="60">
        <f t="shared" si="28"/>
        <v>481</v>
      </c>
      <c r="O61" s="60">
        <f t="shared" si="28"/>
        <v>482</v>
      </c>
      <c r="P61" s="60">
        <f t="shared" si="28"/>
        <v>482</v>
      </c>
      <c r="Q61" s="60">
        <f t="shared" si="28"/>
        <v>480</v>
      </c>
      <c r="R61" s="60">
        <f t="shared" si="28"/>
        <v>481</v>
      </c>
      <c r="S61" s="60">
        <f t="shared" si="28"/>
        <v>481</v>
      </c>
      <c r="T61" s="60">
        <f t="shared" si="28"/>
        <v>481</v>
      </c>
      <c r="U61" s="60">
        <f t="shared" si="28"/>
        <v>481</v>
      </c>
      <c r="V61" s="60">
        <f t="shared" si="28"/>
        <v>482</v>
      </c>
      <c r="W61" s="60">
        <f t="shared" si="28"/>
        <v>481</v>
      </c>
      <c r="X61" s="60">
        <f t="shared" si="28"/>
        <v>482</v>
      </c>
      <c r="Y61" s="60">
        <f t="shared" si="28"/>
        <v>482</v>
      </c>
      <c r="Z61" s="60">
        <f t="shared" si="28"/>
        <v>484</v>
      </c>
      <c r="AA61" s="60">
        <f t="shared" si="28"/>
        <v>484</v>
      </c>
      <c r="AB61" s="60">
        <f t="shared" si="28"/>
        <v>484</v>
      </c>
      <c r="AC61" s="60">
        <f t="shared" si="28"/>
        <v>482</v>
      </c>
      <c r="AD61" s="60">
        <f t="shared" si="28"/>
        <v>482</v>
      </c>
      <c r="AE61" s="60">
        <f t="shared" si="28"/>
        <v>483</v>
      </c>
      <c r="AF61" s="60">
        <f t="shared" si="28"/>
        <v>483</v>
      </c>
      <c r="AG61" s="60">
        <f t="shared" si="28"/>
        <v>483</v>
      </c>
      <c r="AH61" s="60">
        <f t="shared" si="28"/>
        <v>484</v>
      </c>
      <c r="AI61" s="60">
        <f t="shared" si="28"/>
        <v>484</v>
      </c>
      <c r="AJ61" s="60">
        <f t="shared" si="28"/>
        <v>484</v>
      </c>
      <c r="AK61" s="60">
        <f t="shared" si="28"/>
        <v>484</v>
      </c>
      <c r="AL61" s="60">
        <f t="shared" si="28"/>
        <v>486</v>
      </c>
      <c r="AM61" s="60">
        <f t="shared" si="28"/>
        <v>486</v>
      </c>
      <c r="AN61" s="60">
        <f t="shared" si="28"/>
        <v>486</v>
      </c>
      <c r="AO61" s="60">
        <f t="shared" si="28"/>
        <v>484</v>
      </c>
      <c r="AP61" s="60">
        <f t="shared" si="28"/>
        <v>485</v>
      </c>
      <c r="AQ61" s="60">
        <f t="shared" si="28"/>
        <v>485</v>
      </c>
      <c r="AR61" s="60">
        <f t="shared" si="28"/>
        <v>485</v>
      </c>
      <c r="AS61" s="60">
        <f t="shared" si="28"/>
        <v>486</v>
      </c>
      <c r="AT61" s="60">
        <f t="shared" si="28"/>
        <v>486</v>
      </c>
      <c r="AU61" s="60">
        <f t="shared" si="28"/>
        <v>486</v>
      </c>
      <c r="AV61" s="60">
        <f t="shared" si="28"/>
        <v>486</v>
      </c>
      <c r="AW61" s="60">
        <f t="shared" si="28"/>
        <v>486</v>
      </c>
      <c r="AX61" s="60">
        <f t="shared" si="28"/>
        <v>490</v>
      </c>
      <c r="AY61" s="60">
        <f t="shared" si="28"/>
        <v>490</v>
      </c>
      <c r="AZ61" s="60">
        <f t="shared" si="28"/>
        <v>490</v>
      </c>
      <c r="BA61" s="60">
        <f t="shared" si="28"/>
        <v>488</v>
      </c>
      <c r="BB61" s="60">
        <f t="shared" si="28"/>
        <v>488</v>
      </c>
      <c r="BC61" s="60">
        <f t="shared" si="28"/>
        <v>489</v>
      </c>
      <c r="BD61" s="60">
        <f t="shared" si="28"/>
        <v>489</v>
      </c>
      <c r="BE61" s="60">
        <f t="shared" si="28"/>
        <v>489</v>
      </c>
      <c r="BF61" s="60">
        <f t="shared" si="28"/>
        <v>490</v>
      </c>
      <c r="BG61" s="60">
        <f t="shared" si="28"/>
        <v>489</v>
      </c>
      <c r="BH61" s="60">
        <f t="shared" si="28"/>
        <v>490</v>
      </c>
      <c r="BI61" s="60">
        <f t="shared" si="28"/>
        <v>490</v>
      </c>
      <c r="BJ61" s="60">
        <f t="shared" si="28"/>
        <v>493</v>
      </c>
      <c r="BK61" s="60">
        <f t="shared" si="28"/>
        <v>494</v>
      </c>
      <c r="BL61" s="60">
        <f t="shared" si="28"/>
        <v>494</v>
      </c>
      <c r="BM61" s="60">
        <f t="shared" si="28"/>
        <v>491</v>
      </c>
      <c r="BN61" s="60">
        <f t="shared" si="28"/>
        <v>491</v>
      </c>
      <c r="BO61" s="60">
        <f t="shared" ref="BO61:BU61" si="29">BO46</f>
        <v>492</v>
      </c>
      <c r="BP61" s="60">
        <f t="shared" si="29"/>
        <v>492</v>
      </c>
      <c r="BQ61" s="60">
        <f t="shared" si="29"/>
        <v>492</v>
      </c>
      <c r="BR61" s="60">
        <f t="shared" si="29"/>
        <v>493</v>
      </c>
      <c r="BS61" s="60">
        <f t="shared" si="29"/>
        <v>493</v>
      </c>
      <c r="BT61" s="60">
        <f t="shared" si="29"/>
        <v>493</v>
      </c>
      <c r="BU61" s="60">
        <f t="shared" si="29"/>
        <v>493</v>
      </c>
      <c r="BV61" s="50"/>
    </row>
    <row r="62" spans="1:74" s="5" customFormat="1" ht="11.25" x14ac:dyDescent="0.2">
      <c r="A62" s="59" t="s">
        <v>142</v>
      </c>
      <c r="B62" s="60">
        <f>SUM(B41,B43,B45,B47,B49)</f>
        <v>8268</v>
      </c>
      <c r="C62" s="60">
        <f t="shared" ref="C62:BN62" si="30">SUM(C41,C43,C45,C47,C49)</f>
        <v>8300</v>
      </c>
      <c r="D62" s="60">
        <f t="shared" si="30"/>
        <v>8273</v>
      </c>
      <c r="E62" s="60">
        <f t="shared" si="30"/>
        <v>8276</v>
      </c>
      <c r="F62" s="60">
        <f t="shared" si="30"/>
        <v>8312</v>
      </c>
      <c r="G62" s="60">
        <f t="shared" si="30"/>
        <v>8317</v>
      </c>
      <c r="H62" s="60">
        <f t="shared" si="30"/>
        <v>8324</v>
      </c>
      <c r="I62" s="60">
        <f t="shared" si="30"/>
        <v>8314</v>
      </c>
      <c r="J62" s="60">
        <f t="shared" si="30"/>
        <v>8302</v>
      </c>
      <c r="K62" s="60">
        <f t="shared" si="30"/>
        <v>8265</v>
      </c>
      <c r="L62" s="60">
        <f t="shared" si="30"/>
        <v>8193</v>
      </c>
      <c r="M62" s="60">
        <f t="shared" si="30"/>
        <v>8189</v>
      </c>
      <c r="N62" s="60">
        <f t="shared" si="30"/>
        <v>8181</v>
      </c>
      <c r="O62" s="60">
        <f t="shared" si="30"/>
        <v>8201</v>
      </c>
      <c r="P62" s="60">
        <f t="shared" si="30"/>
        <v>8193</v>
      </c>
      <c r="Q62" s="60">
        <f t="shared" si="30"/>
        <v>8214</v>
      </c>
      <c r="R62" s="60">
        <f t="shared" si="30"/>
        <v>8269</v>
      </c>
      <c r="S62" s="60">
        <f t="shared" si="30"/>
        <v>8308</v>
      </c>
      <c r="T62" s="60">
        <f t="shared" si="30"/>
        <v>8348</v>
      </c>
      <c r="U62" s="60">
        <f t="shared" si="30"/>
        <v>8361</v>
      </c>
      <c r="V62" s="60">
        <f t="shared" si="30"/>
        <v>8349</v>
      </c>
      <c r="W62" s="60">
        <f t="shared" si="30"/>
        <v>8303</v>
      </c>
      <c r="X62" s="60">
        <f t="shared" si="30"/>
        <v>8218</v>
      </c>
      <c r="Y62" s="60">
        <f t="shared" si="30"/>
        <v>8208</v>
      </c>
      <c r="Z62" s="60">
        <f t="shared" si="30"/>
        <v>8193</v>
      </c>
      <c r="AA62" s="60">
        <f t="shared" si="30"/>
        <v>8206</v>
      </c>
      <c r="AB62" s="60">
        <f t="shared" si="30"/>
        <v>8190</v>
      </c>
      <c r="AC62" s="60">
        <f t="shared" si="30"/>
        <v>8203</v>
      </c>
      <c r="AD62" s="60">
        <f t="shared" si="30"/>
        <v>8262</v>
      </c>
      <c r="AE62" s="60">
        <f t="shared" si="30"/>
        <v>8305</v>
      </c>
      <c r="AF62" s="60">
        <f t="shared" si="30"/>
        <v>8348</v>
      </c>
      <c r="AG62" s="60">
        <f t="shared" si="30"/>
        <v>8363</v>
      </c>
      <c r="AH62" s="60">
        <f t="shared" si="30"/>
        <v>8355</v>
      </c>
      <c r="AI62" s="60">
        <f t="shared" si="30"/>
        <v>8310</v>
      </c>
      <c r="AJ62" s="60">
        <f t="shared" si="30"/>
        <v>8225</v>
      </c>
      <c r="AK62" s="60">
        <f t="shared" si="30"/>
        <v>8217</v>
      </c>
      <c r="AL62" s="60">
        <f t="shared" si="30"/>
        <v>8190</v>
      </c>
      <c r="AM62" s="60">
        <f t="shared" si="30"/>
        <v>8198</v>
      </c>
      <c r="AN62" s="60">
        <f t="shared" si="30"/>
        <v>8183</v>
      </c>
      <c r="AO62" s="60">
        <f t="shared" si="30"/>
        <v>8198</v>
      </c>
      <c r="AP62" s="60">
        <f t="shared" si="30"/>
        <v>8258</v>
      </c>
      <c r="AQ62" s="60">
        <f t="shared" si="30"/>
        <v>8301</v>
      </c>
      <c r="AR62" s="60">
        <f t="shared" si="30"/>
        <v>8347</v>
      </c>
      <c r="AS62" s="60">
        <f t="shared" si="30"/>
        <v>8361</v>
      </c>
      <c r="AT62" s="60">
        <f t="shared" si="30"/>
        <v>8353</v>
      </c>
      <c r="AU62" s="60">
        <f t="shared" si="30"/>
        <v>8308</v>
      </c>
      <c r="AV62" s="60">
        <f t="shared" si="30"/>
        <v>8221</v>
      </c>
      <c r="AW62" s="60">
        <f t="shared" si="30"/>
        <v>8212</v>
      </c>
      <c r="AX62" s="60">
        <f t="shared" si="30"/>
        <v>8284</v>
      </c>
      <c r="AY62" s="60">
        <f t="shared" si="30"/>
        <v>8291</v>
      </c>
      <c r="AZ62" s="60">
        <f t="shared" si="30"/>
        <v>8276</v>
      </c>
      <c r="BA62" s="60">
        <f t="shared" si="30"/>
        <v>8289</v>
      </c>
      <c r="BB62" s="60">
        <f t="shared" si="30"/>
        <v>8350</v>
      </c>
      <c r="BC62" s="60">
        <f t="shared" si="30"/>
        <v>8392</v>
      </c>
      <c r="BD62" s="60">
        <f t="shared" si="30"/>
        <v>8437</v>
      </c>
      <c r="BE62" s="60">
        <f t="shared" si="30"/>
        <v>8451</v>
      </c>
      <c r="BF62" s="60">
        <f t="shared" si="30"/>
        <v>8442</v>
      </c>
      <c r="BG62" s="60">
        <f t="shared" si="30"/>
        <v>8394</v>
      </c>
      <c r="BH62" s="60">
        <f t="shared" si="30"/>
        <v>8306</v>
      </c>
      <c r="BI62" s="60">
        <f t="shared" si="30"/>
        <v>8295</v>
      </c>
      <c r="BJ62" s="60">
        <f t="shared" si="30"/>
        <v>8367</v>
      </c>
      <c r="BK62" s="60">
        <f t="shared" si="30"/>
        <v>8373</v>
      </c>
      <c r="BL62" s="60">
        <f t="shared" si="30"/>
        <v>8356</v>
      </c>
      <c r="BM62" s="60">
        <f t="shared" si="30"/>
        <v>8369</v>
      </c>
      <c r="BN62" s="60">
        <f t="shared" si="30"/>
        <v>8430</v>
      </c>
      <c r="BO62" s="60">
        <f t="shared" ref="BO62:BU62" si="31">SUM(BO41,BO43,BO45,BO47,BO49)</f>
        <v>8472</v>
      </c>
      <c r="BP62" s="60">
        <f t="shared" si="31"/>
        <v>8516</v>
      </c>
      <c r="BQ62" s="60">
        <f t="shared" si="31"/>
        <v>8531</v>
      </c>
      <c r="BR62" s="60">
        <f t="shared" si="31"/>
        <v>8520</v>
      </c>
      <c r="BS62" s="60">
        <f t="shared" si="31"/>
        <v>8472</v>
      </c>
      <c r="BT62" s="60">
        <f t="shared" si="31"/>
        <v>8382</v>
      </c>
      <c r="BU62" s="60">
        <f t="shared" si="31"/>
        <v>8372</v>
      </c>
      <c r="BV62" s="50"/>
    </row>
    <row r="63" spans="1:74" s="5" customFormat="1" ht="11.25" x14ac:dyDescent="0.2">
      <c r="A63" s="59" t="s">
        <v>143</v>
      </c>
      <c r="B63" s="60">
        <f>B48</f>
        <v>33</v>
      </c>
      <c r="C63" s="60">
        <f t="shared" ref="C63:BN63" si="32">C48</f>
        <v>33</v>
      </c>
      <c r="D63" s="60">
        <f t="shared" si="32"/>
        <v>33</v>
      </c>
      <c r="E63" s="60">
        <f t="shared" si="32"/>
        <v>33</v>
      </c>
      <c r="F63" s="60">
        <f t="shared" si="32"/>
        <v>33</v>
      </c>
      <c r="G63" s="60">
        <f t="shared" si="32"/>
        <v>33</v>
      </c>
      <c r="H63" s="60">
        <f t="shared" si="32"/>
        <v>32</v>
      </c>
      <c r="I63" s="60">
        <f t="shared" si="32"/>
        <v>32</v>
      </c>
      <c r="J63" s="60">
        <f t="shared" si="32"/>
        <v>32</v>
      </c>
      <c r="K63" s="60">
        <f t="shared" si="32"/>
        <v>32</v>
      </c>
      <c r="L63" s="60">
        <f t="shared" si="32"/>
        <v>32</v>
      </c>
      <c r="M63" s="60">
        <f t="shared" si="32"/>
        <v>32</v>
      </c>
      <c r="N63" s="60">
        <f t="shared" si="32"/>
        <v>32</v>
      </c>
      <c r="O63" s="60">
        <f t="shared" si="32"/>
        <v>32</v>
      </c>
      <c r="P63" s="60">
        <f t="shared" si="32"/>
        <v>33</v>
      </c>
      <c r="Q63" s="60">
        <f t="shared" si="32"/>
        <v>33</v>
      </c>
      <c r="R63" s="60">
        <f t="shared" si="32"/>
        <v>32</v>
      </c>
      <c r="S63" s="60">
        <f t="shared" si="32"/>
        <v>32</v>
      </c>
      <c r="T63" s="60">
        <f t="shared" si="32"/>
        <v>32</v>
      </c>
      <c r="U63" s="60">
        <f t="shared" si="32"/>
        <v>32</v>
      </c>
      <c r="V63" s="60">
        <f t="shared" si="32"/>
        <v>32</v>
      </c>
      <c r="W63" s="60">
        <f t="shared" si="32"/>
        <v>32</v>
      </c>
      <c r="X63" s="60">
        <f t="shared" si="32"/>
        <v>32</v>
      </c>
      <c r="Y63" s="60">
        <f t="shared" si="32"/>
        <v>32</v>
      </c>
      <c r="Z63" s="60">
        <f t="shared" si="32"/>
        <v>32</v>
      </c>
      <c r="AA63" s="60">
        <f t="shared" si="32"/>
        <v>32</v>
      </c>
      <c r="AB63" s="60">
        <f t="shared" si="32"/>
        <v>32</v>
      </c>
      <c r="AC63" s="60">
        <f t="shared" si="32"/>
        <v>32</v>
      </c>
      <c r="AD63" s="60">
        <f t="shared" si="32"/>
        <v>32</v>
      </c>
      <c r="AE63" s="60">
        <f t="shared" si="32"/>
        <v>32</v>
      </c>
      <c r="AF63" s="60">
        <f t="shared" si="32"/>
        <v>32</v>
      </c>
      <c r="AG63" s="60">
        <f t="shared" si="32"/>
        <v>32</v>
      </c>
      <c r="AH63" s="60">
        <f t="shared" si="32"/>
        <v>32</v>
      </c>
      <c r="AI63" s="60">
        <f t="shared" si="32"/>
        <v>32</v>
      </c>
      <c r="AJ63" s="60">
        <f t="shared" si="32"/>
        <v>32</v>
      </c>
      <c r="AK63" s="60">
        <f t="shared" si="32"/>
        <v>32</v>
      </c>
      <c r="AL63" s="60">
        <f t="shared" si="32"/>
        <v>32</v>
      </c>
      <c r="AM63" s="60">
        <f t="shared" si="32"/>
        <v>32</v>
      </c>
      <c r="AN63" s="60">
        <f t="shared" si="32"/>
        <v>32</v>
      </c>
      <c r="AO63" s="60">
        <f t="shared" si="32"/>
        <v>32</v>
      </c>
      <c r="AP63" s="60">
        <f t="shared" si="32"/>
        <v>32</v>
      </c>
      <c r="AQ63" s="60">
        <f t="shared" si="32"/>
        <v>32</v>
      </c>
      <c r="AR63" s="60">
        <f t="shared" si="32"/>
        <v>32</v>
      </c>
      <c r="AS63" s="60">
        <f t="shared" si="32"/>
        <v>32</v>
      </c>
      <c r="AT63" s="60">
        <f t="shared" si="32"/>
        <v>32</v>
      </c>
      <c r="AU63" s="60">
        <f t="shared" si="32"/>
        <v>32</v>
      </c>
      <c r="AV63" s="60">
        <f t="shared" si="32"/>
        <v>32</v>
      </c>
      <c r="AW63" s="60">
        <f t="shared" si="32"/>
        <v>32</v>
      </c>
      <c r="AX63" s="60">
        <f t="shared" si="32"/>
        <v>33</v>
      </c>
      <c r="AY63" s="60">
        <f t="shared" si="32"/>
        <v>33</v>
      </c>
      <c r="AZ63" s="60">
        <f t="shared" si="32"/>
        <v>33</v>
      </c>
      <c r="BA63" s="60">
        <f t="shared" si="32"/>
        <v>33</v>
      </c>
      <c r="BB63" s="60">
        <f t="shared" si="32"/>
        <v>33</v>
      </c>
      <c r="BC63" s="60">
        <f t="shared" si="32"/>
        <v>33</v>
      </c>
      <c r="BD63" s="60">
        <f t="shared" si="32"/>
        <v>33</v>
      </c>
      <c r="BE63" s="60">
        <f t="shared" si="32"/>
        <v>33</v>
      </c>
      <c r="BF63" s="60">
        <f t="shared" si="32"/>
        <v>33</v>
      </c>
      <c r="BG63" s="60">
        <f t="shared" si="32"/>
        <v>33</v>
      </c>
      <c r="BH63" s="60">
        <f t="shared" si="32"/>
        <v>33</v>
      </c>
      <c r="BI63" s="60">
        <f t="shared" si="32"/>
        <v>33</v>
      </c>
      <c r="BJ63" s="60">
        <f t="shared" si="32"/>
        <v>33</v>
      </c>
      <c r="BK63" s="60">
        <f t="shared" si="32"/>
        <v>33</v>
      </c>
      <c r="BL63" s="60">
        <f t="shared" si="32"/>
        <v>33</v>
      </c>
      <c r="BM63" s="60">
        <f t="shared" si="32"/>
        <v>33</v>
      </c>
      <c r="BN63" s="60">
        <f t="shared" si="32"/>
        <v>33</v>
      </c>
      <c r="BO63" s="60">
        <f t="shared" ref="BO63:BU63" si="33">BO48</f>
        <v>33</v>
      </c>
      <c r="BP63" s="60">
        <f t="shared" si="33"/>
        <v>33</v>
      </c>
      <c r="BQ63" s="60">
        <f t="shared" si="33"/>
        <v>33</v>
      </c>
      <c r="BR63" s="60">
        <f t="shared" si="33"/>
        <v>33</v>
      </c>
      <c r="BS63" s="60">
        <f t="shared" si="33"/>
        <v>33</v>
      </c>
      <c r="BT63" s="60">
        <f t="shared" si="33"/>
        <v>33</v>
      </c>
      <c r="BU63" s="60">
        <f t="shared" si="33"/>
        <v>33</v>
      </c>
      <c r="BV63" s="50"/>
    </row>
    <row r="64" spans="1:74" s="5" customFormat="1" ht="11.25" x14ac:dyDescent="0.2">
      <c r="A64" s="59" t="s">
        <v>144</v>
      </c>
      <c r="B64" s="60">
        <f>B52</f>
        <v>95</v>
      </c>
      <c r="C64" s="60">
        <f t="shared" ref="C64:BN64" si="34">C52</f>
        <v>95</v>
      </c>
      <c r="D64" s="60">
        <f t="shared" si="34"/>
        <v>95</v>
      </c>
      <c r="E64" s="60">
        <f t="shared" si="34"/>
        <v>95</v>
      </c>
      <c r="F64" s="60">
        <f t="shared" si="34"/>
        <v>95</v>
      </c>
      <c r="G64" s="60">
        <f t="shared" si="34"/>
        <v>95</v>
      </c>
      <c r="H64" s="60">
        <f t="shared" si="34"/>
        <v>95</v>
      </c>
      <c r="I64" s="60">
        <f t="shared" si="34"/>
        <v>95</v>
      </c>
      <c r="J64" s="60">
        <f t="shared" si="34"/>
        <v>95</v>
      </c>
      <c r="K64" s="60">
        <f t="shared" si="34"/>
        <v>95</v>
      </c>
      <c r="L64" s="60">
        <f t="shared" si="34"/>
        <v>95</v>
      </c>
      <c r="M64" s="60">
        <f t="shared" si="34"/>
        <v>95</v>
      </c>
      <c r="N64" s="60">
        <f t="shared" si="34"/>
        <v>95</v>
      </c>
      <c r="O64" s="60">
        <f t="shared" si="34"/>
        <v>95</v>
      </c>
      <c r="P64" s="60">
        <f t="shared" si="34"/>
        <v>95</v>
      </c>
      <c r="Q64" s="60">
        <f t="shared" si="34"/>
        <v>95</v>
      </c>
      <c r="R64" s="60">
        <f t="shared" si="34"/>
        <v>95</v>
      </c>
      <c r="S64" s="60">
        <f t="shared" si="34"/>
        <v>95</v>
      </c>
      <c r="T64" s="60">
        <f t="shared" si="34"/>
        <v>95</v>
      </c>
      <c r="U64" s="60">
        <f t="shared" si="34"/>
        <v>95</v>
      </c>
      <c r="V64" s="60">
        <f t="shared" si="34"/>
        <v>95</v>
      </c>
      <c r="W64" s="60">
        <f t="shared" si="34"/>
        <v>95</v>
      </c>
      <c r="X64" s="60">
        <f t="shared" si="34"/>
        <v>95</v>
      </c>
      <c r="Y64" s="60">
        <f t="shared" si="34"/>
        <v>95</v>
      </c>
      <c r="Z64" s="60">
        <f t="shared" si="34"/>
        <v>95</v>
      </c>
      <c r="AA64" s="60">
        <f t="shared" si="34"/>
        <v>95</v>
      </c>
      <c r="AB64" s="60">
        <f t="shared" si="34"/>
        <v>95</v>
      </c>
      <c r="AC64" s="60">
        <f t="shared" si="34"/>
        <v>95</v>
      </c>
      <c r="AD64" s="60">
        <f t="shared" si="34"/>
        <v>95</v>
      </c>
      <c r="AE64" s="60">
        <f t="shared" si="34"/>
        <v>95</v>
      </c>
      <c r="AF64" s="60">
        <f t="shared" si="34"/>
        <v>95</v>
      </c>
      <c r="AG64" s="60">
        <f t="shared" si="34"/>
        <v>95</v>
      </c>
      <c r="AH64" s="60">
        <f t="shared" si="34"/>
        <v>95</v>
      </c>
      <c r="AI64" s="60">
        <f t="shared" si="34"/>
        <v>95</v>
      </c>
      <c r="AJ64" s="60">
        <f t="shared" si="34"/>
        <v>95</v>
      </c>
      <c r="AK64" s="60">
        <f t="shared" si="34"/>
        <v>95</v>
      </c>
      <c r="AL64" s="60">
        <f t="shared" si="34"/>
        <v>95</v>
      </c>
      <c r="AM64" s="60">
        <f t="shared" si="34"/>
        <v>95</v>
      </c>
      <c r="AN64" s="60">
        <f t="shared" si="34"/>
        <v>95</v>
      </c>
      <c r="AO64" s="60">
        <f t="shared" si="34"/>
        <v>95</v>
      </c>
      <c r="AP64" s="60">
        <f t="shared" si="34"/>
        <v>95</v>
      </c>
      <c r="AQ64" s="60">
        <f t="shared" si="34"/>
        <v>95</v>
      </c>
      <c r="AR64" s="60">
        <f t="shared" si="34"/>
        <v>95</v>
      </c>
      <c r="AS64" s="60">
        <f t="shared" si="34"/>
        <v>95</v>
      </c>
      <c r="AT64" s="60">
        <f t="shared" si="34"/>
        <v>95</v>
      </c>
      <c r="AU64" s="60">
        <f t="shared" si="34"/>
        <v>95</v>
      </c>
      <c r="AV64" s="60">
        <f t="shared" si="34"/>
        <v>95</v>
      </c>
      <c r="AW64" s="60">
        <f t="shared" si="34"/>
        <v>95</v>
      </c>
      <c r="AX64" s="60">
        <f t="shared" si="34"/>
        <v>95</v>
      </c>
      <c r="AY64" s="60">
        <f t="shared" si="34"/>
        <v>95</v>
      </c>
      <c r="AZ64" s="60">
        <f t="shared" si="34"/>
        <v>95</v>
      </c>
      <c r="BA64" s="60">
        <f t="shared" si="34"/>
        <v>95</v>
      </c>
      <c r="BB64" s="60">
        <f t="shared" si="34"/>
        <v>95</v>
      </c>
      <c r="BC64" s="60">
        <f t="shared" si="34"/>
        <v>95</v>
      </c>
      <c r="BD64" s="60">
        <f t="shared" si="34"/>
        <v>95</v>
      </c>
      <c r="BE64" s="60">
        <f t="shared" si="34"/>
        <v>95</v>
      </c>
      <c r="BF64" s="60">
        <f t="shared" si="34"/>
        <v>95</v>
      </c>
      <c r="BG64" s="60">
        <f t="shared" si="34"/>
        <v>95</v>
      </c>
      <c r="BH64" s="60">
        <f t="shared" si="34"/>
        <v>95</v>
      </c>
      <c r="BI64" s="60">
        <f t="shared" si="34"/>
        <v>95</v>
      </c>
      <c r="BJ64" s="60">
        <f t="shared" si="34"/>
        <v>95</v>
      </c>
      <c r="BK64" s="60">
        <f t="shared" si="34"/>
        <v>95</v>
      </c>
      <c r="BL64" s="60">
        <f t="shared" si="34"/>
        <v>95</v>
      </c>
      <c r="BM64" s="60">
        <f t="shared" si="34"/>
        <v>95</v>
      </c>
      <c r="BN64" s="60">
        <f t="shared" si="34"/>
        <v>95</v>
      </c>
      <c r="BO64" s="60">
        <f t="shared" ref="BO64:BU64" si="35">BO52</f>
        <v>95</v>
      </c>
      <c r="BP64" s="60">
        <f t="shared" si="35"/>
        <v>95</v>
      </c>
      <c r="BQ64" s="60">
        <f t="shared" si="35"/>
        <v>95</v>
      </c>
      <c r="BR64" s="60">
        <f t="shared" si="35"/>
        <v>95</v>
      </c>
      <c r="BS64" s="60">
        <f t="shared" si="35"/>
        <v>95</v>
      </c>
      <c r="BT64" s="60">
        <f t="shared" si="35"/>
        <v>95</v>
      </c>
      <c r="BU64" s="60">
        <f t="shared" si="35"/>
        <v>95</v>
      </c>
      <c r="BV64" s="50"/>
    </row>
    <row r="65" spans="1:74" s="5" customFormat="1" ht="11.25" x14ac:dyDescent="0.2">
      <c r="A65" s="59" t="s">
        <v>145</v>
      </c>
      <c r="B65" s="60">
        <f>B50+B51</f>
        <v>25</v>
      </c>
      <c r="C65" s="60">
        <f t="shared" ref="C65:BN65" si="36">C50+C51</f>
        <v>25</v>
      </c>
      <c r="D65" s="60">
        <f t="shared" si="36"/>
        <v>25</v>
      </c>
      <c r="E65" s="60">
        <f t="shared" si="36"/>
        <v>25</v>
      </c>
      <c r="F65" s="60">
        <f t="shared" si="36"/>
        <v>25</v>
      </c>
      <c r="G65" s="60">
        <f t="shared" si="36"/>
        <v>25</v>
      </c>
      <c r="H65" s="60">
        <f t="shared" si="36"/>
        <v>25</v>
      </c>
      <c r="I65" s="60">
        <f t="shared" si="36"/>
        <v>25</v>
      </c>
      <c r="J65" s="60">
        <f t="shared" si="36"/>
        <v>25</v>
      </c>
      <c r="K65" s="60">
        <f t="shared" si="36"/>
        <v>25</v>
      </c>
      <c r="L65" s="60">
        <f t="shared" si="36"/>
        <v>25</v>
      </c>
      <c r="M65" s="60">
        <f t="shared" si="36"/>
        <v>25</v>
      </c>
      <c r="N65" s="60">
        <f t="shared" si="36"/>
        <v>25</v>
      </c>
      <c r="O65" s="60">
        <f t="shared" si="36"/>
        <v>25</v>
      </c>
      <c r="P65" s="60">
        <f t="shared" si="36"/>
        <v>25</v>
      </c>
      <c r="Q65" s="60">
        <f t="shared" si="36"/>
        <v>25</v>
      </c>
      <c r="R65" s="60">
        <f t="shared" si="36"/>
        <v>25</v>
      </c>
      <c r="S65" s="60">
        <f t="shared" si="36"/>
        <v>25</v>
      </c>
      <c r="T65" s="60">
        <f t="shared" si="36"/>
        <v>25</v>
      </c>
      <c r="U65" s="60">
        <f t="shared" si="36"/>
        <v>25</v>
      </c>
      <c r="V65" s="60">
        <f t="shared" si="36"/>
        <v>25</v>
      </c>
      <c r="W65" s="60">
        <f t="shared" si="36"/>
        <v>25</v>
      </c>
      <c r="X65" s="60">
        <f t="shared" si="36"/>
        <v>25</v>
      </c>
      <c r="Y65" s="60">
        <f t="shared" si="36"/>
        <v>25</v>
      </c>
      <c r="Z65" s="60">
        <f t="shared" si="36"/>
        <v>25</v>
      </c>
      <c r="AA65" s="60">
        <f t="shared" si="36"/>
        <v>25</v>
      </c>
      <c r="AB65" s="60">
        <f t="shared" si="36"/>
        <v>25</v>
      </c>
      <c r="AC65" s="60">
        <f t="shared" si="36"/>
        <v>25</v>
      </c>
      <c r="AD65" s="60">
        <f t="shared" si="36"/>
        <v>25</v>
      </c>
      <c r="AE65" s="60">
        <f t="shared" si="36"/>
        <v>25</v>
      </c>
      <c r="AF65" s="60">
        <f t="shared" si="36"/>
        <v>25</v>
      </c>
      <c r="AG65" s="60">
        <f t="shared" si="36"/>
        <v>25</v>
      </c>
      <c r="AH65" s="60">
        <f t="shared" si="36"/>
        <v>25</v>
      </c>
      <c r="AI65" s="60">
        <f t="shared" si="36"/>
        <v>25</v>
      </c>
      <c r="AJ65" s="60">
        <f t="shared" si="36"/>
        <v>25</v>
      </c>
      <c r="AK65" s="60">
        <f t="shared" si="36"/>
        <v>25</v>
      </c>
      <c r="AL65" s="60">
        <f t="shared" si="36"/>
        <v>25</v>
      </c>
      <c r="AM65" s="60">
        <f t="shared" si="36"/>
        <v>25</v>
      </c>
      <c r="AN65" s="60">
        <f t="shared" si="36"/>
        <v>25</v>
      </c>
      <c r="AO65" s="60">
        <f t="shared" si="36"/>
        <v>25</v>
      </c>
      <c r="AP65" s="60">
        <f t="shared" si="36"/>
        <v>25</v>
      </c>
      <c r="AQ65" s="60">
        <f t="shared" si="36"/>
        <v>25</v>
      </c>
      <c r="AR65" s="60">
        <f t="shared" si="36"/>
        <v>25</v>
      </c>
      <c r="AS65" s="60">
        <f t="shared" si="36"/>
        <v>25</v>
      </c>
      <c r="AT65" s="60">
        <f t="shared" si="36"/>
        <v>25</v>
      </c>
      <c r="AU65" s="60">
        <f t="shared" si="36"/>
        <v>25</v>
      </c>
      <c r="AV65" s="60">
        <f t="shared" si="36"/>
        <v>25</v>
      </c>
      <c r="AW65" s="60">
        <f t="shared" si="36"/>
        <v>25</v>
      </c>
      <c r="AX65" s="60">
        <f t="shared" si="36"/>
        <v>25</v>
      </c>
      <c r="AY65" s="60">
        <f t="shared" si="36"/>
        <v>25</v>
      </c>
      <c r="AZ65" s="60">
        <f t="shared" si="36"/>
        <v>25</v>
      </c>
      <c r="BA65" s="60">
        <f t="shared" si="36"/>
        <v>25</v>
      </c>
      <c r="BB65" s="60">
        <f t="shared" si="36"/>
        <v>25</v>
      </c>
      <c r="BC65" s="60">
        <f t="shared" si="36"/>
        <v>25</v>
      </c>
      <c r="BD65" s="60">
        <f t="shared" si="36"/>
        <v>25</v>
      </c>
      <c r="BE65" s="60">
        <f t="shared" si="36"/>
        <v>25</v>
      </c>
      <c r="BF65" s="60">
        <f t="shared" si="36"/>
        <v>25</v>
      </c>
      <c r="BG65" s="60">
        <f t="shared" si="36"/>
        <v>25</v>
      </c>
      <c r="BH65" s="60">
        <f t="shared" si="36"/>
        <v>25</v>
      </c>
      <c r="BI65" s="60">
        <f t="shared" si="36"/>
        <v>25</v>
      </c>
      <c r="BJ65" s="60">
        <f t="shared" si="36"/>
        <v>25</v>
      </c>
      <c r="BK65" s="60">
        <f t="shared" si="36"/>
        <v>25</v>
      </c>
      <c r="BL65" s="60">
        <f t="shared" si="36"/>
        <v>25</v>
      </c>
      <c r="BM65" s="60">
        <f t="shared" si="36"/>
        <v>25</v>
      </c>
      <c r="BN65" s="60">
        <f t="shared" si="36"/>
        <v>25</v>
      </c>
      <c r="BO65" s="60">
        <f t="shared" ref="BO65:BU65" si="37">BO50+BO51</f>
        <v>25</v>
      </c>
      <c r="BP65" s="60">
        <f t="shared" si="37"/>
        <v>25</v>
      </c>
      <c r="BQ65" s="60">
        <f t="shared" si="37"/>
        <v>25</v>
      </c>
      <c r="BR65" s="60">
        <f t="shared" si="37"/>
        <v>25</v>
      </c>
      <c r="BS65" s="60">
        <f t="shared" si="37"/>
        <v>25</v>
      </c>
      <c r="BT65" s="60">
        <f t="shared" si="37"/>
        <v>25</v>
      </c>
      <c r="BU65" s="60">
        <f t="shared" si="37"/>
        <v>25</v>
      </c>
      <c r="BV65" s="50"/>
    </row>
    <row r="66" spans="1:74" s="50" customFormat="1" ht="11.25" x14ac:dyDescent="0.2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</row>
    <row r="67" spans="1:74" s="5" customFormat="1" ht="11.25" x14ac:dyDescent="0.2">
      <c r="BV67" s="50"/>
    </row>
    <row r="68" spans="1:74" s="5" customFormat="1" ht="11.25" x14ac:dyDescent="0.2">
      <c r="A68" s="7" t="s">
        <v>150</v>
      </c>
      <c r="B68" s="7"/>
      <c r="N68" s="65"/>
      <c r="BV68" s="50"/>
    </row>
  </sheetData>
  <mergeCells count="2">
    <mergeCell ref="A1:M1"/>
    <mergeCell ref="A2:M2"/>
  </mergeCells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2020-12-01T08:00:00+00:00</OpenedDate>
    <SignificantOrder xmlns="dc463f71-b30c-4ab2-9473-d307f9d35888">false</SignificantOrder>
    <Date1 xmlns="dc463f71-b30c-4ab2-9473-d307f9d35888">2020-12-01T08:00:00+00:00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200965</DocketNumber>
    <DelegatedOrder xmlns="dc463f71-b30c-4ab2-9473-d307f9d35888">false</DelegatedOrder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2B707F43926444B8575751B9E246A7" ma:contentTypeVersion="44" ma:contentTypeDescription="" ma:contentTypeScope="" ma:versionID="446a56b8caf88e84523f6314196d765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9DFD21-18CD-4B33-80FC-2D3C612FC52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176615F-2A22-45DD-84B7-1E9BF2A4321C}"/>
</file>

<file path=customXml/itemProps3.xml><?xml version="1.0" encoding="utf-8"?>
<ds:datastoreItem xmlns:ds="http://schemas.openxmlformats.org/officeDocument/2006/customXml" ds:itemID="{07CE75AB-4472-415D-B5D6-859C4818FFAA}"/>
</file>

<file path=customXml/itemProps4.xml><?xml version="1.0" encoding="utf-8"?>
<ds:datastoreItem xmlns:ds="http://schemas.openxmlformats.org/officeDocument/2006/customXml" ds:itemID="{817CFFB2-4A0B-40AC-BCF8-66E32DF22115}"/>
</file>

<file path=customXml/itemProps5.xml><?xml version="1.0" encoding="utf-8"?>
<ds:datastoreItem xmlns:ds="http://schemas.openxmlformats.org/officeDocument/2006/customXml" ds:itemID="{B678CA6B-9E27-4B86-A446-7233C93447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Summary of Rates</vt:lpstr>
      <vt:lpstr>Rate Impacts Sch 142 Amort</vt:lpstr>
      <vt:lpstr>Typical Residential Notice</vt:lpstr>
      <vt:lpstr>Revenue Over Collection Summary</vt:lpstr>
      <vt:lpstr>Work Papers--&gt;</vt:lpstr>
      <vt:lpstr>BW Actual Bills (October 2020)</vt:lpstr>
      <vt:lpstr>Change in Unbilled(October2020)</vt:lpstr>
      <vt:lpstr>F2020 Electric Forecast</vt:lpstr>
      <vt:lpstr>'Rate Impacts Sch 142 Amort'!Print_Area</vt:lpstr>
      <vt:lpstr>'Typical Residential Notice'!Print_Area</vt:lpstr>
      <vt:lpstr>'Rate Impacts Sch 142 Amort'!Print_Titles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Puget Sound Energy</cp:lastModifiedBy>
  <cp:lastPrinted>2020-07-09T21:54:41Z</cp:lastPrinted>
  <dcterms:created xsi:type="dcterms:W3CDTF">2018-03-16T22:40:08Z</dcterms:created>
  <dcterms:modified xsi:type="dcterms:W3CDTF">2020-11-17T17:51:11Z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0x0101006E56B4D1795A2E4DB2F0B01679ED314A00CE2B707F43926444B8575751B9E246A7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