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Wenatchee\Commodity Rebate\2020\"/>
    </mc:Choice>
  </mc:AlternateContent>
  <xr:revisionPtr revIDLastSave="0" documentId="13_ncr:1_{103C0DAA-B604-48B1-8B16-D724E2DB35FD}" xr6:coauthVersionLast="45" xr6:coauthVersionMax="45" xr10:uidLastSave="{00000000-0000-0000-0000-000000000000}"/>
  <bookViews>
    <workbookView xWindow="3570" yWindow="4050" windowWidth="21600" windowHeight="11250" xr2:uid="{C067B418-F733-4553-9C1E-04EBF145E0B6}"/>
  </bookViews>
  <sheets>
    <sheet name="Rebate Calculation" sheetId="7" r:id="rId1"/>
    <sheet name="Recycling Revenue" sheetId="5" r:id="rId2"/>
    <sheet name="Customers" sheetId="6" r:id="rId3"/>
    <sheet name="Rebate Data" sheetId="4" r:id="rId4"/>
    <sheet name="SMaRT Tons Sold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6" i="4" l="1"/>
  <c r="V16" i="4" l="1"/>
  <c r="T16" i="4" l="1"/>
  <c r="T23" i="4" l="1"/>
  <c r="V23" i="4" s="1"/>
  <c r="X23" i="4" s="1"/>
  <c r="T30" i="4"/>
  <c r="T31" i="4"/>
  <c r="V31" i="4" s="1"/>
  <c r="X31" i="4" s="1"/>
  <c r="V15" i="4"/>
  <c r="X15" i="4" s="1"/>
  <c r="V7" i="4"/>
  <c r="X7" i="4" s="1"/>
  <c r="R16" i="4"/>
  <c r="P16" i="4" l="1"/>
  <c r="N16" i="4" l="1"/>
  <c r="L16" i="4" l="1"/>
  <c r="J16" i="4" l="1"/>
  <c r="H16" i="4" l="1"/>
  <c r="C11" i="7" l="1"/>
  <c r="F16" i="4" l="1"/>
  <c r="D16" i="4" l="1"/>
  <c r="C10" i="7" l="1"/>
  <c r="E10" i="7" s="1"/>
  <c r="B16" i="4"/>
  <c r="C12" i="7" l="1"/>
  <c r="E18" i="7" s="1"/>
  <c r="E24" i="7" l="1"/>
  <c r="B53" i="4"/>
  <c r="D53" i="4"/>
  <c r="F53" i="4"/>
  <c r="H53" i="4"/>
  <c r="J53" i="4"/>
  <c r="L53" i="4"/>
  <c r="N53" i="4"/>
  <c r="P53" i="4"/>
  <c r="R53" i="4"/>
  <c r="T53" i="4"/>
  <c r="V53" i="4"/>
  <c r="X53" i="4"/>
  <c r="X45" i="4" l="1"/>
  <c r="X44" i="4"/>
  <c r="X43" i="4"/>
  <c r="X42" i="4"/>
  <c r="X41" i="4"/>
  <c r="X40" i="4"/>
  <c r="X39" i="4"/>
  <c r="X38" i="4"/>
  <c r="X37" i="4"/>
  <c r="X36" i="4"/>
  <c r="X46" i="4" l="1"/>
  <c r="C19" i="2" s="1"/>
  <c r="X52" i="4"/>
  <c r="X54" i="4" s="1"/>
  <c r="V45" i="4"/>
  <c r="V44" i="4"/>
  <c r="V43" i="4"/>
  <c r="V42" i="4"/>
  <c r="V41" i="4"/>
  <c r="V40" i="4"/>
  <c r="V39" i="4"/>
  <c r="V38" i="4"/>
  <c r="V37" i="4"/>
  <c r="V36" i="4"/>
  <c r="V52" i="4" l="1"/>
  <c r="V54" i="4" s="1"/>
  <c r="V46" i="4"/>
  <c r="C18" i="2" l="1"/>
  <c r="K10" i="7"/>
  <c r="C17" i="5" l="1"/>
  <c r="T45" i="4" l="1"/>
  <c r="T44" i="4"/>
  <c r="T43" i="4"/>
  <c r="T42" i="4"/>
  <c r="T41" i="4"/>
  <c r="T40" i="4"/>
  <c r="T39" i="4"/>
  <c r="T38" i="4"/>
  <c r="T37" i="4"/>
  <c r="T36" i="4"/>
  <c r="T46" i="4" l="1"/>
  <c r="C17" i="2" s="1"/>
  <c r="T52" i="4"/>
  <c r="T54" i="4" s="1"/>
  <c r="D45" i="4"/>
  <c r="D44" i="4"/>
  <c r="D43" i="4"/>
  <c r="D42" i="4"/>
  <c r="D41" i="4"/>
  <c r="D40" i="4"/>
  <c r="D39" i="4"/>
  <c r="D38" i="4"/>
  <c r="D37" i="4"/>
  <c r="D36" i="4"/>
  <c r="B45" i="4"/>
  <c r="B44" i="4"/>
  <c r="B43" i="4"/>
  <c r="B42" i="4"/>
  <c r="B41" i="4"/>
  <c r="B40" i="4"/>
  <c r="B39" i="4"/>
  <c r="B38" i="4"/>
  <c r="B37" i="4"/>
  <c r="B36" i="4"/>
  <c r="D52" i="4" l="1"/>
  <c r="D54" i="4" s="1"/>
  <c r="B52" i="4"/>
  <c r="B46" i="4"/>
  <c r="D46" i="4"/>
  <c r="C9" i="2" l="1"/>
  <c r="C8" i="2"/>
  <c r="B54" i="4"/>
  <c r="D17" i="4"/>
  <c r="B17" i="4"/>
  <c r="C11" i="5"/>
  <c r="E17" i="4" l="1"/>
  <c r="D48" i="4"/>
  <c r="C17" i="4"/>
  <c r="B48" i="4"/>
  <c r="E7" i="4"/>
  <c r="E8" i="4"/>
  <c r="E11" i="4"/>
  <c r="E12" i="4"/>
  <c r="E13" i="4"/>
  <c r="E16" i="4"/>
  <c r="F9" i="5" s="1"/>
  <c r="G9" i="5" s="1"/>
  <c r="H9" i="5" s="1"/>
  <c r="C9" i="4"/>
  <c r="C11" i="4"/>
  <c r="C15" i="4"/>
  <c r="C16" i="4"/>
  <c r="F8" i="5" s="1"/>
  <c r="G8" i="5" s="1"/>
  <c r="H8" i="5" s="1"/>
  <c r="E9" i="4"/>
  <c r="E15" i="4"/>
  <c r="C7" i="4"/>
  <c r="C12" i="4"/>
  <c r="C8" i="4"/>
  <c r="C13" i="4"/>
  <c r="E6" i="4"/>
  <c r="E10" i="4"/>
  <c r="E14" i="4"/>
  <c r="C6" i="4"/>
  <c r="C10" i="4"/>
  <c r="C14" i="4"/>
  <c r="C16" i="5"/>
  <c r="B9" i="2" l="1"/>
  <c r="D50" i="4"/>
  <c r="B8" i="2"/>
  <c r="B50" i="4"/>
  <c r="R45" i="4"/>
  <c r="R44" i="4"/>
  <c r="R43" i="4"/>
  <c r="R42" i="4"/>
  <c r="R41" i="4"/>
  <c r="R40" i="4"/>
  <c r="R39" i="4"/>
  <c r="R38" i="4"/>
  <c r="R37" i="4"/>
  <c r="R36" i="4"/>
  <c r="X17" i="4"/>
  <c r="V17" i="4"/>
  <c r="T17" i="4"/>
  <c r="R17" i="4"/>
  <c r="S15" i="4" s="1"/>
  <c r="R52" i="4" l="1"/>
  <c r="R54" i="4" s="1"/>
  <c r="Y17" i="4"/>
  <c r="X48" i="4"/>
  <c r="W17" i="4"/>
  <c r="V48" i="4"/>
  <c r="U17" i="4"/>
  <c r="T48" i="4"/>
  <c r="Y10" i="4"/>
  <c r="Y8" i="4"/>
  <c r="Y6" i="4"/>
  <c r="Y12" i="4"/>
  <c r="Y7" i="4"/>
  <c r="Y13" i="4"/>
  <c r="Y9" i="4"/>
  <c r="Y15" i="4"/>
  <c r="Y11" i="4"/>
  <c r="W13" i="4"/>
  <c r="W9" i="4"/>
  <c r="W6" i="4"/>
  <c r="W7" i="4"/>
  <c r="W11" i="4"/>
  <c r="W16" i="4"/>
  <c r="F18" i="5" s="1"/>
  <c r="G18" i="5" s="1"/>
  <c r="H18" i="5" s="1"/>
  <c r="W8" i="4"/>
  <c r="W12" i="4"/>
  <c r="W10" i="4"/>
  <c r="W15" i="4"/>
  <c r="U6" i="4"/>
  <c r="U14" i="4"/>
  <c r="U10" i="4"/>
  <c r="U11" i="4"/>
  <c r="U12" i="4"/>
  <c r="U16" i="4"/>
  <c r="F17" i="5" s="1"/>
  <c r="G17" i="5" s="1"/>
  <c r="H17" i="5" s="1"/>
  <c r="U7" i="4"/>
  <c r="U15" i="4"/>
  <c r="U8" i="4"/>
  <c r="U9" i="4"/>
  <c r="U13" i="4"/>
  <c r="S7" i="4"/>
  <c r="S11" i="4"/>
  <c r="S8" i="4"/>
  <c r="S12" i="4"/>
  <c r="S9" i="4"/>
  <c r="S13" i="4"/>
  <c r="S6" i="4"/>
  <c r="S10" i="4"/>
  <c r="S14" i="4"/>
  <c r="S17" i="4"/>
  <c r="R48" i="4"/>
  <c r="B16" i="2" s="1"/>
  <c r="R46" i="4"/>
  <c r="Y14" i="4"/>
  <c r="Y16" i="4"/>
  <c r="F19" i="5" s="1"/>
  <c r="G19" i="5" s="1"/>
  <c r="H19" i="5" s="1"/>
  <c r="W14" i="4"/>
  <c r="S16" i="4"/>
  <c r="F16" i="5" s="1"/>
  <c r="G16" i="5" s="1"/>
  <c r="B19" i="2" l="1"/>
  <c r="X50" i="4"/>
  <c r="I19" i="5" s="1"/>
  <c r="J19" i="5" s="1"/>
  <c r="B18" i="2"/>
  <c r="D18" i="2" s="1"/>
  <c r="I18" i="5" s="1"/>
  <c r="J18" i="5" s="1"/>
  <c r="V50" i="4"/>
  <c r="B17" i="2"/>
  <c r="D17" i="2" s="1"/>
  <c r="I17" i="5" s="1"/>
  <c r="J17" i="5" s="1"/>
  <c r="T50" i="4"/>
  <c r="R50" i="4"/>
  <c r="C16" i="2"/>
  <c r="D16" i="2" s="1"/>
  <c r="I16" i="5" s="1"/>
  <c r="H16" i="5"/>
  <c r="D9" i="2"/>
  <c r="I9" i="5" s="1"/>
  <c r="J9" i="5" s="1"/>
  <c r="P45" i="4"/>
  <c r="P44" i="4"/>
  <c r="P43" i="4"/>
  <c r="P42" i="4"/>
  <c r="P41" i="4"/>
  <c r="P40" i="4"/>
  <c r="P39" i="4"/>
  <c r="P38" i="4"/>
  <c r="P37" i="4"/>
  <c r="P36" i="4"/>
  <c r="P17" i="4"/>
  <c r="P48" i="4" s="1"/>
  <c r="B15" i="2" s="1"/>
  <c r="D19" i="6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F17" i="6" s="1"/>
  <c r="E18" i="6"/>
  <c r="F18" i="6" s="1"/>
  <c r="E7" i="6"/>
  <c r="F7" i="6" s="1"/>
  <c r="C19" i="6"/>
  <c r="C12" i="5"/>
  <c r="C15" i="5"/>
  <c r="P52" i="4" l="1"/>
  <c r="P54" i="4" s="1"/>
  <c r="Q16" i="4"/>
  <c r="F15" i="5" s="1"/>
  <c r="G15" i="5" s="1"/>
  <c r="H15" i="5" s="1"/>
  <c r="Q17" i="4"/>
  <c r="J16" i="5"/>
  <c r="D8" i="2"/>
  <c r="I8" i="5" s="1"/>
  <c r="J8" i="5" s="1"/>
  <c r="E20" i="5"/>
  <c r="C14" i="5"/>
  <c r="C13" i="5"/>
  <c r="C9" i="5"/>
  <c r="E19" i="6"/>
  <c r="F19" i="6" s="1"/>
  <c r="P46" i="4"/>
  <c r="Q6" i="4"/>
  <c r="Q9" i="4"/>
  <c r="Q11" i="4"/>
  <c r="Q13" i="4"/>
  <c r="Q7" i="4"/>
  <c r="Q14" i="4"/>
  <c r="Q10" i="4"/>
  <c r="Q15" i="4"/>
  <c r="Q8" i="4"/>
  <c r="Q12" i="4"/>
  <c r="C8" i="5"/>
  <c r="C10" i="5"/>
  <c r="K11" i="7" l="1"/>
  <c r="K12" i="7" s="1"/>
  <c r="K16" i="7" s="1"/>
  <c r="I12" i="7"/>
  <c r="P50" i="4"/>
  <c r="C15" i="2"/>
  <c r="D15" i="2" s="1"/>
  <c r="I15" i="5" s="1"/>
  <c r="J15" i="5" s="1"/>
  <c r="N45" i="4"/>
  <c r="N44" i="4"/>
  <c r="N43" i="4"/>
  <c r="N42" i="4"/>
  <c r="N41" i="4"/>
  <c r="N40" i="4"/>
  <c r="N39" i="4"/>
  <c r="N38" i="4"/>
  <c r="N37" i="4"/>
  <c r="N36" i="4"/>
  <c r="L45" i="4"/>
  <c r="L44" i="4"/>
  <c r="L43" i="4"/>
  <c r="L42" i="4"/>
  <c r="L41" i="4"/>
  <c r="L40" i="4"/>
  <c r="L39" i="4"/>
  <c r="L38" i="4"/>
  <c r="L37" i="4"/>
  <c r="L36" i="4"/>
  <c r="J45" i="4"/>
  <c r="J44" i="4"/>
  <c r="J43" i="4"/>
  <c r="J42" i="4"/>
  <c r="J41" i="4"/>
  <c r="J40" i="4"/>
  <c r="J39" i="4"/>
  <c r="J38" i="4"/>
  <c r="J37" i="4"/>
  <c r="J36" i="4"/>
  <c r="H45" i="4"/>
  <c r="H44" i="4"/>
  <c r="H43" i="4"/>
  <c r="H42" i="4"/>
  <c r="H41" i="4"/>
  <c r="H40" i="4"/>
  <c r="H39" i="4"/>
  <c r="H38" i="4"/>
  <c r="H37" i="4"/>
  <c r="H36" i="4"/>
  <c r="F45" i="4"/>
  <c r="F37" i="4"/>
  <c r="F38" i="4"/>
  <c r="F39" i="4"/>
  <c r="F40" i="4"/>
  <c r="F41" i="4"/>
  <c r="F42" i="4"/>
  <c r="F43" i="4"/>
  <c r="F44" i="4"/>
  <c r="F36" i="4"/>
  <c r="N17" i="4"/>
  <c r="O15" i="4" s="1"/>
  <c r="L17" i="4"/>
  <c r="M15" i="4" s="1"/>
  <c r="J17" i="4"/>
  <c r="K15" i="4" s="1"/>
  <c r="H17" i="4"/>
  <c r="H48" i="4" s="1"/>
  <c r="B11" i="2" s="1"/>
  <c r="F17" i="4"/>
  <c r="F48" i="4" s="1"/>
  <c r="B10" i="2" s="1"/>
  <c r="L52" i="4" l="1"/>
  <c r="L54" i="4" s="1"/>
  <c r="H52" i="4"/>
  <c r="H54" i="4" s="1"/>
  <c r="N52" i="4"/>
  <c r="N54" i="4" s="1"/>
  <c r="J52" i="4"/>
  <c r="J54" i="4" s="1"/>
  <c r="G9" i="4"/>
  <c r="F52" i="4"/>
  <c r="F46" i="4"/>
  <c r="C10" i="2" s="1"/>
  <c r="G14" i="4"/>
  <c r="K18" i="7"/>
  <c r="L20" i="7" s="1"/>
  <c r="K24" i="7"/>
  <c r="L25" i="7" s="1"/>
  <c r="D11" i="7" s="1"/>
  <c r="E11" i="7" s="1"/>
  <c r="E12" i="7" s="1"/>
  <c r="L46" i="4"/>
  <c r="I10" i="4"/>
  <c r="N46" i="4"/>
  <c r="H46" i="4"/>
  <c r="O7" i="4"/>
  <c r="J46" i="4"/>
  <c r="I7" i="4"/>
  <c r="M12" i="4"/>
  <c r="O10" i="4"/>
  <c r="M7" i="4"/>
  <c r="O12" i="4"/>
  <c r="G17" i="4"/>
  <c r="I12" i="4"/>
  <c r="M10" i="4"/>
  <c r="N48" i="4"/>
  <c r="B14" i="2" s="1"/>
  <c r="K10" i="4"/>
  <c r="G16" i="4"/>
  <c r="F10" i="5" s="1"/>
  <c r="G10" i="5" s="1"/>
  <c r="G13" i="4"/>
  <c r="G8" i="4"/>
  <c r="I8" i="4"/>
  <c r="I13" i="4"/>
  <c r="I16" i="4"/>
  <c r="F11" i="5" s="1"/>
  <c r="G11" i="5" s="1"/>
  <c r="H11" i="5" s="1"/>
  <c r="K8" i="4"/>
  <c r="K13" i="4"/>
  <c r="K16" i="4"/>
  <c r="F12" i="5" s="1"/>
  <c r="G12" i="5" s="1"/>
  <c r="H12" i="5" s="1"/>
  <c r="M8" i="4"/>
  <c r="M13" i="4"/>
  <c r="M16" i="4"/>
  <c r="F13" i="5" s="1"/>
  <c r="G13" i="5" s="1"/>
  <c r="H13" i="5" s="1"/>
  <c r="O8" i="4"/>
  <c r="O13" i="4"/>
  <c r="O16" i="4"/>
  <c r="F14" i="5" s="1"/>
  <c r="G14" i="5" s="1"/>
  <c r="H14" i="5" s="1"/>
  <c r="L48" i="4"/>
  <c r="B13" i="2" s="1"/>
  <c r="K7" i="4"/>
  <c r="G10" i="4"/>
  <c r="G12" i="4"/>
  <c r="G7" i="4"/>
  <c r="I9" i="4"/>
  <c r="I14" i="4"/>
  <c r="I17" i="4"/>
  <c r="K9" i="4"/>
  <c r="K14" i="4"/>
  <c r="K17" i="4"/>
  <c r="M9" i="4"/>
  <c r="M14" i="4"/>
  <c r="M17" i="4"/>
  <c r="O9" i="4"/>
  <c r="O14" i="4"/>
  <c r="O17" i="4"/>
  <c r="J48" i="4"/>
  <c r="B12" i="2" s="1"/>
  <c r="K12" i="4"/>
  <c r="G6" i="4"/>
  <c r="G15" i="4"/>
  <c r="G11" i="4"/>
  <c r="I6" i="4"/>
  <c r="I11" i="4"/>
  <c r="I15" i="4"/>
  <c r="K6" i="4"/>
  <c r="K11" i="4"/>
  <c r="M6" i="4"/>
  <c r="M11" i="4"/>
  <c r="O6" i="4"/>
  <c r="O11" i="4"/>
  <c r="H10" i="5" l="1"/>
  <c r="H20" i="5" s="1"/>
  <c r="G20" i="5"/>
  <c r="F20" i="5" s="1"/>
  <c r="B20" i="2"/>
  <c r="D10" i="2"/>
  <c r="I10" i="5" s="1"/>
  <c r="J10" i="5" s="1"/>
  <c r="F50" i="4"/>
  <c r="F54" i="4"/>
  <c r="L27" i="7"/>
  <c r="H50" i="4"/>
  <c r="C11" i="2"/>
  <c r="D11" i="2" s="1"/>
  <c r="I11" i="5" s="1"/>
  <c r="J11" i="5" s="1"/>
  <c r="L50" i="4"/>
  <c r="C13" i="2"/>
  <c r="D13" i="2" s="1"/>
  <c r="I13" i="5" s="1"/>
  <c r="J13" i="5" s="1"/>
  <c r="N50" i="4"/>
  <c r="C14" i="2"/>
  <c r="D14" i="2" s="1"/>
  <c r="I14" i="5" s="1"/>
  <c r="J14" i="5" s="1"/>
  <c r="J50" i="4"/>
  <c r="C12" i="2"/>
  <c r="D12" i="2" s="1"/>
  <c r="I12" i="5" s="1"/>
  <c r="J12" i="5" s="1"/>
  <c r="D19" i="2"/>
  <c r="J20" i="5" l="1"/>
  <c r="C20" i="2"/>
  <c r="D20" i="2" s="1"/>
  <c r="I20" i="5" l="1"/>
  <c r="E14" i="7"/>
  <c r="E16" i="7" l="1"/>
  <c r="F20" i="7" s="1"/>
  <c r="E23" i="7"/>
  <c r="F25" i="7" s="1"/>
  <c r="F27" i="7" l="1"/>
  <c r="C19" i="5"/>
  <c r="C18" i="5"/>
  <c r="C20" i="5" s="1"/>
  <c r="D20" i="5"/>
</calcChain>
</file>

<file path=xl/sharedStrings.xml><?xml version="1.0" encoding="utf-8"?>
<sst xmlns="http://schemas.openxmlformats.org/spreadsheetml/2006/main" count="168" uniqueCount="72">
  <si>
    <t>Waste Management - Wenatchee</t>
  </si>
  <si>
    <t>SMaRT</t>
  </si>
  <si>
    <t>Single-Stream from WM</t>
  </si>
  <si>
    <t>Tons</t>
  </si>
  <si>
    <t>Commodity</t>
  </si>
  <si>
    <t>Sold</t>
  </si>
  <si>
    <t>Revenue</t>
  </si>
  <si>
    <t>Rev./ton</t>
  </si>
  <si>
    <t>May</t>
  </si>
  <si>
    <t>Jun</t>
  </si>
  <si>
    <t>Jul</t>
  </si>
  <si>
    <t>Aug</t>
  </si>
  <si>
    <t>Sep</t>
  </si>
  <si>
    <t>Oct</t>
  </si>
  <si>
    <t>Nov</t>
  </si>
  <si>
    <t>Dec</t>
  </si>
  <si>
    <t>Total Customers</t>
  </si>
  <si>
    <t>Jan</t>
  </si>
  <si>
    <t>Feb</t>
  </si>
  <si>
    <t>Mar</t>
  </si>
  <si>
    <t>Apr</t>
  </si>
  <si>
    <t>OCC</t>
  </si>
  <si>
    <t>Glass</t>
  </si>
  <si>
    <t>PET</t>
  </si>
  <si>
    <t>Newspaper</t>
  </si>
  <si>
    <t>Mix Paper</t>
  </si>
  <si>
    <t>Aluminum</t>
  </si>
  <si>
    <t>HDPE Natl</t>
  </si>
  <si>
    <t>HDPE Col</t>
  </si>
  <si>
    <t>#3 - 7</t>
  </si>
  <si>
    <t>Tin Cans</t>
  </si>
  <si>
    <t>%</t>
  </si>
  <si>
    <t>Residue</t>
  </si>
  <si>
    <t>Commodities Sold</t>
  </si>
  <si>
    <t>Prices:</t>
  </si>
  <si>
    <t>Revenue:</t>
  </si>
  <si>
    <t>Revenue/ton</t>
  </si>
  <si>
    <t>SMaRT Processed Tons</t>
  </si>
  <si>
    <t>UTC</t>
  </si>
  <si>
    <t>Non-UTC</t>
  </si>
  <si>
    <t>Total</t>
  </si>
  <si>
    <t>Residual</t>
  </si>
  <si>
    <t>Tonnage</t>
  </si>
  <si>
    <t>Less:</t>
  </si>
  <si>
    <t>% Residual</t>
  </si>
  <si>
    <t>2019 - 2020 Rebate Calculation</t>
  </si>
  <si>
    <t>Residential</t>
  </si>
  <si>
    <t>Customers</t>
  </si>
  <si>
    <t>Credit</t>
  </si>
  <si>
    <t>Credits</t>
  </si>
  <si>
    <t xml:space="preserve">Actual Commodity Revenue </t>
  </si>
  <si>
    <t>Owe Customer (company)</t>
  </si>
  <si>
    <t>Adjust for Under/(Over) payment in 2018-2019</t>
  </si>
  <si>
    <t>Projected Value</t>
  </si>
  <si>
    <t>Residential Commodity Adjustment - as calculated</t>
  </si>
  <si>
    <t>WM Wenatchee</t>
  </si>
  <si>
    <t>Projected Revenue Nov. 2018- Oct. 2019</t>
  </si>
  <si>
    <t>Projected Rev. Nov 2019-Oct 2020 (based on most recent 6 mo. avg.)</t>
  </si>
  <si>
    <t>Nov - Dec projected value without adjustment factor</t>
  </si>
  <si>
    <t>Jan - Oct projected value without adjustment factor</t>
  </si>
  <si>
    <t>Average</t>
  </si>
  <si>
    <t>Rate/ton</t>
  </si>
  <si>
    <t>Total Customers (annualized)</t>
  </si>
  <si>
    <t>Initial</t>
  </si>
  <si>
    <t>Month</t>
  </si>
  <si>
    <t>Calculation of Recycling Revenue</t>
  </si>
  <si>
    <t>Projected Revenue Nov. 2019- Oct. 2020</t>
  </si>
  <si>
    <t>Adjust for Under/(Over) payment in 2019-2020</t>
  </si>
  <si>
    <t>Nov., 2019</t>
  </si>
  <si>
    <t>Jan., 2020</t>
  </si>
  <si>
    <t>Recycling Customers - per Enspire</t>
  </si>
  <si>
    <t xml:space="preserve">Projected Rev. Nov 2020-Oct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</si>
</sst>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_)"/>
    <numFmt numFmtId="166" formatCode="_(* #,##0_);_(* \(#,##0\);_(* &quot;-&quot;??_);_(@_)"/>
    <numFmt numFmtId="167" formatCode="0.0%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u val="double"/>
      <sz val="9"/>
      <name val="Arial"/>
      <family val="2"/>
    </font>
    <font>
      <u val="singleAccounting"/>
      <sz val="9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u val="doub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0"/>
      <color rgb="FF006100"/>
      <name val="Times New Roman"/>
      <family val="2"/>
    </font>
    <font>
      <sz val="10"/>
      <color rgb="FF9C0006"/>
      <name val="Times New Roman"/>
      <family val="2"/>
    </font>
    <font>
      <sz val="10"/>
      <color rgb="FF9C6500"/>
      <name val="Times New Roman"/>
      <family val="2"/>
    </font>
    <font>
      <sz val="10"/>
      <color rgb="FF3F3F76"/>
      <name val="Times New Roman"/>
      <family val="2"/>
    </font>
    <font>
      <b/>
      <sz val="10"/>
      <color rgb="FF3F3F3F"/>
      <name val="Times New Roman"/>
      <family val="2"/>
    </font>
    <font>
      <b/>
      <sz val="10"/>
      <color rgb="FFFA7D00"/>
      <name val="Times New Roman"/>
      <family val="2"/>
    </font>
    <font>
      <sz val="10"/>
      <color rgb="FFFA7D00"/>
      <name val="Times New Roman"/>
      <family val="2"/>
    </font>
    <font>
      <b/>
      <sz val="10"/>
      <color theme="0"/>
      <name val="Times New Roman"/>
      <family val="2"/>
    </font>
    <font>
      <sz val="10"/>
      <color rgb="FFFF0000"/>
      <name val="Times New Roman"/>
      <family val="2"/>
    </font>
    <font>
      <i/>
      <sz val="10"/>
      <color rgb="FF7F7F7F"/>
      <name val="Times New Roman"/>
      <family val="2"/>
    </font>
    <font>
      <b/>
      <sz val="10"/>
      <color theme="1"/>
      <name val="Times New Roman"/>
      <family val="2"/>
    </font>
    <font>
      <sz val="10"/>
      <color theme="0"/>
      <name val="Times New Roman"/>
      <family val="2"/>
    </font>
    <font>
      <b/>
      <i/>
      <u/>
      <sz val="12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8" fillId="8" borderId="17" applyNumberFormat="0" applyAlignment="0" applyProtection="0"/>
    <xf numFmtId="0" fontId="39" fillId="9" borderId="18" applyNumberFormat="0" applyAlignment="0" applyProtection="0"/>
    <xf numFmtId="0" fontId="40" fillId="9" borderId="17" applyNumberFormat="0" applyAlignment="0" applyProtection="0"/>
    <xf numFmtId="0" fontId="41" fillId="0" borderId="19" applyNumberFormat="0" applyFill="0" applyAlignment="0" applyProtection="0"/>
    <xf numFmtId="0" fontId="42" fillId="10" borderId="20" applyNumberFormat="0" applyAlignment="0" applyProtection="0"/>
    <xf numFmtId="0" fontId="43" fillId="0" borderId="0" applyNumberFormat="0" applyFill="0" applyBorder="0" applyAlignment="0" applyProtection="0"/>
    <xf numFmtId="0" fontId="1" fillId="11" borderId="21" applyNumberFormat="0" applyFont="0" applyAlignment="0" applyProtection="0"/>
    <xf numFmtId="0" fontId="44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4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7" borderId="0" applyNumberFormat="0" applyBorder="0" applyAlignment="0" applyProtection="0"/>
    <xf numFmtId="0" fontId="45" fillId="15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7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8" fillId="37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38" fontId="50" fillId="0" borderId="0" applyNumberFormat="0" applyFont="0" applyFill="0" applyBorder="0">
      <alignment horizontal="left" indent="4"/>
      <protection locked="0"/>
    </xf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12">
      <alignment horizontal="center"/>
    </xf>
    <xf numFmtId="3" fontId="51" fillId="0" borderId="0" applyFont="0" applyFill="0" applyBorder="0" applyAlignment="0" applyProtection="0"/>
    <xf numFmtId="0" fontId="51" fillId="38" borderId="0" applyNumberFormat="0" applyFont="0" applyBorder="0" applyAlignment="0" applyProtection="0"/>
    <xf numFmtId="166" fontId="17" fillId="36" borderId="0" applyFont="0" applyFill="0" applyBorder="0" applyAlignment="0" applyProtection="0">
      <alignment wrapText="1"/>
    </xf>
    <xf numFmtId="0" fontId="53" fillId="0" borderId="0"/>
    <xf numFmtId="43" fontId="53" fillId="0" borderId="0" applyFont="0" applyFill="0" applyBorder="0" applyAlignment="0" applyProtection="0"/>
    <xf numFmtId="0" fontId="54" fillId="0" borderId="14" applyNumberFormat="0" applyFill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6" fillId="0" borderId="0" applyNumberFormat="0" applyFill="0" applyBorder="0" applyAlignment="0" applyProtection="0"/>
    <xf numFmtId="0" fontId="57" fillId="5" borderId="0" applyNumberFormat="0" applyBorder="0" applyAlignment="0" applyProtection="0"/>
    <xf numFmtId="0" fontId="58" fillId="6" borderId="0" applyNumberFormat="0" applyBorder="0" applyAlignment="0" applyProtection="0"/>
    <xf numFmtId="0" fontId="59" fillId="7" borderId="0" applyNumberFormat="0" applyBorder="0" applyAlignment="0" applyProtection="0"/>
    <xf numFmtId="0" fontId="60" fillId="8" borderId="17" applyNumberFormat="0" applyAlignment="0" applyProtection="0"/>
    <xf numFmtId="0" fontId="61" fillId="9" borderId="18" applyNumberFormat="0" applyAlignment="0" applyProtection="0"/>
    <xf numFmtId="0" fontId="62" fillId="9" borderId="17" applyNumberFormat="0" applyAlignment="0" applyProtection="0"/>
    <xf numFmtId="0" fontId="63" fillId="0" borderId="19" applyNumberFormat="0" applyFill="0" applyAlignment="0" applyProtection="0"/>
    <xf numFmtId="0" fontId="64" fillId="10" borderId="20" applyNumberFormat="0" applyAlignment="0" applyProtection="0"/>
    <xf numFmtId="0" fontId="65" fillId="0" borderId="0" applyNumberFormat="0" applyFill="0" applyBorder="0" applyAlignment="0" applyProtection="0"/>
    <xf numFmtId="0" fontId="53" fillId="11" borderId="21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68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32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 applyNumberFormat="0" applyBorder="0" applyAlignment="0" applyProtection="0"/>
    <xf numFmtId="0" fontId="68" fillId="35" borderId="0" applyNumberFormat="0" applyBorder="0" applyAlignment="0" applyProtection="0"/>
    <xf numFmtId="0" fontId="31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</cellStyleXfs>
  <cellXfs count="119">
    <xf numFmtId="0" fontId="0" fillId="0" borderId="0" xfId="0"/>
    <xf numFmtId="0" fontId="3" fillId="0" borderId="1" xfId="0" quotePrefix="1" applyFont="1" applyFill="1" applyBorder="1" applyAlignment="1">
      <alignment horizontal="left"/>
    </xf>
    <xf numFmtId="43" fontId="0" fillId="0" borderId="0" xfId="1" applyFont="1"/>
    <xf numFmtId="164" fontId="0" fillId="0" borderId="0" xfId="2" applyNumberFormat="1" applyFont="1"/>
    <xf numFmtId="0" fontId="4" fillId="0" borderId="0" xfId="0" applyFont="1"/>
    <xf numFmtId="0" fontId="5" fillId="0" borderId="0" xfId="0" applyFont="1"/>
    <xf numFmtId="165" fontId="6" fillId="2" borderId="0" xfId="0" applyNumberFormat="1" applyFont="1" applyFill="1" applyBorder="1" applyProtection="1"/>
    <xf numFmtId="43" fontId="2" fillId="0" borderId="0" xfId="1" applyFont="1" applyAlignment="1">
      <alignment horizontal="center"/>
    </xf>
    <xf numFmtId="164" fontId="2" fillId="0" borderId="0" xfId="2" applyNumberFormat="1" applyFont="1"/>
    <xf numFmtId="43" fontId="7" fillId="0" borderId="0" xfId="1" applyFont="1" applyAlignment="1">
      <alignment horizontal="center"/>
    </xf>
    <xf numFmtId="164" fontId="7" fillId="0" borderId="0" xfId="2" applyNumberFormat="1" applyFont="1" applyAlignment="1">
      <alignment horizontal="center"/>
    </xf>
    <xf numFmtId="44" fontId="7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43" fontId="0" fillId="0" borderId="0" xfId="1" applyFont="1" applyFill="1"/>
    <xf numFmtId="164" fontId="0" fillId="0" borderId="0" xfId="2" applyNumberFormat="1" applyFont="1" applyFill="1"/>
    <xf numFmtId="44" fontId="0" fillId="0" borderId="0" xfId="2" applyFont="1" applyFill="1"/>
    <xf numFmtId="0" fontId="0" fillId="0" borderId="0" xfId="0" applyFill="1"/>
    <xf numFmtId="0" fontId="11" fillId="0" borderId="0" xfId="0" applyFont="1" applyBorder="1"/>
    <xf numFmtId="0" fontId="10" fillId="0" borderId="0" xfId="0" applyFont="1" applyBorder="1"/>
    <xf numFmtId="44" fontId="12" fillId="0" borderId="0" xfId="2" applyFont="1" applyFill="1" applyBorder="1" applyProtection="1">
      <protection locked="0"/>
    </xf>
    <xf numFmtId="10" fontId="12" fillId="0" borderId="0" xfId="3" applyNumberFormat="1" applyFont="1" applyBorder="1" applyAlignment="1">
      <alignment horizontal="right"/>
    </xf>
    <xf numFmtId="0" fontId="13" fillId="0" borderId="0" xfId="0" applyFont="1" applyFill="1"/>
    <xf numFmtId="0" fontId="11" fillId="0" borderId="0" xfId="0" applyFont="1"/>
    <xf numFmtId="0" fontId="10" fillId="0" borderId="2" xfId="0" applyFont="1" applyBorder="1" applyAlignment="1">
      <alignment horizontal="center"/>
    </xf>
    <xf numFmtId="43" fontId="12" fillId="0" borderId="0" xfId="1" applyFont="1" applyBorder="1" applyAlignment="1" applyProtection="1">
      <alignment horizontal="right"/>
      <protection locked="0"/>
    </xf>
    <xf numFmtId="43" fontId="12" fillId="0" borderId="0" xfId="1" applyFont="1" applyBorder="1" applyProtection="1">
      <protection locked="0"/>
    </xf>
    <xf numFmtId="0" fontId="13" fillId="0" borderId="0" xfId="0" applyFont="1" applyBorder="1"/>
    <xf numFmtId="10" fontId="14" fillId="0" borderId="0" xfId="3" applyNumberFormat="1" applyFont="1" applyBorder="1" applyAlignment="1">
      <alignment horizontal="right"/>
    </xf>
    <xf numFmtId="43" fontId="13" fillId="0" borderId="3" xfId="1" applyFont="1" applyBorder="1"/>
    <xf numFmtId="43" fontId="15" fillId="0" borderId="0" xfId="1" applyFont="1" applyBorder="1" applyAlignment="1" applyProtection="1">
      <alignment horizontal="right"/>
      <protection locked="0"/>
    </xf>
    <xf numFmtId="10" fontId="15" fillId="0" borderId="0" xfId="3" applyNumberFormat="1" applyFont="1" applyBorder="1" applyAlignment="1">
      <alignment horizontal="right"/>
    </xf>
    <xf numFmtId="43" fontId="15" fillId="0" borderId="0" xfId="1" applyFont="1" applyBorder="1" applyProtection="1">
      <protection locked="0"/>
    </xf>
    <xf numFmtId="43" fontId="9" fillId="0" borderId="0" xfId="0" applyNumberFormat="1" applyFont="1"/>
    <xf numFmtId="0" fontId="13" fillId="0" borderId="0" xfId="0" applyFont="1" applyFill="1" applyBorder="1"/>
    <xf numFmtId="0" fontId="7" fillId="0" borderId="0" xfId="0" applyFont="1"/>
    <xf numFmtId="164" fontId="0" fillId="0" borderId="0" xfId="0" applyNumberFormat="1"/>
    <xf numFmtId="164" fontId="8" fillId="0" borderId="0" xfId="0" applyNumberFormat="1" applyFont="1"/>
    <xf numFmtId="164" fontId="9" fillId="0" borderId="0" xfId="0" applyNumberFormat="1" applyFont="1"/>
    <xf numFmtId="44" fontId="9" fillId="0" borderId="0" xfId="2" applyFont="1"/>
    <xf numFmtId="167" fontId="0" fillId="0" borderId="0" xfId="3" applyNumberFormat="1" applyFont="1"/>
    <xf numFmtId="166" fontId="0" fillId="0" borderId="0" xfId="1" applyNumberFormat="1" applyFont="1"/>
    <xf numFmtId="44" fontId="0" fillId="0" borderId="0" xfId="2" applyFont="1"/>
    <xf numFmtId="43" fontId="0" fillId="0" borderId="0" xfId="0" applyNumberFormat="1"/>
    <xf numFmtId="44" fontId="7" fillId="0" borderId="0" xfId="2" applyFont="1"/>
    <xf numFmtId="44" fontId="11" fillId="0" borderId="0" xfId="2" applyFont="1" applyBorder="1"/>
    <xf numFmtId="10" fontId="0" fillId="0" borderId="0" xfId="1" applyNumberFormat="1" applyFont="1"/>
    <xf numFmtId="166" fontId="16" fillId="0" borderId="0" xfId="1" applyNumberFormat="1" applyFont="1"/>
    <xf numFmtId="0" fontId="3" fillId="4" borderId="4" xfId="0" applyFont="1" applyFill="1" applyBorder="1"/>
    <xf numFmtId="0" fontId="17" fillId="4" borderId="5" xfId="0" applyFont="1" applyFill="1" applyBorder="1"/>
    <xf numFmtId="0" fontId="18" fillId="4" borderId="5" xfId="0" applyFont="1" applyFill="1" applyBorder="1"/>
    <xf numFmtId="0" fontId="18" fillId="4" borderId="6" xfId="0" applyFont="1" applyFill="1" applyBorder="1"/>
    <xf numFmtId="0" fontId="19" fillId="4" borderId="7" xfId="0" applyFont="1" applyFill="1" applyBorder="1"/>
    <xf numFmtId="0" fontId="19" fillId="4" borderId="0" xfId="0" applyFont="1" applyFill="1" applyBorder="1"/>
    <xf numFmtId="0" fontId="20" fillId="4" borderId="0" xfId="0" applyFont="1" applyFill="1" applyBorder="1"/>
    <xf numFmtId="0" fontId="18" fillId="4" borderId="0" xfId="0" applyFont="1" applyFill="1" applyBorder="1"/>
    <xf numFmtId="0" fontId="18" fillId="4" borderId="8" xfId="0" applyFont="1" applyFill="1" applyBorder="1"/>
    <xf numFmtId="15" fontId="19" fillId="4" borderId="7" xfId="0" applyNumberFormat="1" applyFont="1" applyFill="1" applyBorder="1"/>
    <xf numFmtId="15" fontId="19" fillId="4" borderId="0" xfId="0" applyNumberFormat="1" applyFont="1" applyFill="1" applyBorder="1"/>
    <xf numFmtId="0" fontId="18" fillId="4" borderId="7" xfId="0" applyFont="1" applyFill="1" applyBorder="1"/>
    <xf numFmtId="0" fontId="19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19" fillId="4" borderId="9" xfId="0" applyFont="1" applyFill="1" applyBorder="1"/>
    <xf numFmtId="0" fontId="18" fillId="4" borderId="0" xfId="0" applyFont="1" applyFill="1" applyBorder="1" applyAlignment="1">
      <alignment horizontal="center"/>
    </xf>
    <xf numFmtId="41" fontId="18" fillId="4" borderId="0" xfId="0" applyNumberFormat="1" applyFont="1" applyFill="1" applyBorder="1"/>
    <xf numFmtId="44" fontId="24" fillId="4" borderId="0" xfId="4" applyFont="1" applyFill="1" applyBorder="1"/>
    <xf numFmtId="0" fontId="17" fillId="4" borderId="7" xfId="0" applyFont="1" applyFill="1" applyBorder="1"/>
    <xf numFmtId="0" fontId="17" fillId="4" borderId="0" xfId="0" applyFont="1" applyFill="1" applyBorder="1"/>
    <xf numFmtId="41" fontId="25" fillId="4" borderId="0" xfId="0" applyNumberFormat="1" applyFont="1" applyFill="1" applyBorder="1"/>
    <xf numFmtId="44" fontId="17" fillId="4" borderId="8" xfId="4" applyNumberFormat="1" applyFont="1" applyFill="1" applyBorder="1"/>
    <xf numFmtId="44" fontId="17" fillId="4" borderId="8" xfId="4" applyFont="1" applyFill="1" applyBorder="1"/>
    <xf numFmtId="164" fontId="17" fillId="4" borderId="0" xfId="4" applyNumberFormat="1" applyFont="1" applyFill="1" applyBorder="1"/>
    <xf numFmtId="44" fontId="25" fillId="4" borderId="8" xfId="4" applyNumberFormat="1" applyFont="1" applyFill="1" applyBorder="1"/>
    <xf numFmtId="44" fontId="19" fillId="4" borderId="10" xfId="4" applyNumberFormat="1" applyFont="1" applyFill="1" applyBorder="1"/>
    <xf numFmtId="44" fontId="19" fillId="4" borderId="8" xfId="4" applyNumberFormat="1" applyFont="1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166" fontId="8" fillId="0" borderId="0" xfId="1" applyNumberFormat="1" applyFont="1"/>
    <xf numFmtId="167" fontId="8" fillId="0" borderId="0" xfId="3" applyNumberFormat="1" applyFont="1"/>
    <xf numFmtId="166" fontId="9" fillId="0" borderId="0" xfId="1" applyNumberFormat="1" applyFont="1"/>
    <xf numFmtId="167" fontId="9" fillId="0" borderId="0" xfId="3" applyNumberFormat="1" applyFont="1"/>
    <xf numFmtId="43" fontId="9" fillId="0" borderId="0" xfId="0" applyNumberFormat="1" applyFont="1" applyFill="1"/>
    <xf numFmtId="164" fontId="9" fillId="0" borderId="0" xfId="2" applyNumberFormat="1" applyFont="1" applyFill="1"/>
    <xf numFmtId="44" fontId="9" fillId="0" borderId="0" xfId="2" applyFont="1" applyFill="1"/>
    <xf numFmtId="0" fontId="2" fillId="0" borderId="0" xfId="0" applyFont="1" applyAlignment="1">
      <alignment horizontal="center"/>
    </xf>
    <xf numFmtId="44" fontId="0" fillId="0" borderId="0" xfId="0" applyNumberFormat="1"/>
    <xf numFmtId="43" fontId="8" fillId="0" borderId="0" xfId="0" applyNumberFormat="1" applyFont="1"/>
    <xf numFmtId="164" fontId="8" fillId="0" borderId="0" xfId="2" applyNumberFormat="1" applyFont="1"/>
    <xf numFmtId="43" fontId="9" fillId="0" borderId="0" xfId="1" applyFont="1"/>
    <xf numFmtId="0" fontId="26" fillId="0" borderId="0" xfId="0" applyFont="1"/>
    <xf numFmtId="164" fontId="9" fillId="0" borderId="0" xfId="2" applyNumberFormat="1" applyFont="1"/>
    <xf numFmtId="10" fontId="16" fillId="0" borderId="0" xfId="1" applyNumberFormat="1" applyFont="1"/>
    <xf numFmtId="44" fontId="27" fillId="0" borderId="0" xfId="0" applyNumberFormat="1" applyFont="1"/>
    <xf numFmtId="10" fontId="27" fillId="0" borderId="0" xfId="1" applyNumberFormat="1" applyFont="1"/>
    <xf numFmtId="0" fontId="28" fillId="4" borderId="0" xfId="0" applyFont="1" applyFill="1" applyBorder="1" applyAlignment="1">
      <alignment horizontal="center"/>
    </xf>
    <xf numFmtId="10" fontId="9" fillId="0" borderId="0" xfId="3" applyNumberFormat="1" applyFont="1"/>
    <xf numFmtId="0" fontId="29" fillId="0" borderId="0" xfId="0" applyFont="1"/>
    <xf numFmtId="0" fontId="30" fillId="0" borderId="0" xfId="0" applyFont="1" applyFill="1"/>
    <xf numFmtId="43" fontId="12" fillId="0" borderId="0" xfId="1" applyFont="1" applyBorder="1" applyAlignment="1">
      <alignment horizontal="right"/>
    </xf>
    <xf numFmtId="44" fontId="12" fillId="0" borderId="0" xfId="2" applyFont="1" applyFill="1" applyBorder="1" applyProtection="1">
      <protection locked="0"/>
    </xf>
    <xf numFmtId="43" fontId="16" fillId="0" borderId="0" xfId="1" applyFont="1"/>
    <xf numFmtId="44" fontId="16" fillId="0" borderId="0" xfId="2" applyFont="1"/>
    <xf numFmtId="0" fontId="16" fillId="0" borderId="0" xfId="0" applyFont="1"/>
    <xf numFmtId="43" fontId="16" fillId="0" borderId="0" xfId="1" applyFont="1" applyFill="1"/>
    <xf numFmtId="164" fontId="16" fillId="0" borderId="0" xfId="2" applyNumberFormat="1" applyFont="1" applyFill="1"/>
    <xf numFmtId="44" fontId="16" fillId="0" borderId="0" xfId="2" applyFont="1" applyFill="1"/>
    <xf numFmtId="43" fontId="70" fillId="0" borderId="0" xfId="0" applyNumberFormat="1" applyFont="1" applyFill="1"/>
    <xf numFmtId="164" fontId="70" fillId="0" borderId="0" xfId="2" applyNumberFormat="1" applyFont="1" applyFill="1"/>
    <xf numFmtId="44" fontId="70" fillId="0" borderId="0" xfId="2" applyFont="1" applyFill="1"/>
    <xf numFmtId="17" fontId="10" fillId="3" borderId="0" xfId="0" applyNumberFormat="1" applyFont="1" applyFill="1" applyBorder="1" applyAlignment="1">
      <alignment horizontal="center"/>
    </xf>
    <xf numFmtId="166" fontId="27" fillId="0" borderId="0" xfId="1" applyNumberFormat="1" applyFont="1"/>
    <xf numFmtId="43" fontId="27" fillId="0" borderId="0" xfId="1" applyFont="1"/>
    <xf numFmtId="43" fontId="8" fillId="0" borderId="0" xfId="1" applyFont="1"/>
    <xf numFmtId="0" fontId="21" fillId="4" borderId="7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69" fillId="0" borderId="0" xfId="0" applyFont="1" applyAlignment="1">
      <alignment horizontal="center"/>
    </xf>
    <xf numFmtId="17" fontId="10" fillId="3" borderId="0" xfId="0" applyNumberFormat="1" applyFont="1" applyFill="1" applyBorder="1" applyAlignment="1">
      <alignment horizontal="center"/>
    </xf>
  </cellXfs>
  <cellStyles count="132">
    <cellStyle name="20% - Accent1" xfId="21" builtinId="30" customBuiltin="1"/>
    <cellStyle name="20% - Accent1 2" xfId="101" xr:uid="{A7308BCC-A86F-4BB5-BDAF-6C431F42249E}"/>
    <cellStyle name="20% - Accent2" xfId="24" builtinId="34" customBuiltin="1"/>
    <cellStyle name="20% - Accent2 2" xfId="105" xr:uid="{2A50BA10-636B-41C1-B2F3-6E3C789DC8AB}"/>
    <cellStyle name="20% - Accent3" xfId="27" builtinId="38" customBuiltin="1"/>
    <cellStyle name="20% - Accent3 2" xfId="109" xr:uid="{DAEBEFE7-06BD-4BD4-8D2E-DB4B9CABD863}"/>
    <cellStyle name="20% - Accent4" xfId="30" builtinId="42" customBuiltin="1"/>
    <cellStyle name="20% - Accent4 2" xfId="113" xr:uid="{71A57D59-64DE-4ADC-8054-681FD331C96D}"/>
    <cellStyle name="20% - Accent5" xfId="33" builtinId="46" customBuiltin="1"/>
    <cellStyle name="20% - Accent5 2" xfId="117" xr:uid="{4AE8975C-0394-442F-A1FF-2AA7670A5578}"/>
    <cellStyle name="20% - Accent6" xfId="36" builtinId="50" customBuiltin="1"/>
    <cellStyle name="20% - Accent6 2" xfId="121" xr:uid="{B8156916-7E29-4A00-942A-B8B0B2FB4413}"/>
    <cellStyle name="40% - Accent1" xfId="22" builtinId="31" customBuiltin="1"/>
    <cellStyle name="40% - Accent1 2" xfId="102" xr:uid="{52989DFC-B143-407B-886C-D44B7FBE2973}"/>
    <cellStyle name="40% - Accent2" xfId="25" builtinId="35" customBuiltin="1"/>
    <cellStyle name="40% - Accent2 2" xfId="106" xr:uid="{AAE1A59E-A87B-474B-A5B2-E9EB2D57A5A0}"/>
    <cellStyle name="40% - Accent3" xfId="28" builtinId="39" customBuiltin="1"/>
    <cellStyle name="40% - Accent3 2" xfId="110" xr:uid="{16D1E5D0-D056-4E07-9A48-0294545AF7EC}"/>
    <cellStyle name="40% - Accent4" xfId="31" builtinId="43" customBuiltin="1"/>
    <cellStyle name="40% - Accent4 2" xfId="114" xr:uid="{D6CDCB17-A557-4CD7-93BE-3E0A11E5C455}"/>
    <cellStyle name="40% - Accent5" xfId="34" builtinId="47" customBuiltin="1"/>
    <cellStyle name="40% - Accent5 2" xfId="118" xr:uid="{DFBA9A87-357C-4CAF-A303-BF848B33E2BB}"/>
    <cellStyle name="40% - Accent6" xfId="37" builtinId="51" customBuiltin="1"/>
    <cellStyle name="40% - Accent6 2" xfId="122" xr:uid="{98E378EA-C08D-4439-895A-387B63F26938}"/>
    <cellStyle name="60% - Accent1 2" xfId="103" xr:uid="{B158B34C-D723-4A60-B73C-68DC59874D78}"/>
    <cellStyle name="60% - Accent1 3" xfId="126" xr:uid="{5FC7D6A9-3CF2-48AA-B61E-7BAA0A594BFD}"/>
    <cellStyle name="60% - Accent1 4" xfId="40" xr:uid="{A73B4AC2-A6EF-4E49-ADC9-B55E899AC26B}"/>
    <cellStyle name="60% - Accent2 2" xfId="107" xr:uid="{6F707AF6-5DD9-4558-81EF-34F7A1BCB4C6}"/>
    <cellStyle name="60% - Accent2 3" xfId="127" xr:uid="{5688EAF5-D32F-453E-BD79-65494FCFE41E}"/>
    <cellStyle name="60% - Accent2 4" xfId="41" xr:uid="{74791420-0E3B-4AA9-BF7A-665649F337B6}"/>
    <cellStyle name="60% - Accent3 2" xfId="111" xr:uid="{86B686F4-0B0A-40F5-9C58-DDDAB1937A4F}"/>
    <cellStyle name="60% - Accent3 3" xfId="128" xr:uid="{3269D2D8-97B3-4641-A7CD-3479C84E6293}"/>
    <cellStyle name="60% - Accent3 4" xfId="42" xr:uid="{83CC273C-1B58-4360-92DD-FE7334BB6C76}"/>
    <cellStyle name="60% - Accent4 2" xfId="115" xr:uid="{5C79374A-32A6-4B55-8B09-2364F80F5471}"/>
    <cellStyle name="60% - Accent4 3" xfId="129" xr:uid="{901883FC-7CC3-4E7B-AEFA-E3AC40EE1AEE}"/>
    <cellStyle name="60% - Accent4 4" xfId="43" xr:uid="{3CAAB61A-BE3A-4FFC-A64E-A52F2C129AC3}"/>
    <cellStyle name="60% - Accent5 2" xfId="119" xr:uid="{86736EBA-9854-4F02-94A2-963B0AE3FE5E}"/>
    <cellStyle name="60% - Accent5 3" xfId="130" xr:uid="{E44B206E-B47F-460C-AEFA-03632396F7F4}"/>
    <cellStyle name="60% - Accent5 4" xfId="44" xr:uid="{558B842D-6D04-44C0-B8B4-26B6CDD1EB03}"/>
    <cellStyle name="60% - Accent6 2" xfId="123" xr:uid="{5A77059F-10C1-4115-9CA7-E37BD8183B92}"/>
    <cellStyle name="60% - Accent6 3" xfId="131" xr:uid="{57ABD572-5E7C-409F-8B7A-A2BE07346BAE}"/>
    <cellStyle name="60% - Accent6 4" xfId="45" xr:uid="{92464F6F-1B05-4C8B-87F2-EA3FEE9F7348}"/>
    <cellStyle name="Accent1" xfId="20" builtinId="29" customBuiltin="1"/>
    <cellStyle name="Accent1 2" xfId="100" xr:uid="{33B7577B-332E-4F5A-980A-FDD424516C4C}"/>
    <cellStyle name="Accent2" xfId="23" builtinId="33" customBuiltin="1"/>
    <cellStyle name="Accent2 2" xfId="104" xr:uid="{47E5533C-622F-4BB6-AED0-F976FD425244}"/>
    <cellStyle name="Accent3" xfId="26" builtinId="37" customBuiltin="1"/>
    <cellStyle name="Accent3 2" xfId="108" xr:uid="{F474B526-C1D5-4D7C-8675-B9109B788F08}"/>
    <cellStyle name="Accent4" xfId="29" builtinId="41" customBuiltin="1"/>
    <cellStyle name="Accent4 2" xfId="112" xr:uid="{4A5EB185-3A69-4B65-B06B-927D032E29B7}"/>
    <cellStyle name="Accent5" xfId="32" builtinId="45" customBuiltin="1"/>
    <cellStyle name="Accent5 2" xfId="116" xr:uid="{D9ADA78E-F27C-4782-8C4A-EA276709DC0D}"/>
    <cellStyle name="Accent6" xfId="35" builtinId="49" customBuiltin="1"/>
    <cellStyle name="Accent6 2" xfId="120" xr:uid="{B743C08A-0EC5-48EF-8FD9-F9C1C2B5F95C}"/>
    <cellStyle name="Bad" xfId="10" builtinId="27" customBuiltin="1"/>
    <cellStyle name="Bad 2" xfId="89" xr:uid="{154A9896-EDAA-4F3C-8BB3-E00C59CEE54D}"/>
    <cellStyle name="Calculation" xfId="13" builtinId="22" customBuiltin="1"/>
    <cellStyle name="Calculation 2" xfId="93" xr:uid="{14FA5736-7020-4A06-8A8F-CD21F87E81E3}"/>
    <cellStyle name="Check Cell" xfId="15" builtinId="23" customBuiltin="1"/>
    <cellStyle name="Check Cell 2" xfId="95" xr:uid="{DC73242D-EC3F-4DA6-9362-BA8974878676}"/>
    <cellStyle name="Comma" xfId="1" builtinId="3"/>
    <cellStyle name="Comma 2" xfId="51" xr:uid="{51C60B58-E62E-43D6-BDEB-FC5448490095}"/>
    <cellStyle name="Comma 2 2" xfId="57" xr:uid="{5CC4A9FC-8833-4A92-A53C-1D1547DD07C7}"/>
    <cellStyle name="Comma 3" xfId="48" xr:uid="{F884D44F-9C45-4960-ADB0-11569FAF96B7}"/>
    <cellStyle name="Comma 4" xfId="58" xr:uid="{A6E707C8-DA74-4250-AECB-C62C6538D427}"/>
    <cellStyle name="Comma 5" xfId="83" xr:uid="{8EF79FD1-A2B1-4D48-8717-BBC93D540C80}"/>
    <cellStyle name="Currency" xfId="2" builtinId="4"/>
    <cellStyle name="Currency 2" xfId="4" xr:uid="{D61A5A84-EAEF-435A-8928-3680D3EE44AF}"/>
    <cellStyle name="Currency 2 2" xfId="59" xr:uid="{91A12834-27AB-40DE-860E-7E9F5343ADD8}"/>
    <cellStyle name="Currency 3" xfId="60" xr:uid="{50E8C035-A4DC-4F6A-9F94-6B41ECA33C70}"/>
    <cellStyle name="Currency 4" xfId="61" xr:uid="{2EC64388-0B21-4725-9FA1-B05A51696A8B}"/>
    <cellStyle name="Currency 5" xfId="56" xr:uid="{2DA7073E-CC68-4D4A-88BA-F5C6E683317C}"/>
    <cellStyle name="Currency 6" xfId="62" xr:uid="{AC1B6868-A831-43EC-A260-40F35C77F4F9}"/>
    <cellStyle name="Explanatory Text" xfId="18" builtinId="53" customBuiltin="1"/>
    <cellStyle name="Explanatory Text 2" xfId="98" xr:uid="{A300748C-C891-403A-BDC9-2250E8A9AFC4}"/>
    <cellStyle name="Good" xfId="9" builtinId="26" customBuiltin="1"/>
    <cellStyle name="Good 2" xfId="88" xr:uid="{21CE4C8D-8AB4-4B87-960A-DBA0358826B6}"/>
    <cellStyle name="Heading 1" xfId="5" builtinId="16" customBuiltin="1"/>
    <cellStyle name="Heading 1 2" xfId="84" xr:uid="{9F32C357-5FE4-4DAF-956E-96095D4548A2}"/>
    <cellStyle name="Heading 2" xfId="6" builtinId="17" customBuiltin="1"/>
    <cellStyle name="Heading 2 2" xfId="85" xr:uid="{F1816ED9-2DC3-4BB8-B7FD-CDCB98D6C327}"/>
    <cellStyle name="Heading 3" xfId="7" builtinId="18" customBuiltin="1"/>
    <cellStyle name="Heading 3 2" xfId="86" xr:uid="{5428FE80-C0B3-4338-800E-3E5C856A93AE}"/>
    <cellStyle name="Heading 4" xfId="8" builtinId="19" customBuiltin="1"/>
    <cellStyle name="Heading 4 2" xfId="87" xr:uid="{20A4D9A4-0259-4691-A7B1-C7A34DCC256F}"/>
    <cellStyle name="Input" xfId="11" builtinId="20" customBuiltin="1"/>
    <cellStyle name="Input 2" xfId="91" xr:uid="{F3F7C9A0-DE53-42F8-A485-AB32243A59D7}"/>
    <cellStyle name="Lines" xfId="63" xr:uid="{6B068CEB-A5DD-4AF4-AE0D-335E212A085B}"/>
    <cellStyle name="Linked Cell" xfId="14" builtinId="24" customBuiltin="1"/>
    <cellStyle name="Linked Cell 2" xfId="94" xr:uid="{E9A9BB98-F17C-4384-B93F-C23D6AF5B922}"/>
    <cellStyle name="Neutral 2" xfId="90" xr:uid="{76122077-4FE4-4ECD-8AE1-8E49E8DE9B29}"/>
    <cellStyle name="Neutral 3" xfId="125" xr:uid="{D96521E8-5983-48D7-A7CA-91F042F958FE}"/>
    <cellStyle name="Neutral 4" xfId="39" xr:uid="{D8D60256-60D4-4FA1-88D7-40296927DFAD}"/>
    <cellStyle name="Normal" xfId="0" builtinId="0"/>
    <cellStyle name="Normal 2" xfId="46" xr:uid="{6973B987-B5C2-4C5D-AE7C-8FB249393546}"/>
    <cellStyle name="Normal 2 2" xfId="52" xr:uid="{EBF8DFC9-E9EE-423F-90BD-3782523F6DBB}"/>
    <cellStyle name="Normal 2 3" xfId="64" xr:uid="{1228E15D-9095-49D0-9529-512D056D3BC4}"/>
    <cellStyle name="Normal 3" xfId="49" xr:uid="{1E8A89B4-26CF-421D-A7A3-C64C07EB13DA}"/>
    <cellStyle name="Normal 3 2" xfId="65" xr:uid="{38F15C41-018B-4433-ACF4-7DEA4C03630D}"/>
    <cellStyle name="Normal 4" xfId="50" xr:uid="{16AA435F-AA90-48FF-9FAE-5AA6FABDC3AE}"/>
    <cellStyle name="Normal 4 2" xfId="66" xr:uid="{539881DB-D41F-4963-8207-19859D6B535D}"/>
    <cellStyle name="Normal 5" xfId="67" xr:uid="{561C372D-0923-4773-B981-FFB644CC2E10}"/>
    <cellStyle name="Normal 6" xfId="68" xr:uid="{62EFCE47-94B1-4009-A8A1-43C185385F87}"/>
    <cellStyle name="Normal 7" xfId="54" xr:uid="{53ECAF9A-004A-46BB-A3EE-9188174FF686}"/>
    <cellStyle name="Normal 8" xfId="69" xr:uid="{750A7B18-6433-4198-B302-480A2E81F533}"/>
    <cellStyle name="Normal 9" xfId="82" xr:uid="{3CE5E7C8-7B69-44CF-B624-C4DBD8BCE6FA}"/>
    <cellStyle name="Note" xfId="17" builtinId="10" customBuiltin="1"/>
    <cellStyle name="Note 2" xfId="97" xr:uid="{4F01346B-9F45-47D5-A2C6-7BB233581D67}"/>
    <cellStyle name="Output" xfId="12" builtinId="21" customBuiltin="1"/>
    <cellStyle name="Output 2" xfId="92" xr:uid="{7E7936CE-30E1-4C66-A7FA-68F4E0E0204C}"/>
    <cellStyle name="Percent" xfId="3" builtinId="5"/>
    <cellStyle name="Percent 2" xfId="47" xr:uid="{D1893EBA-3AA1-429E-8932-6ED4FF9D65C6}"/>
    <cellStyle name="Percent 2 2" xfId="70" xr:uid="{E4A3BA15-3D48-46BF-AA96-71B45F1C6234}"/>
    <cellStyle name="Percent 3" xfId="71" xr:uid="{75B26D66-D421-4E1B-B598-5D7A25E80263}"/>
    <cellStyle name="Percent 4" xfId="53" xr:uid="{0865CAD7-93E2-4604-8097-D0327BFCF866}"/>
    <cellStyle name="Percent 4 2" xfId="72" xr:uid="{FEC2F3E1-A0D9-4AED-BB0A-60CFB10D04B3}"/>
    <cellStyle name="Percent 5" xfId="55" xr:uid="{BA8B4AD0-6B8C-4469-8837-4F2A752AECA3}"/>
    <cellStyle name="Percent 6" xfId="73" xr:uid="{BC86196B-35B1-42E5-BC52-CAE0F3E7F1C4}"/>
    <cellStyle name="PS_Comma" xfId="74" xr:uid="{484B4459-84F5-4785-A75F-D23FA0288EE1}"/>
    <cellStyle name="PSChar" xfId="75" xr:uid="{D5989D88-C76C-4B4A-90BE-69BC2B20CDD7}"/>
    <cellStyle name="PSDate" xfId="76" xr:uid="{B2214066-571A-4431-857C-D6E4E9550506}"/>
    <cellStyle name="PSDec" xfId="77" xr:uid="{A134F99B-C1D4-4AAD-9DFC-FEEA1DF807C8}"/>
    <cellStyle name="PSHeading" xfId="78" xr:uid="{437478DF-F22B-4201-8EFF-3DE9968E8B25}"/>
    <cellStyle name="PSInt" xfId="79" xr:uid="{A2FC8760-41C1-4C33-84C6-DF250F44D9E2}"/>
    <cellStyle name="PSSpacer" xfId="80" xr:uid="{BA8CCA49-EC35-468C-A09A-800FECF2149C}"/>
    <cellStyle name="Title 2" xfId="124" xr:uid="{B7DA0CA4-EA4B-4BED-8D65-15CAA1ED6318}"/>
    <cellStyle name="Title 3" xfId="38" xr:uid="{27E756C7-AE2D-450D-AECA-5681431D2569}"/>
    <cellStyle name="Total" xfId="19" builtinId="25" customBuiltin="1"/>
    <cellStyle name="Total 2" xfId="99" xr:uid="{39CFAD6E-5941-4BE5-A7B1-F9263DAE1069}"/>
    <cellStyle name="Warning Text" xfId="16" builtinId="11" customBuiltin="1"/>
    <cellStyle name="Warning Text 2" xfId="96" xr:uid="{6F00FECA-AA49-4146-A801-1299856CC1D3}"/>
    <cellStyle name="WM_STANDARD" xfId="81" xr:uid="{4975EA3F-0C55-4FB4-816E-4BAF379DB2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37503-A949-4211-8C37-BDF8A02BFC08}">
  <dimension ref="A1:L29"/>
  <sheetViews>
    <sheetView tabSelected="1" topLeftCell="A34" workbookViewId="0">
      <selection activeCell="A24" sqref="A24"/>
    </sheetView>
  </sheetViews>
  <sheetFormatPr defaultRowHeight="15" x14ac:dyDescent="0.25"/>
  <cols>
    <col min="1" max="1" width="61.28515625" customWidth="1"/>
    <col min="3" max="3" width="13.42578125" bestFit="1" customWidth="1"/>
    <col min="4" max="4" width="14" bestFit="1" customWidth="1"/>
    <col min="5" max="5" width="10.7109375" customWidth="1"/>
    <col min="6" max="6" width="11.5703125" customWidth="1"/>
    <col min="7" max="7" width="66.28515625" customWidth="1"/>
    <col min="8" max="8" width="5.7109375" customWidth="1"/>
    <col min="9" max="9" width="13.42578125" bestFit="1" customWidth="1"/>
    <col min="10" max="10" width="14" bestFit="1" customWidth="1"/>
    <col min="11" max="11" width="11" bestFit="1" customWidth="1"/>
    <col min="12" max="12" width="9.140625" bestFit="1" customWidth="1"/>
  </cols>
  <sheetData>
    <row r="1" spans="1:12" ht="23.25" x14ac:dyDescent="0.35">
      <c r="A1" s="48" t="s">
        <v>55</v>
      </c>
      <c r="B1" s="49"/>
      <c r="C1" s="50"/>
      <c r="D1" s="50"/>
      <c r="E1" s="50"/>
      <c r="F1" s="51"/>
      <c r="G1" s="48" t="s">
        <v>55</v>
      </c>
      <c r="H1" s="49"/>
      <c r="I1" s="50"/>
      <c r="J1" s="50"/>
      <c r="K1" s="50"/>
      <c r="L1" s="51"/>
    </row>
    <row r="2" spans="1:12" ht="15.75" x14ac:dyDescent="0.25">
      <c r="A2" s="52" t="s">
        <v>45</v>
      </c>
      <c r="B2" s="53"/>
      <c r="C2" s="54"/>
      <c r="D2" s="55"/>
      <c r="E2" s="55"/>
      <c r="F2" s="56"/>
      <c r="G2" s="52" t="s">
        <v>45</v>
      </c>
      <c r="H2" s="53"/>
      <c r="I2" s="54"/>
      <c r="J2" s="55"/>
      <c r="K2" s="55"/>
      <c r="L2" s="56"/>
    </row>
    <row r="3" spans="1:12" ht="15.75" x14ac:dyDescent="0.25">
      <c r="A3" s="57"/>
      <c r="B3" s="58"/>
      <c r="C3" s="55"/>
      <c r="D3" s="55"/>
      <c r="E3" s="55"/>
      <c r="F3" s="56"/>
      <c r="G3" s="57"/>
      <c r="H3" s="58"/>
      <c r="I3" s="55"/>
      <c r="J3" s="55"/>
      <c r="K3" s="55"/>
      <c r="L3" s="56"/>
    </row>
    <row r="4" spans="1:12" ht="15.75" x14ac:dyDescent="0.25">
      <c r="A4" s="59"/>
      <c r="B4" s="55"/>
      <c r="C4" s="55"/>
      <c r="D4" s="55"/>
      <c r="E4" s="55"/>
      <c r="F4" s="56"/>
      <c r="G4" s="59"/>
      <c r="H4" s="55"/>
      <c r="I4" s="55"/>
      <c r="J4" s="55"/>
      <c r="K4" s="55"/>
      <c r="L4" s="56"/>
    </row>
    <row r="5" spans="1:12" ht="15.75" x14ac:dyDescent="0.25">
      <c r="A5" s="114" t="s">
        <v>46</v>
      </c>
      <c r="B5" s="115"/>
      <c r="C5" s="115"/>
      <c r="D5" s="115"/>
      <c r="E5" s="115"/>
      <c r="F5" s="116"/>
      <c r="G5" s="114" t="s">
        <v>46</v>
      </c>
      <c r="H5" s="115"/>
      <c r="I5" s="115"/>
      <c r="J5" s="115"/>
      <c r="K5" s="115"/>
      <c r="L5" s="116"/>
    </row>
    <row r="6" spans="1:12" ht="15.75" x14ac:dyDescent="0.25">
      <c r="A6" s="59"/>
      <c r="B6" s="55"/>
      <c r="C6" s="55"/>
      <c r="D6" s="95" t="s">
        <v>63</v>
      </c>
      <c r="E6" s="55"/>
      <c r="F6" s="56"/>
      <c r="G6" s="59"/>
      <c r="H6" s="55"/>
      <c r="I6" s="55"/>
      <c r="J6" s="95" t="s">
        <v>63</v>
      </c>
      <c r="K6" s="55"/>
      <c r="L6" s="56"/>
    </row>
    <row r="7" spans="1:12" ht="15.75" x14ac:dyDescent="0.25">
      <c r="A7" s="59"/>
      <c r="B7" s="55"/>
      <c r="C7" s="60"/>
      <c r="D7" s="60" t="s">
        <v>4</v>
      </c>
      <c r="E7" s="60" t="s">
        <v>40</v>
      </c>
      <c r="F7" s="56"/>
      <c r="G7" s="59"/>
      <c r="H7" s="55"/>
      <c r="I7" s="60"/>
      <c r="J7" s="60" t="s">
        <v>4</v>
      </c>
      <c r="K7" s="60" t="s">
        <v>40</v>
      </c>
      <c r="L7" s="56"/>
    </row>
    <row r="8" spans="1:12" ht="15.75" x14ac:dyDescent="0.25">
      <c r="A8" s="59"/>
      <c r="B8" s="55"/>
      <c r="C8" s="61" t="s">
        <v>47</v>
      </c>
      <c r="D8" s="61" t="s">
        <v>48</v>
      </c>
      <c r="E8" s="61" t="s">
        <v>49</v>
      </c>
      <c r="F8" s="56"/>
      <c r="G8" s="59"/>
      <c r="H8" s="55"/>
      <c r="I8" s="61" t="s">
        <v>47</v>
      </c>
      <c r="J8" s="61" t="s">
        <v>48</v>
      </c>
      <c r="K8" s="61" t="s">
        <v>49</v>
      </c>
      <c r="L8" s="56"/>
    </row>
    <row r="9" spans="1:12" ht="15.75" x14ac:dyDescent="0.25">
      <c r="A9" s="62" t="s">
        <v>66</v>
      </c>
      <c r="B9" s="53"/>
      <c r="C9" s="63"/>
      <c r="D9" s="63"/>
      <c r="E9" s="63"/>
      <c r="F9" s="56"/>
      <c r="G9" s="62" t="s">
        <v>56</v>
      </c>
      <c r="H9" s="53"/>
      <c r="I9" s="63"/>
      <c r="J9" s="63"/>
      <c r="K9" s="63"/>
      <c r="L9" s="56"/>
    </row>
    <row r="10" spans="1:12" ht="15.75" x14ac:dyDescent="0.25">
      <c r="A10" s="59" t="s">
        <v>58</v>
      </c>
      <c r="B10" s="55"/>
      <c r="C10" s="64">
        <f>+Customers!C7+Customers!C8</f>
        <v>11001</v>
      </c>
      <c r="D10" s="65">
        <v>1.5</v>
      </c>
      <c r="E10" s="64">
        <f>C10*D10</f>
        <v>16501.5</v>
      </c>
      <c r="F10" s="56"/>
      <c r="G10" s="59" t="s">
        <v>58</v>
      </c>
      <c r="H10" s="55"/>
      <c r="I10" s="64">
        <v>10580</v>
      </c>
      <c r="J10" s="65">
        <v>1.5</v>
      </c>
      <c r="K10" s="64">
        <f>I10*J10</f>
        <v>15870</v>
      </c>
      <c r="L10" s="56"/>
    </row>
    <row r="11" spans="1:12" ht="17.25" x14ac:dyDescent="0.35">
      <c r="A11" s="66" t="s">
        <v>59</v>
      </c>
      <c r="B11" s="67"/>
      <c r="C11" s="68">
        <f>SUM(Customers!C9:C18)</f>
        <v>56377</v>
      </c>
      <c r="D11" s="65">
        <f>+L25</f>
        <v>0.76</v>
      </c>
      <c r="E11" s="68">
        <f>C11*D11</f>
        <v>42846.520000000004</v>
      </c>
      <c r="F11" s="56"/>
      <c r="G11" s="66" t="s">
        <v>59</v>
      </c>
      <c r="H11" s="67"/>
      <c r="I11" s="68">
        <v>54602</v>
      </c>
      <c r="J11" s="65">
        <v>1.5</v>
      </c>
      <c r="K11" s="68">
        <f>I11*J11</f>
        <v>81903</v>
      </c>
      <c r="L11" s="56"/>
    </row>
    <row r="12" spans="1:12" ht="15.75" x14ac:dyDescent="0.25">
      <c r="A12" s="59" t="s">
        <v>40</v>
      </c>
      <c r="B12" s="55"/>
      <c r="C12" s="64">
        <f>SUM(C10:C11)</f>
        <v>67378</v>
      </c>
      <c r="D12" s="55"/>
      <c r="E12" s="64">
        <f>SUM(E10:E11)</f>
        <v>59348.020000000004</v>
      </c>
      <c r="F12" s="56"/>
      <c r="G12" s="59" t="s">
        <v>40</v>
      </c>
      <c r="H12" s="55"/>
      <c r="I12" s="64">
        <f>SUM(I10:I11)</f>
        <v>65182</v>
      </c>
      <c r="J12" s="55"/>
      <c r="K12" s="64">
        <f>SUM(K10:K11)</f>
        <v>97773</v>
      </c>
      <c r="L12" s="56"/>
    </row>
    <row r="13" spans="1:12" ht="15.75" x14ac:dyDescent="0.25">
      <c r="A13" s="59"/>
      <c r="B13" s="55"/>
      <c r="C13" s="55"/>
      <c r="D13" s="55"/>
      <c r="E13" s="55"/>
      <c r="F13" s="56"/>
      <c r="G13" s="59"/>
      <c r="H13" s="55"/>
      <c r="I13" s="55"/>
      <c r="J13" s="55"/>
      <c r="K13" s="55"/>
      <c r="L13" s="56"/>
    </row>
    <row r="14" spans="1:12" ht="15.75" x14ac:dyDescent="0.25">
      <c r="A14" s="52" t="s">
        <v>50</v>
      </c>
      <c r="B14" s="55"/>
      <c r="C14" s="55"/>
      <c r="D14" s="55"/>
      <c r="E14" s="64">
        <f>+'Recycling Revenue'!J20</f>
        <v>48360.050162964129</v>
      </c>
      <c r="F14" s="56"/>
      <c r="G14" s="52" t="s">
        <v>50</v>
      </c>
      <c r="H14" s="55"/>
      <c r="I14" s="55"/>
      <c r="J14" s="55"/>
      <c r="K14" s="64">
        <v>60789</v>
      </c>
      <c r="L14" s="56"/>
    </row>
    <row r="15" spans="1:12" ht="15.75" x14ac:dyDescent="0.25">
      <c r="A15" s="59"/>
      <c r="B15" s="55"/>
      <c r="C15" s="55"/>
      <c r="D15" s="55"/>
      <c r="E15" s="55"/>
      <c r="F15" s="56"/>
      <c r="G15" s="59"/>
      <c r="H15" s="55"/>
      <c r="I15" s="55"/>
      <c r="J15" s="55"/>
      <c r="K15" s="55"/>
      <c r="L15" s="56"/>
    </row>
    <row r="16" spans="1:12" ht="15.75" x14ac:dyDescent="0.25">
      <c r="A16" s="59" t="s">
        <v>51</v>
      </c>
      <c r="B16" s="55"/>
      <c r="C16" s="55"/>
      <c r="D16" s="55"/>
      <c r="E16" s="64">
        <f>E14-E12</f>
        <v>-10987.969837035875</v>
      </c>
      <c r="F16" s="56"/>
      <c r="G16" s="59" t="s">
        <v>51</v>
      </c>
      <c r="H16" s="55"/>
      <c r="I16" s="55"/>
      <c r="J16" s="55"/>
      <c r="K16" s="64">
        <f>K14-K12</f>
        <v>-36984</v>
      </c>
      <c r="L16" s="56"/>
    </row>
    <row r="17" spans="1:12" ht="15.75" x14ac:dyDescent="0.25">
      <c r="A17" s="59"/>
      <c r="B17" s="55"/>
      <c r="C17" s="55"/>
      <c r="D17" s="55"/>
      <c r="E17" s="55"/>
      <c r="F17" s="56"/>
      <c r="G17" s="59"/>
      <c r="H17" s="55"/>
      <c r="I17" s="55"/>
      <c r="J17" s="55"/>
      <c r="K17" s="55"/>
      <c r="L17" s="56"/>
    </row>
    <row r="18" spans="1:12" ht="15.75" x14ac:dyDescent="0.25">
      <c r="A18" s="59" t="s">
        <v>16</v>
      </c>
      <c r="B18" s="55"/>
      <c r="C18" s="55"/>
      <c r="D18" s="55"/>
      <c r="E18" s="64">
        <f>+C12</f>
        <v>67378</v>
      </c>
      <c r="F18" s="56"/>
      <c r="G18" s="59" t="s">
        <v>16</v>
      </c>
      <c r="H18" s="55"/>
      <c r="I18" s="55"/>
      <c r="J18" s="55"/>
      <c r="K18" s="64">
        <f>+I12</f>
        <v>65182</v>
      </c>
      <c r="L18" s="56"/>
    </row>
    <row r="19" spans="1:12" ht="15.75" x14ac:dyDescent="0.25">
      <c r="A19" s="59"/>
      <c r="B19" s="55"/>
      <c r="C19" s="55"/>
      <c r="D19" s="55"/>
      <c r="E19" s="55"/>
      <c r="F19" s="56"/>
      <c r="G19" s="59"/>
      <c r="H19" s="55"/>
      <c r="I19" s="55"/>
      <c r="J19" s="55"/>
      <c r="K19" s="55"/>
      <c r="L19" s="56"/>
    </row>
    <row r="20" spans="1:12" ht="15.75" x14ac:dyDescent="0.25">
      <c r="A20" s="59" t="s">
        <v>67</v>
      </c>
      <c r="B20" s="55"/>
      <c r="C20" s="55"/>
      <c r="D20" s="55"/>
      <c r="E20" s="55"/>
      <c r="F20" s="69">
        <f>+E16/E18</f>
        <v>-0.1630794894036017</v>
      </c>
      <c r="G20" s="59" t="s">
        <v>52</v>
      </c>
      <c r="H20" s="55"/>
      <c r="I20" s="55"/>
      <c r="J20" s="55"/>
      <c r="K20" s="55"/>
      <c r="L20" s="69">
        <f>+K16/K18</f>
        <v>-0.56739590684544816</v>
      </c>
    </row>
    <row r="21" spans="1:12" ht="15.75" x14ac:dyDescent="0.25">
      <c r="A21" s="59"/>
      <c r="B21" s="55"/>
      <c r="C21" s="55"/>
      <c r="D21" s="55"/>
      <c r="E21" s="55"/>
      <c r="F21" s="70"/>
      <c r="G21" s="59"/>
      <c r="H21" s="55"/>
      <c r="I21" s="55"/>
      <c r="J21" s="55"/>
      <c r="K21" s="55"/>
      <c r="L21" s="70"/>
    </row>
    <row r="22" spans="1:12" ht="15.75" x14ac:dyDescent="0.25">
      <c r="A22" s="59"/>
      <c r="B22" s="55"/>
      <c r="C22" s="55"/>
      <c r="D22" s="55"/>
      <c r="E22" s="55"/>
      <c r="F22" s="70"/>
      <c r="G22" s="59"/>
      <c r="H22" s="55"/>
      <c r="I22" s="55"/>
      <c r="J22" s="55"/>
      <c r="K22" s="55"/>
      <c r="L22" s="70"/>
    </row>
    <row r="23" spans="1:12" ht="15.75" x14ac:dyDescent="0.25">
      <c r="A23" s="62" t="s">
        <v>71</v>
      </c>
      <c r="B23" s="53"/>
      <c r="C23" s="55"/>
      <c r="D23" s="55"/>
      <c r="E23" s="71">
        <f>+E14</f>
        <v>48360.050162964129</v>
      </c>
      <c r="F23" s="70"/>
      <c r="G23" s="62" t="s">
        <v>57</v>
      </c>
      <c r="H23" s="53"/>
      <c r="I23" s="55"/>
      <c r="J23" s="55"/>
      <c r="K23" s="71">
        <v>49281</v>
      </c>
      <c r="L23" s="70"/>
    </row>
    <row r="24" spans="1:12" ht="15.75" x14ac:dyDescent="0.25">
      <c r="A24" s="59" t="s">
        <v>62</v>
      </c>
      <c r="B24" s="55"/>
      <c r="C24" s="55"/>
      <c r="D24" s="55"/>
      <c r="E24" s="64">
        <f>+C12</f>
        <v>67378</v>
      </c>
      <c r="F24" s="70"/>
      <c r="G24" s="59" t="s">
        <v>62</v>
      </c>
      <c r="H24" s="55"/>
      <c r="I24" s="55"/>
      <c r="J24" s="55"/>
      <c r="K24" s="64">
        <f>+I12</f>
        <v>65182</v>
      </c>
      <c r="L24" s="70"/>
    </row>
    <row r="25" spans="1:12" ht="17.25" x14ac:dyDescent="0.35">
      <c r="A25" s="59" t="s">
        <v>53</v>
      </c>
      <c r="B25" s="55"/>
      <c r="C25" s="55"/>
      <c r="D25" s="55"/>
      <c r="E25" s="55"/>
      <c r="F25" s="72">
        <f>ROUND(+E23/E24,2)</f>
        <v>0.72</v>
      </c>
      <c r="G25" s="59" t="s">
        <v>53</v>
      </c>
      <c r="H25" s="55"/>
      <c r="I25" s="55"/>
      <c r="J25" s="55"/>
      <c r="K25" s="55"/>
      <c r="L25" s="72">
        <f>ROUND(+K23/K24,2)</f>
        <v>0.76</v>
      </c>
    </row>
    <row r="26" spans="1:12" ht="15.75" x14ac:dyDescent="0.25">
      <c r="A26" s="59"/>
      <c r="B26" s="55"/>
      <c r="C26" s="55"/>
      <c r="D26" s="55"/>
      <c r="E26" s="55"/>
      <c r="F26" s="70"/>
      <c r="G26" s="59"/>
      <c r="H26" s="55"/>
      <c r="I26" s="55"/>
      <c r="J26" s="55"/>
      <c r="K26" s="55"/>
      <c r="L26" s="70"/>
    </row>
    <row r="27" spans="1:12" ht="16.5" thickBot="1" x14ac:dyDescent="0.3">
      <c r="A27" s="52" t="s">
        <v>54</v>
      </c>
      <c r="B27" s="53"/>
      <c r="C27" s="55"/>
      <c r="D27" s="55"/>
      <c r="E27" s="55"/>
      <c r="F27" s="73">
        <f>SUM(F20:F25)</f>
        <v>0.55692051059639824</v>
      </c>
      <c r="G27" s="52" t="s">
        <v>54</v>
      </c>
      <c r="H27" s="53"/>
      <c r="I27" s="55"/>
      <c r="J27" s="55"/>
      <c r="K27" s="55"/>
      <c r="L27" s="73">
        <f>SUM(L20:L25)</f>
        <v>0.19260409315455185</v>
      </c>
    </row>
    <row r="28" spans="1:12" ht="16.5" thickTop="1" x14ac:dyDescent="0.25">
      <c r="A28" s="52"/>
      <c r="B28" s="53"/>
      <c r="C28" s="55"/>
      <c r="D28" s="55"/>
      <c r="E28" s="55"/>
      <c r="F28" s="74"/>
      <c r="G28" s="52"/>
      <c r="H28" s="53"/>
      <c r="I28" s="55"/>
      <c r="J28" s="55"/>
      <c r="K28" s="55"/>
      <c r="L28" s="74"/>
    </row>
    <row r="29" spans="1:12" ht="15.75" thickBot="1" x14ac:dyDescent="0.3">
      <c r="A29" s="75"/>
      <c r="B29" s="76"/>
      <c r="C29" s="76"/>
      <c r="D29" s="76"/>
      <c r="E29" s="76"/>
      <c r="F29" s="77"/>
      <c r="G29" s="75"/>
      <c r="H29" s="76"/>
      <c r="I29" s="76"/>
      <c r="J29" s="76"/>
      <c r="K29" s="76"/>
      <c r="L29" s="77"/>
    </row>
  </sheetData>
  <mergeCells count="2">
    <mergeCell ref="G5:L5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88A78-3E21-4368-9B4C-96C8B1ABB500}">
  <dimension ref="A1:K35"/>
  <sheetViews>
    <sheetView workbookViewId="0">
      <selection activeCell="F10" sqref="F10"/>
    </sheetView>
  </sheetViews>
  <sheetFormatPr defaultRowHeight="15" x14ac:dyDescent="0.25"/>
  <cols>
    <col min="1" max="1" width="11.42578125" customWidth="1"/>
    <col min="3" max="5" width="9.5703125" bestFit="1" customWidth="1"/>
    <col min="6" max="6" width="9.5703125" customWidth="1"/>
    <col min="8" max="8" width="9.5703125" bestFit="1" customWidth="1"/>
    <col min="10" max="10" width="11.5703125" bestFit="1" customWidth="1"/>
  </cols>
  <sheetData>
    <row r="1" spans="1:10" ht="23.25" x14ac:dyDescent="0.35">
      <c r="A1" s="1" t="s">
        <v>0</v>
      </c>
    </row>
    <row r="2" spans="1:10" ht="21" x14ac:dyDescent="0.35">
      <c r="A2" s="97" t="s">
        <v>65</v>
      </c>
    </row>
    <row r="3" spans="1:10" ht="18.75" x14ac:dyDescent="0.3">
      <c r="A3" s="5"/>
    </row>
    <row r="5" spans="1:10" ht="15.75" x14ac:dyDescent="0.25">
      <c r="C5" s="117" t="s">
        <v>42</v>
      </c>
      <c r="D5" s="117"/>
      <c r="E5" s="117"/>
    </row>
    <row r="6" spans="1:10" x14ac:dyDescent="0.25">
      <c r="F6" s="13" t="s">
        <v>43</v>
      </c>
      <c r="G6" s="13" t="s">
        <v>41</v>
      </c>
      <c r="H6" s="13" t="s">
        <v>42</v>
      </c>
      <c r="I6" s="85" t="s">
        <v>60</v>
      </c>
      <c r="J6" s="85" t="s">
        <v>4</v>
      </c>
    </row>
    <row r="7" spans="1:10" x14ac:dyDescent="0.25">
      <c r="A7" s="35" t="s">
        <v>64</v>
      </c>
      <c r="C7" s="12" t="s">
        <v>40</v>
      </c>
      <c r="D7" s="12" t="s">
        <v>39</v>
      </c>
      <c r="E7" s="12" t="s">
        <v>38</v>
      </c>
      <c r="F7" s="12" t="s">
        <v>44</v>
      </c>
      <c r="G7" s="12" t="s">
        <v>42</v>
      </c>
      <c r="H7" s="12" t="s">
        <v>5</v>
      </c>
      <c r="I7" s="12" t="s">
        <v>61</v>
      </c>
      <c r="J7" s="12" t="s">
        <v>6</v>
      </c>
    </row>
    <row r="8" spans="1:10" x14ac:dyDescent="0.25">
      <c r="A8" t="s">
        <v>68</v>
      </c>
      <c r="C8" s="2">
        <f t="shared" ref="C8:C19" si="0">+D8+E8</f>
        <v>267.73</v>
      </c>
      <c r="D8" s="2">
        <v>203.90000000000003</v>
      </c>
      <c r="E8" s="2">
        <v>63.83</v>
      </c>
      <c r="F8" s="46">
        <f>+'Rebate Data'!C$16</f>
        <v>0.15860530020589231</v>
      </c>
      <c r="G8" s="43">
        <f>-F8*E8</f>
        <v>-10.123776312142105</v>
      </c>
      <c r="H8" s="43">
        <f>+G8+E8</f>
        <v>53.706223687857893</v>
      </c>
      <c r="I8" s="86">
        <f>+'SMaRT Tons Sold'!D8</f>
        <v>55.699138340860465</v>
      </c>
      <c r="J8" s="3">
        <f>+I8*H8</f>
        <v>2991.3903829551941</v>
      </c>
    </row>
    <row r="9" spans="1:10" x14ac:dyDescent="0.25">
      <c r="A9" t="s">
        <v>15</v>
      </c>
      <c r="C9" s="2">
        <f t="shared" si="0"/>
        <v>295.38</v>
      </c>
      <c r="D9" s="2">
        <v>226.98</v>
      </c>
      <c r="E9" s="2">
        <v>68.400000000000006</v>
      </c>
      <c r="F9" s="46">
        <f>+'Rebate Data'!E$16</f>
        <v>0.16357909460432979</v>
      </c>
      <c r="G9" s="43">
        <f t="shared" ref="G9:G19" si="1">-F9*E9</f>
        <v>-11.188810070936158</v>
      </c>
      <c r="H9" s="43">
        <f t="shared" ref="H9:H19" si="2">+G9+E9</f>
        <v>57.211189929063849</v>
      </c>
      <c r="I9" s="86">
        <f>+'SMaRT Tons Sold'!D9</f>
        <v>53.582260173641885</v>
      </c>
      <c r="J9" s="3">
        <f t="shared" ref="J9:J19" si="3">+I9*H9</f>
        <v>3065.5048636227398</v>
      </c>
    </row>
    <row r="10" spans="1:10" x14ac:dyDescent="0.25">
      <c r="A10" t="s">
        <v>69</v>
      </c>
      <c r="C10" s="2">
        <f t="shared" si="0"/>
        <v>313.86</v>
      </c>
      <c r="D10" s="2">
        <v>238.57</v>
      </c>
      <c r="E10" s="2">
        <v>75.290000000000006</v>
      </c>
      <c r="F10" s="46">
        <f>+'Rebate Data'!G$16</f>
        <v>0.16240369957336223</v>
      </c>
      <c r="G10" s="43">
        <f t="shared" si="1"/>
        <v>-12.227374540878444</v>
      </c>
      <c r="H10" s="43">
        <f t="shared" si="2"/>
        <v>63.062625459121563</v>
      </c>
      <c r="I10" s="86">
        <f>+'SMaRT Tons Sold'!D10</f>
        <v>62.381271933306856</v>
      </c>
      <c r="J10" s="3">
        <f t="shared" si="3"/>
        <v>3933.9267875937421</v>
      </c>
    </row>
    <row r="11" spans="1:10" x14ac:dyDescent="0.25">
      <c r="A11" t="s">
        <v>18</v>
      </c>
      <c r="C11" s="2">
        <f t="shared" si="0"/>
        <v>211.42</v>
      </c>
      <c r="D11" s="2">
        <v>164.42999999999998</v>
      </c>
      <c r="E11" s="2">
        <v>46.99</v>
      </c>
      <c r="F11" s="46">
        <f>+'Rebate Data'!I$16</f>
        <v>0.15248645458934607</v>
      </c>
      <c r="G11" s="43">
        <f t="shared" si="1"/>
        <v>-7.1653385011533723</v>
      </c>
      <c r="H11" s="43">
        <f t="shared" si="2"/>
        <v>39.824661498846631</v>
      </c>
      <c r="I11" s="86">
        <f>+'SMaRT Tons Sold'!D11</f>
        <v>63.659339889862956</v>
      </c>
      <c r="J11" s="3">
        <f t="shared" si="3"/>
        <v>2535.2116623538168</v>
      </c>
    </row>
    <row r="12" spans="1:10" x14ac:dyDescent="0.25">
      <c r="A12" t="s">
        <v>19</v>
      </c>
      <c r="C12" s="2">
        <f t="shared" si="0"/>
        <v>244.91</v>
      </c>
      <c r="D12" s="2">
        <v>183.66</v>
      </c>
      <c r="E12" s="2">
        <v>61.25</v>
      </c>
      <c r="F12" s="46">
        <f>+'Rebate Data'!K$16</f>
        <v>0.1583972658397266</v>
      </c>
      <c r="G12" s="43">
        <f t="shared" si="1"/>
        <v>-9.7018325326832553</v>
      </c>
      <c r="H12" s="43">
        <f t="shared" si="2"/>
        <v>51.548167467316745</v>
      </c>
      <c r="I12" s="86">
        <f>+'SMaRT Tons Sold'!D12</f>
        <v>55.648227100401833</v>
      </c>
      <c r="J12" s="3">
        <f t="shared" si="3"/>
        <v>2868.5641298307878</v>
      </c>
    </row>
    <row r="13" spans="1:10" x14ac:dyDescent="0.25">
      <c r="A13" t="s">
        <v>20</v>
      </c>
      <c r="C13" s="2">
        <f t="shared" si="0"/>
        <v>201.81</v>
      </c>
      <c r="D13" s="2">
        <v>139.99</v>
      </c>
      <c r="E13" s="2">
        <v>61.819999999999993</v>
      </c>
      <c r="F13" s="46">
        <f>+'Rebate Data'!M$16</f>
        <v>0.16579965760022897</v>
      </c>
      <c r="G13" s="43">
        <f t="shared" si="1"/>
        <v>-10.249734832846153</v>
      </c>
      <c r="H13" s="43">
        <f t="shared" si="2"/>
        <v>51.570265167153842</v>
      </c>
      <c r="I13" s="86">
        <f>+'SMaRT Tons Sold'!D13</f>
        <v>68.408511020192677</v>
      </c>
      <c r="J13" s="3">
        <f t="shared" si="3"/>
        <v>3527.845053001502</v>
      </c>
    </row>
    <row r="14" spans="1:10" x14ac:dyDescent="0.25">
      <c r="A14" t="s">
        <v>8</v>
      </c>
      <c r="C14" s="2">
        <f t="shared" si="0"/>
        <v>203.09</v>
      </c>
      <c r="D14" s="2">
        <v>153.43</v>
      </c>
      <c r="E14" s="2">
        <v>49.66</v>
      </c>
      <c r="F14" s="46">
        <f>+'Rebate Data'!O$16</f>
        <v>0.17029414844658533</v>
      </c>
      <c r="G14" s="43">
        <f t="shared" si="1"/>
        <v>-8.4568074118574277</v>
      </c>
      <c r="H14" s="43">
        <f t="shared" si="2"/>
        <v>41.203192588142571</v>
      </c>
      <c r="I14" s="86">
        <f>+'SMaRT Tons Sold'!D14</f>
        <v>85.171280182807351</v>
      </c>
      <c r="J14" s="3">
        <f t="shared" si="3"/>
        <v>3509.3286603508623</v>
      </c>
    </row>
    <row r="15" spans="1:10" x14ac:dyDescent="0.25">
      <c r="A15" t="s">
        <v>9</v>
      </c>
      <c r="C15" s="2">
        <f t="shared" si="0"/>
        <v>343.04</v>
      </c>
      <c r="D15" s="2">
        <v>253.53000000000003</v>
      </c>
      <c r="E15" s="2">
        <v>89.509999999999991</v>
      </c>
      <c r="F15" s="46">
        <f>+'Rebate Data'!Q$16</f>
        <v>0.16709874425692964</v>
      </c>
      <c r="G15" s="43">
        <f t="shared" si="1"/>
        <v>-14.957008598437771</v>
      </c>
      <c r="H15" s="43">
        <f t="shared" si="2"/>
        <v>74.552991401562224</v>
      </c>
      <c r="I15" s="86">
        <f>+'SMaRT Tons Sold'!D15</f>
        <v>63.215723149842347</v>
      </c>
      <c r="J15" s="3">
        <f t="shared" si="3"/>
        <v>4712.9212644337349</v>
      </c>
    </row>
    <row r="16" spans="1:10" x14ac:dyDescent="0.25">
      <c r="A16" t="s">
        <v>10</v>
      </c>
      <c r="C16" s="2">
        <f t="shared" si="0"/>
        <v>367.72</v>
      </c>
      <c r="D16" s="2">
        <v>274.75</v>
      </c>
      <c r="E16" s="2">
        <v>92.97</v>
      </c>
      <c r="F16" s="46">
        <f>+'Rebate Data'!S$16</f>
        <v>0.16039847772554286</v>
      </c>
      <c r="G16" s="43">
        <f t="shared" si="1"/>
        <v>-14.91224647414372</v>
      </c>
      <c r="H16" s="43">
        <f t="shared" si="2"/>
        <v>78.057753525856285</v>
      </c>
      <c r="I16" s="86">
        <f>+'SMaRT Tons Sold'!D16</f>
        <v>56.117994045238426</v>
      </c>
      <c r="J16" s="3">
        <f t="shared" si="3"/>
        <v>4380.4445475486918</v>
      </c>
    </row>
    <row r="17" spans="1:11" x14ac:dyDescent="0.25">
      <c r="A17" t="s">
        <v>11</v>
      </c>
      <c r="C17" s="2">
        <f t="shared" si="0"/>
        <v>365.61</v>
      </c>
      <c r="D17" s="101">
        <v>278.44</v>
      </c>
      <c r="E17" s="101">
        <v>87.17</v>
      </c>
      <c r="F17" s="46">
        <f>+'Rebate Data'!U$16</f>
        <v>0.17449951245350248</v>
      </c>
      <c r="G17" s="43">
        <f t="shared" si="1"/>
        <v>-15.211122500571811</v>
      </c>
      <c r="H17" s="43">
        <f t="shared" si="2"/>
        <v>71.958877499428183</v>
      </c>
      <c r="I17" s="86">
        <f>+'SMaRT Tons Sold'!D17</f>
        <v>67.244030565743316</v>
      </c>
      <c r="J17" s="3">
        <f t="shared" si="3"/>
        <v>4838.8049580481274</v>
      </c>
    </row>
    <row r="18" spans="1:11" x14ac:dyDescent="0.25">
      <c r="A18" t="s">
        <v>12</v>
      </c>
      <c r="C18" s="2">
        <f t="shared" si="0"/>
        <v>401.85</v>
      </c>
      <c r="D18" s="101">
        <v>312.05</v>
      </c>
      <c r="E18" s="101">
        <v>89.8</v>
      </c>
      <c r="F18" s="92">
        <f>+'Rebate Data'!W16</f>
        <v>0.1541975273874229</v>
      </c>
      <c r="G18" s="43">
        <f t="shared" si="1"/>
        <v>-13.846937959390576</v>
      </c>
      <c r="H18" s="43">
        <f t="shared" si="2"/>
        <v>75.953062040609424</v>
      </c>
      <c r="I18" s="86">
        <f>+'SMaRT Tons Sold'!D18</f>
        <v>76.83796940759683</v>
      </c>
      <c r="J18" s="3">
        <f t="shared" si="3"/>
        <v>5836.0790574896509</v>
      </c>
    </row>
    <row r="19" spans="1:11" ht="17.25" x14ac:dyDescent="0.4">
      <c r="A19" t="s">
        <v>13</v>
      </c>
      <c r="C19" s="113">
        <f t="shared" si="0"/>
        <v>393.82000000000005</v>
      </c>
      <c r="D19" s="112">
        <v>297.22000000000003</v>
      </c>
      <c r="E19" s="112">
        <v>96.6</v>
      </c>
      <c r="F19" s="94">
        <f>+'Rebate Data'!Y16</f>
        <v>0.16589477531394373</v>
      </c>
      <c r="G19" s="87">
        <f t="shared" si="1"/>
        <v>-16.025435295326965</v>
      </c>
      <c r="H19" s="87">
        <f t="shared" si="2"/>
        <v>80.574564704673037</v>
      </c>
      <c r="I19" s="93">
        <f>+'Rebate Data'!X50</f>
        <v>76.451282340939727</v>
      </c>
      <c r="J19" s="88">
        <f t="shared" si="3"/>
        <v>6160.0287957352748</v>
      </c>
    </row>
    <row r="20" spans="1:11" ht="17.25" x14ac:dyDescent="0.4">
      <c r="C20" s="89">
        <f>SUM(C8:C19)</f>
        <v>3610.2400000000002</v>
      </c>
      <c r="D20" s="89">
        <f>SUM(D8:D19)</f>
        <v>2726.95</v>
      </c>
      <c r="E20" s="89">
        <f>SUM(E8:E19)</f>
        <v>883.29</v>
      </c>
      <c r="F20" s="96">
        <f>-G20/E20</f>
        <v>0.16310206730560486</v>
      </c>
      <c r="G20" s="89">
        <f t="shared" ref="G20:J20" si="4">SUM(G8:G19)</f>
        <v>-144.06642503036772</v>
      </c>
      <c r="H20" s="89">
        <f t="shared" si="4"/>
        <v>739.22357496963241</v>
      </c>
      <c r="I20" s="39">
        <f>+J20/H20</f>
        <v>65.420059371010694</v>
      </c>
      <c r="J20" s="91">
        <f t="shared" si="4"/>
        <v>48360.050162964129</v>
      </c>
      <c r="K20" s="90"/>
    </row>
    <row r="21" spans="1:11" x14ac:dyDescent="0.25">
      <c r="C21" s="2"/>
      <c r="D21" s="2"/>
      <c r="E21" s="2"/>
      <c r="F21" s="2"/>
    </row>
    <row r="22" spans="1:11" x14ac:dyDescent="0.25">
      <c r="C22" s="2"/>
      <c r="D22" s="2"/>
      <c r="E22" s="2"/>
      <c r="F22" s="2"/>
    </row>
    <row r="23" spans="1:11" x14ac:dyDescent="0.25">
      <c r="C23" s="2"/>
      <c r="D23" s="2"/>
      <c r="E23" s="2"/>
      <c r="F23" s="2"/>
    </row>
    <row r="24" spans="1:11" x14ac:dyDescent="0.25">
      <c r="C24" s="2"/>
      <c r="D24" s="2"/>
      <c r="E24" s="2"/>
      <c r="F24" s="2"/>
    </row>
    <row r="25" spans="1:11" x14ac:dyDescent="0.25">
      <c r="C25" s="2"/>
      <c r="D25" s="2"/>
      <c r="E25" s="2"/>
      <c r="F25" s="2"/>
    </row>
    <row r="26" spans="1:11" x14ac:dyDescent="0.25">
      <c r="C26" s="2"/>
      <c r="D26" s="2"/>
      <c r="E26" s="2"/>
      <c r="F26" s="2"/>
    </row>
    <row r="27" spans="1:11" x14ac:dyDescent="0.25">
      <c r="C27" s="2"/>
      <c r="D27" s="2"/>
      <c r="E27" s="2"/>
      <c r="F27" s="2"/>
    </row>
    <row r="28" spans="1:11" x14ac:dyDescent="0.25">
      <c r="C28" s="2"/>
      <c r="D28" s="2"/>
      <c r="E28" s="2"/>
      <c r="F28" s="2"/>
    </row>
    <row r="29" spans="1:11" x14ac:dyDescent="0.25">
      <c r="C29" s="2"/>
      <c r="D29" s="2"/>
      <c r="E29" s="2"/>
      <c r="F29" s="2"/>
    </row>
    <row r="30" spans="1:11" x14ac:dyDescent="0.25">
      <c r="C30" s="2"/>
      <c r="D30" s="2"/>
      <c r="E30" s="2"/>
      <c r="F30" s="2"/>
    </row>
    <row r="31" spans="1:11" x14ac:dyDescent="0.25">
      <c r="C31" s="2"/>
      <c r="D31" s="2"/>
      <c r="E31" s="2"/>
      <c r="F31" s="2"/>
    </row>
    <row r="32" spans="1:11" x14ac:dyDescent="0.25">
      <c r="C32" s="2"/>
      <c r="D32" s="2"/>
      <c r="E32" s="2"/>
      <c r="F32" s="2"/>
    </row>
    <row r="33" spans="3:6" x14ac:dyDescent="0.25">
      <c r="C33" s="2"/>
      <c r="D33" s="2"/>
      <c r="E33" s="2"/>
      <c r="F33" s="2"/>
    </row>
    <row r="34" spans="3:6" x14ac:dyDescent="0.25">
      <c r="C34" s="2"/>
      <c r="D34" s="2"/>
      <c r="E34" s="2"/>
      <c r="F34" s="2"/>
    </row>
    <row r="35" spans="3:6" x14ac:dyDescent="0.25">
      <c r="C35" s="2"/>
      <c r="D35" s="2"/>
      <c r="E35" s="2"/>
      <c r="F35" s="2"/>
    </row>
  </sheetData>
  <mergeCells count="1">
    <mergeCell ref="C5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1FB0-8054-43D1-A839-AFBEE53C2BF1}">
  <dimension ref="A1:I33"/>
  <sheetViews>
    <sheetView workbookViewId="0">
      <selection activeCell="F6" sqref="F6"/>
    </sheetView>
  </sheetViews>
  <sheetFormatPr defaultRowHeight="15" x14ac:dyDescent="0.25"/>
  <cols>
    <col min="3" max="3" width="9.5703125" bestFit="1" customWidth="1"/>
    <col min="4" max="4" width="9" bestFit="1" customWidth="1"/>
    <col min="8" max="9" width="10.5703125" bestFit="1" customWidth="1"/>
  </cols>
  <sheetData>
    <row r="1" spans="1:9" ht="23.25" x14ac:dyDescent="0.35">
      <c r="A1" s="1" t="s">
        <v>0</v>
      </c>
    </row>
    <row r="2" spans="1:9" ht="21" x14ac:dyDescent="0.35">
      <c r="A2" s="97" t="s">
        <v>70</v>
      </c>
    </row>
    <row r="6" spans="1:9" x14ac:dyDescent="0.25">
      <c r="C6" s="12" t="s">
        <v>38</v>
      </c>
      <c r="D6" s="12" t="s">
        <v>39</v>
      </c>
      <c r="E6" s="12" t="s">
        <v>40</v>
      </c>
      <c r="F6" s="12" t="s">
        <v>31</v>
      </c>
    </row>
    <row r="7" spans="1:9" x14ac:dyDescent="0.25">
      <c r="A7" t="s">
        <v>68</v>
      </c>
      <c r="C7" s="47">
        <v>5492</v>
      </c>
      <c r="D7" s="47">
        <v>14229</v>
      </c>
      <c r="E7" s="41">
        <f t="shared" ref="E7:E18" si="0">+D7+C7</f>
        <v>19721</v>
      </c>
      <c r="F7" s="40">
        <f>+C7/E7</f>
        <v>0.27848486385071752</v>
      </c>
      <c r="H7" s="2"/>
      <c r="I7" s="43"/>
    </row>
    <row r="8" spans="1:9" x14ac:dyDescent="0.25">
      <c r="A8" t="s">
        <v>15</v>
      </c>
      <c r="C8" s="47">
        <v>5509</v>
      </c>
      <c r="D8" s="47">
        <v>14245</v>
      </c>
      <c r="E8" s="41">
        <f t="shared" si="0"/>
        <v>19754</v>
      </c>
      <c r="F8" s="40">
        <f t="shared" ref="F8:F18" si="1">+C8/E8</f>
        <v>0.27888022678951097</v>
      </c>
      <c r="H8" s="2"/>
      <c r="I8" s="43"/>
    </row>
    <row r="9" spans="1:9" x14ac:dyDescent="0.25">
      <c r="A9" t="s">
        <v>69</v>
      </c>
      <c r="C9" s="47">
        <v>5522</v>
      </c>
      <c r="D9" s="47">
        <v>14270</v>
      </c>
      <c r="E9" s="41">
        <f t="shared" si="0"/>
        <v>19792</v>
      </c>
      <c r="F9" s="40">
        <f t="shared" si="1"/>
        <v>0.27900161681487468</v>
      </c>
      <c r="H9" s="2"/>
      <c r="I9" s="43"/>
    </row>
    <row r="10" spans="1:9" x14ac:dyDescent="0.25">
      <c r="A10" t="s">
        <v>18</v>
      </c>
      <c r="C10" s="47">
        <v>5384</v>
      </c>
      <c r="D10" s="47">
        <v>14248</v>
      </c>
      <c r="E10" s="41">
        <f t="shared" si="0"/>
        <v>19632</v>
      </c>
      <c r="F10" s="40">
        <f t="shared" si="1"/>
        <v>0.27424612876935617</v>
      </c>
      <c r="H10" s="2"/>
      <c r="I10" s="43"/>
    </row>
    <row r="11" spans="1:9" x14ac:dyDescent="0.25">
      <c r="A11" t="s">
        <v>19</v>
      </c>
      <c r="C11" s="47">
        <v>5429</v>
      </c>
      <c r="D11" s="47">
        <v>14325</v>
      </c>
      <c r="E11" s="41">
        <f t="shared" si="0"/>
        <v>19754</v>
      </c>
      <c r="F11" s="40">
        <f t="shared" si="1"/>
        <v>0.27483041409334819</v>
      </c>
      <c r="H11" s="2"/>
      <c r="I11" s="43"/>
    </row>
    <row r="12" spans="1:9" x14ac:dyDescent="0.25">
      <c r="A12" t="s">
        <v>20</v>
      </c>
      <c r="C12" s="41">
        <v>5517</v>
      </c>
      <c r="D12" s="41">
        <v>14395</v>
      </c>
      <c r="E12" s="41">
        <f t="shared" si="0"/>
        <v>19912</v>
      </c>
      <c r="F12" s="40">
        <f t="shared" si="1"/>
        <v>0.27706910405785456</v>
      </c>
      <c r="H12" s="2"/>
      <c r="I12" s="43"/>
    </row>
    <row r="13" spans="1:9" x14ac:dyDescent="0.25">
      <c r="A13" t="s">
        <v>8</v>
      </c>
      <c r="C13" s="41">
        <v>5603</v>
      </c>
      <c r="D13" s="41">
        <v>14465</v>
      </c>
      <c r="E13" s="41">
        <f t="shared" si="0"/>
        <v>20068</v>
      </c>
      <c r="F13" s="40">
        <f t="shared" si="1"/>
        <v>0.27920071756029502</v>
      </c>
      <c r="H13" s="2"/>
      <c r="I13" s="43"/>
    </row>
    <row r="14" spans="1:9" x14ac:dyDescent="0.25">
      <c r="A14" t="s">
        <v>9</v>
      </c>
      <c r="C14" s="41">
        <v>5666</v>
      </c>
      <c r="D14" s="41">
        <v>14513</v>
      </c>
      <c r="E14" s="41">
        <f t="shared" si="0"/>
        <v>20179</v>
      </c>
      <c r="F14" s="40">
        <f t="shared" si="1"/>
        <v>0.28078695673720205</v>
      </c>
      <c r="H14" s="2"/>
      <c r="I14" s="43"/>
    </row>
    <row r="15" spans="1:9" x14ac:dyDescent="0.25">
      <c r="A15" t="s">
        <v>10</v>
      </c>
      <c r="C15" s="41">
        <v>5742</v>
      </c>
      <c r="D15" s="41">
        <v>14531</v>
      </c>
      <c r="E15" s="41">
        <f t="shared" si="0"/>
        <v>20273</v>
      </c>
      <c r="F15" s="40">
        <f t="shared" si="1"/>
        <v>0.2832338578404775</v>
      </c>
      <c r="H15" s="2"/>
      <c r="I15" s="43"/>
    </row>
    <row r="16" spans="1:9" x14ac:dyDescent="0.25">
      <c r="A16" t="s">
        <v>11</v>
      </c>
      <c r="C16" s="47">
        <v>5816</v>
      </c>
      <c r="D16" s="47">
        <v>14536</v>
      </c>
      <c r="E16" s="41">
        <f t="shared" si="0"/>
        <v>20352</v>
      </c>
      <c r="F16" s="40">
        <f t="shared" si="1"/>
        <v>0.28577044025157233</v>
      </c>
      <c r="H16" s="2"/>
      <c r="I16" s="43"/>
    </row>
    <row r="17" spans="1:9" x14ac:dyDescent="0.25">
      <c r="A17" t="s">
        <v>12</v>
      </c>
      <c r="C17" s="47">
        <v>5842</v>
      </c>
      <c r="D17" s="47">
        <v>14460</v>
      </c>
      <c r="E17" s="41">
        <f t="shared" si="0"/>
        <v>20302</v>
      </c>
      <c r="F17" s="40">
        <f t="shared" si="1"/>
        <v>0.28775490099497586</v>
      </c>
      <c r="H17" s="2"/>
      <c r="I17" s="43"/>
    </row>
    <row r="18" spans="1:9" ht="17.25" x14ac:dyDescent="0.4">
      <c r="A18" t="s">
        <v>13</v>
      </c>
      <c r="C18" s="111">
        <v>5856</v>
      </c>
      <c r="D18" s="111">
        <v>14473</v>
      </c>
      <c r="E18" s="78">
        <f t="shared" si="0"/>
        <v>20329</v>
      </c>
      <c r="F18" s="79">
        <f t="shared" si="1"/>
        <v>0.28806139013232329</v>
      </c>
      <c r="H18" s="2"/>
      <c r="I18" s="43"/>
    </row>
    <row r="19" spans="1:9" ht="17.25" x14ac:dyDescent="0.4">
      <c r="C19" s="80">
        <f>SUM(C7:C18)</f>
        <v>67378</v>
      </c>
      <c r="D19" s="80">
        <f t="shared" ref="D19:E19" si="2">SUM(D7:D18)</f>
        <v>172690</v>
      </c>
      <c r="E19" s="80">
        <f t="shared" si="2"/>
        <v>240068</v>
      </c>
      <c r="F19" s="81">
        <f>+C19/E19</f>
        <v>0.28066214572537779</v>
      </c>
      <c r="I19" s="43"/>
    </row>
    <row r="20" spans="1:9" x14ac:dyDescent="0.25">
      <c r="C20" s="41"/>
      <c r="D20" s="41"/>
      <c r="E20" s="41"/>
    </row>
    <row r="21" spans="1:9" x14ac:dyDescent="0.25">
      <c r="C21" s="41"/>
      <c r="D21" s="41"/>
      <c r="E21" s="41"/>
    </row>
    <row r="22" spans="1:9" x14ac:dyDescent="0.25">
      <c r="C22" s="41"/>
      <c r="D22" s="41"/>
      <c r="E22" s="41"/>
    </row>
    <row r="23" spans="1:9" x14ac:dyDescent="0.25">
      <c r="C23" s="41"/>
      <c r="D23" s="41"/>
      <c r="E23" s="41"/>
    </row>
    <row r="24" spans="1:9" x14ac:dyDescent="0.25">
      <c r="C24" s="41"/>
      <c r="D24" s="41"/>
      <c r="E24" s="41"/>
    </row>
    <row r="25" spans="1:9" x14ac:dyDescent="0.25">
      <c r="C25" s="41"/>
      <c r="D25" s="41"/>
      <c r="E25" s="41"/>
    </row>
    <row r="26" spans="1:9" x14ac:dyDescent="0.25">
      <c r="C26" s="41"/>
      <c r="D26" s="41"/>
      <c r="E26" s="41"/>
    </row>
    <row r="27" spans="1:9" x14ac:dyDescent="0.25">
      <c r="C27" s="41"/>
      <c r="D27" s="41"/>
      <c r="E27" s="41"/>
    </row>
    <row r="28" spans="1:9" x14ac:dyDescent="0.25">
      <c r="C28" s="41"/>
      <c r="D28" s="41"/>
      <c r="E28" s="41"/>
    </row>
    <row r="29" spans="1:9" x14ac:dyDescent="0.25">
      <c r="C29" s="41"/>
      <c r="D29" s="41"/>
      <c r="E29" s="41"/>
    </row>
    <row r="30" spans="1:9" x14ac:dyDescent="0.25">
      <c r="C30" s="41"/>
      <c r="D30" s="41"/>
      <c r="E30" s="41"/>
    </row>
    <row r="31" spans="1:9" x14ac:dyDescent="0.25">
      <c r="C31" s="41"/>
      <c r="D31" s="41"/>
      <c r="E31" s="41"/>
    </row>
    <row r="32" spans="1:9" x14ac:dyDescent="0.25">
      <c r="C32" s="41"/>
      <c r="D32" s="41"/>
      <c r="E32" s="41"/>
    </row>
    <row r="33" spans="3:5" x14ac:dyDescent="0.25">
      <c r="C33" s="41"/>
      <c r="D33" s="41"/>
      <c r="E33" s="4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113D8-2B56-46F9-A458-C066B34B8EDE}">
  <dimension ref="A1:Z54"/>
  <sheetViews>
    <sheetView topLeftCell="A31" workbookViewId="0">
      <selection activeCell="A50" sqref="A50"/>
    </sheetView>
  </sheetViews>
  <sheetFormatPr defaultRowHeight="15" x14ac:dyDescent="0.25"/>
  <cols>
    <col min="1" max="1" width="19" customWidth="1"/>
    <col min="2" max="2" width="10" bestFit="1" customWidth="1"/>
    <col min="3" max="3" width="7.7109375" bestFit="1" customWidth="1"/>
    <col min="4" max="4" width="10" bestFit="1" customWidth="1"/>
    <col min="5" max="5" width="10.5703125" bestFit="1" customWidth="1"/>
    <col min="6" max="6" width="9.7109375" bestFit="1" customWidth="1"/>
    <col min="7" max="7" width="7.7109375" bestFit="1" customWidth="1"/>
    <col min="8" max="8" width="10" bestFit="1" customWidth="1"/>
    <col min="9" max="9" width="7.7109375" bestFit="1" customWidth="1"/>
    <col min="10" max="10" width="9.5703125" bestFit="1" customWidth="1"/>
    <col min="11" max="11" width="9.140625" bestFit="1" customWidth="1"/>
    <col min="12" max="12" width="10" bestFit="1" customWidth="1"/>
    <col min="13" max="13" width="7.7109375" bestFit="1" customWidth="1"/>
    <col min="14" max="14" width="9.7109375" bestFit="1" customWidth="1"/>
    <col min="15" max="15" width="7.7109375" bestFit="1" customWidth="1"/>
    <col min="16" max="16" width="9.7109375" bestFit="1" customWidth="1"/>
    <col min="17" max="17" width="7.7109375" bestFit="1" customWidth="1"/>
    <col min="18" max="18" width="9.7109375" bestFit="1" customWidth="1"/>
    <col min="19" max="19" width="7.7109375" bestFit="1" customWidth="1"/>
    <col min="20" max="20" width="9.7109375" bestFit="1" customWidth="1"/>
    <col min="21" max="21" width="7.7109375" bestFit="1" customWidth="1"/>
    <col min="22" max="22" width="13.42578125" customWidth="1"/>
    <col min="23" max="23" width="7.7109375" bestFit="1" customWidth="1"/>
    <col min="24" max="24" width="12" customWidth="1"/>
    <col min="25" max="25" width="7.7109375" bestFit="1" customWidth="1"/>
    <col min="26" max="26" width="5" bestFit="1" customWidth="1"/>
  </cols>
  <sheetData>
    <row r="1" spans="1:26" ht="20.25" x14ac:dyDescent="0.3">
      <c r="A1" s="98" t="s">
        <v>37</v>
      </c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x14ac:dyDescent="0.25">
      <c r="A2" s="2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x14ac:dyDescent="0.25">
      <c r="A3" s="19"/>
      <c r="B3" s="19"/>
      <c r="C3" s="19"/>
      <c r="D3" s="19"/>
      <c r="E3" s="19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x14ac:dyDescent="0.25">
      <c r="A4" s="18"/>
      <c r="B4" s="118">
        <v>43770</v>
      </c>
      <c r="C4" s="118"/>
      <c r="D4" s="118">
        <v>43800</v>
      </c>
      <c r="E4" s="118"/>
      <c r="F4" s="118">
        <v>43831</v>
      </c>
      <c r="G4" s="118"/>
      <c r="H4" s="118">
        <v>43862</v>
      </c>
      <c r="I4" s="118"/>
      <c r="J4" s="118">
        <v>43891</v>
      </c>
      <c r="K4" s="118"/>
      <c r="L4" s="118">
        <v>43922</v>
      </c>
      <c r="M4" s="118"/>
      <c r="N4" s="118">
        <v>43952</v>
      </c>
      <c r="O4" s="118"/>
      <c r="P4" s="118">
        <v>43983</v>
      </c>
      <c r="Q4" s="118"/>
      <c r="R4" s="118">
        <v>44013</v>
      </c>
      <c r="S4" s="118"/>
      <c r="T4" s="118">
        <v>44044</v>
      </c>
      <c r="U4" s="118"/>
      <c r="V4" s="118">
        <v>44075</v>
      </c>
      <c r="W4" s="118"/>
      <c r="X4" s="118">
        <v>44105</v>
      </c>
      <c r="Y4" s="118"/>
      <c r="Z4" s="110"/>
    </row>
    <row r="5" spans="1:26" x14ac:dyDescent="0.25">
      <c r="A5" s="18"/>
      <c r="B5" s="24" t="s">
        <v>3</v>
      </c>
      <c r="C5" s="24" t="s">
        <v>31</v>
      </c>
      <c r="D5" s="24" t="s">
        <v>3</v>
      </c>
      <c r="E5" s="24" t="s">
        <v>31</v>
      </c>
      <c r="F5" s="24" t="s">
        <v>3</v>
      </c>
      <c r="G5" s="24" t="s">
        <v>31</v>
      </c>
      <c r="H5" s="24" t="s">
        <v>3</v>
      </c>
      <c r="I5" s="24" t="s">
        <v>31</v>
      </c>
      <c r="J5" s="24" t="s">
        <v>3</v>
      </c>
      <c r="K5" s="24" t="s">
        <v>31</v>
      </c>
      <c r="L5" s="24" t="s">
        <v>3</v>
      </c>
      <c r="M5" s="24" t="s">
        <v>31</v>
      </c>
      <c r="N5" s="24" t="s">
        <v>3</v>
      </c>
      <c r="O5" s="24" t="s">
        <v>31</v>
      </c>
      <c r="P5" s="24" t="s">
        <v>3</v>
      </c>
      <c r="Q5" s="24" t="s">
        <v>31</v>
      </c>
      <c r="R5" s="24" t="s">
        <v>3</v>
      </c>
      <c r="S5" s="24" t="s">
        <v>31</v>
      </c>
      <c r="T5" s="24" t="s">
        <v>3</v>
      </c>
      <c r="U5" s="24" t="s">
        <v>31</v>
      </c>
      <c r="V5" s="24" t="s">
        <v>3</v>
      </c>
      <c r="W5" s="24" t="s">
        <v>31</v>
      </c>
      <c r="X5" s="24" t="s">
        <v>3</v>
      </c>
      <c r="Y5" s="24" t="s">
        <v>31</v>
      </c>
      <c r="Z5" s="24"/>
    </row>
    <row r="6" spans="1:26" x14ac:dyDescent="0.25">
      <c r="A6" s="18" t="s">
        <v>24</v>
      </c>
      <c r="B6" s="99">
        <v>418.89579599999996</v>
      </c>
      <c r="C6" s="21">
        <f t="shared" ref="C6:C17" si="0">+B6/B$17</f>
        <v>0.25859837100874283</v>
      </c>
      <c r="D6" s="25">
        <v>498.58</v>
      </c>
      <c r="E6" s="21">
        <f t="shared" ref="E6:E17" si="1">+D6/D$17</f>
        <v>0.26217456920350629</v>
      </c>
      <c r="F6" s="25">
        <v>450.98</v>
      </c>
      <c r="G6" s="21">
        <f t="shared" ref="G6:G17" si="2">+F6/F$17</f>
        <v>0.23070154796861089</v>
      </c>
      <c r="H6" s="25">
        <v>349.52</v>
      </c>
      <c r="I6" s="21">
        <f t="shared" ref="I6:I17" si="3">+H6/H$17</f>
        <v>0.2343758382061048</v>
      </c>
      <c r="J6" s="25">
        <v>394.31</v>
      </c>
      <c r="K6" s="21">
        <f t="shared" ref="K6:K15" si="4">+J6/J$17</f>
        <v>0.23560024856002487</v>
      </c>
      <c r="L6" s="25">
        <v>384.94</v>
      </c>
      <c r="M6" s="21">
        <f t="shared" ref="M6:M15" si="5">+L6/L$17</f>
        <v>0.21190252065683501</v>
      </c>
      <c r="N6" s="25">
        <v>316.43</v>
      </c>
      <c r="O6" s="21">
        <f t="shared" ref="O6:Y15" si="6">+N6/N$17</f>
        <v>0.17440021164137812</v>
      </c>
      <c r="P6" s="25">
        <v>347.11</v>
      </c>
      <c r="Q6" s="21">
        <f t="shared" si="6"/>
        <v>0.19519972107095257</v>
      </c>
      <c r="R6" s="25">
        <v>328.7</v>
      </c>
      <c r="S6" s="21">
        <f t="shared" si="6"/>
        <v>0.17520014497851971</v>
      </c>
      <c r="T6" s="25">
        <v>294.73</v>
      </c>
      <c r="U6" s="21">
        <f t="shared" si="6"/>
        <v>0.1774007150681963</v>
      </c>
      <c r="V6" s="25">
        <v>340.18</v>
      </c>
      <c r="W6" s="21">
        <f t="shared" si="6"/>
        <v>0.19160212903770876</v>
      </c>
      <c r="X6" s="25">
        <v>340.77</v>
      </c>
      <c r="Y6" s="21">
        <f t="shared" si="6"/>
        <v>0.19460228083901066</v>
      </c>
      <c r="Z6" s="25"/>
    </row>
    <row r="7" spans="1:26" x14ac:dyDescent="0.25">
      <c r="A7" s="18" t="s">
        <v>25</v>
      </c>
      <c r="B7" s="99">
        <v>0</v>
      </c>
      <c r="C7" s="21">
        <f t="shared" si="0"/>
        <v>0</v>
      </c>
      <c r="D7" s="25">
        <v>0</v>
      </c>
      <c r="E7" s="21">
        <f t="shared" si="1"/>
        <v>0</v>
      </c>
      <c r="F7" s="25">
        <v>0</v>
      </c>
      <c r="G7" s="21">
        <f t="shared" si="2"/>
        <v>0</v>
      </c>
      <c r="H7" s="25">
        <v>0</v>
      </c>
      <c r="I7" s="21">
        <f t="shared" si="3"/>
        <v>0</v>
      </c>
      <c r="J7" s="25">
        <v>0</v>
      </c>
      <c r="K7" s="21">
        <f t="shared" si="4"/>
        <v>0</v>
      </c>
      <c r="L7" s="25">
        <v>0</v>
      </c>
      <c r="M7" s="21">
        <f t="shared" si="5"/>
        <v>0</v>
      </c>
      <c r="N7" s="25">
        <v>0</v>
      </c>
      <c r="O7" s="21">
        <f t="shared" si="6"/>
        <v>0</v>
      </c>
      <c r="P7" s="25">
        <v>0</v>
      </c>
      <c r="Q7" s="21">
        <f t="shared" si="6"/>
        <v>0</v>
      </c>
      <c r="R7" s="25">
        <v>0</v>
      </c>
      <c r="S7" s="21">
        <f t="shared" si="6"/>
        <v>0</v>
      </c>
      <c r="T7" s="25"/>
      <c r="U7" s="21">
        <f t="shared" si="6"/>
        <v>0</v>
      </c>
      <c r="V7" s="25">
        <f t="shared" ref="V7:X15" si="7">+T7</f>
        <v>0</v>
      </c>
      <c r="W7" s="21">
        <f t="shared" si="6"/>
        <v>0</v>
      </c>
      <c r="X7" s="25">
        <f t="shared" si="7"/>
        <v>0</v>
      </c>
      <c r="Y7" s="21">
        <f t="shared" si="6"/>
        <v>0</v>
      </c>
      <c r="Z7" s="25"/>
    </row>
    <row r="8" spans="1:26" x14ac:dyDescent="0.25">
      <c r="A8" s="18" t="s">
        <v>21</v>
      </c>
      <c r="B8" s="99">
        <v>595.29854999999998</v>
      </c>
      <c r="C8" s="21">
        <f t="shared" si="0"/>
        <v>0.36749768501822505</v>
      </c>
      <c r="D8" s="25">
        <v>717.45</v>
      </c>
      <c r="E8" s="21">
        <f t="shared" si="1"/>
        <v>0.3772657240062891</v>
      </c>
      <c r="F8" s="25">
        <v>719.76</v>
      </c>
      <c r="G8" s="21">
        <f t="shared" si="2"/>
        <v>0.36819758340921405</v>
      </c>
      <c r="H8" s="25">
        <v>549.17999999999995</v>
      </c>
      <c r="I8" s="21">
        <f t="shared" si="3"/>
        <v>0.36826082291722545</v>
      </c>
      <c r="J8" s="25">
        <v>628.45000000000005</v>
      </c>
      <c r="K8" s="21">
        <f t="shared" si="4"/>
        <v>0.37549891254989132</v>
      </c>
      <c r="L8" s="25">
        <v>689.21</v>
      </c>
      <c r="M8" s="21">
        <f t="shared" si="5"/>
        <v>0.37939766265365321</v>
      </c>
      <c r="N8" s="25">
        <v>710.52</v>
      </c>
      <c r="O8" s="21">
        <f t="shared" si="6"/>
        <v>0.39160268740458226</v>
      </c>
      <c r="P8" s="25">
        <v>723.03</v>
      </c>
      <c r="Q8" s="21">
        <f t="shared" si="6"/>
        <v>0.40660094588439061</v>
      </c>
      <c r="R8" s="25">
        <v>766.78</v>
      </c>
      <c r="S8" s="21">
        <f t="shared" si="6"/>
        <v>0.40870084322065514</v>
      </c>
      <c r="T8" s="25">
        <v>642.46</v>
      </c>
      <c r="U8" s="21">
        <f t="shared" si="6"/>
        <v>0.38670262071290129</v>
      </c>
      <c r="V8" s="25">
        <v>714.45</v>
      </c>
      <c r="W8" s="21">
        <f t="shared" si="6"/>
        <v>0.40240502407840273</v>
      </c>
      <c r="X8" s="25">
        <v>722.51</v>
      </c>
      <c r="Y8" s="21">
        <f t="shared" si="6"/>
        <v>0.41260115012763332</v>
      </c>
      <c r="Z8" s="25"/>
    </row>
    <row r="9" spans="1:26" x14ac:dyDescent="0.25">
      <c r="A9" s="18" t="s">
        <v>26</v>
      </c>
      <c r="B9" s="99">
        <v>22.192081999999999</v>
      </c>
      <c r="C9" s="21">
        <f t="shared" si="0"/>
        <v>1.3699913699999138E-2</v>
      </c>
      <c r="D9" s="25">
        <v>22.06</v>
      </c>
      <c r="E9" s="21">
        <f t="shared" si="1"/>
        <v>1.1600086238175116E-2</v>
      </c>
      <c r="F9" s="25">
        <v>24.63</v>
      </c>
      <c r="G9" s="21">
        <f t="shared" si="2"/>
        <v>1.2599625540970522E-2</v>
      </c>
      <c r="H9" s="26">
        <v>20.43</v>
      </c>
      <c r="I9" s="21">
        <f t="shared" si="3"/>
        <v>1.3699640577222252E-2</v>
      </c>
      <c r="J9" s="26">
        <v>24.94</v>
      </c>
      <c r="K9" s="21">
        <f t="shared" si="4"/>
        <v>1.4901651490165152E-2</v>
      </c>
      <c r="L9" s="25">
        <v>34.880000000000003</v>
      </c>
      <c r="M9" s="21">
        <f t="shared" si="5"/>
        <v>1.92008103094259E-2</v>
      </c>
      <c r="N9" s="25">
        <v>34.11</v>
      </c>
      <c r="O9" s="21">
        <f t="shared" si="6"/>
        <v>1.8799706788507432E-2</v>
      </c>
      <c r="P9" s="25">
        <v>31.65</v>
      </c>
      <c r="Q9" s="21">
        <f t="shared" si="6"/>
        <v>1.7798597481765571E-2</v>
      </c>
      <c r="R9" s="25">
        <v>34.71</v>
      </c>
      <c r="S9" s="21">
        <f t="shared" si="6"/>
        <v>1.8500751543061817E-2</v>
      </c>
      <c r="T9" s="25">
        <v>29.57</v>
      </c>
      <c r="U9" s="21">
        <f t="shared" si="6"/>
        <v>1.77984567046672E-2</v>
      </c>
      <c r="V9" s="25">
        <v>33.020000000000003</v>
      </c>
      <c r="W9" s="21">
        <f t="shared" si="6"/>
        <v>1.8598101889661781E-2</v>
      </c>
      <c r="X9" s="25">
        <v>28.89</v>
      </c>
      <c r="Y9" s="21">
        <f t="shared" si="6"/>
        <v>1.6498106915042457E-2</v>
      </c>
      <c r="Z9" s="25"/>
    </row>
    <row r="10" spans="1:26" x14ac:dyDescent="0.25">
      <c r="A10" s="18" t="s">
        <v>30</v>
      </c>
      <c r="B10" s="99">
        <v>38.390681999999998</v>
      </c>
      <c r="C10" s="21">
        <f t="shared" si="0"/>
        <v>2.3699850707297777E-2</v>
      </c>
      <c r="D10" s="25">
        <v>38.409999999999997</v>
      </c>
      <c r="E10" s="21">
        <f t="shared" si="1"/>
        <v>2.0197611623223307E-2</v>
      </c>
      <c r="F10" s="25">
        <v>40.46</v>
      </c>
      <c r="G10" s="21">
        <f t="shared" si="2"/>
        <v>2.0697557831411584E-2</v>
      </c>
      <c r="H10" s="26">
        <v>32.659999999999997</v>
      </c>
      <c r="I10" s="21">
        <f t="shared" si="3"/>
        <v>2.1900649106807574E-2</v>
      </c>
      <c r="J10" s="26">
        <v>29.96</v>
      </c>
      <c r="K10" s="21">
        <f t="shared" si="4"/>
        <v>1.7901101790110181E-2</v>
      </c>
      <c r="L10" s="25">
        <v>49.41</v>
      </c>
      <c r="M10" s="21">
        <f t="shared" si="5"/>
        <v>2.7199312998530206E-2</v>
      </c>
      <c r="N10" s="25">
        <v>43.36</v>
      </c>
      <c r="O10" s="21">
        <f t="shared" si="6"/>
        <v>2.3897838943115871E-2</v>
      </c>
      <c r="P10" s="25">
        <v>36.630000000000003</v>
      </c>
      <c r="Q10" s="21">
        <f t="shared" si="6"/>
        <v>2.0599135095010206E-2</v>
      </c>
      <c r="R10" s="25">
        <v>38.270000000000003</v>
      </c>
      <c r="S10" s="21">
        <f t="shared" si="6"/>
        <v>2.0398264521837389E-2</v>
      </c>
      <c r="T10" s="25">
        <v>35.22</v>
      </c>
      <c r="U10" s="21">
        <f t="shared" si="6"/>
        <v>2.1199244001974257E-2</v>
      </c>
      <c r="V10" s="25">
        <v>40.299999999999997</v>
      </c>
      <c r="W10" s="21">
        <f t="shared" si="6"/>
        <v>2.2698470810217128E-2</v>
      </c>
      <c r="X10" s="25">
        <v>35.72</v>
      </c>
      <c r="Y10" s="21">
        <f t="shared" si="6"/>
        <v>2.0398490100564784E-2</v>
      </c>
      <c r="Z10" s="25"/>
    </row>
    <row r="11" spans="1:26" x14ac:dyDescent="0.25">
      <c r="A11" s="18" t="s">
        <v>22</v>
      </c>
      <c r="B11" s="99">
        <v>210.58179999999999</v>
      </c>
      <c r="C11" s="21">
        <f t="shared" si="0"/>
        <v>0.12999918109488232</v>
      </c>
      <c r="D11" s="25">
        <v>224.95</v>
      </c>
      <c r="E11" s="21">
        <f t="shared" si="1"/>
        <v>0.11828827739245205</v>
      </c>
      <c r="F11" s="25">
        <v>311.99</v>
      </c>
      <c r="G11" s="21">
        <f t="shared" si="2"/>
        <v>0.15960037241280525</v>
      </c>
      <c r="H11" s="26">
        <v>238.88</v>
      </c>
      <c r="I11" s="21">
        <f t="shared" si="3"/>
        <v>0.16018453945603778</v>
      </c>
      <c r="J11" s="26">
        <v>250.88</v>
      </c>
      <c r="K11" s="21">
        <f t="shared" si="4"/>
        <v>0.14990081499008151</v>
      </c>
      <c r="L11" s="25">
        <v>256.68</v>
      </c>
      <c r="M11" s="21">
        <f t="shared" si="5"/>
        <v>0.14129770614172707</v>
      </c>
      <c r="N11" s="25">
        <v>296.47000000000003</v>
      </c>
      <c r="O11" s="21">
        <f t="shared" si="6"/>
        <v>0.16339926917586631</v>
      </c>
      <c r="P11" s="25">
        <v>249.84</v>
      </c>
      <c r="Q11" s="21">
        <f t="shared" si="6"/>
        <v>0.14049926050061015</v>
      </c>
      <c r="R11" s="25">
        <v>297.37</v>
      </c>
      <c r="S11" s="21">
        <f t="shared" si="6"/>
        <v>0.15850096474676728</v>
      </c>
      <c r="T11" s="25">
        <v>269.81</v>
      </c>
      <c r="U11" s="21">
        <f t="shared" si="6"/>
        <v>0.1624011364046756</v>
      </c>
      <c r="V11" s="25">
        <v>271.29000000000002</v>
      </c>
      <c r="W11" s="21">
        <f t="shared" si="6"/>
        <v>0.15280069841448649</v>
      </c>
      <c r="X11" s="25">
        <v>231.85</v>
      </c>
      <c r="Y11" s="21">
        <f t="shared" si="6"/>
        <v>0.13240173375744527</v>
      </c>
      <c r="Z11" s="25"/>
    </row>
    <row r="12" spans="1:26" x14ac:dyDescent="0.25">
      <c r="A12" s="18" t="s">
        <v>23</v>
      </c>
      <c r="B12" s="99">
        <v>52.321477999999999</v>
      </c>
      <c r="C12" s="21">
        <f t="shared" si="0"/>
        <v>3.2299796533574614E-2</v>
      </c>
      <c r="D12" s="25">
        <v>59.71</v>
      </c>
      <c r="E12" s="21">
        <f t="shared" si="1"/>
        <v>3.1398057537689761E-2</v>
      </c>
      <c r="F12" s="25">
        <v>62.16</v>
      </c>
      <c r="G12" s="21">
        <f t="shared" si="2"/>
        <v>3.1798324142376273E-2</v>
      </c>
      <c r="H12" s="26">
        <v>49.8</v>
      </c>
      <c r="I12" s="21">
        <f t="shared" si="3"/>
        <v>3.339413121613647E-2</v>
      </c>
      <c r="J12" s="26">
        <v>54.73</v>
      </c>
      <c r="K12" s="21">
        <f t="shared" si="4"/>
        <v>3.2701178270117828E-2</v>
      </c>
      <c r="L12" s="25">
        <v>70.849999999999994</v>
      </c>
      <c r="M12" s="21">
        <f t="shared" si="5"/>
        <v>3.9001645941021353E-2</v>
      </c>
      <c r="N12" s="25">
        <v>74.03</v>
      </c>
      <c r="O12" s="21">
        <f t="shared" si="6"/>
        <v>4.0801591719531086E-2</v>
      </c>
      <c r="P12" s="25">
        <v>67.39</v>
      </c>
      <c r="Q12" s="21">
        <f t="shared" si="6"/>
        <v>3.7897234890874626E-2</v>
      </c>
      <c r="R12" s="25">
        <v>81.61</v>
      </c>
      <c r="S12" s="21">
        <f t="shared" si="6"/>
        <v>4.3498886010638865E-2</v>
      </c>
      <c r="T12" s="25">
        <v>75.260000000000005</v>
      </c>
      <c r="U12" s="21">
        <f t="shared" si="6"/>
        <v>4.5299690618642328E-2</v>
      </c>
      <c r="V12" s="25">
        <v>75.28</v>
      </c>
      <c r="W12" s="21">
        <f t="shared" si="6"/>
        <v>4.2400518178489964E-2</v>
      </c>
      <c r="X12" s="25">
        <v>72.150000000000006</v>
      </c>
      <c r="Y12" s="21">
        <f t="shared" si="6"/>
        <v>4.1202437311191185E-2</v>
      </c>
      <c r="Z12" s="25"/>
    </row>
    <row r="13" spans="1:26" x14ac:dyDescent="0.25">
      <c r="A13" s="18" t="s">
        <v>27</v>
      </c>
      <c r="B13" s="99">
        <v>16.684557999999999</v>
      </c>
      <c r="C13" s="21">
        <f t="shared" si="0"/>
        <v>1.0299935117517599E-2</v>
      </c>
      <c r="D13" s="25">
        <v>18.25</v>
      </c>
      <c r="E13" s="21">
        <f t="shared" si="1"/>
        <v>9.5966261943198489E-3</v>
      </c>
      <c r="F13" s="25">
        <v>17.2</v>
      </c>
      <c r="G13" s="21">
        <f t="shared" si="2"/>
        <v>8.7987640805803069E-3</v>
      </c>
      <c r="H13" s="26">
        <v>13.42</v>
      </c>
      <c r="I13" s="21">
        <f t="shared" si="3"/>
        <v>8.998980741376535E-3</v>
      </c>
      <c r="J13" s="26">
        <v>15.06</v>
      </c>
      <c r="K13" s="21">
        <f t="shared" si="4"/>
        <v>8.9983508998350906E-3</v>
      </c>
      <c r="L13" s="25">
        <v>17.8</v>
      </c>
      <c r="M13" s="21">
        <f t="shared" si="5"/>
        <v>9.798578655612988E-3</v>
      </c>
      <c r="N13" s="25">
        <v>18.329999999999998</v>
      </c>
      <c r="O13" s="21">
        <f t="shared" si="6"/>
        <v>1.01025689074565E-2</v>
      </c>
      <c r="P13" s="25">
        <v>14.23</v>
      </c>
      <c r="Q13" s="21">
        <f t="shared" si="6"/>
        <v>8.0023394049138739E-3</v>
      </c>
      <c r="R13" s="25">
        <v>15.95</v>
      </c>
      <c r="S13" s="21">
        <f t="shared" si="6"/>
        <v>8.5014977560309984E-3</v>
      </c>
      <c r="T13" s="25">
        <v>14.45</v>
      </c>
      <c r="U13" s="21">
        <f t="shared" si="6"/>
        <v>8.6975887515198195E-3</v>
      </c>
      <c r="V13" s="25">
        <v>17.04</v>
      </c>
      <c r="W13" s="21">
        <f t="shared" si="6"/>
        <v>9.597566814047144E-3</v>
      </c>
      <c r="X13" s="25">
        <v>17.16</v>
      </c>
      <c r="Y13" s="21">
        <f t="shared" si="6"/>
        <v>9.7994986037427678E-3</v>
      </c>
      <c r="Z13" s="25"/>
    </row>
    <row r="14" spans="1:26" x14ac:dyDescent="0.25">
      <c r="A14" s="18" t="s">
        <v>28</v>
      </c>
      <c r="B14" s="99">
        <v>7.9373139999999989</v>
      </c>
      <c r="C14" s="21">
        <f t="shared" si="0"/>
        <v>4.8999691335763337E-3</v>
      </c>
      <c r="D14" s="25">
        <v>11.03</v>
      </c>
      <c r="E14" s="21">
        <f t="shared" si="1"/>
        <v>5.8000431190875579E-3</v>
      </c>
      <c r="F14" s="25">
        <v>9.9700000000000006</v>
      </c>
      <c r="G14" s="21">
        <f t="shared" si="2"/>
        <v>5.1002138304293999E-3</v>
      </c>
      <c r="H14" s="26">
        <v>9.5399999999999991</v>
      </c>
      <c r="I14" s="21">
        <f t="shared" si="3"/>
        <v>6.3971889920068662E-3</v>
      </c>
      <c r="J14" s="26">
        <v>9.5399999999999991</v>
      </c>
      <c r="K14" s="21">
        <f t="shared" si="4"/>
        <v>5.700150570015057E-3</v>
      </c>
      <c r="L14" s="25">
        <v>11.63</v>
      </c>
      <c r="M14" s="21">
        <f t="shared" si="5"/>
        <v>6.4021050429651149E-3</v>
      </c>
      <c r="N14" s="25">
        <v>12.16</v>
      </c>
      <c r="O14" s="21">
        <f t="shared" si="6"/>
        <v>6.7019769729771443E-3</v>
      </c>
      <c r="P14" s="25">
        <v>11.03</v>
      </c>
      <c r="Q14" s="21">
        <f t="shared" si="6"/>
        <v>6.2027971634715405E-3</v>
      </c>
      <c r="R14" s="25">
        <v>11.63</v>
      </c>
      <c r="S14" s="21">
        <f t="shared" si="6"/>
        <v>6.1988977368426668E-3</v>
      </c>
      <c r="T14" s="25">
        <v>9.9700000000000006</v>
      </c>
      <c r="U14" s="21">
        <f t="shared" si="6"/>
        <v>6.0010352839205954E-3</v>
      </c>
      <c r="V14" s="25">
        <v>10.119999999999999</v>
      </c>
      <c r="W14" s="21">
        <f t="shared" si="6"/>
        <v>5.6999633895632095E-3</v>
      </c>
      <c r="X14" s="25">
        <v>11.56</v>
      </c>
      <c r="Y14" s="21">
        <f t="shared" si="6"/>
        <v>6.6015270314257815E-3</v>
      </c>
      <c r="Z14" s="25"/>
    </row>
    <row r="15" spans="1:26" x14ac:dyDescent="0.25">
      <c r="A15" s="18" t="s">
        <v>29</v>
      </c>
      <c r="B15" s="99">
        <v>0.64794399999999996</v>
      </c>
      <c r="C15" s="21">
        <f t="shared" si="0"/>
        <v>3.9999748029194562E-4</v>
      </c>
      <c r="D15" s="25">
        <v>0.19</v>
      </c>
      <c r="E15" s="21">
        <f t="shared" si="1"/>
        <v>9.9910080927165547E-5</v>
      </c>
      <c r="F15" s="25">
        <v>0.2</v>
      </c>
      <c r="G15" s="21">
        <f t="shared" si="2"/>
        <v>1.0231121023930591E-4</v>
      </c>
      <c r="H15" s="26">
        <v>0.45</v>
      </c>
      <c r="I15" s="21">
        <f t="shared" si="3"/>
        <v>3.0175419773617297E-4</v>
      </c>
      <c r="J15" s="26">
        <v>0.67</v>
      </c>
      <c r="K15" s="21">
        <f t="shared" si="4"/>
        <v>4.0032504003250405E-4</v>
      </c>
      <c r="L15" s="25">
        <v>0</v>
      </c>
      <c r="M15" s="21">
        <f t="shared" si="5"/>
        <v>0</v>
      </c>
      <c r="N15" s="25">
        <v>0</v>
      </c>
      <c r="O15" s="21">
        <f t="shared" si="6"/>
        <v>0</v>
      </c>
      <c r="P15" s="25">
        <v>0.18</v>
      </c>
      <c r="Q15" s="21">
        <f t="shared" si="6"/>
        <v>1.0122425108113122E-4</v>
      </c>
      <c r="R15" s="25">
        <v>0.19</v>
      </c>
      <c r="S15" s="21">
        <f t="shared" si="6"/>
        <v>1.0127176010319059E-4</v>
      </c>
      <c r="T15" s="25">
        <v>0</v>
      </c>
      <c r="U15" s="21">
        <f t="shared" si="6"/>
        <v>0</v>
      </c>
      <c r="V15" s="25">
        <f t="shared" si="7"/>
        <v>0</v>
      </c>
      <c r="W15" s="21">
        <f t="shared" si="6"/>
        <v>0</v>
      </c>
      <c r="X15" s="25">
        <f t="shared" si="7"/>
        <v>0</v>
      </c>
      <c r="Y15" s="21">
        <f t="shared" si="6"/>
        <v>0</v>
      </c>
      <c r="Z15" s="25"/>
    </row>
    <row r="16" spans="1:26" ht="16.5" x14ac:dyDescent="0.35">
      <c r="A16" s="18" t="s">
        <v>32</v>
      </c>
      <c r="B16" s="30">
        <f>236.18+10.21+8.1+2.43</f>
        <v>256.92</v>
      </c>
      <c r="C16" s="31">
        <f t="shared" si="0"/>
        <v>0.15860530020589231</v>
      </c>
      <c r="D16" s="30">
        <f>2.47+6.08+11.22+291.31</f>
        <v>311.08</v>
      </c>
      <c r="E16" s="31">
        <f t="shared" si="1"/>
        <v>0.16357909460432979</v>
      </c>
      <c r="F16" s="30">
        <f>3.13+6.26+11.53+296.55</f>
        <v>317.47000000000003</v>
      </c>
      <c r="G16" s="31">
        <f t="shared" si="2"/>
        <v>0.16240369957336223</v>
      </c>
      <c r="H16" s="32">
        <f>1.79+8.2+7.16+210.25</f>
        <v>227.4</v>
      </c>
      <c r="I16" s="31">
        <f t="shared" si="3"/>
        <v>0.15248645458934607</v>
      </c>
      <c r="J16" s="32">
        <f>1.34+3.18+9.37+251.21</f>
        <v>265.10000000000002</v>
      </c>
      <c r="K16" s="31">
        <f t="shared" ref="K16" si="8">+J16/J$17</f>
        <v>0.1583972658397266</v>
      </c>
      <c r="L16" s="30">
        <f>1.82+4.72+13.44+281.21</f>
        <v>301.19</v>
      </c>
      <c r="M16" s="31">
        <f t="shared" ref="M16" si="9">+L16/L$17</f>
        <v>0.16579965760022897</v>
      </c>
      <c r="N16" s="30">
        <f>8.16+15.42+283.59+1.81</f>
        <v>308.97999999999996</v>
      </c>
      <c r="O16" s="31">
        <f t="shared" ref="O16:Y17" si="10">+N16/N$17</f>
        <v>0.17029414844658533</v>
      </c>
      <c r="P16" s="30">
        <f>1.42+6.4+15.47+273.85</f>
        <v>297.14000000000004</v>
      </c>
      <c r="Q16" s="31">
        <f t="shared" si="10"/>
        <v>0.16709874425692964</v>
      </c>
      <c r="R16" s="30">
        <f>0.19+8.63+15.57+276.54</f>
        <v>300.93</v>
      </c>
      <c r="S16" s="31">
        <f t="shared" si="10"/>
        <v>0.16039847772554286</v>
      </c>
      <c r="T16" s="30">
        <f>2.16+5.48+12.96+269.31</f>
        <v>289.91000000000003</v>
      </c>
      <c r="U16" s="31">
        <f t="shared" si="10"/>
        <v>0.17449951245350248</v>
      </c>
      <c r="V16" s="30">
        <f>247.32+18.11+6.39+1.95</f>
        <v>273.77</v>
      </c>
      <c r="W16" s="31">
        <f t="shared" si="10"/>
        <v>0.1541975273874229</v>
      </c>
      <c r="X16" s="30">
        <f>263.89+17.86+6.65+2.1</f>
        <v>290.5</v>
      </c>
      <c r="Y16" s="31">
        <f t="shared" si="10"/>
        <v>0.16589477531394373</v>
      </c>
      <c r="Z16" s="25"/>
    </row>
    <row r="17" spans="1:26" s="13" customFormat="1" ht="15.75" thickBot="1" x14ac:dyDescent="0.3">
      <c r="A17" s="27"/>
      <c r="B17" s="29">
        <f>SUM(B6:B16)</f>
        <v>1619.8702040000001</v>
      </c>
      <c r="C17" s="28">
        <f t="shared" si="0"/>
        <v>1</v>
      </c>
      <c r="D17" s="29">
        <f>SUM(D6:D16)</f>
        <v>1901.71</v>
      </c>
      <c r="E17" s="28">
        <f t="shared" si="1"/>
        <v>1</v>
      </c>
      <c r="F17" s="29">
        <f>SUM(F6:F16)</f>
        <v>1954.8200000000004</v>
      </c>
      <c r="G17" s="28">
        <f t="shared" si="2"/>
        <v>1</v>
      </c>
      <c r="H17" s="29">
        <f>SUM(H6:H16)</f>
        <v>1491.28</v>
      </c>
      <c r="I17" s="28">
        <f t="shared" si="3"/>
        <v>1</v>
      </c>
      <c r="J17" s="29">
        <f>SUM(J6:J16)</f>
        <v>1673.6399999999999</v>
      </c>
      <c r="K17" s="28">
        <f t="shared" ref="K17" si="11">+J17/J$17</f>
        <v>1</v>
      </c>
      <c r="L17" s="29">
        <f>SUM(L6:L16)</f>
        <v>1816.5900000000004</v>
      </c>
      <c r="M17" s="28">
        <f t="shared" ref="M17" si="12">+L17/L$17</f>
        <v>1</v>
      </c>
      <c r="N17" s="29">
        <f>SUM(N6:N16)</f>
        <v>1814.3899999999999</v>
      </c>
      <c r="O17" s="28">
        <f t="shared" ref="O17:S17" si="13">+N17/N$17</f>
        <v>1</v>
      </c>
      <c r="P17" s="29">
        <f>SUM(P6:P16)</f>
        <v>1778.2300000000002</v>
      </c>
      <c r="Q17" s="28">
        <f t="shared" si="13"/>
        <v>1</v>
      </c>
      <c r="R17" s="29">
        <f>SUM(R6:R16)</f>
        <v>1876.14</v>
      </c>
      <c r="S17" s="28">
        <f t="shared" si="13"/>
        <v>1</v>
      </c>
      <c r="T17" s="29">
        <f>SUM(T6:T16)</f>
        <v>1661.3800000000003</v>
      </c>
      <c r="U17" s="28">
        <f t="shared" si="10"/>
        <v>1</v>
      </c>
      <c r="V17" s="29">
        <f>SUM(V6:V16)</f>
        <v>1775.4499999999998</v>
      </c>
      <c r="W17" s="28">
        <f t="shared" si="10"/>
        <v>1</v>
      </c>
      <c r="X17" s="29">
        <f>SUM(X6:X16)</f>
        <v>1751.1100000000001</v>
      </c>
      <c r="Y17" s="28">
        <f t="shared" si="10"/>
        <v>1</v>
      </c>
      <c r="Z17" s="25"/>
    </row>
    <row r="18" spans="1:26" ht="15.75" thickTop="1" x14ac:dyDescent="0.25">
      <c r="Z18" s="25"/>
    </row>
    <row r="19" spans="1:26" x14ac:dyDescent="0.25">
      <c r="Z19" s="25"/>
    </row>
    <row r="20" spans="1:26" x14ac:dyDescent="0.25">
      <c r="E20" s="42"/>
    </row>
    <row r="21" spans="1:26" x14ac:dyDescent="0.25">
      <c r="A21" s="35" t="s">
        <v>34</v>
      </c>
      <c r="B21" s="35"/>
      <c r="C21" s="35"/>
      <c r="D21" s="44"/>
      <c r="E21" s="44"/>
    </row>
    <row r="22" spans="1:26" x14ac:dyDescent="0.25">
      <c r="A22" s="18" t="s">
        <v>24</v>
      </c>
      <c r="B22" s="20">
        <v>21.67</v>
      </c>
      <c r="C22" s="18"/>
      <c r="D22" s="45">
        <v>9.86</v>
      </c>
      <c r="E22" s="45"/>
      <c r="F22" s="45">
        <v>39.22</v>
      </c>
      <c r="H22" s="20">
        <v>39.24</v>
      </c>
      <c r="J22" s="20">
        <v>15.48</v>
      </c>
      <c r="L22" s="42">
        <v>21.2</v>
      </c>
      <c r="N22" s="20">
        <v>44.81</v>
      </c>
      <c r="P22" s="42">
        <v>21.52</v>
      </c>
      <c r="Q22" s="42"/>
      <c r="R22" s="42">
        <v>22.53</v>
      </c>
      <c r="S22" s="42"/>
      <c r="T22" s="102">
        <v>43.15</v>
      </c>
      <c r="U22" s="42"/>
      <c r="V22" s="102">
        <v>52.62</v>
      </c>
      <c r="W22" s="42"/>
      <c r="X22" s="102">
        <v>24.91</v>
      </c>
      <c r="Y22" s="42"/>
      <c r="Z22" s="42"/>
    </row>
    <row r="23" spans="1:26" x14ac:dyDescent="0.25">
      <c r="A23" s="18" t="s">
        <v>25</v>
      </c>
      <c r="B23" s="20">
        <v>-55.5</v>
      </c>
      <c r="C23" s="18"/>
      <c r="D23" s="45">
        <v>-55.5</v>
      </c>
      <c r="E23" s="45"/>
      <c r="F23" s="45">
        <v>-55.5</v>
      </c>
      <c r="H23" s="20">
        <v>-55.5</v>
      </c>
      <c r="J23" s="20">
        <v>-55.5</v>
      </c>
      <c r="L23" s="42">
        <v>-55.5</v>
      </c>
      <c r="N23" s="20">
        <v>-55.5</v>
      </c>
      <c r="P23" s="42">
        <v>-55.5</v>
      </c>
      <c r="Q23" s="42"/>
      <c r="R23" s="42">
        <v>-55.5</v>
      </c>
      <c r="S23" s="42"/>
      <c r="T23" s="102">
        <f t="shared" ref="T23:X31" si="14">+R23</f>
        <v>-55.5</v>
      </c>
      <c r="U23" s="42"/>
      <c r="V23" s="102">
        <f t="shared" si="14"/>
        <v>-55.5</v>
      </c>
      <c r="W23" s="42"/>
      <c r="X23" s="102">
        <f t="shared" si="14"/>
        <v>-55.5</v>
      </c>
      <c r="Y23" s="42"/>
      <c r="Z23" s="42"/>
    </row>
    <row r="24" spans="1:26" x14ac:dyDescent="0.25">
      <c r="A24" s="18" t="s">
        <v>21</v>
      </c>
      <c r="B24" s="20">
        <v>66.099999999999994</v>
      </c>
      <c r="C24" s="18"/>
      <c r="D24" s="45">
        <v>66.069999999999993</v>
      </c>
      <c r="E24" s="45"/>
      <c r="F24" s="45">
        <v>68.53</v>
      </c>
      <c r="H24" s="20">
        <v>68.77</v>
      </c>
      <c r="J24" s="20">
        <v>69.7</v>
      </c>
      <c r="L24" s="42">
        <v>80.5</v>
      </c>
      <c r="N24" s="20">
        <v>112.37</v>
      </c>
      <c r="P24" s="42">
        <v>82.53</v>
      </c>
      <c r="Q24" s="42"/>
      <c r="R24" s="42">
        <v>69.510000000000005</v>
      </c>
      <c r="S24" s="42"/>
      <c r="T24" s="102">
        <v>81.540000000000006</v>
      </c>
      <c r="U24" s="42"/>
      <c r="V24" s="102">
        <v>89.73</v>
      </c>
      <c r="W24" s="42"/>
      <c r="X24" s="102">
        <v>92.7</v>
      </c>
      <c r="Y24" s="42"/>
      <c r="Z24" s="42"/>
    </row>
    <row r="25" spans="1:26" x14ac:dyDescent="0.25">
      <c r="A25" s="18" t="s">
        <v>26</v>
      </c>
      <c r="B25" s="20">
        <v>899.35</v>
      </c>
      <c r="C25" s="18"/>
      <c r="D25" s="45">
        <v>831.93</v>
      </c>
      <c r="E25" s="45"/>
      <c r="F25" s="45">
        <v>853.22</v>
      </c>
      <c r="H25" s="20">
        <v>831.09</v>
      </c>
      <c r="J25" s="20">
        <v>830.12</v>
      </c>
      <c r="L25" s="42">
        <v>850.05</v>
      </c>
      <c r="N25" s="20">
        <v>853.92</v>
      </c>
      <c r="P25" s="42">
        <v>734.83</v>
      </c>
      <c r="Q25" s="42"/>
      <c r="R25" s="42">
        <v>803.77</v>
      </c>
      <c r="S25" s="42"/>
      <c r="T25" s="102">
        <v>903.63</v>
      </c>
      <c r="U25" s="42"/>
      <c r="V25" s="102">
        <v>843.97</v>
      </c>
      <c r="W25" s="42"/>
      <c r="X25" s="102">
        <v>828.72</v>
      </c>
      <c r="Y25" s="42"/>
      <c r="Z25" s="42"/>
    </row>
    <row r="26" spans="1:26" x14ac:dyDescent="0.25">
      <c r="A26" s="18" t="s">
        <v>30</v>
      </c>
      <c r="B26" s="20">
        <v>90.13</v>
      </c>
      <c r="C26" s="18"/>
      <c r="D26" s="45">
        <v>84.48</v>
      </c>
      <c r="E26" s="45"/>
      <c r="F26" s="45">
        <v>109.66</v>
      </c>
      <c r="H26" s="20">
        <v>97.48</v>
      </c>
      <c r="J26" s="20">
        <v>105.81</v>
      </c>
      <c r="L26" s="42">
        <v>65.66</v>
      </c>
      <c r="N26" s="20">
        <v>80.13</v>
      </c>
      <c r="P26" s="42">
        <v>77.13</v>
      </c>
      <c r="Q26" s="42"/>
      <c r="R26" s="42">
        <v>78.400000000000006</v>
      </c>
      <c r="S26" s="42"/>
      <c r="T26" s="102">
        <v>88.13</v>
      </c>
      <c r="U26" s="42"/>
      <c r="V26" s="102">
        <v>99.61</v>
      </c>
      <c r="W26" s="42"/>
      <c r="X26" s="102">
        <v>105.7</v>
      </c>
      <c r="Y26" s="42"/>
      <c r="Z26" s="42"/>
    </row>
    <row r="27" spans="1:26" x14ac:dyDescent="0.25">
      <c r="A27" s="18" t="s">
        <v>22</v>
      </c>
      <c r="B27" s="20">
        <v>-63.5</v>
      </c>
      <c r="C27" s="100"/>
      <c r="D27" s="100">
        <v>-63.5</v>
      </c>
      <c r="E27" s="100"/>
      <c r="F27" s="100">
        <v>-63.5</v>
      </c>
      <c r="G27" s="100"/>
      <c r="H27" s="100">
        <v>-63.5</v>
      </c>
      <c r="I27" s="100"/>
      <c r="J27" s="100">
        <v>-63.5</v>
      </c>
      <c r="K27" s="100"/>
      <c r="L27" s="100">
        <v>-63.5</v>
      </c>
      <c r="M27" s="100"/>
      <c r="N27" s="100">
        <v>-63.5</v>
      </c>
      <c r="O27" s="100"/>
      <c r="P27" s="100">
        <v>-63.5</v>
      </c>
      <c r="Q27" s="100"/>
      <c r="R27" s="100">
        <v>-63.5</v>
      </c>
      <c r="S27" s="100"/>
      <c r="T27" s="100">
        <v>-63.5</v>
      </c>
      <c r="U27" s="100"/>
      <c r="V27" s="100">
        <v>-63.5</v>
      </c>
      <c r="W27" s="100"/>
      <c r="X27" s="100">
        <v>-63.5</v>
      </c>
      <c r="Y27" s="42"/>
      <c r="Z27" s="42"/>
    </row>
    <row r="28" spans="1:26" x14ac:dyDescent="0.25">
      <c r="A28" s="18" t="s">
        <v>23</v>
      </c>
      <c r="B28" s="20">
        <v>27.29</v>
      </c>
      <c r="C28" s="18"/>
      <c r="D28" s="45">
        <v>69.56</v>
      </c>
      <c r="E28" s="45"/>
      <c r="F28" s="45">
        <v>140</v>
      </c>
      <c r="H28" s="20">
        <v>170</v>
      </c>
      <c r="J28" s="20">
        <v>170</v>
      </c>
      <c r="L28" s="42">
        <v>150</v>
      </c>
      <c r="N28" s="20">
        <v>110</v>
      </c>
      <c r="P28" s="42">
        <v>84.31</v>
      </c>
      <c r="Q28" s="42"/>
      <c r="R28" s="42">
        <v>42.29</v>
      </c>
      <c r="S28" s="42"/>
      <c r="T28" s="102">
        <v>34</v>
      </c>
      <c r="U28" s="42"/>
      <c r="V28" s="102">
        <v>20.23</v>
      </c>
      <c r="W28" s="42"/>
      <c r="X28" s="102">
        <v>20</v>
      </c>
      <c r="Y28" s="42"/>
      <c r="Z28" s="42"/>
    </row>
    <row r="29" spans="1:26" x14ac:dyDescent="0.25">
      <c r="A29" s="18" t="s">
        <v>27</v>
      </c>
      <c r="B29" s="20">
        <v>820</v>
      </c>
      <c r="C29" s="18"/>
      <c r="D29" s="45">
        <v>1020</v>
      </c>
      <c r="E29" s="45"/>
      <c r="F29" s="45">
        <v>1060</v>
      </c>
      <c r="H29" s="20">
        <v>1049.03</v>
      </c>
      <c r="J29" s="20">
        <v>659.41</v>
      </c>
      <c r="L29" s="42">
        <v>680</v>
      </c>
      <c r="N29" s="20">
        <v>630.04</v>
      </c>
      <c r="P29" s="42">
        <v>700</v>
      </c>
      <c r="Q29" s="42"/>
      <c r="R29" s="42">
        <v>725.1</v>
      </c>
      <c r="S29" s="42"/>
      <c r="T29" s="102">
        <v>780</v>
      </c>
      <c r="U29" s="42"/>
      <c r="V29" s="102">
        <v>950</v>
      </c>
      <c r="W29" s="42"/>
      <c r="X29" s="102">
        <v>1120</v>
      </c>
      <c r="Y29" s="42"/>
      <c r="Z29" s="42"/>
    </row>
    <row r="30" spans="1:26" x14ac:dyDescent="0.25">
      <c r="A30" s="18" t="s">
        <v>28</v>
      </c>
      <c r="B30" s="20">
        <v>310</v>
      </c>
      <c r="C30" s="18"/>
      <c r="D30" s="45">
        <v>260</v>
      </c>
      <c r="E30" s="45"/>
      <c r="F30" s="45">
        <v>260</v>
      </c>
      <c r="H30" s="20">
        <v>160</v>
      </c>
      <c r="J30" s="20">
        <v>150</v>
      </c>
      <c r="L30" s="42">
        <v>60</v>
      </c>
      <c r="N30" s="20">
        <v>60</v>
      </c>
      <c r="P30" s="42">
        <v>60</v>
      </c>
      <c r="Q30" s="42"/>
      <c r="R30" s="42">
        <v>60</v>
      </c>
      <c r="S30" s="42"/>
      <c r="T30" s="102">
        <f t="shared" si="14"/>
        <v>60</v>
      </c>
      <c r="U30" s="42"/>
      <c r="V30" s="102">
        <v>100</v>
      </c>
      <c r="W30" s="42"/>
      <c r="X30" s="102">
        <v>220</v>
      </c>
      <c r="Y30" s="42"/>
      <c r="Z30" s="42"/>
    </row>
    <row r="31" spans="1:26" x14ac:dyDescent="0.25">
      <c r="A31" s="18" t="s">
        <v>29</v>
      </c>
      <c r="B31" s="20">
        <v>-197.5</v>
      </c>
      <c r="C31" s="18"/>
      <c r="D31" s="45">
        <v>-197.5</v>
      </c>
      <c r="E31" s="45"/>
      <c r="F31" s="45">
        <v>-197.5</v>
      </c>
      <c r="H31" s="20">
        <v>-197.5</v>
      </c>
      <c r="J31" s="20">
        <v>-197.5</v>
      </c>
      <c r="K31" s="100"/>
      <c r="L31" s="100">
        <v>-197.5</v>
      </c>
      <c r="N31" s="20">
        <v>-197.5</v>
      </c>
      <c r="P31" s="42">
        <v>-197.5</v>
      </c>
      <c r="Q31" s="42"/>
      <c r="R31" s="42">
        <v>-197.5</v>
      </c>
      <c r="S31" s="42"/>
      <c r="T31" s="102">
        <f t="shared" si="14"/>
        <v>-197.5</v>
      </c>
      <c r="U31" s="42"/>
      <c r="V31" s="102">
        <f t="shared" si="14"/>
        <v>-197.5</v>
      </c>
      <c r="W31" s="42"/>
      <c r="X31" s="102">
        <f t="shared" si="14"/>
        <v>-197.5</v>
      </c>
      <c r="Y31" s="42"/>
      <c r="Z31" s="42"/>
    </row>
    <row r="32" spans="1:26" x14ac:dyDescent="0.25">
      <c r="E32" s="42"/>
      <c r="V32" s="103"/>
    </row>
    <row r="35" spans="1:24" x14ac:dyDescent="0.25">
      <c r="A35" s="35" t="s">
        <v>35</v>
      </c>
      <c r="B35" s="35"/>
      <c r="C35" s="35"/>
      <c r="D35" s="35"/>
      <c r="E35" s="35"/>
    </row>
    <row r="36" spans="1:24" x14ac:dyDescent="0.25">
      <c r="A36" s="18" t="s">
        <v>24</v>
      </c>
      <c r="B36" s="36">
        <f>+B6*B22</f>
        <v>9077.4718993200004</v>
      </c>
      <c r="C36" s="18"/>
      <c r="D36" s="36">
        <f>+D6*D22</f>
        <v>4915.9987999999994</v>
      </c>
      <c r="E36" s="18"/>
      <c r="F36" s="36">
        <f>+F6*F22</f>
        <v>17687.435600000001</v>
      </c>
      <c r="H36" s="36">
        <f>+H6*H22</f>
        <v>13715.1648</v>
      </c>
      <c r="J36" s="36">
        <f>+J6*J22</f>
        <v>6103.9188000000004</v>
      </c>
      <c r="L36" s="36">
        <f>+L6*L22</f>
        <v>8160.7280000000001</v>
      </c>
      <c r="N36" s="36">
        <f>+N6*N22</f>
        <v>14179.228300000001</v>
      </c>
      <c r="P36" s="36">
        <f>+P6*P22</f>
        <v>7469.8072000000002</v>
      </c>
      <c r="R36" s="36">
        <f>+R6*R22</f>
        <v>7405.6109999999999</v>
      </c>
      <c r="T36" s="36">
        <f>+T6*T22</f>
        <v>12717.5995</v>
      </c>
      <c r="V36" s="36">
        <f>+V6*V22</f>
        <v>17900.2716</v>
      </c>
      <c r="X36" s="36">
        <f>+X6*X22</f>
        <v>8488.5807000000004</v>
      </c>
    </row>
    <row r="37" spans="1:24" x14ac:dyDescent="0.25">
      <c r="A37" s="18" t="s">
        <v>25</v>
      </c>
      <c r="B37" s="36">
        <f t="shared" ref="B37:D37" si="15">+B7*B23</f>
        <v>0</v>
      </c>
      <c r="C37" s="18"/>
      <c r="D37" s="36">
        <f t="shared" si="15"/>
        <v>0</v>
      </c>
      <c r="E37" s="18"/>
      <c r="F37" s="36">
        <f t="shared" ref="F37:H45" si="16">+F7*F23</f>
        <v>0</v>
      </c>
      <c r="H37" s="36">
        <f t="shared" si="16"/>
        <v>0</v>
      </c>
      <c r="J37" s="36">
        <f t="shared" ref="J37" si="17">+J7*J23</f>
        <v>0</v>
      </c>
      <c r="L37" s="36">
        <f t="shared" ref="L37" si="18">+L7*L23</f>
        <v>0</v>
      </c>
      <c r="N37" s="36">
        <f t="shared" ref="N37:P37" si="19">+N7*N23</f>
        <v>0</v>
      </c>
      <c r="P37" s="36">
        <f t="shared" si="19"/>
        <v>0</v>
      </c>
      <c r="R37" s="36">
        <f t="shared" ref="R37:T37" si="20">+R7*R23</f>
        <v>0</v>
      </c>
      <c r="T37" s="36">
        <f t="shared" si="20"/>
        <v>0</v>
      </c>
      <c r="V37" s="36">
        <f t="shared" ref="V37:X37" si="21">+V7*V23</f>
        <v>0</v>
      </c>
      <c r="X37" s="36">
        <f t="shared" si="21"/>
        <v>0</v>
      </c>
    </row>
    <row r="38" spans="1:24" x14ac:dyDescent="0.25">
      <c r="A38" s="18" t="s">
        <v>21</v>
      </c>
      <c r="B38" s="36">
        <f t="shared" ref="B38:D38" si="22">+B8*B24</f>
        <v>39349.234154999998</v>
      </c>
      <c r="C38" s="18"/>
      <c r="D38" s="36">
        <f t="shared" si="22"/>
        <v>47401.921499999997</v>
      </c>
      <c r="E38" s="18"/>
      <c r="F38" s="36">
        <f t="shared" si="16"/>
        <v>49325.152800000003</v>
      </c>
      <c r="H38" s="36">
        <f t="shared" si="16"/>
        <v>37767.108599999992</v>
      </c>
      <c r="J38" s="36">
        <f t="shared" ref="J38" si="23">+J8*J24</f>
        <v>43802.965000000004</v>
      </c>
      <c r="L38" s="36">
        <f t="shared" ref="L38" si="24">+L8*L24</f>
        <v>55481.405000000006</v>
      </c>
      <c r="N38" s="36">
        <f t="shared" ref="N38:P38" si="25">+N8*N24</f>
        <v>79841.132400000002</v>
      </c>
      <c r="P38" s="36">
        <f t="shared" si="25"/>
        <v>59671.6659</v>
      </c>
      <c r="R38" s="36">
        <f t="shared" ref="R38:T38" si="26">+R8*R24</f>
        <v>53298.877800000002</v>
      </c>
      <c r="T38" s="36">
        <f t="shared" si="26"/>
        <v>52386.188400000006</v>
      </c>
      <c r="V38" s="36">
        <f t="shared" ref="V38:X38" si="27">+V8*V24</f>
        <v>64107.598500000007</v>
      </c>
      <c r="X38" s="36">
        <f t="shared" si="27"/>
        <v>66976.676999999996</v>
      </c>
    </row>
    <row r="39" spans="1:24" x14ac:dyDescent="0.25">
      <c r="A39" s="18" t="s">
        <v>26</v>
      </c>
      <c r="B39" s="36">
        <f t="shared" ref="B39:D39" si="28">+B9*B25</f>
        <v>19958.448946699998</v>
      </c>
      <c r="C39" s="18"/>
      <c r="D39" s="36">
        <f t="shared" si="28"/>
        <v>18352.375799999998</v>
      </c>
      <c r="E39" s="18"/>
      <c r="F39" s="36">
        <f t="shared" si="16"/>
        <v>21014.8086</v>
      </c>
      <c r="H39" s="36">
        <f t="shared" si="16"/>
        <v>16979.168700000002</v>
      </c>
      <c r="J39" s="36">
        <f t="shared" ref="J39" si="29">+J9*J25</f>
        <v>20703.192800000001</v>
      </c>
      <c r="L39" s="36">
        <f t="shared" ref="L39" si="30">+L9*L25</f>
        <v>29649.743999999999</v>
      </c>
      <c r="N39" s="36">
        <f t="shared" ref="N39:P39" si="31">+N9*N25</f>
        <v>29127.211199999998</v>
      </c>
      <c r="P39" s="36">
        <f t="shared" si="31"/>
        <v>23257.369500000001</v>
      </c>
      <c r="R39" s="36">
        <f t="shared" ref="R39:T39" si="32">+R9*R25</f>
        <v>27898.8567</v>
      </c>
      <c r="T39" s="36">
        <f t="shared" si="32"/>
        <v>26720.339100000001</v>
      </c>
      <c r="V39" s="36">
        <f t="shared" ref="V39:X39" si="33">+V9*V25</f>
        <v>27867.889400000004</v>
      </c>
      <c r="X39" s="36">
        <f t="shared" si="33"/>
        <v>23941.720800000003</v>
      </c>
    </row>
    <row r="40" spans="1:24" x14ac:dyDescent="0.25">
      <c r="A40" s="18" t="s">
        <v>30</v>
      </c>
      <c r="B40" s="36">
        <f t="shared" ref="B40:D40" si="34">+B10*B26</f>
        <v>3460.1521686599995</v>
      </c>
      <c r="C40" s="18"/>
      <c r="D40" s="36">
        <f t="shared" si="34"/>
        <v>3244.8768</v>
      </c>
      <c r="E40" s="18"/>
      <c r="F40" s="36">
        <f t="shared" si="16"/>
        <v>4436.8436000000002</v>
      </c>
      <c r="H40" s="36">
        <f t="shared" si="16"/>
        <v>3183.6967999999997</v>
      </c>
      <c r="J40" s="36">
        <f t="shared" ref="J40" si="35">+J10*J26</f>
        <v>3170.0676000000003</v>
      </c>
      <c r="L40" s="36">
        <f t="shared" ref="L40" si="36">+L10*L26</f>
        <v>3244.2605999999996</v>
      </c>
      <c r="N40" s="36">
        <f t="shared" ref="N40:P40" si="37">+N10*N26</f>
        <v>3474.4367999999999</v>
      </c>
      <c r="P40" s="36">
        <f t="shared" si="37"/>
        <v>2825.2719000000002</v>
      </c>
      <c r="R40" s="36">
        <f t="shared" ref="R40:T40" si="38">+R10*R26</f>
        <v>3000.3680000000004</v>
      </c>
      <c r="T40" s="36">
        <f t="shared" si="38"/>
        <v>3103.9386</v>
      </c>
      <c r="V40" s="36">
        <f t="shared" ref="V40:X40" si="39">+V10*V26</f>
        <v>4014.2829999999999</v>
      </c>
      <c r="X40" s="36">
        <f t="shared" si="39"/>
        <v>3775.6039999999998</v>
      </c>
    </row>
    <row r="41" spans="1:24" x14ac:dyDescent="0.25">
      <c r="A41" s="18" t="s">
        <v>22</v>
      </c>
      <c r="B41" s="36">
        <f t="shared" ref="B41:D41" si="40">+B11*B27</f>
        <v>-13371.944299999999</v>
      </c>
      <c r="C41" s="18"/>
      <c r="D41" s="36">
        <f t="shared" si="40"/>
        <v>-14284.324999999999</v>
      </c>
      <c r="E41" s="18"/>
      <c r="F41" s="36">
        <f t="shared" si="16"/>
        <v>-19811.365000000002</v>
      </c>
      <c r="H41" s="36">
        <f t="shared" si="16"/>
        <v>-15168.88</v>
      </c>
      <c r="J41" s="36">
        <f t="shared" ref="J41" si="41">+J11*J27</f>
        <v>-15930.88</v>
      </c>
      <c r="L41" s="36">
        <f t="shared" ref="L41" si="42">+L11*L27</f>
        <v>-16299.18</v>
      </c>
      <c r="N41" s="36">
        <f t="shared" ref="N41:P41" si="43">+N11*N27</f>
        <v>-18825.845000000001</v>
      </c>
      <c r="P41" s="36">
        <f t="shared" si="43"/>
        <v>-15864.84</v>
      </c>
      <c r="R41" s="36">
        <f t="shared" ref="R41:T41" si="44">+R11*R27</f>
        <v>-18882.994999999999</v>
      </c>
      <c r="T41" s="36">
        <f t="shared" si="44"/>
        <v>-17132.935000000001</v>
      </c>
      <c r="V41" s="36">
        <f t="shared" ref="V41:X41" si="45">+V11*V27</f>
        <v>-17226.915000000001</v>
      </c>
      <c r="X41" s="36">
        <f t="shared" si="45"/>
        <v>-14722.475</v>
      </c>
    </row>
    <row r="42" spans="1:24" x14ac:dyDescent="0.25">
      <c r="A42" s="18" t="s">
        <v>23</v>
      </c>
      <c r="B42" s="36">
        <f t="shared" ref="B42:D42" si="46">+B12*B28</f>
        <v>1427.85313462</v>
      </c>
      <c r="C42" s="18"/>
      <c r="D42" s="36">
        <f t="shared" si="46"/>
        <v>4153.4276</v>
      </c>
      <c r="E42" s="18"/>
      <c r="F42" s="36">
        <f t="shared" si="16"/>
        <v>8702.4</v>
      </c>
      <c r="H42" s="36">
        <f t="shared" si="16"/>
        <v>8466</v>
      </c>
      <c r="J42" s="36">
        <f t="shared" ref="J42" si="47">+J12*J28</f>
        <v>9304.1</v>
      </c>
      <c r="L42" s="36">
        <f t="shared" ref="L42" si="48">+L12*L28</f>
        <v>10627.5</v>
      </c>
      <c r="N42" s="36">
        <f t="shared" ref="N42:P42" si="49">+N12*N28</f>
        <v>8143.3</v>
      </c>
      <c r="P42" s="36">
        <f t="shared" si="49"/>
        <v>5681.6509000000005</v>
      </c>
      <c r="R42" s="36">
        <f t="shared" ref="R42:T42" si="50">+R12*R28</f>
        <v>3451.2869000000001</v>
      </c>
      <c r="T42" s="36">
        <f t="shared" si="50"/>
        <v>2558.84</v>
      </c>
      <c r="V42" s="36">
        <f t="shared" ref="V42:X42" si="51">+V12*V28</f>
        <v>1522.9144000000001</v>
      </c>
      <c r="X42" s="36">
        <f t="shared" si="51"/>
        <v>1443</v>
      </c>
    </row>
    <row r="43" spans="1:24" x14ac:dyDescent="0.25">
      <c r="A43" s="18" t="s">
        <v>27</v>
      </c>
      <c r="B43" s="36">
        <f t="shared" ref="B43:D43" si="52">+B13*B29</f>
        <v>13681.33756</v>
      </c>
      <c r="C43" s="18"/>
      <c r="D43" s="36">
        <f t="shared" si="52"/>
        <v>18615</v>
      </c>
      <c r="E43" s="18"/>
      <c r="F43" s="36">
        <f t="shared" si="16"/>
        <v>18232</v>
      </c>
      <c r="H43" s="36">
        <f t="shared" si="16"/>
        <v>14077.982599999999</v>
      </c>
      <c r="J43" s="36">
        <f t="shared" ref="J43" si="53">+J13*J29</f>
        <v>9930.7145999999993</v>
      </c>
      <c r="L43" s="36">
        <f t="shared" ref="L43" si="54">+L13*L29</f>
        <v>12104</v>
      </c>
      <c r="N43" s="36">
        <f t="shared" ref="N43:P43" si="55">+N13*N29</f>
        <v>11548.633199999998</v>
      </c>
      <c r="P43" s="36">
        <f t="shared" si="55"/>
        <v>9961</v>
      </c>
      <c r="R43" s="36">
        <f t="shared" ref="R43:T43" si="56">+R13*R29</f>
        <v>11565.344999999999</v>
      </c>
      <c r="T43" s="36">
        <f t="shared" si="56"/>
        <v>11271</v>
      </c>
      <c r="V43" s="36">
        <f t="shared" ref="V43:X43" si="57">+V13*V29</f>
        <v>16188</v>
      </c>
      <c r="X43" s="36">
        <f t="shared" si="57"/>
        <v>19219.2</v>
      </c>
    </row>
    <row r="44" spans="1:24" x14ac:dyDescent="0.25">
      <c r="A44" s="18" t="s">
        <v>28</v>
      </c>
      <c r="B44" s="36">
        <f t="shared" ref="B44:D44" si="58">+B14*B30</f>
        <v>2460.5673399999996</v>
      </c>
      <c r="C44" s="18"/>
      <c r="D44" s="36">
        <f t="shared" si="58"/>
        <v>2867.7999999999997</v>
      </c>
      <c r="E44" s="18"/>
      <c r="F44" s="36">
        <f t="shared" si="16"/>
        <v>2592.2000000000003</v>
      </c>
      <c r="H44" s="36">
        <f t="shared" si="16"/>
        <v>1526.3999999999999</v>
      </c>
      <c r="J44" s="36">
        <f t="shared" ref="J44" si="59">+J14*J30</f>
        <v>1430.9999999999998</v>
      </c>
      <c r="L44" s="36">
        <f t="shared" ref="L44" si="60">+L14*L30</f>
        <v>697.80000000000007</v>
      </c>
      <c r="N44" s="36">
        <f t="shared" ref="N44:P44" si="61">+N14*N30</f>
        <v>729.6</v>
      </c>
      <c r="P44" s="36">
        <f t="shared" si="61"/>
        <v>661.8</v>
      </c>
      <c r="R44" s="36">
        <f t="shared" ref="R44:T44" si="62">+R14*R30</f>
        <v>697.80000000000007</v>
      </c>
      <c r="T44" s="36">
        <f t="shared" si="62"/>
        <v>598.20000000000005</v>
      </c>
      <c r="V44" s="36">
        <f t="shared" ref="V44:X44" si="63">+V14*V30</f>
        <v>1011.9999999999999</v>
      </c>
      <c r="X44" s="36">
        <f t="shared" si="63"/>
        <v>2543.2000000000003</v>
      </c>
    </row>
    <row r="45" spans="1:24" ht="17.25" x14ac:dyDescent="0.4">
      <c r="A45" s="18" t="s">
        <v>29</v>
      </c>
      <c r="B45" s="37">
        <f t="shared" ref="B45:D45" si="64">+B15*B31</f>
        <v>-127.96893999999999</v>
      </c>
      <c r="C45" s="18"/>
      <c r="D45" s="37">
        <f t="shared" si="64"/>
        <v>-37.524999999999999</v>
      </c>
      <c r="E45" s="18"/>
      <c r="F45" s="37">
        <f t="shared" si="16"/>
        <v>-39.5</v>
      </c>
      <c r="H45" s="37">
        <f t="shared" si="16"/>
        <v>-88.875</v>
      </c>
      <c r="J45" s="37">
        <f t="shared" ref="J45" si="65">+J15*J31</f>
        <v>-132.32500000000002</v>
      </c>
      <c r="L45" s="37">
        <f t="shared" ref="L45" si="66">+L15*L31</f>
        <v>0</v>
      </c>
      <c r="N45" s="37">
        <f t="shared" ref="N45:P45" si="67">+N15*N31</f>
        <v>0</v>
      </c>
      <c r="P45" s="37">
        <f t="shared" si="67"/>
        <v>-35.549999999999997</v>
      </c>
      <c r="R45" s="37">
        <f t="shared" ref="R45:T45" si="68">+R15*R31</f>
        <v>-37.524999999999999</v>
      </c>
      <c r="T45" s="37">
        <f t="shared" si="68"/>
        <v>0</v>
      </c>
      <c r="V45" s="37">
        <f t="shared" ref="V45:X45" si="69">+V15*V31</f>
        <v>0</v>
      </c>
      <c r="X45" s="37">
        <f t="shared" si="69"/>
        <v>0</v>
      </c>
    </row>
    <row r="46" spans="1:24" ht="17.25" x14ac:dyDescent="0.4">
      <c r="B46" s="38">
        <f>SUM(B36:B45)</f>
        <v>75915.151964299992</v>
      </c>
      <c r="D46" s="38">
        <f>SUM(D36:D45)</f>
        <v>85229.550499999998</v>
      </c>
      <c r="F46" s="38">
        <f>SUM(F36:F45)</f>
        <v>102139.97560000001</v>
      </c>
      <c r="H46" s="38">
        <f>SUM(H36:H45)</f>
        <v>80457.766499999983</v>
      </c>
      <c r="J46" s="38">
        <f>SUM(J36:J45)</f>
        <v>78382.753799999991</v>
      </c>
      <c r="L46" s="38">
        <f>SUM(L36:L45)</f>
        <v>103666.2576</v>
      </c>
      <c r="N46" s="38">
        <f>SUM(N36:N45)</f>
        <v>128217.69690000001</v>
      </c>
      <c r="P46" s="38">
        <f>SUM(P36:P45)</f>
        <v>93628.175400000007</v>
      </c>
      <c r="R46" s="38">
        <f>SUM(R36:R45)</f>
        <v>88397.625400000019</v>
      </c>
      <c r="T46" s="38">
        <f>SUM(T36:T45)</f>
        <v>92223.170599999998</v>
      </c>
      <c r="V46" s="38">
        <f>SUM(V36:V45)</f>
        <v>115386.0419</v>
      </c>
      <c r="X46" s="38">
        <f>SUM(X36:X45)</f>
        <v>111665.50749999999</v>
      </c>
    </row>
    <row r="48" spans="1:24" ht="17.25" x14ac:dyDescent="0.4">
      <c r="A48" s="34" t="s">
        <v>33</v>
      </c>
      <c r="B48" s="33">
        <f>+B17-B16</f>
        <v>1362.950204</v>
      </c>
      <c r="C48" s="34"/>
      <c r="D48" s="33">
        <f>+D17-D16</f>
        <v>1590.63</v>
      </c>
      <c r="E48" s="34"/>
      <c r="F48" s="33">
        <f>+F17-F16</f>
        <v>1637.3500000000004</v>
      </c>
      <c r="G48" s="33"/>
      <c r="H48" s="33">
        <f>+H17-H16</f>
        <v>1263.8799999999999</v>
      </c>
      <c r="I48" s="33"/>
      <c r="J48" s="33">
        <f>+J17-J16</f>
        <v>1408.54</v>
      </c>
      <c r="K48" s="33"/>
      <c r="L48" s="33">
        <f>+L17-L16</f>
        <v>1515.4000000000003</v>
      </c>
      <c r="M48" s="33"/>
      <c r="N48" s="33">
        <f>+N17-N16</f>
        <v>1505.4099999999999</v>
      </c>
      <c r="O48" s="33"/>
      <c r="P48" s="33">
        <f>+P17-P16</f>
        <v>1481.0900000000001</v>
      </c>
      <c r="R48" s="33">
        <f>+R17-R16</f>
        <v>1575.21</v>
      </c>
      <c r="T48" s="33">
        <f>+T17-T16</f>
        <v>1371.4700000000003</v>
      </c>
      <c r="V48" s="33">
        <f>+V17-V16</f>
        <v>1501.6799999999998</v>
      </c>
      <c r="X48" s="33">
        <f>+X17-X16</f>
        <v>1460.6100000000001</v>
      </c>
    </row>
    <row r="50" spans="1:24" ht="17.25" x14ac:dyDescent="0.4">
      <c r="A50" s="13" t="s">
        <v>36</v>
      </c>
      <c r="B50" s="39">
        <f>+B46/B48</f>
        <v>55.699138340860465</v>
      </c>
      <c r="C50" s="13"/>
      <c r="D50" s="39">
        <f>+D46/D48</f>
        <v>53.582260173641885</v>
      </c>
      <c r="E50" s="13"/>
      <c r="F50" s="39">
        <f>+F46/F48</f>
        <v>62.381271933306856</v>
      </c>
      <c r="G50" s="39"/>
      <c r="H50" s="39">
        <f t="shared" ref="H50:N50" si="70">+H46/H48</f>
        <v>63.659339889862956</v>
      </c>
      <c r="I50" s="39"/>
      <c r="J50" s="39">
        <f t="shared" si="70"/>
        <v>55.648227100401833</v>
      </c>
      <c r="K50" s="39"/>
      <c r="L50" s="39">
        <f t="shared" si="70"/>
        <v>68.408511020192677</v>
      </c>
      <c r="M50" s="39"/>
      <c r="N50" s="39">
        <f t="shared" si="70"/>
        <v>85.171280182807351</v>
      </c>
      <c r="P50" s="39">
        <f t="shared" ref="P50:R50" si="71">+P46/P48</f>
        <v>63.215723149842347</v>
      </c>
      <c r="R50" s="39">
        <f t="shared" si="71"/>
        <v>56.117994045238426</v>
      </c>
      <c r="T50" s="39">
        <f t="shared" ref="T50:V50" si="72">+T46/T48</f>
        <v>67.244030565743316</v>
      </c>
      <c r="V50" s="39">
        <f t="shared" si="72"/>
        <v>76.83796940759683</v>
      </c>
      <c r="X50" s="39">
        <f t="shared" ref="X50" si="73">+X46/X48</f>
        <v>76.451282340939727</v>
      </c>
    </row>
    <row r="52" spans="1:24" x14ac:dyDescent="0.25">
      <c r="B52" s="36">
        <f t="shared" ref="B52:V52" si="74">SUM(B42:B45)</f>
        <v>17441.789094619999</v>
      </c>
      <c r="C52" s="36"/>
      <c r="D52" s="36">
        <f t="shared" si="74"/>
        <v>25598.702599999997</v>
      </c>
      <c r="E52" s="36"/>
      <c r="F52" s="36">
        <f t="shared" si="74"/>
        <v>29487.100000000002</v>
      </c>
      <c r="G52" s="36"/>
      <c r="H52" s="36">
        <f t="shared" si="74"/>
        <v>23981.507600000001</v>
      </c>
      <c r="I52" s="36"/>
      <c r="J52" s="36">
        <f t="shared" si="74"/>
        <v>20533.489599999997</v>
      </c>
      <c r="K52" s="36"/>
      <c r="L52" s="36">
        <f t="shared" si="74"/>
        <v>23429.3</v>
      </c>
      <c r="M52" s="36"/>
      <c r="N52" s="36">
        <f t="shared" si="74"/>
        <v>20421.533199999998</v>
      </c>
      <c r="O52" s="36"/>
      <c r="P52" s="36">
        <f t="shared" si="74"/>
        <v>16268.900900000001</v>
      </c>
      <c r="Q52" s="36"/>
      <c r="R52" s="36">
        <f t="shared" si="74"/>
        <v>15676.9069</v>
      </c>
      <c r="S52" s="36"/>
      <c r="T52" s="36">
        <f t="shared" si="74"/>
        <v>14428.04</v>
      </c>
      <c r="U52" s="36"/>
      <c r="V52" s="36">
        <f t="shared" si="74"/>
        <v>18722.914400000001</v>
      </c>
      <c r="W52" s="36"/>
      <c r="X52" s="36">
        <f>SUM(X42:X45)</f>
        <v>23205.4</v>
      </c>
    </row>
    <row r="53" spans="1:24" x14ac:dyDescent="0.25">
      <c r="B53" s="43">
        <f t="shared" ref="B53:V53" si="75">SUM(B12:B15)</f>
        <v>77.591293999999991</v>
      </c>
      <c r="C53" s="43"/>
      <c r="D53" s="43">
        <f t="shared" si="75"/>
        <v>89.18</v>
      </c>
      <c r="E53" s="43"/>
      <c r="F53" s="43">
        <f t="shared" si="75"/>
        <v>89.53</v>
      </c>
      <c r="G53" s="43"/>
      <c r="H53" s="43">
        <f t="shared" si="75"/>
        <v>73.209999999999994</v>
      </c>
      <c r="I53" s="43"/>
      <c r="J53" s="43">
        <f t="shared" si="75"/>
        <v>79.999999999999986</v>
      </c>
      <c r="K53" s="43"/>
      <c r="L53" s="43">
        <f t="shared" si="75"/>
        <v>100.27999999999999</v>
      </c>
      <c r="M53" s="43"/>
      <c r="N53" s="43">
        <f t="shared" si="75"/>
        <v>104.52</v>
      </c>
      <c r="O53" s="43"/>
      <c r="P53" s="43">
        <f t="shared" si="75"/>
        <v>92.830000000000013</v>
      </c>
      <c r="Q53" s="43"/>
      <c r="R53" s="43">
        <f t="shared" si="75"/>
        <v>109.38</v>
      </c>
      <c r="S53" s="43"/>
      <c r="T53" s="43">
        <f t="shared" si="75"/>
        <v>99.68</v>
      </c>
      <c r="U53" s="43"/>
      <c r="V53" s="43">
        <f t="shared" si="75"/>
        <v>102.44</v>
      </c>
      <c r="W53" s="43"/>
      <c r="X53" s="43">
        <f>SUM(X12:X15)</f>
        <v>100.87</v>
      </c>
    </row>
    <row r="54" spans="1:24" x14ac:dyDescent="0.25">
      <c r="B54" s="42">
        <f t="shared" ref="B54:V54" si="76">+B52/B53</f>
        <v>224.79054279749479</v>
      </c>
      <c r="C54" s="42"/>
      <c r="D54" s="42">
        <f t="shared" si="76"/>
        <v>287.04533079165725</v>
      </c>
      <c r="E54" s="42"/>
      <c r="F54" s="42">
        <f t="shared" si="76"/>
        <v>329.35440634424219</v>
      </c>
      <c r="G54" s="42"/>
      <c r="H54" s="42">
        <f t="shared" si="76"/>
        <v>327.57147384237129</v>
      </c>
      <c r="I54" s="42"/>
      <c r="J54" s="42">
        <f t="shared" si="76"/>
        <v>256.66862000000003</v>
      </c>
      <c r="K54" s="42"/>
      <c r="L54" s="42">
        <f t="shared" si="76"/>
        <v>233.63881132828084</v>
      </c>
      <c r="M54" s="42"/>
      <c r="N54" s="42">
        <f t="shared" si="76"/>
        <v>195.38397627248372</v>
      </c>
      <c r="O54" s="42"/>
      <c r="P54" s="42">
        <f t="shared" si="76"/>
        <v>175.25477647312289</v>
      </c>
      <c r="Q54" s="42"/>
      <c r="R54" s="42">
        <f t="shared" si="76"/>
        <v>143.32516822088132</v>
      </c>
      <c r="S54" s="42"/>
      <c r="T54" s="42">
        <f t="shared" si="76"/>
        <v>144.74357945425362</v>
      </c>
      <c r="U54" s="42"/>
      <c r="V54" s="42">
        <f t="shared" si="76"/>
        <v>182.76956657555644</v>
      </c>
      <c r="W54" s="42"/>
      <c r="X54" s="42">
        <f>+X52/X53</f>
        <v>230.05254287697036</v>
      </c>
    </row>
  </sheetData>
  <mergeCells count="12">
    <mergeCell ref="V4:W4"/>
    <mergeCell ref="X4:Y4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7FE27-8D16-4F91-8BD7-634524FB6E4C}">
  <dimension ref="A1:E21"/>
  <sheetViews>
    <sheetView workbookViewId="0">
      <selection activeCell="B8" sqref="B8"/>
    </sheetView>
  </sheetViews>
  <sheetFormatPr defaultRowHeight="15" x14ac:dyDescent="0.25"/>
  <cols>
    <col min="2" max="2" width="10.5703125" bestFit="1" customWidth="1"/>
    <col min="3" max="3" width="12.5703125" bestFit="1" customWidth="1"/>
    <col min="4" max="4" width="9.5703125" bestFit="1" customWidth="1"/>
  </cols>
  <sheetData>
    <row r="1" spans="1:5" ht="23.25" x14ac:dyDescent="0.35">
      <c r="A1" s="4" t="s">
        <v>1</v>
      </c>
      <c r="B1" s="2"/>
      <c r="C1" s="3"/>
    </row>
    <row r="2" spans="1:5" ht="18.75" x14ac:dyDescent="0.3">
      <c r="A2" s="5" t="s">
        <v>2</v>
      </c>
      <c r="B2" s="2"/>
      <c r="C2" s="3"/>
    </row>
    <row r="3" spans="1:5" x14ac:dyDescent="0.25">
      <c r="A3" s="6"/>
      <c r="B3" s="2"/>
      <c r="C3" s="3"/>
    </row>
    <row r="4" spans="1:5" x14ac:dyDescent="0.25">
      <c r="B4" s="7" t="s">
        <v>3</v>
      </c>
      <c r="C4" s="8" t="s">
        <v>4</v>
      </c>
    </row>
    <row r="5" spans="1:5" x14ac:dyDescent="0.25">
      <c r="B5" s="9" t="s">
        <v>5</v>
      </c>
      <c r="C5" s="10" t="s">
        <v>6</v>
      </c>
      <c r="D5" s="11" t="s">
        <v>7</v>
      </c>
    </row>
    <row r="6" spans="1:5" x14ac:dyDescent="0.25">
      <c r="B6" s="2"/>
      <c r="C6" s="3"/>
    </row>
    <row r="7" spans="1:5" x14ac:dyDescent="0.25">
      <c r="B7" s="2"/>
      <c r="C7" s="3"/>
    </row>
    <row r="8" spans="1:5" x14ac:dyDescent="0.25">
      <c r="A8" t="s">
        <v>14</v>
      </c>
      <c r="B8" s="2">
        <f>+'Rebate Data'!B48</f>
        <v>1362.950204</v>
      </c>
      <c r="C8" s="3">
        <f>+'Rebate Data'!B46</f>
        <v>75915.151964299992</v>
      </c>
      <c r="D8" s="16">
        <f t="shared" ref="D8:D19" si="0">+C8/B8</f>
        <v>55.699138340860465</v>
      </c>
    </row>
    <row r="9" spans="1:5" x14ac:dyDescent="0.25">
      <c r="A9" t="s">
        <v>15</v>
      </c>
      <c r="B9" s="2">
        <f>+'Rebate Data'!D48</f>
        <v>1590.63</v>
      </c>
      <c r="C9" s="3">
        <f>+'Rebate Data'!D46</f>
        <v>85229.550499999998</v>
      </c>
      <c r="D9" s="16">
        <f t="shared" si="0"/>
        <v>53.582260173641885</v>
      </c>
    </row>
    <row r="10" spans="1:5" x14ac:dyDescent="0.25">
      <c r="A10" t="s">
        <v>17</v>
      </c>
      <c r="B10" s="14">
        <f>+'Rebate Data'!F$48</f>
        <v>1637.3500000000004</v>
      </c>
      <c r="C10" s="15">
        <f>+'Rebate Data'!F$46</f>
        <v>102139.97560000001</v>
      </c>
      <c r="D10" s="16">
        <f t="shared" si="0"/>
        <v>62.381271933306856</v>
      </c>
      <c r="E10" s="17"/>
    </row>
    <row r="11" spans="1:5" x14ac:dyDescent="0.25">
      <c r="A11" t="s">
        <v>18</v>
      </c>
      <c r="B11" s="14">
        <f>+'Rebate Data'!H$48</f>
        <v>1263.8799999999999</v>
      </c>
      <c r="C11" s="15">
        <f>+'Rebate Data'!H$46</f>
        <v>80457.766499999983</v>
      </c>
      <c r="D11" s="16">
        <f t="shared" si="0"/>
        <v>63.659339889862956</v>
      </c>
      <c r="E11" s="16"/>
    </row>
    <row r="12" spans="1:5" x14ac:dyDescent="0.25">
      <c r="A12" t="s">
        <v>19</v>
      </c>
      <c r="B12" s="14">
        <f>+'Rebate Data'!J$48</f>
        <v>1408.54</v>
      </c>
      <c r="C12" s="15">
        <f>+'Rebate Data'!J$46</f>
        <v>78382.753799999991</v>
      </c>
      <c r="D12" s="16">
        <f t="shared" si="0"/>
        <v>55.648227100401833</v>
      </c>
      <c r="E12" s="17"/>
    </row>
    <row r="13" spans="1:5" x14ac:dyDescent="0.25">
      <c r="A13" t="s">
        <v>20</v>
      </c>
      <c r="B13" s="14">
        <f>+'Rebate Data'!L$48</f>
        <v>1515.4000000000003</v>
      </c>
      <c r="C13" s="15">
        <f>+'Rebate Data'!L$46</f>
        <v>103666.2576</v>
      </c>
      <c r="D13" s="16">
        <f t="shared" si="0"/>
        <v>68.408511020192677</v>
      </c>
      <c r="E13" s="17"/>
    </row>
    <row r="14" spans="1:5" x14ac:dyDescent="0.25">
      <c r="A14" t="s">
        <v>8</v>
      </c>
      <c r="B14" s="14">
        <f>+'Rebate Data'!N$48</f>
        <v>1505.4099999999999</v>
      </c>
      <c r="C14" s="15">
        <f>+'Rebate Data'!N$46</f>
        <v>128217.69690000001</v>
      </c>
      <c r="D14" s="16">
        <f t="shared" si="0"/>
        <v>85.171280182807351</v>
      </c>
      <c r="E14" s="16"/>
    </row>
    <row r="15" spans="1:5" x14ac:dyDescent="0.25">
      <c r="A15" t="s">
        <v>9</v>
      </c>
      <c r="B15" s="14">
        <f>+'Rebate Data'!P$48</f>
        <v>1481.0900000000001</v>
      </c>
      <c r="C15" s="15">
        <f>+'Rebate Data'!P$46</f>
        <v>93628.175400000007</v>
      </c>
      <c r="D15" s="16">
        <f t="shared" si="0"/>
        <v>63.215723149842347</v>
      </c>
      <c r="E15" s="16"/>
    </row>
    <row r="16" spans="1:5" x14ac:dyDescent="0.25">
      <c r="A16" t="s">
        <v>10</v>
      </c>
      <c r="B16" s="14">
        <f>+'Rebate Data'!R48</f>
        <v>1575.21</v>
      </c>
      <c r="C16" s="15">
        <f>+'Rebate Data'!R46</f>
        <v>88397.625400000019</v>
      </c>
      <c r="D16" s="16">
        <f t="shared" si="0"/>
        <v>56.117994045238426</v>
      </c>
      <c r="E16" s="16"/>
    </row>
    <row r="17" spans="1:5" x14ac:dyDescent="0.25">
      <c r="A17" t="s">
        <v>11</v>
      </c>
      <c r="B17" s="14">
        <f>+'Rebate Data'!T$48</f>
        <v>1371.4700000000003</v>
      </c>
      <c r="C17" s="15">
        <f>+'Rebate Data'!T46</f>
        <v>92223.170599999998</v>
      </c>
      <c r="D17" s="16">
        <f t="shared" si="0"/>
        <v>67.244030565743316</v>
      </c>
      <c r="E17" s="16"/>
    </row>
    <row r="18" spans="1:5" x14ac:dyDescent="0.25">
      <c r="A18" t="s">
        <v>12</v>
      </c>
      <c r="B18" s="104">
        <f>+'Rebate Data'!V$48</f>
        <v>1501.6799999999998</v>
      </c>
      <c r="C18" s="105">
        <f>+'Rebate Data'!V46</f>
        <v>115386.0419</v>
      </c>
      <c r="D18" s="106">
        <f t="shared" si="0"/>
        <v>76.83796940759683</v>
      </c>
      <c r="E18" s="17"/>
    </row>
    <row r="19" spans="1:5" x14ac:dyDescent="0.25">
      <c r="A19" t="s">
        <v>13</v>
      </c>
      <c r="B19" s="107">
        <f>+'Rebate Data'!X48</f>
        <v>1460.6100000000001</v>
      </c>
      <c r="C19" s="108">
        <f>+'Rebate Data'!X46</f>
        <v>111665.50749999999</v>
      </c>
      <c r="D19" s="109">
        <f t="shared" si="0"/>
        <v>76.451282340939727</v>
      </c>
      <c r="E19" s="17"/>
    </row>
    <row r="20" spans="1:5" ht="17.25" x14ac:dyDescent="0.4">
      <c r="B20" s="82">
        <f>SUM(B8:B19)</f>
        <v>17674.220204000001</v>
      </c>
      <c r="C20" s="83">
        <f t="shared" ref="C20" si="1">SUM(C8:C19)</f>
        <v>1155309.6736643</v>
      </c>
      <c r="D20" s="84">
        <f>+C20/B20</f>
        <v>65.366938983980305</v>
      </c>
      <c r="E20" s="17"/>
    </row>
    <row r="21" spans="1:5" x14ac:dyDescent="0.25">
      <c r="D21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2020-11-18T08:00:00+00:00</OpenedDate>
    <SignificantOrder xmlns="dc463f71-b30c-4ab2-9473-d307f9d35888">false</SignificantOrder>
    <Date1 xmlns="dc463f71-b30c-4ab2-9473-d307f9d35888">2020-11-18T08:00:00+00:00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200937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CBECF8713E77149A09032F9DFEEE6BE" ma:contentTypeVersion="52" ma:contentTypeDescription="" ma:contentTypeScope="" ma:versionID="ca7d092dafbfa981af4897c8fdb20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65ACD-FDA0-4BCE-92F0-7CE8992A9CAE}"/>
</file>

<file path=customXml/itemProps2.xml><?xml version="1.0" encoding="utf-8"?>
<ds:datastoreItem xmlns:ds="http://schemas.openxmlformats.org/officeDocument/2006/customXml" ds:itemID="{F9CD1F9A-B922-4800-AFD2-DEF37AFAF77F}"/>
</file>

<file path=customXml/itemProps3.xml><?xml version="1.0" encoding="utf-8"?>
<ds:datastoreItem xmlns:ds="http://schemas.openxmlformats.org/officeDocument/2006/customXml" ds:itemID="{0A3852C9-745E-4754-8E3C-3099AD91359B}"/>
</file>

<file path=customXml/itemProps4.xml><?xml version="1.0" encoding="utf-8"?>
<ds:datastoreItem xmlns:ds="http://schemas.openxmlformats.org/officeDocument/2006/customXml" ds:itemID="{15605D2F-CF34-4094-A8B4-7CAD396ED4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Rebate Calculation</vt:lpstr>
      <vt:lpstr>Recycling Revenue</vt:lpstr>
      <vt:lpstr>Customers</vt:lpstr>
      <vt:lpstr>Rebate Data</vt:lpstr>
      <vt:lpstr>SMaRT Tons Sold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Weinstein, Mike</dc:creator>
  <cp:lastModifiedBy>Weinstein, Mike</cp:lastModifiedBy>
  <dcterms:created xsi:type="dcterms:W3CDTF">2019-06-10T22:23:41Z</dcterms:created>
  <dcterms:modified xsi:type="dcterms:W3CDTF">2020-11-18T18:50:02Z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0x0101006E56B4D1795A2E4DB2F0B01679ED314A008CBECF8713E77149A09032F9DFEEE6BE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