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mc:AlternateContent xmlns:mc="http://schemas.openxmlformats.org/markup-compatibility/2006">
    <mc:Choice Requires="x15">
      <x15ac:absPath xmlns:x15ac="http://schemas.microsoft.com/office/spreadsheetml/2010/11/ac" url="R:\Regulatory_Affairs\PGA - WASHINGTON\2020\1_September Filing\Advice Filings\UG-XXXXX_20-10_Combined\"/>
    </mc:Choice>
  </mc:AlternateContent>
  <xr:revisionPtr revIDLastSave="0" documentId="13_ncr:1_{806CFEA7-CEDA-4711-BBD5-6E54EF79C862}" xr6:coauthVersionLast="36" xr6:coauthVersionMax="36" xr10:uidLastSave="{00000000-0000-0000-0000-000000000000}"/>
  <bookViews>
    <workbookView xWindow="0" yWindow="0" windowWidth="28800" windowHeight="11835" tabRatio="713" xr2:uid="{00000000-000D-0000-FFFF-FFFF00000000}"/>
  </bookViews>
  <sheets>
    <sheet name="Effcts on Avg. Bill" sheetId="2" r:id="rId1"/>
    <sheet name="Proposed Rates Summary" sheetId="4" r:id="rId2"/>
    <sheet name="Proposed Rates Detail" sheetId="5" r:id="rId3"/>
    <sheet name="Effects on Revenue" sheetId="3" r:id="rId4"/>
  </sheets>
  <externalReferences>
    <externalReference r:id="rId5"/>
    <externalReference r:id="rId6"/>
    <externalReference r:id="rId7"/>
  </externalReferences>
  <definedNames>
    <definedName name="EFFDATE">[1]Inputs!$B$63</definedName>
    <definedName name="_xlnm.Print_Area" localSheetId="3">'Effects on Revenue'!$A$1:$L$34</definedName>
    <definedName name="revsens">[1]Inputs!$B$30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3" l="1"/>
  <c r="F26" i="3"/>
  <c r="F20" i="3"/>
  <c r="J20" i="3" s="1"/>
  <c r="J18" i="3"/>
  <c r="F18" i="3"/>
  <c r="F22" i="3" s="1"/>
  <c r="J12" i="3"/>
  <c r="H12" i="3"/>
  <c r="F12" i="3"/>
  <c r="F10" i="3"/>
  <c r="F14" i="3" s="1"/>
  <c r="J14" i="3" s="1"/>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F28" i="3" l="1"/>
  <c r="J22" i="3"/>
  <c r="J10" i="3"/>
  <c r="F34" i="3" l="1"/>
  <c r="J34" i="3" s="1"/>
  <c r="J28" i="3"/>
  <c r="F76" i="5" l="1"/>
  <c r="G76" i="5" s="1"/>
  <c r="N72" i="5"/>
  <c r="M72" i="5"/>
  <c r="H72" i="5"/>
  <c r="L72" i="5" s="1"/>
  <c r="V72" i="5" s="1"/>
  <c r="N71" i="5"/>
  <c r="M71" i="5"/>
  <c r="H71" i="5"/>
  <c r="L71" i="5" s="1"/>
  <c r="N70" i="5"/>
  <c r="M70" i="5"/>
  <c r="H70" i="5"/>
  <c r="L70" i="5" s="1"/>
  <c r="V70" i="5" s="1"/>
  <c r="N69" i="5"/>
  <c r="M69" i="5"/>
  <c r="H69" i="5"/>
  <c r="L69" i="5" s="1"/>
  <c r="N68" i="5"/>
  <c r="M68" i="5"/>
  <c r="H68" i="5"/>
  <c r="L68" i="5" s="1"/>
  <c r="V68" i="5" s="1"/>
  <c r="N67" i="5"/>
  <c r="M67" i="5"/>
  <c r="L67" i="5"/>
  <c r="V67" i="5" s="1"/>
  <c r="H67" i="5"/>
  <c r="N66" i="5"/>
  <c r="M66" i="5"/>
  <c r="H66" i="5"/>
  <c r="L66" i="5" s="1"/>
  <c r="N65" i="5"/>
  <c r="M65" i="5"/>
  <c r="H65" i="5"/>
  <c r="L65" i="5" s="1"/>
  <c r="N64" i="5"/>
  <c r="M64" i="5"/>
  <c r="I64" i="5"/>
  <c r="E64" i="5"/>
  <c r="H64" i="5" s="1"/>
  <c r="N63" i="5"/>
  <c r="M63" i="5"/>
  <c r="E63" i="5"/>
  <c r="H63" i="5" s="1"/>
  <c r="N62" i="5"/>
  <c r="M62" i="5"/>
  <c r="I62" i="5"/>
  <c r="H62" i="5"/>
  <c r="E62" i="5"/>
  <c r="N61" i="5"/>
  <c r="M61" i="5"/>
  <c r="E61" i="5"/>
  <c r="H61" i="5" s="1"/>
  <c r="N60" i="5"/>
  <c r="M60" i="5"/>
  <c r="E60" i="5"/>
  <c r="H60" i="5" s="1"/>
  <c r="N59" i="5"/>
  <c r="M59" i="5"/>
  <c r="E59" i="5"/>
  <c r="H59" i="5" s="1"/>
  <c r="N58" i="5"/>
  <c r="M58" i="5"/>
  <c r="H58" i="5"/>
  <c r="E58" i="5"/>
  <c r="N57" i="5"/>
  <c r="M57" i="5"/>
  <c r="I57" i="5"/>
  <c r="H57" i="5"/>
  <c r="E57" i="5"/>
  <c r="N56" i="5"/>
  <c r="M56" i="5"/>
  <c r="E56" i="5"/>
  <c r="H56" i="5" s="1"/>
  <c r="N55" i="5"/>
  <c r="M55" i="5"/>
  <c r="H55" i="5"/>
  <c r="E55" i="5"/>
  <c r="N54" i="5"/>
  <c r="M54" i="5"/>
  <c r="E54" i="5"/>
  <c r="H54" i="5" s="1"/>
  <c r="N53" i="5"/>
  <c r="M53" i="5"/>
  <c r="E53" i="5"/>
  <c r="H53" i="5" s="1"/>
  <c r="N52" i="5"/>
  <c r="M52" i="5"/>
  <c r="H52" i="5"/>
  <c r="L52" i="5" s="1"/>
  <c r="V52" i="5" s="1"/>
  <c r="N51" i="5"/>
  <c r="M51" i="5"/>
  <c r="L51" i="5"/>
  <c r="H51" i="5"/>
  <c r="V50" i="5"/>
  <c r="N50" i="5"/>
  <c r="M50" i="5"/>
  <c r="H50" i="5"/>
  <c r="L50" i="5" s="1"/>
  <c r="N49" i="5"/>
  <c r="M49" i="5"/>
  <c r="H49" i="5"/>
  <c r="L49" i="5" s="1"/>
  <c r="N48" i="5"/>
  <c r="M48" i="5"/>
  <c r="H48" i="5"/>
  <c r="L48" i="5" s="1"/>
  <c r="V48" i="5" s="1"/>
  <c r="N47" i="5"/>
  <c r="M47" i="5"/>
  <c r="H47" i="5"/>
  <c r="L47" i="5" s="1"/>
  <c r="V47" i="5" s="1"/>
  <c r="N46" i="5"/>
  <c r="M46" i="5"/>
  <c r="H46" i="5"/>
  <c r="L46" i="5" s="1"/>
  <c r="V46" i="5" s="1"/>
  <c r="N45" i="5"/>
  <c r="M45" i="5"/>
  <c r="H45" i="5"/>
  <c r="L45" i="5" s="1"/>
  <c r="N44" i="5"/>
  <c r="M44" i="5"/>
  <c r="L44" i="5"/>
  <c r="H44" i="5"/>
  <c r="N43" i="5"/>
  <c r="M43" i="5"/>
  <c r="H43" i="5"/>
  <c r="L43" i="5" s="1"/>
  <c r="N42" i="5"/>
  <c r="M42" i="5"/>
  <c r="H42" i="5"/>
  <c r="L42" i="5" s="1"/>
  <c r="V42" i="5" s="1"/>
  <c r="N41" i="5"/>
  <c r="M41" i="5"/>
  <c r="H41" i="5"/>
  <c r="L41" i="5" s="1"/>
  <c r="N40" i="5"/>
  <c r="M40" i="5"/>
  <c r="I40" i="5"/>
  <c r="E40" i="5"/>
  <c r="H40" i="5" s="1"/>
  <c r="L40" i="5" s="1"/>
  <c r="V40" i="5" s="1"/>
  <c r="N39" i="5"/>
  <c r="M39" i="5"/>
  <c r="E39" i="5"/>
  <c r="H39" i="5" s="1"/>
  <c r="N38" i="5"/>
  <c r="M38" i="5"/>
  <c r="E38" i="5"/>
  <c r="H38" i="5" s="1"/>
  <c r="N37" i="5"/>
  <c r="M37" i="5"/>
  <c r="H37" i="5"/>
  <c r="E37" i="5"/>
  <c r="N36" i="5"/>
  <c r="M36" i="5"/>
  <c r="E36" i="5"/>
  <c r="H36" i="5" s="1"/>
  <c r="N35" i="5"/>
  <c r="M35" i="5"/>
  <c r="H35" i="5"/>
  <c r="E35" i="5"/>
  <c r="N34" i="5"/>
  <c r="M34" i="5"/>
  <c r="E34" i="5"/>
  <c r="H34" i="5" s="1"/>
  <c r="N33" i="5"/>
  <c r="M33" i="5"/>
  <c r="E33" i="5"/>
  <c r="H33" i="5" s="1"/>
  <c r="N32" i="5"/>
  <c r="M32" i="5"/>
  <c r="H32" i="5"/>
  <c r="E32" i="5"/>
  <c r="N31" i="5"/>
  <c r="M31" i="5"/>
  <c r="H31" i="5"/>
  <c r="E31" i="5"/>
  <c r="N30" i="5"/>
  <c r="M30" i="5"/>
  <c r="I30" i="5"/>
  <c r="E30" i="5"/>
  <c r="H30" i="5" s="1"/>
  <c r="N29" i="5"/>
  <c r="M29" i="5"/>
  <c r="E29" i="5"/>
  <c r="H29" i="5" s="1"/>
  <c r="N28" i="5"/>
  <c r="M28" i="5"/>
  <c r="E28" i="5"/>
  <c r="H28" i="5" s="1"/>
  <c r="N27" i="5"/>
  <c r="M27" i="5"/>
  <c r="E27" i="5"/>
  <c r="H27" i="5" s="1"/>
  <c r="N26" i="5"/>
  <c r="M26" i="5"/>
  <c r="E26" i="5"/>
  <c r="H26" i="5" s="1"/>
  <c r="N25" i="5"/>
  <c r="M25" i="5"/>
  <c r="H25" i="5"/>
  <c r="E25" i="5"/>
  <c r="N24" i="5"/>
  <c r="M24" i="5"/>
  <c r="H24" i="5"/>
  <c r="L24" i="5" s="1"/>
  <c r="N23" i="5"/>
  <c r="M23" i="5"/>
  <c r="H23" i="5"/>
  <c r="L23" i="5" s="1"/>
  <c r="V23" i="5" s="1"/>
  <c r="N22" i="5"/>
  <c r="M22" i="5"/>
  <c r="E22" i="5"/>
  <c r="H22" i="5" s="1"/>
  <c r="L22" i="5" s="1"/>
  <c r="V22" i="5" s="1"/>
  <c r="N21" i="5"/>
  <c r="M21" i="5"/>
  <c r="H21" i="5"/>
  <c r="E21" i="5"/>
  <c r="N20" i="5"/>
  <c r="M20" i="5"/>
  <c r="H20" i="5"/>
  <c r="E20" i="5"/>
  <c r="N19" i="5"/>
  <c r="M19" i="5"/>
  <c r="H19" i="5"/>
  <c r="E19" i="5"/>
  <c r="N18" i="5"/>
  <c r="M18" i="5"/>
  <c r="F18" i="5"/>
  <c r="E18" i="5"/>
  <c r="H18" i="5" s="1"/>
  <c r="N17" i="5"/>
  <c r="M17" i="5"/>
  <c r="F17" i="5"/>
  <c r="H17" i="5" s="1"/>
  <c r="E17" i="5"/>
  <c r="N16" i="5"/>
  <c r="M16" i="5"/>
  <c r="I16" i="5"/>
  <c r="F16" i="5"/>
  <c r="E16" i="5"/>
  <c r="N15" i="5"/>
  <c r="M15" i="5"/>
  <c r="F15" i="5"/>
  <c r="E15" i="5"/>
  <c r="N14" i="5"/>
  <c r="M14" i="5"/>
  <c r="G14" i="5"/>
  <c r="G15" i="5" s="1"/>
  <c r="F14" i="5"/>
  <c r="E14" i="5"/>
  <c r="N13" i="5"/>
  <c r="M13" i="5"/>
  <c r="J13" i="5"/>
  <c r="J17" i="5" s="1"/>
  <c r="I13" i="5"/>
  <c r="I22" i="5" s="1"/>
  <c r="H13" i="5"/>
  <c r="D8"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V7" i="5"/>
  <c r="A3" i="5"/>
  <c r="A2" i="5"/>
  <c r="A1" i="5"/>
  <c r="D76" i="4"/>
  <c r="H72" i="4"/>
  <c r="F72" i="4"/>
  <c r="E72" i="4"/>
  <c r="D72" i="4"/>
  <c r="G72" i="4" s="1"/>
  <c r="Q72" i="4" s="1"/>
  <c r="R72" i="4" s="1"/>
  <c r="H71" i="4"/>
  <c r="F71" i="4"/>
  <c r="E71" i="4"/>
  <c r="D71" i="4"/>
  <c r="G71" i="4" s="1"/>
  <c r="Q71" i="4" s="1"/>
  <c r="R71" i="4" s="1"/>
  <c r="H70" i="4"/>
  <c r="F70" i="4"/>
  <c r="E70" i="4"/>
  <c r="D70" i="4"/>
  <c r="G70" i="4" s="1"/>
  <c r="Q70" i="4" s="1"/>
  <c r="R70" i="4" s="1"/>
  <c r="H69" i="4"/>
  <c r="F69" i="4"/>
  <c r="E69" i="4"/>
  <c r="D69" i="4"/>
  <c r="G69" i="4" s="1"/>
  <c r="Q69" i="4" s="1"/>
  <c r="R69" i="4" s="1"/>
  <c r="H68" i="4"/>
  <c r="F68" i="4"/>
  <c r="E68" i="4"/>
  <c r="D68" i="4"/>
  <c r="G68" i="4" s="1"/>
  <c r="Q68" i="4" s="1"/>
  <c r="R68" i="4" s="1"/>
  <c r="H67" i="4"/>
  <c r="F67" i="4"/>
  <c r="E67" i="4"/>
  <c r="D67" i="4"/>
  <c r="G67" i="4" s="1"/>
  <c r="Q67" i="4" s="1"/>
  <c r="R67" i="4" s="1"/>
  <c r="H66" i="4"/>
  <c r="F66" i="4"/>
  <c r="E66" i="4"/>
  <c r="D66" i="4"/>
  <c r="G66" i="4" s="1"/>
  <c r="Q66" i="4" s="1"/>
  <c r="R66" i="4" s="1"/>
  <c r="H65" i="4"/>
  <c r="F65" i="4"/>
  <c r="E65" i="4"/>
  <c r="D65" i="4"/>
  <c r="G65" i="4" s="1"/>
  <c r="Q65" i="4" s="1"/>
  <c r="R65" i="4" s="1"/>
  <c r="H64" i="4"/>
  <c r="F64" i="4"/>
  <c r="E64" i="4"/>
  <c r="D64" i="4"/>
  <c r="G64" i="4" s="1"/>
  <c r="Q64" i="4" s="1"/>
  <c r="R64" i="4" s="1"/>
  <c r="H63" i="4"/>
  <c r="F63" i="4"/>
  <c r="E63" i="4"/>
  <c r="D63" i="4"/>
  <c r="G63" i="4" s="1"/>
  <c r="Q63" i="4" s="1"/>
  <c r="R63" i="4" s="1"/>
  <c r="H62" i="4"/>
  <c r="F62" i="4"/>
  <c r="E62" i="4"/>
  <c r="D62" i="4"/>
  <c r="G62" i="4" s="1"/>
  <c r="Q62" i="4" s="1"/>
  <c r="R62" i="4" s="1"/>
  <c r="H61" i="4"/>
  <c r="F61" i="4"/>
  <c r="E61" i="4"/>
  <c r="D61" i="4"/>
  <c r="G61" i="4" s="1"/>
  <c r="Q61" i="4" s="1"/>
  <c r="R61" i="4" s="1"/>
  <c r="H60" i="4"/>
  <c r="F60" i="4"/>
  <c r="E60" i="4"/>
  <c r="D60" i="4"/>
  <c r="G60" i="4" s="1"/>
  <c r="Q60" i="4" s="1"/>
  <c r="R60" i="4" s="1"/>
  <c r="H59" i="4"/>
  <c r="F59" i="4"/>
  <c r="E59" i="4"/>
  <c r="D59" i="4"/>
  <c r="G59" i="4" s="1"/>
  <c r="Q59" i="4" s="1"/>
  <c r="R59" i="4" s="1"/>
  <c r="H58" i="4"/>
  <c r="F58" i="4"/>
  <c r="E58" i="4"/>
  <c r="D58" i="4"/>
  <c r="G58" i="4" s="1"/>
  <c r="Q58" i="4" s="1"/>
  <c r="R58" i="4" s="1"/>
  <c r="H57" i="4"/>
  <c r="F57" i="4"/>
  <c r="E57" i="4"/>
  <c r="D57" i="4"/>
  <c r="G57" i="4" s="1"/>
  <c r="Q57" i="4" s="1"/>
  <c r="R57" i="4" s="1"/>
  <c r="H56" i="4"/>
  <c r="F56" i="4"/>
  <c r="E56" i="4"/>
  <c r="D56" i="4"/>
  <c r="G56" i="4" s="1"/>
  <c r="Q56" i="4" s="1"/>
  <c r="R56" i="4" s="1"/>
  <c r="H55" i="4"/>
  <c r="F55" i="4"/>
  <c r="E55" i="4"/>
  <c r="D55" i="4"/>
  <c r="G55" i="4" s="1"/>
  <c r="Q55" i="4" s="1"/>
  <c r="R55" i="4" s="1"/>
  <c r="H54" i="4"/>
  <c r="F54" i="4"/>
  <c r="E54" i="4"/>
  <c r="D54" i="4"/>
  <c r="G54" i="4" s="1"/>
  <c r="Q54" i="4" s="1"/>
  <c r="R54" i="4" s="1"/>
  <c r="H53" i="4"/>
  <c r="F53" i="4"/>
  <c r="E53" i="4"/>
  <c r="D53" i="4"/>
  <c r="G53" i="4" s="1"/>
  <c r="Q53" i="4" s="1"/>
  <c r="R53" i="4" s="1"/>
  <c r="H52" i="4"/>
  <c r="F52" i="4"/>
  <c r="E52" i="4"/>
  <c r="D52" i="4"/>
  <c r="G52" i="4" s="1"/>
  <c r="Q52" i="4" s="1"/>
  <c r="R52" i="4" s="1"/>
  <c r="H51" i="4"/>
  <c r="F51" i="4"/>
  <c r="E51" i="4"/>
  <c r="D51" i="4"/>
  <c r="G51" i="4" s="1"/>
  <c r="Q51" i="4" s="1"/>
  <c r="R51" i="4" s="1"/>
  <c r="H50" i="4"/>
  <c r="F50" i="4"/>
  <c r="E50" i="4"/>
  <c r="D50" i="4"/>
  <c r="G50" i="4" s="1"/>
  <c r="Q50" i="4" s="1"/>
  <c r="R50" i="4" s="1"/>
  <c r="H49" i="4"/>
  <c r="F49" i="4"/>
  <c r="E49" i="4"/>
  <c r="D49" i="4"/>
  <c r="G49" i="4" s="1"/>
  <c r="Q49" i="4" s="1"/>
  <c r="R49" i="4" s="1"/>
  <c r="H48" i="4"/>
  <c r="F48" i="4"/>
  <c r="E48" i="4"/>
  <c r="D48" i="4"/>
  <c r="G48" i="4" s="1"/>
  <c r="Q48" i="4" s="1"/>
  <c r="R48" i="4" s="1"/>
  <c r="H47" i="4"/>
  <c r="F47" i="4"/>
  <c r="E47" i="4"/>
  <c r="D47" i="4"/>
  <c r="G47" i="4" s="1"/>
  <c r="Q47" i="4" s="1"/>
  <c r="R47" i="4" s="1"/>
  <c r="H46" i="4"/>
  <c r="F46" i="4"/>
  <c r="E46" i="4"/>
  <c r="D46" i="4"/>
  <c r="G46" i="4" s="1"/>
  <c r="Q46" i="4" s="1"/>
  <c r="R46" i="4" s="1"/>
  <c r="H45" i="4"/>
  <c r="F45" i="4"/>
  <c r="E45" i="4"/>
  <c r="D45" i="4"/>
  <c r="G45" i="4" s="1"/>
  <c r="Q45" i="4" s="1"/>
  <c r="R45" i="4" s="1"/>
  <c r="H44" i="4"/>
  <c r="F44" i="4"/>
  <c r="E44" i="4"/>
  <c r="D44" i="4"/>
  <c r="G44" i="4" s="1"/>
  <c r="Q44" i="4" s="1"/>
  <c r="R44" i="4" s="1"/>
  <c r="H43" i="4"/>
  <c r="F43" i="4"/>
  <c r="E43" i="4"/>
  <c r="D43" i="4"/>
  <c r="G43" i="4" s="1"/>
  <c r="Q43" i="4" s="1"/>
  <c r="R43" i="4" s="1"/>
  <c r="H42" i="4"/>
  <c r="F42" i="4"/>
  <c r="E42" i="4"/>
  <c r="D42" i="4"/>
  <c r="G42" i="4" s="1"/>
  <c r="Q42" i="4" s="1"/>
  <c r="R42" i="4" s="1"/>
  <c r="H41" i="4"/>
  <c r="F41" i="4"/>
  <c r="E41" i="4"/>
  <c r="D41" i="4"/>
  <c r="G41" i="4" s="1"/>
  <c r="Q41" i="4" s="1"/>
  <c r="R41" i="4" s="1"/>
  <c r="H40" i="4"/>
  <c r="F40" i="4"/>
  <c r="E40" i="4"/>
  <c r="D40" i="4"/>
  <c r="G40" i="4" s="1"/>
  <c r="Q40" i="4" s="1"/>
  <c r="R40" i="4" s="1"/>
  <c r="H39" i="4"/>
  <c r="F39" i="4"/>
  <c r="E39" i="4"/>
  <c r="D39" i="4"/>
  <c r="G39" i="4" s="1"/>
  <c r="Q39" i="4" s="1"/>
  <c r="R39" i="4" s="1"/>
  <c r="H38" i="4"/>
  <c r="F38" i="4"/>
  <c r="E38" i="4"/>
  <c r="D38" i="4"/>
  <c r="G38" i="4" s="1"/>
  <c r="Q38" i="4" s="1"/>
  <c r="R38" i="4" s="1"/>
  <c r="H37" i="4"/>
  <c r="F37" i="4"/>
  <c r="E37" i="4"/>
  <c r="D37" i="4"/>
  <c r="G37" i="4" s="1"/>
  <c r="Q37" i="4" s="1"/>
  <c r="R37" i="4" s="1"/>
  <c r="H36" i="4"/>
  <c r="F36" i="4"/>
  <c r="E36" i="4"/>
  <c r="D36" i="4"/>
  <c r="G36" i="4" s="1"/>
  <c r="Q36" i="4" s="1"/>
  <c r="R36" i="4" s="1"/>
  <c r="H35" i="4"/>
  <c r="F35" i="4"/>
  <c r="E35" i="4"/>
  <c r="D35" i="4"/>
  <c r="G35" i="4" s="1"/>
  <c r="Q35" i="4" s="1"/>
  <c r="R35" i="4" s="1"/>
  <c r="H34" i="4"/>
  <c r="F34" i="4"/>
  <c r="E34" i="4"/>
  <c r="D34" i="4"/>
  <c r="G34" i="4" s="1"/>
  <c r="Q34" i="4" s="1"/>
  <c r="R34" i="4" s="1"/>
  <c r="H33" i="4"/>
  <c r="F33" i="4"/>
  <c r="E33" i="4"/>
  <c r="D33" i="4"/>
  <c r="G33" i="4" s="1"/>
  <c r="Q33" i="4" s="1"/>
  <c r="R33" i="4" s="1"/>
  <c r="H32" i="4"/>
  <c r="F32" i="4"/>
  <c r="E32" i="4"/>
  <c r="D32" i="4"/>
  <c r="G32" i="4" s="1"/>
  <c r="Q32" i="4" s="1"/>
  <c r="R32" i="4" s="1"/>
  <c r="H31" i="4"/>
  <c r="F31" i="4"/>
  <c r="E31" i="4"/>
  <c r="D31" i="4"/>
  <c r="G31" i="4" s="1"/>
  <c r="Q31" i="4" s="1"/>
  <c r="R31" i="4" s="1"/>
  <c r="H30" i="4"/>
  <c r="F30" i="4"/>
  <c r="E30" i="4"/>
  <c r="D30" i="4"/>
  <c r="G30" i="4" s="1"/>
  <c r="Q30" i="4" s="1"/>
  <c r="R30" i="4" s="1"/>
  <c r="H29" i="4"/>
  <c r="F29" i="4"/>
  <c r="E29" i="4"/>
  <c r="D29" i="4"/>
  <c r="G29" i="4" s="1"/>
  <c r="Q29" i="4" s="1"/>
  <c r="R29" i="4" s="1"/>
  <c r="H28" i="4"/>
  <c r="F28" i="4"/>
  <c r="E28" i="4"/>
  <c r="D28" i="4"/>
  <c r="G28" i="4" s="1"/>
  <c r="Q28" i="4" s="1"/>
  <c r="R28" i="4" s="1"/>
  <c r="H27" i="4"/>
  <c r="F27" i="4"/>
  <c r="E27" i="4"/>
  <c r="D27" i="4"/>
  <c r="G27" i="4" s="1"/>
  <c r="Q27" i="4" s="1"/>
  <c r="R27" i="4" s="1"/>
  <c r="H26" i="4"/>
  <c r="F26" i="4"/>
  <c r="E26" i="4"/>
  <c r="D26" i="4"/>
  <c r="G26" i="4" s="1"/>
  <c r="Q26" i="4" s="1"/>
  <c r="R26" i="4" s="1"/>
  <c r="H25" i="4"/>
  <c r="F25" i="4"/>
  <c r="E25" i="4"/>
  <c r="D25" i="4"/>
  <c r="G25" i="4" s="1"/>
  <c r="Q25" i="4" s="1"/>
  <c r="R25" i="4" s="1"/>
  <c r="H24" i="4"/>
  <c r="F24" i="4"/>
  <c r="E24" i="4"/>
  <c r="D24" i="4"/>
  <c r="G24" i="4" s="1"/>
  <c r="Q24" i="4" s="1"/>
  <c r="R24" i="4" s="1"/>
  <c r="H23" i="4"/>
  <c r="F23" i="4"/>
  <c r="E23" i="4"/>
  <c r="D23" i="4"/>
  <c r="G23" i="4" s="1"/>
  <c r="Q23" i="4" s="1"/>
  <c r="R23" i="4" s="1"/>
  <c r="H22" i="4"/>
  <c r="F22" i="4"/>
  <c r="E22" i="4"/>
  <c r="D22" i="4"/>
  <c r="G22" i="4" s="1"/>
  <c r="Q22" i="4" s="1"/>
  <c r="R22" i="4" s="1"/>
  <c r="H21" i="4"/>
  <c r="F21" i="4"/>
  <c r="E21" i="4"/>
  <c r="D21" i="4"/>
  <c r="G21" i="4" s="1"/>
  <c r="Q21" i="4" s="1"/>
  <c r="R21" i="4" s="1"/>
  <c r="H20" i="4"/>
  <c r="F20" i="4"/>
  <c r="E20" i="4"/>
  <c r="D20" i="4"/>
  <c r="G20" i="4" s="1"/>
  <c r="Q20" i="4" s="1"/>
  <c r="R20" i="4" s="1"/>
  <c r="H19" i="4"/>
  <c r="F19" i="4"/>
  <c r="E19" i="4"/>
  <c r="D19" i="4"/>
  <c r="G19" i="4" s="1"/>
  <c r="Q19" i="4" s="1"/>
  <c r="R19" i="4" s="1"/>
  <c r="H18" i="4"/>
  <c r="F18" i="4"/>
  <c r="E18" i="4"/>
  <c r="D18" i="4"/>
  <c r="G18" i="4" s="1"/>
  <c r="Q18" i="4" s="1"/>
  <c r="R18" i="4" s="1"/>
  <c r="H17" i="4"/>
  <c r="F17" i="4"/>
  <c r="E17" i="4"/>
  <c r="D17" i="4"/>
  <c r="G17" i="4" s="1"/>
  <c r="Q17" i="4" s="1"/>
  <c r="R17" i="4" s="1"/>
  <c r="H16" i="4"/>
  <c r="F16" i="4"/>
  <c r="E16" i="4"/>
  <c r="D16" i="4"/>
  <c r="G16" i="4" s="1"/>
  <c r="Q16" i="4" s="1"/>
  <c r="R16" i="4" s="1"/>
  <c r="H15" i="4"/>
  <c r="F15" i="4"/>
  <c r="E15" i="4"/>
  <c r="D15" i="4"/>
  <c r="G15" i="4" s="1"/>
  <c r="Q15" i="4" s="1"/>
  <c r="R15" i="4" s="1"/>
  <c r="H14" i="4"/>
  <c r="F14" i="4"/>
  <c r="E14" i="4"/>
  <c r="D14" i="4"/>
  <c r="G14" i="4" s="1"/>
  <c r="Q14" i="4" s="1"/>
  <c r="R14" i="4" s="1"/>
  <c r="H13" i="4"/>
  <c r="F13" i="4"/>
  <c r="E13" i="4"/>
  <c r="D13" i="4"/>
  <c r="G13" i="4" s="1"/>
  <c r="Q13" i="4" s="1"/>
  <c r="R13" i="4" s="1"/>
  <c r="Q8" i="4"/>
  <c r="D8"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3" i="4"/>
  <c r="A2" i="4"/>
  <c r="A1" i="4"/>
  <c r="J84" i="2"/>
  <c r="K84" i="2" s="1"/>
  <c r="H84" i="2"/>
  <c r="I84" i="2" s="1"/>
  <c r="F84" i="2"/>
  <c r="D84" i="2"/>
  <c r="J83" i="2"/>
  <c r="K83" i="2" s="1"/>
  <c r="H83" i="2"/>
  <c r="I83" i="2" s="1"/>
  <c r="F83" i="2"/>
  <c r="D83" i="2"/>
  <c r="J81" i="2"/>
  <c r="H81" i="2"/>
  <c r="D81" i="2"/>
  <c r="J80" i="2"/>
  <c r="H80" i="2"/>
  <c r="D80" i="2"/>
  <c r="J79" i="2"/>
  <c r="H79" i="2"/>
  <c r="D79" i="2"/>
  <c r="J78" i="2"/>
  <c r="H78" i="2"/>
  <c r="D78" i="2"/>
  <c r="J77" i="2"/>
  <c r="H77" i="2"/>
  <c r="D77" i="2"/>
  <c r="J76" i="2"/>
  <c r="H76" i="2"/>
  <c r="G76" i="2"/>
  <c r="F76" i="2"/>
  <c r="D76" i="2"/>
  <c r="J74" i="2"/>
  <c r="H74" i="2"/>
  <c r="D74" i="2"/>
  <c r="J73" i="2"/>
  <c r="H73" i="2"/>
  <c r="D73" i="2"/>
  <c r="J72" i="2"/>
  <c r="H72" i="2"/>
  <c r="D72" i="2"/>
  <c r="J71" i="2"/>
  <c r="H71" i="2"/>
  <c r="D71" i="2"/>
  <c r="J70" i="2"/>
  <c r="H70" i="2"/>
  <c r="D70" i="2"/>
  <c r="J69" i="2"/>
  <c r="H69" i="2"/>
  <c r="F69" i="2"/>
  <c r="K75" i="2" s="1"/>
  <c r="D69" i="2"/>
  <c r="J67" i="2"/>
  <c r="H67" i="2"/>
  <c r="D67" i="2"/>
  <c r="J66" i="2"/>
  <c r="H66" i="2"/>
  <c r="D66" i="2"/>
  <c r="J65" i="2"/>
  <c r="H65" i="2"/>
  <c r="D65" i="2"/>
  <c r="J64" i="2"/>
  <c r="H64" i="2"/>
  <c r="D64" i="2"/>
  <c r="J63" i="2"/>
  <c r="H63" i="2"/>
  <c r="D63" i="2"/>
  <c r="J62" i="2"/>
  <c r="H62" i="2"/>
  <c r="F62" i="2"/>
  <c r="D62" i="2"/>
  <c r="J60" i="2"/>
  <c r="H60" i="2"/>
  <c r="D60" i="2"/>
  <c r="J59" i="2"/>
  <c r="H59" i="2"/>
  <c r="D59" i="2"/>
  <c r="J58" i="2"/>
  <c r="H58" i="2"/>
  <c r="D58" i="2"/>
  <c r="J57" i="2"/>
  <c r="H57" i="2"/>
  <c r="D57" i="2"/>
  <c r="J56" i="2"/>
  <c r="H56" i="2"/>
  <c r="D56" i="2"/>
  <c r="J55" i="2"/>
  <c r="H55" i="2"/>
  <c r="G55" i="2"/>
  <c r="F55" i="2"/>
  <c r="D55" i="2"/>
  <c r="J53" i="2"/>
  <c r="H53" i="2"/>
  <c r="D53" i="2"/>
  <c r="J52" i="2"/>
  <c r="H52" i="2"/>
  <c r="D52" i="2"/>
  <c r="J51" i="2"/>
  <c r="H51" i="2"/>
  <c r="D51" i="2"/>
  <c r="J50" i="2"/>
  <c r="H50" i="2"/>
  <c r="D50" i="2"/>
  <c r="J49" i="2"/>
  <c r="H49" i="2"/>
  <c r="D49" i="2"/>
  <c r="J48" i="2"/>
  <c r="H48" i="2"/>
  <c r="G48" i="2"/>
  <c r="F48" i="2"/>
  <c r="D48" i="2"/>
  <c r="J46" i="2"/>
  <c r="H46" i="2"/>
  <c r="D46" i="2"/>
  <c r="J45" i="2"/>
  <c r="H45" i="2"/>
  <c r="D45" i="2"/>
  <c r="J44" i="2"/>
  <c r="H44" i="2"/>
  <c r="D44" i="2"/>
  <c r="J43" i="2"/>
  <c r="H43" i="2"/>
  <c r="D43" i="2"/>
  <c r="J42" i="2"/>
  <c r="H42" i="2"/>
  <c r="D42" i="2"/>
  <c r="J41" i="2"/>
  <c r="H41" i="2"/>
  <c r="F41" i="2"/>
  <c r="K47" i="2" s="1"/>
  <c r="D41" i="2"/>
  <c r="J39" i="2"/>
  <c r="H39" i="2"/>
  <c r="D39" i="2"/>
  <c r="J38" i="2"/>
  <c r="H38" i="2"/>
  <c r="D38" i="2"/>
  <c r="J37" i="2"/>
  <c r="H37" i="2"/>
  <c r="D37" i="2"/>
  <c r="J36" i="2"/>
  <c r="H36" i="2"/>
  <c r="D36" i="2"/>
  <c r="J35" i="2"/>
  <c r="H35" i="2"/>
  <c r="D35" i="2"/>
  <c r="J34" i="2"/>
  <c r="H34" i="2"/>
  <c r="F34" i="2"/>
  <c r="D34" i="2"/>
  <c r="J32" i="2"/>
  <c r="H32" i="2"/>
  <c r="D32" i="2"/>
  <c r="J31" i="2"/>
  <c r="H31" i="2"/>
  <c r="F31" i="2"/>
  <c r="K33" i="2" s="1"/>
  <c r="D31" i="2"/>
  <c r="J29" i="2"/>
  <c r="H29" i="2"/>
  <c r="D29" i="2"/>
  <c r="J28" i="2"/>
  <c r="H28" i="2"/>
  <c r="F28" i="2"/>
  <c r="D28" i="2"/>
  <c r="J26" i="2"/>
  <c r="H26" i="2"/>
  <c r="D26" i="2"/>
  <c r="J25" i="2"/>
  <c r="H25" i="2"/>
  <c r="G25" i="2"/>
  <c r="F25" i="2"/>
  <c r="D25" i="2"/>
  <c r="J23" i="2"/>
  <c r="H23" i="2"/>
  <c r="D23" i="2"/>
  <c r="J22" i="2"/>
  <c r="H22" i="2"/>
  <c r="F22" i="2"/>
  <c r="K24" i="2" s="1"/>
  <c r="D22" i="2"/>
  <c r="J20" i="2"/>
  <c r="H20" i="2"/>
  <c r="D20" i="2"/>
  <c r="J19" i="2"/>
  <c r="H19" i="2"/>
  <c r="F19" i="2"/>
  <c r="D19" i="2"/>
  <c r="J18" i="2"/>
  <c r="K18" i="2" s="1"/>
  <c r="H18" i="2"/>
  <c r="I18" i="2" s="1"/>
  <c r="F18" i="2"/>
  <c r="D18" i="2"/>
  <c r="J17" i="2"/>
  <c r="H17" i="2"/>
  <c r="F17" i="2"/>
  <c r="D17" i="2"/>
  <c r="J16" i="2"/>
  <c r="H16" i="2"/>
  <c r="F16" i="2"/>
  <c r="D16" i="2"/>
  <c r="J15" i="2"/>
  <c r="H15" i="2"/>
  <c r="F15" i="2"/>
  <c r="D15" i="2"/>
  <c r="J14" i="2"/>
  <c r="H14" i="2"/>
  <c r="F14" i="2"/>
  <c r="D14" i="2"/>
  <c r="J13" i="2"/>
  <c r="H13" i="2"/>
  <c r="F13" i="2"/>
  <c r="D13" i="2"/>
  <c r="J8" i="2"/>
  <c r="I8" i="2"/>
  <c r="A8" i="2"/>
  <c r="A9" i="2" s="1"/>
  <c r="A10" i="2" s="1"/>
  <c r="A11" i="2" s="1"/>
  <c r="A12" i="2" s="1"/>
  <c r="A13" i="2" s="1"/>
  <c r="A14" i="2" s="1"/>
  <c r="A15" i="2" s="1"/>
  <c r="A16" i="2" s="1"/>
  <c r="A17" i="2" s="1"/>
  <c r="A18" i="2" s="1"/>
  <c r="A19" i="2" s="1"/>
  <c r="A20" i="2" s="1"/>
  <c r="A21" i="2" s="1"/>
  <c r="A22" i="2" s="1"/>
  <c r="A3" i="2"/>
  <c r="A2" i="2"/>
  <c r="A1" i="2"/>
  <c r="L28" i="5" l="1"/>
  <c r="V28" i="5" s="1"/>
  <c r="L37" i="5"/>
  <c r="V37" i="5" s="1"/>
  <c r="I14" i="5"/>
  <c r="I20" i="5"/>
  <c r="I25" i="5"/>
  <c r="L25" i="5" s="1"/>
  <c r="V25" i="5" s="1"/>
  <c r="I35" i="5"/>
  <c r="I38" i="5"/>
  <c r="L38" i="5" s="1"/>
  <c r="V38" i="5" s="1"/>
  <c r="V66" i="5"/>
  <c r="I27" i="5"/>
  <c r="L27" i="5" s="1"/>
  <c r="V27" i="5" s="1"/>
  <c r="V44" i="5"/>
  <c r="V51" i="5"/>
  <c r="I60" i="5"/>
  <c r="V71" i="5"/>
  <c r="I19" i="5"/>
  <c r="I37" i="5"/>
  <c r="L21" i="5"/>
  <c r="V21" i="5" s="1"/>
  <c r="I29" i="5"/>
  <c r="L29" i="5" s="1"/>
  <c r="V29" i="5" s="1"/>
  <c r="I59" i="5"/>
  <c r="L19" i="5"/>
  <c r="V19" i="5" s="1"/>
  <c r="I15" i="5"/>
  <c r="I18" i="5"/>
  <c r="L18" i="5" s="1"/>
  <c r="V18" i="5" s="1"/>
  <c r="I21" i="5"/>
  <c r="I36" i="5"/>
  <c r="L36" i="5" s="1"/>
  <c r="V36" i="5" s="1"/>
  <c r="I39" i="5"/>
  <c r="L39" i="5" s="1"/>
  <c r="V39" i="5" s="1"/>
  <c r="V43" i="5"/>
  <c r="I54" i="5"/>
  <c r="V65" i="5"/>
  <c r="J18" i="5"/>
  <c r="I28" i="5"/>
  <c r="I17" i="5"/>
  <c r="L17" i="5" s="1"/>
  <c r="V17" i="5" s="1"/>
  <c r="L20" i="5"/>
  <c r="V20" i="5" s="1"/>
  <c r="I33" i="5"/>
  <c r="L33" i="5" s="1"/>
  <c r="V33" i="5" s="1"/>
  <c r="I58" i="5"/>
  <c r="H15" i="5"/>
  <c r="G16" i="5"/>
  <c r="H16" i="5"/>
  <c r="J15" i="5"/>
  <c r="I26" i="5"/>
  <c r="L26" i="5" s="1"/>
  <c r="V26" i="5" s="1"/>
  <c r="L30" i="5"/>
  <c r="V30" i="5" s="1"/>
  <c r="I31" i="5"/>
  <c r="I56" i="5"/>
  <c r="V24" i="5"/>
  <c r="I32" i="5"/>
  <c r="V49" i="5"/>
  <c r="I53" i="5"/>
  <c r="I55" i="5"/>
  <c r="I63" i="5"/>
  <c r="L54" i="5"/>
  <c r="V54" i="5" s="1"/>
  <c r="L62" i="5"/>
  <c r="V62" i="5" s="1"/>
  <c r="L13" i="5"/>
  <c r="V13" i="5" s="1"/>
  <c r="H14" i="5"/>
  <c r="J16" i="5"/>
  <c r="I34" i="5"/>
  <c r="V45" i="5"/>
  <c r="I61" i="5"/>
  <c r="L57" i="5"/>
  <c r="V57" i="5" s="1"/>
  <c r="L60" i="5"/>
  <c r="V60" i="5" s="1"/>
  <c r="J14" i="5"/>
  <c r="L35" i="5"/>
  <c r="V35" i="5" s="1"/>
  <c r="V41" i="5"/>
  <c r="L59" i="5"/>
  <c r="V59" i="5" s="1"/>
  <c r="L58" i="5"/>
  <c r="V58" i="5" s="1"/>
  <c r="L64" i="5"/>
  <c r="V64" i="5" s="1"/>
  <c r="V69" i="5"/>
  <c r="I68" i="2"/>
  <c r="I17" i="2"/>
  <c r="I30" i="2"/>
  <c r="K30" i="2"/>
  <c r="L30" i="2" s="1"/>
  <c r="I14" i="2"/>
  <c r="I21" i="2"/>
  <c r="I82" i="2"/>
  <c r="I16" i="2"/>
  <c r="K54" i="2"/>
  <c r="I13" i="2"/>
  <c r="I61" i="2"/>
  <c r="I15" i="2"/>
  <c r="A23" i="2"/>
  <c r="A24" i="2"/>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L18" i="2"/>
  <c r="I33" i="2"/>
  <c r="I54" i="2"/>
  <c r="K68" i="2"/>
  <c r="I75" i="2"/>
  <c r="K13" i="2"/>
  <c r="K14" i="2"/>
  <c r="K15" i="2"/>
  <c r="K16" i="2"/>
  <c r="K17" i="2"/>
  <c r="I24" i="2"/>
  <c r="K27" i="2"/>
  <c r="K8" i="2"/>
  <c r="L8" i="2" s="1"/>
  <c r="K40" i="2"/>
  <c r="I47" i="2"/>
  <c r="K61" i="2"/>
  <c r="K82" i="2"/>
  <c r="K21" i="2"/>
  <c r="I27" i="2"/>
  <c r="I40" i="2"/>
  <c r="L14" i="5" l="1"/>
  <c r="V14" i="5" s="1"/>
  <c r="L32" i="5"/>
  <c r="V32" i="5" s="1"/>
  <c r="L55" i="5"/>
  <c r="V55" i="5" s="1"/>
  <c r="L53" i="5"/>
  <c r="V53" i="5" s="1"/>
  <c r="L31" i="5"/>
  <c r="V31" i="5" s="1"/>
  <c r="L16" i="5"/>
  <c r="V16" i="5" s="1"/>
  <c r="L15" i="5"/>
  <c r="V15" i="5" s="1"/>
  <c r="L34" i="5"/>
  <c r="V34" i="5" s="1"/>
  <c r="L61" i="5"/>
  <c r="V61" i="5" s="1"/>
  <c r="L63" i="5"/>
  <c r="V63" i="5" s="1"/>
  <c r="L56" i="5"/>
  <c r="V56" i="5" s="1"/>
  <c r="L47" i="2"/>
  <c r="L75" i="2"/>
  <c r="L16" i="2"/>
  <c r="L15" i="2"/>
  <c r="L14" i="2"/>
  <c r="L13" i="2"/>
  <c r="L33" i="2"/>
  <c r="L54" i="2"/>
  <c r="L82" i="2"/>
  <c r="L27" i="2"/>
  <c r="L24" i="2"/>
  <c r="L40" i="2"/>
  <c r="L68" i="2"/>
  <c r="L21" i="2"/>
  <c r="L61" i="2"/>
  <c r="L17" i="2"/>
</calcChain>
</file>

<file path=xl/sharedStrings.xml><?xml version="1.0" encoding="utf-8"?>
<sst xmlns="http://schemas.openxmlformats.org/spreadsheetml/2006/main" count="465" uniqueCount="143">
  <si>
    <t>NW Natural</t>
  </si>
  <si>
    <t>Rates &amp; Regulatory Affairs</t>
  </si>
  <si>
    <t>Billing</t>
  </si>
  <si>
    <t>Temporary</t>
  </si>
  <si>
    <t>Volumes page,</t>
  </si>
  <si>
    <t>Total</t>
  </si>
  <si>
    <t>Column D</t>
  </si>
  <si>
    <t>Column A</t>
  </si>
  <si>
    <t>Rate</t>
  </si>
  <si>
    <t>Charge</t>
  </si>
  <si>
    <t>Schedule</t>
  </si>
  <si>
    <t>Block</t>
  </si>
  <si>
    <t>A</t>
  </si>
  <si>
    <t>B</t>
  </si>
  <si>
    <t>C</t>
  </si>
  <si>
    <t>D</t>
  </si>
  <si>
    <t>E</t>
  </si>
  <si>
    <t>G</t>
  </si>
  <si>
    <t>H</t>
  </si>
  <si>
    <t>1R</t>
  </si>
  <si>
    <t>1C</t>
  </si>
  <si>
    <t>2R</t>
  </si>
  <si>
    <t>3 CFS</t>
  </si>
  <si>
    <t>3 IFS</t>
  </si>
  <si>
    <t>41C Firm Sales</t>
  </si>
  <si>
    <t>Block 1</t>
  </si>
  <si>
    <t>Block 2</t>
  </si>
  <si>
    <t>41C Interr Sales</t>
  </si>
  <si>
    <t>41 Firm Trans</t>
  </si>
  <si>
    <t>41I Firm Sales</t>
  </si>
  <si>
    <t>41I Interr Sales</t>
  </si>
  <si>
    <t>42C Firm Sales</t>
  </si>
  <si>
    <t>Block 3</t>
  </si>
  <si>
    <t>Block 4</t>
  </si>
  <si>
    <t>Block 5</t>
  </si>
  <si>
    <t>Block 6</t>
  </si>
  <si>
    <t>42I Firm Sales</t>
  </si>
  <si>
    <t>42C Interr Sales</t>
  </si>
  <si>
    <t>42I Interr Sales</t>
  </si>
  <si>
    <t>42 Inter Trans</t>
  </si>
  <si>
    <t>43 Firm Trans</t>
  </si>
  <si>
    <t>43 Interr Trans</t>
  </si>
  <si>
    <t>Intentionally blank</t>
  </si>
  <si>
    <t>PGA Effects on Average Bill by Rate Schedule</t>
  </si>
  <si>
    <t>Calculation of Effect on Customer Average Bill by Rate Schedule [1]</t>
  </si>
  <si>
    <t>Washington</t>
  </si>
  <si>
    <t>Normal</t>
  </si>
  <si>
    <t>Current</t>
  </si>
  <si>
    <t>Proposed</t>
  </si>
  <si>
    <t>PGA Normalized</t>
  </si>
  <si>
    <t>Therms</t>
  </si>
  <si>
    <t>Minimum</t>
  </si>
  <si>
    <t>Therms in</t>
  </si>
  <si>
    <t>Monthly</t>
  </si>
  <si>
    <t>Average use</t>
  </si>
  <si>
    <t>Rates</t>
  </si>
  <si>
    <t>Average Bill</t>
  </si>
  <si>
    <t>% Bill Change</t>
  </si>
  <si>
    <t>F=D+(C * E)</t>
  </si>
  <si>
    <t>F</t>
  </si>
  <si>
    <t>N/A</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</si>
  <si>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</si>
  <si>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</si>
  <si>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</si>
  <si>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</si>
  <si>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Rates in summary</t>
  </si>
  <si>
    <t>Sources:</t>
  </si>
  <si>
    <t>Direct Inputs</t>
  </si>
  <si>
    <t>per Tariff</t>
  </si>
  <si>
    <t>Amount</t>
  </si>
  <si>
    <t>Temporary Increments</t>
  </si>
  <si>
    <t>Removal of Current Temporary Increments</t>
  </si>
  <si>
    <t xml:space="preserve">Effect of this filing, as a percentage change </t>
  </si>
  <si>
    <t>Reference</t>
  </si>
  <si>
    <t>2019 Washington CBR Normalized Total Revenues</t>
  </si>
  <si>
    <t>42C Firm Trans</t>
  </si>
  <si>
    <t>42I Firm Trans</t>
  </si>
  <si>
    <t>2020-21 Combined Effects - Washington: September Filing</t>
  </si>
  <si>
    <t>Tariff Advice 20-10: Combined Effects on Revenue</t>
  </si>
  <si>
    <t>Original Filing</t>
  </si>
  <si>
    <t>Change</t>
  </si>
  <si>
    <t>Purchased Gas Cost Adjustment (PGA)</t>
  </si>
  <si>
    <t>Gas Cost Change</t>
  </si>
  <si>
    <t>NWN 2020-21 PGA gas cost development file September filing_WA.xls</t>
  </si>
  <si>
    <t>Capacity Cost Change</t>
  </si>
  <si>
    <t>Total PGA Change</t>
  </si>
  <si>
    <t>Temporary Rate Adjustments</t>
  </si>
  <si>
    <t>Proposed Temporary Increments</t>
  </si>
  <si>
    <t>NWN 2020-21 WA PGA Rate Development file September filing.xlsx</t>
  </si>
  <si>
    <t>NWN 2019-20 Washington PGA summary effects September filing_Rev092519_CompEE+TaxDef.xlsx</t>
  </si>
  <si>
    <t>Total Net Temporary Rate Adjustment</t>
  </si>
  <si>
    <t>Permanent Rate Adjustments</t>
  </si>
  <si>
    <t>N/A - No Permanent Rate Adj. in 2020-2021</t>
  </si>
  <si>
    <t>TOTAL OF ALL COMPONENTS OF ALL RATE CHANGES</t>
  </si>
  <si>
    <t>I</t>
  </si>
  <si>
    <t>J</t>
  </si>
  <si>
    <t>K</t>
  </si>
  <si>
    <t>L</t>
  </si>
  <si>
    <t>Calculation of Proposed Rates - SUMMARY</t>
  </si>
  <si>
    <t>Net change</t>
  </si>
  <si>
    <t xml:space="preserve">Hold for </t>
  </si>
  <si>
    <t>2020-21 PGA</t>
  </si>
  <si>
    <t>Permanent</t>
  </si>
  <si>
    <t xml:space="preserve">Change in </t>
  </si>
  <si>
    <t>WACOG</t>
  </si>
  <si>
    <t>Demand [1]</t>
  </si>
  <si>
    <t>PGA Only [1]</t>
  </si>
  <si>
    <t>Increments</t>
  </si>
  <si>
    <t>Rates [1]</t>
  </si>
  <si>
    <t>D=A+B+C</t>
  </si>
  <si>
    <t>G=D+E+F</t>
  </si>
  <si>
    <t>Rates in detail</t>
  </si>
  <si>
    <t>Column F - B</t>
  </si>
  <si>
    <t>Column G+H-C-D</t>
  </si>
  <si>
    <t>Column K - J</t>
  </si>
  <si>
    <t>Column N</t>
  </si>
  <si>
    <t xml:space="preserve">[1] Rate Schedule 41 and 42 customers may choose demand charges at a volumetric rate or based on MDDV. </t>
  </si>
  <si>
    <t>Calculation of Proposed Rates - DETAIL</t>
  </si>
  <si>
    <t>REMOVE</t>
  </si>
  <si>
    <t>ADD</t>
  </si>
  <si>
    <t>Hold for</t>
  </si>
  <si>
    <t>FIRM</t>
  </si>
  <si>
    <t>INTERR</t>
  </si>
  <si>
    <t>Tariff</t>
  </si>
  <si>
    <t>Demand</t>
  </si>
  <si>
    <t>Subtotal [1]</t>
  </si>
  <si>
    <t>Items</t>
  </si>
  <si>
    <t>E=A-B-C-D</t>
  </si>
  <si>
    <t>I=E+F+G+H</t>
  </si>
  <si>
    <t>L=I-J+K</t>
  </si>
  <si>
    <t>2019-20 PGA+GRC</t>
  </si>
  <si>
    <t>2019-20 PGA</t>
  </si>
  <si>
    <t>Gas Cost File</t>
  </si>
  <si>
    <t>Column I</t>
  </si>
  <si>
    <t>Equal % of margin</t>
  </si>
  <si>
    <t>[1] Rate Schedule 41 and 42 customers may choose demand charges at a volumetric rate or based on MDDV.  For convenience of presentation, demand charges are not shown for those schedules.</t>
  </si>
  <si>
    <t>AA=D+(C * Z)</t>
  </si>
  <si>
    <t>AB=(AA - F)/F</t>
  </si>
  <si>
    <t>Z</t>
  </si>
  <si>
    <t>AA</t>
  </si>
  <si>
    <t>AB</t>
  </si>
  <si>
    <t>saved for</t>
  </si>
  <si>
    <t>future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</si>
</sst>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quot;$&quot;#,##0.00000"/>
    <numFmt numFmtId="166" formatCode="#,##0.0_);\(#,##0.0\)"/>
    <numFmt numFmtId="167" formatCode="&quot;$&quot;#,##0.00000_);\(&quot;$&quot;#,##0.00000\)"/>
    <numFmt numFmtId="168" formatCode="0.00_);\(0.00\)"/>
    <numFmt numFmtId="169" formatCode="0.0%"/>
    <numFmt numFmtId="170" formatCode="_(* #,##0_);_(* \(#,##0\);_(* &quot;-&quot;??_);_(@_)"/>
    <numFmt numFmtId="171" formatCode="_(* #,##0.00000_);_(* \(#,##0.00000\);_(* &quot;-&quot;??_);_(@_)"/>
    <numFmt numFmtId="172" formatCode="&quot;$&quot;#,##0.000000"/>
    <numFmt numFmtId="173" formatCode="&quot;$&quot;#,##0.000"/>
  </numFmts>
  <fonts count="20" x14ac:knownFonts="1">
    <font>
      <sz val="11"/>
      <color theme="1"/>
      <name val="Calibri"/>
      <family val="2"/>
      <scheme val="minor"/>
    </font>
    <font>
      <sz val="11"/>
      <color theme="1"/>
      <name val="Calibri"/>
      <family val="2"/>
      <scheme val="minor"/>
    </font>
    <font>
      <b/>
      <sz val="11"/>
      <name val="Tahoma"/>
      <family val="2"/>
    </font>
    <font>
      <sz val="10"/>
      <name val="Tahoma"/>
      <family val="2"/>
    </font>
    <font>
      <b/>
      <sz val="10"/>
      <name val="Tahoma"/>
      <family val="2"/>
    </font>
    <font>
      <sz val="8"/>
      <name val="Tahoma"/>
      <family val="2"/>
    </font>
    <font>
      <b/>
      <u/>
      <sz val="10"/>
      <name val="Tahoma"/>
      <family val="2"/>
    </font>
    <font>
      <sz val="11"/>
      <name val="Calibri"/>
      <family val="2"/>
      <scheme val="minor"/>
    </font>
    <font>
      <b/>
      <sz val="11"/>
      <name val="Calibri"/>
      <family val="2"/>
      <scheme val="minor"/>
    </font>
    <font>
      <b/>
      <u/>
      <sz val="11"/>
      <name val="Calibri"/>
      <family val="2"/>
      <scheme val="minor"/>
    </font>
    <font>
      <sz val="11"/>
      <color rgb="FFFF0000"/>
      <name val="Calibri"/>
      <family val="2"/>
      <scheme val="minor"/>
    </font>
    <font>
      <sz val="11"/>
      <color rgb="FF0000FF"/>
      <name val="Calibri"/>
      <family val="2"/>
      <scheme val="minor"/>
    </font>
    <font>
      <sz val="11"/>
      <color indexed="12"/>
      <name val="Calibri"/>
      <family val="2"/>
      <scheme val="minor"/>
    </font>
    <font>
      <b/>
      <sz val="11"/>
      <color indexed="12"/>
      <name val="Calibri"/>
      <family val="2"/>
      <scheme val="minor"/>
    </font>
    <font>
      <u/>
      <sz val="11"/>
      <color rgb="FF0000FF"/>
      <name val="Calibri"/>
      <family val="2"/>
      <scheme val="minor"/>
    </font>
    <font>
      <b/>
      <sz val="11"/>
      <color rgb="FF0000FF"/>
      <name val="Tahoma"/>
      <family val="2"/>
    </font>
    <font>
      <sz val="8"/>
      <color rgb="FF0000FF"/>
      <name val="Tahoma"/>
      <family val="2"/>
    </font>
    <font>
      <sz val="10"/>
      <color indexed="12"/>
      <name val="Tahoma"/>
      <family val="2"/>
    </font>
    <font>
      <b/>
      <sz val="10"/>
      <color rgb="FF0000FF"/>
      <name val="Tahoma"/>
      <family val="2"/>
    </font>
    <font>
      <b/>
      <sz val="10"/>
      <color indexed="12"/>
      <name val="Tahoma"/>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rgb="FFFF0000"/>
        <bgColor indexed="64"/>
      </patternFill>
    </fill>
  </fills>
  <borders count="12">
    <border>
      <left/>
      <right/>
      <top/>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bottom style="double">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0">
    <xf numFmtId="0" fontId="0" fillId="0" borderId="0" xfId="0"/>
    <xf numFmtId="0" fontId="7" fillId="0" borderId="0" xfId="0" applyFont="1"/>
    <xf numFmtId="0" fontId="2" fillId="3" borderId="0" xfId="0" applyFont="1" applyFill="1" applyBorder="1"/>
    <xf numFmtId="0" fontId="3" fillId="3" borderId="0" xfId="0" applyFont="1" applyFill="1"/>
    <xf numFmtId="0" fontId="4" fillId="3" borderId="0" xfId="0" applyFont="1" applyFill="1"/>
    <xf numFmtId="0" fontId="3" fillId="3" borderId="0" xfId="0" applyFont="1" applyFill="1" applyAlignment="1">
      <alignment horizontal="center"/>
    </xf>
    <xf numFmtId="0" fontId="6" fillId="3" borderId="0" xfId="0" applyFont="1" applyFill="1" applyAlignment="1">
      <alignment horizontal="center"/>
    </xf>
    <xf numFmtId="37" fontId="3" fillId="3" borderId="0" xfId="0" applyNumberFormat="1" applyFont="1" applyFill="1"/>
    <xf numFmtId="0" fontId="5" fillId="3" borderId="0" xfId="0" applyFont="1" applyFill="1"/>
    <xf numFmtId="0" fontId="6" fillId="3" borderId="0" xfId="0" applyFont="1" applyFill="1"/>
    <xf numFmtId="37" fontId="3" fillId="3" borderId="4" xfId="0" applyNumberFormat="1" applyFont="1" applyFill="1" applyBorder="1"/>
    <xf numFmtId="37" fontId="3" fillId="3" borderId="0" xfId="0" applyNumberFormat="1" applyFont="1" applyFill="1" applyBorder="1"/>
    <xf numFmtId="5" fontId="4" fillId="3" borderId="11" xfId="0" applyNumberFormat="1" applyFont="1" applyFill="1" applyBorder="1"/>
    <xf numFmtId="0" fontId="3" fillId="3" borderId="0" xfId="0" quotePrefix="1" applyFont="1" applyFill="1"/>
    <xf numFmtId="5" fontId="4" fillId="3" borderId="0" xfId="2" applyNumberFormat="1" applyFont="1" applyFill="1"/>
    <xf numFmtId="37" fontId="4" fillId="3" borderId="0" xfId="0" applyNumberFormat="1" applyFont="1" applyFill="1"/>
    <xf numFmtId="10" fontId="4" fillId="3" borderId="0" xfId="1" applyNumberFormat="1" applyFont="1" applyFill="1"/>
    <xf numFmtId="0" fontId="8" fillId="0" borderId="0" xfId="0" applyFont="1" applyBorder="1"/>
    <xf numFmtId="0" fontId="7" fillId="0" borderId="0" xfId="0" applyFont="1" applyBorder="1"/>
    <xf numFmtId="0" fontId="8" fillId="0" borderId="0" xfId="0" applyFont="1" applyAlignment="1">
      <alignment horizontal="right"/>
    </xf>
    <xf numFmtId="0" fontId="7" fillId="0" borderId="0" xfId="0" applyFont="1" applyFill="1"/>
    <xf numFmtId="0" fontId="7" fillId="0" borderId="0" xfId="0" applyFont="1" applyBorder="1" applyAlignment="1">
      <alignment horizontal="center"/>
    </xf>
    <xf numFmtId="0" fontId="7" fillId="0" borderId="0" xfId="0" applyFont="1" applyAlignment="1">
      <alignment horizontal="center"/>
    </xf>
    <xf numFmtId="0" fontId="8" fillId="0" borderId="0" xfId="0" applyFont="1" applyAlignment="1">
      <alignment horizontal="center"/>
    </xf>
    <xf numFmtId="0" fontId="7" fillId="0" borderId="2" xfId="0" applyFont="1" applyBorder="1"/>
    <xf numFmtId="0" fontId="7" fillId="0" borderId="3" xfId="0" applyFont="1" applyBorder="1" applyAlignment="1">
      <alignment horizontal="center"/>
    </xf>
    <xf numFmtId="0" fontId="8" fillId="0" borderId="3" xfId="0" applyFont="1" applyBorder="1" applyAlignment="1">
      <alignment horizontal="center"/>
    </xf>
    <xf numFmtId="0" fontId="8" fillId="0" borderId="0" xfId="0" applyFont="1" applyBorder="1" applyAlignment="1">
      <alignment horizontal="right"/>
    </xf>
    <xf numFmtId="0" fontId="7" fillId="0" borderId="0" xfId="0" applyFont="1" applyFill="1" applyBorder="1" applyAlignment="1">
      <alignment horizontal="center"/>
    </xf>
    <xf numFmtId="0" fontId="7" fillId="0" borderId="1" xfId="0" applyFont="1" applyFill="1" applyBorder="1" applyAlignment="1">
      <alignment horizontal="center"/>
    </xf>
    <xf numFmtId="0" fontId="8" fillId="0" borderId="4" xfId="0" applyFont="1" applyBorder="1" applyAlignment="1">
      <alignment horizontal="center"/>
    </xf>
    <xf numFmtId="0" fontId="8" fillId="0" borderId="4" xfId="0" applyFont="1" applyFill="1" applyBorder="1" applyAlignment="1">
      <alignment horizontal="center"/>
    </xf>
    <xf numFmtId="0" fontId="7" fillId="0" borderId="5" xfId="0" applyFont="1" applyFill="1" applyBorder="1" applyAlignment="1">
      <alignment horizontal="center"/>
    </xf>
    <xf numFmtId="37" fontId="7" fillId="0" borderId="4" xfId="0" applyNumberFormat="1" applyFont="1" applyBorder="1"/>
    <xf numFmtId="7" fontId="7" fillId="0" borderId="4" xfId="0" applyNumberFormat="1" applyFont="1" applyFill="1" applyBorder="1"/>
    <xf numFmtId="7" fontId="7" fillId="0" borderId="4" xfId="0" applyNumberFormat="1" applyFont="1" applyBorder="1"/>
    <xf numFmtId="0" fontId="7" fillId="0" borderId="4" xfId="0" applyFont="1" applyFill="1" applyBorder="1" applyAlignment="1">
      <alignment horizontal="center"/>
    </xf>
    <xf numFmtId="168" fontId="7" fillId="0" borderId="0" xfId="0" applyNumberFormat="1" applyFont="1" applyFill="1" applyBorder="1" applyAlignment="1">
      <alignment horizontal="center"/>
    </xf>
    <xf numFmtId="37" fontId="7" fillId="0" borderId="0" xfId="0" applyNumberFormat="1" applyFont="1" applyBorder="1"/>
    <xf numFmtId="7" fontId="7" fillId="0" borderId="0" xfId="0" applyNumberFormat="1" applyFont="1" applyBorder="1"/>
    <xf numFmtId="7" fontId="7" fillId="0" borderId="0" xfId="0" applyNumberFormat="1" applyFont="1" applyFill="1" applyBorder="1"/>
    <xf numFmtId="37" fontId="7" fillId="0" borderId="0" xfId="0" applyNumberFormat="1" applyFont="1" applyFill="1" applyBorder="1"/>
    <xf numFmtId="0" fontId="7" fillId="0" borderId="0" xfId="0" applyFont="1" applyFill="1" applyBorder="1"/>
    <xf numFmtId="0" fontId="9" fillId="0" borderId="0" xfId="0" applyFont="1"/>
    <xf numFmtId="0" fontId="7" fillId="2" borderId="2" xfId="0" applyFont="1" applyFill="1" applyBorder="1"/>
    <xf numFmtId="0" fontId="7" fillId="0" borderId="2" xfId="0" applyFont="1" applyFill="1" applyBorder="1" applyAlignment="1">
      <alignment horizontal="center"/>
    </xf>
    <xf numFmtId="5" fontId="3" fillId="3" borderId="0" xfId="0" applyNumberFormat="1" applyFont="1" applyFill="1"/>
    <xf numFmtId="0" fontId="4" fillId="3" borderId="0" xfId="0" applyFont="1" applyFill="1" applyAlignment="1">
      <alignment horizontal="left" indent="2"/>
    </xf>
    <xf numFmtId="44" fontId="5" fillId="3" borderId="0" xfId="2" applyFont="1" applyFill="1"/>
    <xf numFmtId="170" fontId="3" fillId="3" borderId="0" xfId="3" applyNumberFormat="1" applyFont="1" applyFill="1"/>
    <xf numFmtId="9" fontId="3" fillId="3" borderId="0" xfId="0" applyNumberFormat="1" applyFont="1" applyFill="1"/>
    <xf numFmtId="39" fontId="7" fillId="0" borderId="0" xfId="0" applyNumberFormat="1" applyFont="1"/>
    <xf numFmtId="7" fontId="7" fillId="0" borderId="0" xfId="0" applyNumberFormat="1" applyFont="1" applyFill="1"/>
    <xf numFmtId="0" fontId="8" fillId="0" borderId="0" xfId="0" applyFont="1" applyBorder="1" applyAlignment="1">
      <alignment horizontal="left"/>
    </xf>
    <xf numFmtId="0" fontId="8" fillId="0" borderId="0" xfId="0" applyFont="1" applyBorder="1" applyAlignment="1">
      <alignment horizontal="centerContinuous"/>
    </xf>
    <xf numFmtId="7" fontId="8" fillId="0" borderId="0" xfId="0" applyNumberFormat="1" applyFont="1" applyBorder="1" applyAlignment="1">
      <alignment horizontal="center"/>
    </xf>
    <xf numFmtId="7" fontId="8" fillId="0" borderId="0" xfId="0" applyNumberFormat="1" applyFont="1" applyBorder="1" applyAlignment="1">
      <alignment horizontal="centerContinuous"/>
    </xf>
    <xf numFmtId="14" fontId="7" fillId="0" borderId="0" xfId="0" applyNumberFormat="1" applyFont="1" applyAlignment="1">
      <alignment horizontal="center"/>
    </xf>
    <xf numFmtId="0" fontId="7" fillId="0" borderId="7" xfId="0" applyFont="1" applyBorder="1" applyAlignment="1">
      <alignment horizontal="center"/>
    </xf>
    <xf numFmtId="14" fontId="7" fillId="0" borderId="8" xfId="0" applyNumberFormat="1"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0" xfId="0" applyFont="1" applyFill="1" applyAlignment="1">
      <alignment horizontal="center"/>
    </xf>
    <xf numFmtId="0" fontId="8" fillId="0" borderId="8" xfId="0" applyFont="1" applyFill="1" applyBorder="1" applyAlignment="1">
      <alignment horizontal="center"/>
    </xf>
    <xf numFmtId="0" fontId="8" fillId="0" borderId="10" xfId="0" applyFont="1" applyFill="1" applyBorder="1" applyAlignment="1">
      <alignment horizontal="center"/>
    </xf>
    <xf numFmtId="164" fontId="7" fillId="0" borderId="4" xfId="0" applyNumberFormat="1" applyFont="1" applyBorder="1" applyAlignment="1">
      <alignment horizontal="center"/>
    </xf>
    <xf numFmtId="166" fontId="7" fillId="0" borderId="4" xfId="0" applyNumberFormat="1" applyFont="1" applyBorder="1"/>
    <xf numFmtId="167" fontId="7" fillId="0" borderId="4" xfId="0" applyNumberFormat="1" applyFont="1" applyBorder="1"/>
    <xf numFmtId="169" fontId="7" fillId="0" borderId="10" xfId="1" applyNumberFormat="1" applyFont="1" applyBorder="1"/>
    <xf numFmtId="39" fontId="7" fillId="0" borderId="4" xfId="0" applyNumberFormat="1" applyFont="1" applyBorder="1"/>
    <xf numFmtId="167" fontId="7" fillId="0" borderId="0" xfId="0" applyNumberFormat="1" applyFont="1" applyBorder="1"/>
    <xf numFmtId="37" fontId="7" fillId="0" borderId="0" xfId="0" applyNumberFormat="1" applyFont="1" applyBorder="1" applyAlignment="1">
      <alignment horizontal="center"/>
    </xf>
    <xf numFmtId="166" fontId="7" fillId="0" borderId="0" xfId="0" applyNumberFormat="1" applyFont="1" applyBorder="1"/>
    <xf numFmtId="167" fontId="7" fillId="0" borderId="0" xfId="0" applyNumberFormat="1" applyFont="1" applyFill="1" applyBorder="1"/>
    <xf numFmtId="164" fontId="7" fillId="0" borderId="8" xfId="0" applyNumberFormat="1" applyFont="1" applyBorder="1"/>
    <xf numFmtId="168" fontId="8" fillId="0" borderId="4" xfId="0" applyNumberFormat="1" applyFont="1" applyFill="1" applyBorder="1" applyAlignment="1">
      <alignment horizontal="center"/>
    </xf>
    <xf numFmtId="37" fontId="8" fillId="0" borderId="4" xfId="0" applyNumberFormat="1" applyFont="1" applyBorder="1"/>
    <xf numFmtId="37" fontId="8" fillId="0" borderId="4" xfId="0" applyNumberFormat="1" applyFont="1" applyBorder="1" applyAlignment="1">
      <alignment horizontal="center"/>
    </xf>
    <xf numFmtId="166" fontId="8" fillId="0" borderId="4" xfId="0" applyNumberFormat="1" applyFont="1" applyBorder="1"/>
    <xf numFmtId="167" fontId="8" fillId="0" borderId="4" xfId="0" applyNumberFormat="1" applyFont="1" applyBorder="1"/>
    <xf numFmtId="7" fontId="8" fillId="0" borderId="4" xfId="0" applyNumberFormat="1" applyFont="1" applyBorder="1"/>
    <xf numFmtId="167" fontId="8" fillId="0" borderId="4" xfId="0" applyNumberFormat="1" applyFont="1" applyFill="1" applyBorder="1"/>
    <xf numFmtId="169" fontId="8" fillId="0" borderId="10" xfId="1" applyNumberFormat="1" applyFont="1" applyFill="1" applyBorder="1"/>
    <xf numFmtId="169" fontId="8" fillId="0" borderId="10" xfId="1" applyNumberFormat="1" applyFont="1" applyBorder="1"/>
    <xf numFmtId="7" fontId="8" fillId="0" borderId="4" xfId="0" applyNumberFormat="1" applyFont="1" applyFill="1" applyBorder="1"/>
    <xf numFmtId="169" fontId="8" fillId="0" borderId="8" xfId="1" applyNumberFormat="1" applyFont="1" applyBorder="1"/>
    <xf numFmtId="166" fontId="8" fillId="0" borderId="0" xfId="0" applyNumberFormat="1" applyFont="1" applyBorder="1"/>
    <xf numFmtId="166" fontId="7" fillId="0" borderId="0" xfId="0" applyNumberFormat="1" applyFont="1" applyFill="1" applyBorder="1"/>
    <xf numFmtId="164" fontId="7" fillId="0" borderId="8" xfId="0" applyNumberFormat="1" applyFont="1" applyFill="1" applyBorder="1"/>
    <xf numFmtId="37" fontId="7" fillId="0" borderId="0" xfId="0" applyNumberFormat="1" applyFont="1" applyFill="1" applyBorder="1" applyAlignment="1">
      <alignment horizontal="center"/>
    </xf>
    <xf numFmtId="37" fontId="8" fillId="0" borderId="4" xfId="0" applyNumberFormat="1" applyFont="1" applyFill="1" applyBorder="1"/>
    <xf numFmtId="37" fontId="8" fillId="0" borderId="4" xfId="0" applyNumberFormat="1" applyFont="1" applyFill="1" applyBorder="1" applyAlignment="1">
      <alignment horizontal="center"/>
    </xf>
    <xf numFmtId="166" fontId="8" fillId="0" borderId="4" xfId="0" applyNumberFormat="1" applyFont="1" applyFill="1" applyBorder="1"/>
    <xf numFmtId="37" fontId="7" fillId="0" borderId="0" xfId="0" applyNumberFormat="1" applyFont="1" applyBorder="1" applyAlignment="1"/>
    <xf numFmtId="166" fontId="7" fillId="0" borderId="0" xfId="0" applyNumberFormat="1" applyFont="1" applyBorder="1" applyAlignment="1"/>
    <xf numFmtId="167" fontId="7" fillId="0" borderId="0" xfId="0" applyNumberFormat="1" applyFont="1" applyBorder="1" applyAlignment="1"/>
    <xf numFmtId="164" fontId="7" fillId="0" borderId="8" xfId="0" applyNumberFormat="1" applyFont="1" applyBorder="1" applyAlignment="1"/>
    <xf numFmtId="37" fontId="7" fillId="0" borderId="0" xfId="0" applyNumberFormat="1" applyFont="1" applyFill="1" applyBorder="1" applyAlignment="1"/>
    <xf numFmtId="166" fontId="7" fillId="0" borderId="0" xfId="0" applyNumberFormat="1" applyFont="1" applyFill="1" applyBorder="1" applyAlignment="1"/>
    <xf numFmtId="167" fontId="7" fillId="0" borderId="0" xfId="0" applyNumberFormat="1" applyFont="1" applyFill="1" applyBorder="1" applyAlignment="1"/>
    <xf numFmtId="164" fontId="7" fillId="0" borderId="8" xfId="0" applyNumberFormat="1" applyFont="1" applyFill="1" applyBorder="1" applyAlignment="1"/>
    <xf numFmtId="37" fontId="7" fillId="0" borderId="5" xfId="0" applyNumberFormat="1" applyFont="1" applyFill="1" applyBorder="1" applyAlignment="1"/>
    <xf numFmtId="164" fontId="7" fillId="0" borderId="5" xfId="0" applyNumberFormat="1" applyFont="1" applyFill="1" applyBorder="1" applyAlignment="1">
      <alignment horizontal="center"/>
    </xf>
    <xf numFmtId="166" fontId="7" fillId="0" borderId="5" xfId="0" applyNumberFormat="1" applyFont="1" applyFill="1" applyBorder="1" applyAlignment="1"/>
    <xf numFmtId="167" fontId="7" fillId="0" borderId="5" xfId="0" applyNumberFormat="1" applyFont="1" applyFill="1" applyBorder="1" applyAlignment="1"/>
    <xf numFmtId="169" fontId="7" fillId="0" borderId="10" xfId="1" applyNumberFormat="1" applyFont="1" applyBorder="1" applyAlignment="1">
      <alignment horizontal="center"/>
    </xf>
    <xf numFmtId="37" fontId="7" fillId="0" borderId="4" xfId="0" applyNumberFormat="1" applyFont="1" applyFill="1" applyBorder="1" applyAlignment="1"/>
    <xf numFmtId="166" fontId="7" fillId="0" borderId="4" xfId="0" applyNumberFormat="1" applyFont="1" applyFill="1" applyBorder="1" applyAlignment="1"/>
    <xf numFmtId="167" fontId="7" fillId="0" borderId="4" xfId="0" applyNumberFormat="1" applyFont="1" applyFill="1" applyBorder="1" applyAlignment="1"/>
    <xf numFmtId="37" fontId="7" fillId="0" borderId="4" xfId="0" applyNumberFormat="1" applyFont="1" applyBorder="1" applyAlignment="1"/>
    <xf numFmtId="166" fontId="7" fillId="0" borderId="4" xfId="0" applyNumberFormat="1" applyFont="1" applyBorder="1" applyAlignment="1"/>
    <xf numFmtId="164" fontId="7" fillId="0" borderId="4" xfId="0" applyNumberFormat="1" applyFont="1" applyBorder="1" applyAlignment="1"/>
    <xf numFmtId="169" fontId="7" fillId="0" borderId="9" xfId="1" applyNumberFormat="1" applyFont="1" applyBorder="1" applyAlignment="1">
      <alignment horizontal="center"/>
    </xf>
    <xf numFmtId="169" fontId="8" fillId="0" borderId="0" xfId="1" applyNumberFormat="1" applyFont="1" applyBorder="1"/>
    <xf numFmtId="0" fontId="7" fillId="0" borderId="6" xfId="0" applyFont="1" applyBorder="1"/>
    <xf numFmtId="0" fontId="7" fillId="2" borderId="2" xfId="0" applyFont="1" applyFill="1" applyBorder="1" applyAlignment="1">
      <alignment horizontal="center"/>
    </xf>
    <xf numFmtId="171" fontId="7" fillId="0" borderId="0" xfId="3" applyNumberFormat="1" applyFont="1" applyBorder="1"/>
    <xf numFmtId="167" fontId="7" fillId="0" borderId="0" xfId="0" applyNumberFormat="1" applyFont="1" applyFill="1"/>
    <xf numFmtId="14" fontId="11" fillId="0" borderId="0" xfId="0" applyNumberFormat="1" applyFont="1" applyFill="1" applyAlignment="1">
      <alignment horizontal="center"/>
    </xf>
    <xf numFmtId="0" fontId="7" fillId="0" borderId="0" xfId="0" applyFont="1" applyFill="1" applyAlignment="1">
      <alignment horizontal="center"/>
    </xf>
    <xf numFmtId="0" fontId="8" fillId="0" borderId="3" xfId="0" applyFont="1" applyFill="1" applyBorder="1" applyAlignment="1">
      <alignment horizontal="center"/>
    </xf>
    <xf numFmtId="0" fontId="7" fillId="0" borderId="3" xfId="0" applyFont="1" applyFill="1" applyBorder="1" applyAlignment="1">
      <alignment horizontal="center"/>
    </xf>
    <xf numFmtId="0" fontId="8" fillId="0" borderId="0" xfId="0" applyFont="1" applyFill="1" applyBorder="1" applyAlignment="1">
      <alignment horizontal="right"/>
    </xf>
    <xf numFmtId="0" fontId="8" fillId="0" borderId="0" xfId="0" applyFont="1" applyFill="1" applyBorder="1" applyAlignment="1">
      <alignment horizontal="center"/>
    </xf>
    <xf numFmtId="7" fontId="12" fillId="0" borderId="4" xfId="0" applyNumberFormat="1" applyFont="1" applyFill="1" applyBorder="1"/>
    <xf numFmtId="164" fontId="7" fillId="0" borderId="4" xfId="0" applyNumberFormat="1" applyFont="1" applyFill="1" applyBorder="1"/>
    <xf numFmtId="7" fontId="12" fillId="0" borderId="0" xfId="0" applyNumberFormat="1" applyFont="1" applyFill="1" applyBorder="1"/>
    <xf numFmtId="164" fontId="7" fillId="0" borderId="0" xfId="0" applyNumberFormat="1" applyFont="1" applyFill="1" applyBorder="1"/>
    <xf numFmtId="7" fontId="13" fillId="0" borderId="4" xfId="0" applyNumberFormat="1" applyFont="1" applyFill="1" applyBorder="1"/>
    <xf numFmtId="7" fontId="13" fillId="0" borderId="0" xfId="0" applyNumberFormat="1" applyFont="1" applyFill="1" applyBorder="1"/>
    <xf numFmtId="164" fontId="7" fillId="0" borderId="0" xfId="0" applyNumberFormat="1" applyFont="1" applyBorder="1"/>
    <xf numFmtId="0" fontId="7" fillId="4" borderId="0" xfId="0" applyFont="1" applyFill="1" applyBorder="1" applyAlignment="1">
      <alignment horizontal="center"/>
    </xf>
    <xf numFmtId="0" fontId="7" fillId="4" borderId="4" xfId="0" applyFont="1" applyFill="1" applyBorder="1" applyAlignment="1">
      <alignment horizontal="center"/>
    </xf>
    <xf numFmtId="7" fontId="12" fillId="0" borderId="0" xfId="0" applyNumberFormat="1" applyFont="1" applyFill="1" applyBorder="1" applyAlignment="1"/>
    <xf numFmtId="7" fontId="12" fillId="0" borderId="5" xfId="0" applyNumberFormat="1" applyFont="1" applyFill="1" applyBorder="1" applyAlignment="1"/>
    <xf numFmtId="164" fontId="7" fillId="0" borderId="5" xfId="0" applyNumberFormat="1" applyFont="1" applyFill="1" applyBorder="1" applyAlignment="1"/>
    <xf numFmtId="39" fontId="12" fillId="0" borderId="4" xfId="0" applyNumberFormat="1" applyFont="1" applyBorder="1" applyAlignment="1"/>
    <xf numFmtId="0" fontId="7" fillId="0" borderId="2" xfId="0" applyFont="1" applyBorder="1" applyAlignment="1">
      <alignment horizontal="center"/>
    </xf>
    <xf numFmtId="0" fontId="12" fillId="2" borderId="2" xfId="0" applyFont="1" applyFill="1" applyBorder="1" applyAlignment="1">
      <alignment horizontal="center"/>
    </xf>
    <xf numFmtId="0" fontId="12" fillId="0" borderId="2" xfId="0" applyFont="1" applyFill="1" applyBorder="1" applyAlignment="1">
      <alignment horizontal="center"/>
    </xf>
    <xf numFmtId="0" fontId="7" fillId="0" borderId="2" xfId="0" applyFont="1" applyFill="1" applyBorder="1"/>
    <xf numFmtId="164" fontId="7" fillId="0" borderId="0" xfId="0" applyNumberFormat="1" applyFont="1"/>
    <xf numFmtId="164" fontId="7" fillId="0" borderId="0" xfId="0" applyNumberFormat="1" applyFont="1" applyFill="1"/>
    <xf numFmtId="0" fontId="8" fillId="5" borderId="0" xfId="0" applyFont="1" applyFill="1" applyAlignment="1">
      <alignment horizontal="center"/>
    </xf>
    <xf numFmtId="0" fontId="7" fillId="6" borderId="0" xfId="0" applyFont="1" applyFill="1" applyAlignment="1">
      <alignment horizontal="center"/>
    </xf>
    <xf numFmtId="14" fontId="8" fillId="0" borderId="0" xfId="0" applyNumberFormat="1" applyFont="1" applyAlignment="1">
      <alignment horizontal="center"/>
    </xf>
    <xf numFmtId="0" fontId="13" fillId="5" borderId="0" xfId="0" applyFont="1" applyFill="1" applyAlignment="1">
      <alignment horizontal="center"/>
    </xf>
    <xf numFmtId="0" fontId="13" fillId="5" borderId="3" xfId="0" applyFont="1" applyFill="1" applyBorder="1" applyAlignment="1">
      <alignment horizontal="center" wrapText="1"/>
    </xf>
    <xf numFmtId="0" fontId="7" fillId="6" borderId="3" xfId="0" applyFont="1" applyFill="1" applyBorder="1" applyAlignment="1">
      <alignment horizontal="center"/>
    </xf>
    <xf numFmtId="0" fontId="8" fillId="0" borderId="0" xfId="0" applyFont="1" applyFill="1" applyAlignment="1">
      <alignment horizontal="right"/>
    </xf>
    <xf numFmtId="0" fontId="8" fillId="0" borderId="0" xfId="0" applyFont="1" applyBorder="1" applyAlignment="1">
      <alignment horizontal="center"/>
    </xf>
    <xf numFmtId="0" fontId="8" fillId="6" borderId="0" xfId="0" applyFont="1" applyFill="1" applyBorder="1" applyAlignment="1">
      <alignment horizontal="center"/>
    </xf>
    <xf numFmtId="0" fontId="8" fillId="6" borderId="4" xfId="0" applyFont="1" applyFill="1" applyBorder="1" applyAlignment="1">
      <alignment horizontal="center"/>
    </xf>
    <xf numFmtId="164" fontId="7" fillId="0" borderId="4" xfId="0" applyNumberFormat="1" applyFont="1" applyBorder="1"/>
    <xf numFmtId="164" fontId="7" fillId="6" borderId="4" xfId="0" applyNumberFormat="1" applyFont="1" applyFill="1" applyBorder="1"/>
    <xf numFmtId="164" fontId="7" fillId="6" borderId="0" xfId="0" applyNumberFormat="1" applyFont="1" applyFill="1" applyBorder="1"/>
    <xf numFmtId="168" fontId="7" fillId="0" borderId="4" xfId="0" applyNumberFormat="1" applyFont="1" applyFill="1" applyBorder="1" applyAlignment="1">
      <alignment horizontal="center"/>
    </xf>
    <xf numFmtId="164" fontId="7" fillId="0" borderId="0" xfId="0" applyNumberFormat="1" applyFont="1" applyBorder="1" applyAlignment="1"/>
    <xf numFmtId="164" fontId="7" fillId="0" borderId="0" xfId="0" applyNumberFormat="1" applyFont="1" applyFill="1" applyBorder="1" applyAlignment="1"/>
    <xf numFmtId="164" fontId="7" fillId="6" borderId="0" xfId="0" applyNumberFormat="1" applyFont="1" applyFill="1" applyBorder="1" applyAlignment="1"/>
    <xf numFmtId="164" fontId="7" fillId="0" borderId="4" xfId="0" applyNumberFormat="1" applyFont="1" applyFill="1" applyBorder="1" applyAlignment="1"/>
    <xf numFmtId="164" fontId="7" fillId="6" borderId="4" xfId="0" applyNumberFormat="1" applyFont="1" applyFill="1" applyBorder="1" applyAlignment="1"/>
    <xf numFmtId="164" fontId="7" fillId="6" borderId="5" xfId="0" applyNumberFormat="1" applyFont="1" applyFill="1" applyBorder="1" applyAlignment="1"/>
    <xf numFmtId="0" fontId="7" fillId="6" borderId="0" xfId="0" applyFont="1" applyFill="1"/>
    <xf numFmtId="0" fontId="12" fillId="6" borderId="2" xfId="0" applyFont="1" applyFill="1" applyBorder="1" applyAlignment="1">
      <alignment horizontal="center"/>
    </xf>
    <xf numFmtId="0" fontId="7" fillId="6" borderId="2" xfId="0" applyFont="1" applyFill="1" applyBorder="1" applyAlignment="1">
      <alignment horizontal="center"/>
    </xf>
    <xf numFmtId="37" fontId="7" fillId="0" borderId="0" xfId="0" applyNumberFormat="1" applyFont="1" applyAlignment="1" applyProtection="1">
      <alignment horizontal="left" vertical="top"/>
    </xf>
    <xf numFmtId="0" fontId="7" fillId="0" borderId="0" xfId="0" applyFont="1" applyAlignment="1">
      <alignment vertical="top"/>
    </xf>
    <xf numFmtId="0" fontId="7" fillId="0" borderId="0" xfId="0" applyFont="1" applyFill="1" applyAlignment="1">
      <alignment vertical="top"/>
    </xf>
    <xf numFmtId="172" fontId="7" fillId="0" borderId="0" xfId="0" applyNumberFormat="1" applyFont="1" applyFill="1"/>
    <xf numFmtId="165" fontId="7" fillId="0" borderId="0" xfId="0" applyNumberFormat="1" applyFont="1"/>
    <xf numFmtId="164" fontId="10" fillId="0" borderId="0" xfId="0" applyNumberFormat="1" applyFont="1"/>
    <xf numFmtId="0" fontId="8" fillId="0" borderId="0" xfId="0" applyFont="1"/>
    <xf numFmtId="0" fontId="8" fillId="0" borderId="0" xfId="0" applyFont="1" applyFill="1"/>
    <xf numFmtId="0" fontId="8" fillId="6" borderId="0" xfId="0" applyFont="1" applyFill="1" applyAlignment="1">
      <alignment horizontal="center"/>
    </xf>
    <xf numFmtId="14" fontId="8" fillId="0" borderId="0" xfId="0" applyNumberFormat="1" applyFont="1" applyFill="1" applyAlignment="1">
      <alignment horizontal="center"/>
    </xf>
    <xf numFmtId="14" fontId="8" fillId="6" borderId="0" xfId="0" applyNumberFormat="1" applyFont="1" applyFill="1" applyAlignment="1">
      <alignment horizontal="center"/>
    </xf>
    <xf numFmtId="0" fontId="14" fillId="0" borderId="0" xfId="0" applyFont="1" applyBorder="1"/>
    <xf numFmtId="0" fontId="11" fillId="0" borderId="0" xfId="0" applyFont="1" applyBorder="1"/>
    <xf numFmtId="0" fontId="7" fillId="0" borderId="0" xfId="0" applyFont="1" applyAlignment="1"/>
    <xf numFmtId="0" fontId="13" fillId="5" borderId="3" xfId="0" applyFont="1" applyFill="1" applyBorder="1" applyAlignment="1">
      <alignment horizontal="center"/>
    </xf>
    <xf numFmtId="0" fontId="8" fillId="6" borderId="3" xfId="0" applyFont="1" applyFill="1" applyBorder="1" applyAlignment="1">
      <alignment horizontal="center"/>
    </xf>
    <xf numFmtId="164" fontId="12" fillId="0" borderId="4" xfId="0" applyNumberFormat="1" applyFont="1" applyFill="1" applyBorder="1"/>
    <xf numFmtId="164" fontId="11" fillId="0" borderId="4" xfId="0" applyNumberFormat="1" applyFont="1" applyFill="1" applyBorder="1"/>
    <xf numFmtId="165" fontId="7" fillId="0" borderId="4" xfId="0" applyNumberFormat="1" applyFont="1" applyFill="1" applyBorder="1"/>
    <xf numFmtId="165" fontId="7" fillId="0" borderId="4" xfId="0" applyNumberFormat="1" applyFont="1" applyBorder="1"/>
    <xf numFmtId="165" fontId="7" fillId="0" borderId="0" xfId="0" applyNumberFormat="1" applyFont="1" applyBorder="1"/>
    <xf numFmtId="173" fontId="14" fillId="0" borderId="0" xfId="0" applyNumberFormat="1" applyFont="1" applyBorder="1"/>
    <xf numFmtId="164" fontId="11" fillId="0" borderId="4" xfId="0" applyNumberFormat="1" applyFont="1" applyBorder="1"/>
    <xf numFmtId="164" fontId="12" fillId="0" borderId="0" xfId="0" applyNumberFormat="1" applyFont="1" applyFill="1" applyBorder="1"/>
    <xf numFmtId="164" fontId="11" fillId="0" borderId="0" xfId="0" applyNumberFormat="1" applyFont="1" applyFill="1" applyBorder="1"/>
    <xf numFmtId="164" fontId="11" fillId="0" borderId="0" xfId="0" applyNumberFormat="1" applyFont="1" applyBorder="1"/>
    <xf numFmtId="165" fontId="7" fillId="0" borderId="0" xfId="0" applyNumberFormat="1" applyFont="1" applyFill="1" applyBorder="1"/>
    <xf numFmtId="164" fontId="12" fillId="0" borderId="0" xfId="0" applyNumberFormat="1" applyFont="1" applyBorder="1"/>
    <xf numFmtId="164" fontId="7" fillId="0" borderId="1" xfId="0" applyNumberFormat="1" applyFont="1" applyBorder="1"/>
    <xf numFmtId="164" fontId="7" fillId="0" borderId="1" xfId="0" applyNumberFormat="1" applyFont="1" applyFill="1" applyBorder="1"/>
    <xf numFmtId="164" fontId="12" fillId="0" borderId="0" xfId="0" applyNumberFormat="1" applyFont="1" applyFill="1" applyBorder="1" applyAlignment="1"/>
    <xf numFmtId="164" fontId="11" fillId="0" borderId="0" xfId="0" applyNumberFormat="1" applyFont="1" applyFill="1" applyBorder="1" applyAlignment="1"/>
    <xf numFmtId="164" fontId="11" fillId="0" borderId="0" xfId="0" applyNumberFormat="1" applyFont="1" applyBorder="1" applyAlignment="1"/>
    <xf numFmtId="165" fontId="7" fillId="0" borderId="0" xfId="0" applyNumberFormat="1" applyFont="1" applyFill="1" applyBorder="1" applyAlignment="1"/>
    <xf numFmtId="165" fontId="7" fillId="0" borderId="0" xfId="0" applyNumberFormat="1" applyFont="1" applyBorder="1" applyAlignment="1"/>
    <xf numFmtId="164" fontId="12" fillId="0" borderId="4" xfId="0" applyNumberFormat="1" applyFont="1" applyFill="1" applyBorder="1" applyAlignment="1"/>
    <xf numFmtId="164" fontId="11" fillId="0" borderId="4" xfId="0" applyNumberFormat="1" applyFont="1" applyFill="1" applyBorder="1" applyAlignment="1"/>
    <xf numFmtId="165" fontId="7" fillId="0" borderId="4" xfId="0" applyNumberFormat="1" applyFont="1" applyFill="1" applyBorder="1" applyAlignment="1"/>
    <xf numFmtId="164" fontId="12" fillId="0" borderId="5" xfId="0" applyNumberFormat="1" applyFont="1" applyFill="1" applyBorder="1" applyAlignment="1"/>
    <xf numFmtId="164" fontId="11" fillId="0" borderId="5" xfId="0" applyNumberFormat="1" applyFont="1" applyFill="1" applyBorder="1" applyAlignment="1"/>
    <xf numFmtId="165" fontId="7" fillId="0" borderId="5" xfId="0" applyNumberFormat="1" applyFont="1" applyFill="1" applyBorder="1" applyAlignment="1"/>
    <xf numFmtId="165" fontId="7" fillId="0" borderId="4" xfId="0" applyNumberFormat="1" applyFont="1" applyBorder="1" applyAlignment="1"/>
    <xf numFmtId="0" fontId="7" fillId="6" borderId="2" xfId="0" applyFont="1" applyFill="1" applyBorder="1"/>
    <xf numFmtId="37" fontId="8" fillId="0" borderId="0" xfId="0" applyNumberFormat="1" applyFont="1" applyAlignment="1" applyProtection="1">
      <alignment horizontal="left"/>
    </xf>
    <xf numFmtId="0" fontId="15" fillId="3" borderId="0" xfId="0" applyFont="1" applyFill="1" applyBorder="1"/>
    <xf numFmtId="0" fontId="16" fillId="3" borderId="0" xfId="0" applyFont="1" applyFill="1"/>
    <xf numFmtId="5" fontId="17" fillId="3" borderId="0" xfId="0" applyNumberFormat="1" applyFont="1" applyFill="1"/>
    <xf numFmtId="37" fontId="17" fillId="3" borderId="0" xfId="0" applyNumberFormat="1" applyFont="1" applyFill="1"/>
    <xf numFmtId="37" fontId="17" fillId="3" borderId="4" xfId="0" applyNumberFormat="1" applyFont="1" applyFill="1" applyBorder="1"/>
    <xf numFmtId="0" fontId="18" fillId="3" borderId="0" xfId="0" quotePrefix="1" applyFont="1" applyFill="1"/>
    <xf numFmtId="5" fontId="19" fillId="3" borderId="0" xfId="2" applyNumberFormat="1" applyFont="1" applyFill="1"/>
    <xf numFmtId="37" fontId="8" fillId="0" borderId="0" xfId="0" applyNumberFormat="1" applyFont="1" applyAlignment="1" applyProtection="1">
      <alignment horizontal="left" wrapText="1"/>
    </xf>
    <xf numFmtId="0" fontId="7" fillId="0" borderId="0" xfId="0" applyFont="1" applyAlignment="1">
      <alignment wrapText="1"/>
    </xf>
    <xf numFmtId="0" fontId="8" fillId="0" borderId="0" xfId="0" applyFont="1" applyBorder="1" applyAlignment="1">
      <alignment wrapText="1"/>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20/5_Rate%20Development/NWN%202020-21%20WA%20PGA%20Rate%20Development%20file%20Septem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_Affairs/PGA%20-%20WASHINGTON/2020/4_Gas%20Cost%20Development/NWN%202020-21%20PGA%20gas%20cost%20development%20file%20September%20filing_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_Affairs/PGA%20-%20WASHINGTON/2020/5_Rate%20Development/NWN%202020-21%20WA%20PGA%20summary%20effects%20Septem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Sheet1"/>
      <sheetName val="Inputs"/>
      <sheetName val="Washington volumes"/>
      <sheetName val="Allocation equal ¢ per therm"/>
      <sheetName val="Allocation = % of margin"/>
      <sheetName val="Temporaries"/>
      <sheetName val="Avg Bill by RS"/>
      <sheetName val="Rates in summary"/>
      <sheetName val="Rates in detail"/>
      <sheetName val="Margin Model"/>
      <sheetName val="Amortization"/>
      <sheetName val="F Goldenrod"/>
      <sheetName val="Cover"/>
      <sheetName val="WA Index"/>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sheetData sheetId="2">
        <row r="16">
          <cell r="B16">
            <v>0.26333000000000001</v>
          </cell>
        </row>
        <row r="18">
          <cell r="B18">
            <v>0.10141</v>
          </cell>
        </row>
        <row r="30">
          <cell r="B30">
            <v>4.1579999999999999E-2</v>
          </cell>
        </row>
        <row r="63">
          <cell r="B63">
            <v>44136</v>
          </cell>
        </row>
      </sheetData>
      <sheetData sheetId="3">
        <row r="1">
          <cell r="A1" t="str">
            <v>NW Natural</v>
          </cell>
        </row>
        <row r="2">
          <cell r="A2" t="str">
            <v>Rates &amp; Regulatory Affairs</v>
          </cell>
        </row>
        <row r="3">
          <cell r="A3" t="str">
            <v>2020-2021 PGA Filing - Washington: September Filing</v>
          </cell>
        </row>
        <row r="13">
          <cell r="J13">
            <v>218577.4</v>
          </cell>
          <cell r="M13">
            <v>20</v>
          </cell>
        </row>
        <row r="14">
          <cell r="J14">
            <v>38726</v>
          </cell>
          <cell r="M14">
            <v>92</v>
          </cell>
        </row>
        <row r="15">
          <cell r="J15">
            <v>55009539.100000001</v>
          </cell>
          <cell r="M15">
            <v>57</v>
          </cell>
        </row>
        <row r="16">
          <cell r="J16">
            <v>18385904.899999999</v>
          </cell>
          <cell r="M16">
            <v>242</v>
          </cell>
        </row>
        <row r="17">
          <cell r="J17">
            <v>263842</v>
          </cell>
          <cell r="M17">
            <v>916</v>
          </cell>
        </row>
        <row r="18">
          <cell r="J18">
            <v>591910</v>
          </cell>
          <cell r="M18">
            <v>65</v>
          </cell>
        </row>
        <row r="19">
          <cell r="J19">
            <v>1992236.2</v>
          </cell>
          <cell r="M19">
            <v>3745</v>
          </cell>
        </row>
        <row r="20">
          <cell r="J20">
            <v>2142067.7000000002</v>
          </cell>
        </row>
        <row r="21">
          <cell r="J21">
            <v>0</v>
          </cell>
          <cell r="M21">
            <v>0</v>
          </cell>
        </row>
        <row r="22">
          <cell r="J22">
            <v>0</v>
          </cell>
        </row>
        <row r="23">
          <cell r="J23">
            <v>169264</v>
          </cell>
          <cell r="M23">
            <v>4482</v>
          </cell>
        </row>
        <row r="24">
          <cell r="J24">
            <v>260994</v>
          </cell>
        </row>
        <row r="25">
          <cell r="J25">
            <v>399967</v>
          </cell>
          <cell r="M25">
            <v>4770</v>
          </cell>
        </row>
        <row r="26">
          <cell r="J26">
            <v>630361</v>
          </cell>
        </row>
        <row r="27">
          <cell r="J27">
            <v>0</v>
          </cell>
          <cell r="M27">
            <v>0</v>
          </cell>
        </row>
        <row r="28">
          <cell r="J28">
            <v>0</v>
          </cell>
        </row>
        <row r="29">
          <cell r="J29">
            <v>542975.5</v>
          </cell>
          <cell r="M29">
            <v>18685</v>
          </cell>
        </row>
        <row r="30">
          <cell r="J30">
            <v>474167</v>
          </cell>
        </row>
        <row r="31">
          <cell r="J31">
            <v>97890.5</v>
          </cell>
        </row>
        <row r="32">
          <cell r="J32">
            <v>6094</v>
          </cell>
        </row>
        <row r="33">
          <cell r="J33">
            <v>0</v>
          </cell>
        </row>
        <row r="34">
          <cell r="J34">
            <v>0</v>
          </cell>
        </row>
        <row r="35">
          <cell r="J35">
            <v>1086353</v>
          </cell>
          <cell r="M35">
            <v>13593</v>
          </cell>
        </row>
        <row r="36">
          <cell r="J36">
            <v>638955</v>
          </cell>
        </row>
        <row r="37">
          <cell r="J37">
            <v>68923</v>
          </cell>
        </row>
        <row r="38">
          <cell r="J38">
            <v>0</v>
          </cell>
        </row>
        <row r="39">
          <cell r="J39">
            <v>0</v>
          </cell>
        </row>
        <row r="40">
          <cell r="J40">
            <v>0</v>
          </cell>
        </row>
        <row r="41">
          <cell r="J41">
            <v>479847</v>
          </cell>
          <cell r="M41">
            <v>48994</v>
          </cell>
        </row>
        <row r="42">
          <cell r="J42">
            <v>792463</v>
          </cell>
        </row>
        <row r="43">
          <cell r="J43">
            <v>542281</v>
          </cell>
        </row>
        <row r="44">
          <cell r="J44">
            <v>537117</v>
          </cell>
        </row>
        <row r="45">
          <cell r="J45">
            <v>0</v>
          </cell>
        </row>
        <row r="46">
          <cell r="J46">
            <v>0</v>
          </cell>
        </row>
        <row r="47">
          <cell r="J47">
            <v>901597</v>
          </cell>
          <cell r="M47">
            <v>63120</v>
          </cell>
        </row>
        <row r="48">
          <cell r="J48">
            <v>1041722</v>
          </cell>
        </row>
        <row r="49">
          <cell r="J49">
            <v>957215</v>
          </cell>
        </row>
        <row r="50">
          <cell r="J50">
            <v>2490044</v>
          </cell>
        </row>
        <row r="51">
          <cell r="J51">
            <v>1426372</v>
          </cell>
        </row>
        <row r="52">
          <cell r="J52">
            <v>0</v>
          </cell>
        </row>
        <row r="53">
          <cell r="J53">
            <v>239999</v>
          </cell>
          <cell r="M53">
            <v>39641</v>
          </cell>
        </row>
        <row r="54">
          <cell r="J54">
            <v>454151</v>
          </cell>
        </row>
        <row r="55">
          <cell r="J55">
            <v>230285</v>
          </cell>
        </row>
        <row r="56">
          <cell r="J56">
            <v>26942</v>
          </cell>
        </row>
        <row r="57">
          <cell r="J57">
            <v>0</v>
          </cell>
        </row>
        <row r="58">
          <cell r="J58">
            <v>0</v>
          </cell>
        </row>
        <row r="59">
          <cell r="J59">
            <v>160966</v>
          </cell>
          <cell r="M59">
            <v>8520</v>
          </cell>
        </row>
        <row r="60">
          <cell r="J60">
            <v>145741</v>
          </cell>
        </row>
        <row r="61">
          <cell r="J61">
            <v>0</v>
          </cell>
        </row>
        <row r="62">
          <cell r="J62">
            <v>0</v>
          </cell>
        </row>
        <row r="63">
          <cell r="J63">
            <v>0</v>
          </cell>
        </row>
        <row r="64">
          <cell r="J64">
            <v>0</v>
          </cell>
        </row>
        <row r="65">
          <cell r="J65">
            <v>861932</v>
          </cell>
          <cell r="M65">
            <v>63670</v>
          </cell>
        </row>
        <row r="66">
          <cell r="J66">
            <v>1453508</v>
          </cell>
        </row>
        <row r="67">
          <cell r="J67">
            <v>976710</v>
          </cell>
        </row>
        <row r="68">
          <cell r="J68">
            <v>3078834</v>
          </cell>
        </row>
        <row r="69">
          <cell r="J69">
            <v>1269411</v>
          </cell>
        </row>
        <row r="70">
          <cell r="J70">
            <v>0</v>
          </cell>
        </row>
        <row r="71">
          <cell r="J71">
            <v>0</v>
          </cell>
          <cell r="M71">
            <v>0</v>
          </cell>
        </row>
        <row r="72">
          <cell r="J72">
            <v>0</v>
          </cell>
          <cell r="M72">
            <v>0</v>
          </cell>
        </row>
      </sheetData>
      <sheetData sheetId="4"/>
      <sheetData sheetId="5"/>
      <sheetData sheetId="6">
        <row r="13">
          <cell r="D13">
            <v>5.8519999999999996E-2</v>
          </cell>
          <cell r="U13">
            <v>0.11125999999999998</v>
          </cell>
        </row>
        <row r="14">
          <cell r="D14">
            <v>4.9410000000000009E-2</v>
          </cell>
          <cell r="U14">
            <v>9.3060000000000004E-2</v>
          </cell>
        </row>
        <row r="15">
          <cell r="D15">
            <v>3.8239999999999996E-2</v>
          </cell>
          <cell r="U15">
            <v>6.6579999999999986E-2</v>
          </cell>
        </row>
        <row r="16">
          <cell r="D16">
            <v>3.4699999999999995E-2</v>
          </cell>
          <cell r="U16">
            <v>5.8480000000000004E-2</v>
          </cell>
        </row>
        <row r="17">
          <cell r="D17">
            <v>-1.3350000000000002E-2</v>
          </cell>
          <cell r="U17">
            <v>-8.9999999999999802E-5</v>
          </cell>
        </row>
        <row r="18">
          <cell r="D18">
            <v>2.8219999999999992E-2</v>
          </cell>
          <cell r="U18">
            <v>3.8710000000000001E-2</v>
          </cell>
        </row>
        <row r="19">
          <cell r="D19">
            <v>2.8689999999999997E-2</v>
          </cell>
          <cell r="U19">
            <v>4.3429999999999996E-2</v>
          </cell>
        </row>
        <row r="20">
          <cell r="D20">
            <v>2.6029999999999994E-2</v>
          </cell>
          <cell r="U20">
            <v>3.7170000000000002E-2</v>
          </cell>
        </row>
        <row r="21">
          <cell r="D21">
            <v>4.4980000000000006E-2</v>
          </cell>
          <cell r="U21">
            <v>5.3189999999999994E-2</v>
          </cell>
        </row>
        <row r="22">
          <cell r="D22">
            <v>4.2639999999999997E-2</v>
          </cell>
          <cell r="U22">
            <v>4.6990000000000004E-2</v>
          </cell>
        </row>
        <row r="23">
          <cell r="D23">
            <v>-2.3020000000000002E-2</v>
          </cell>
          <cell r="U23">
            <v>1.5499999999999999E-3</v>
          </cell>
        </row>
        <row r="24">
          <cell r="D24">
            <v>-2.0279999999999999E-2</v>
          </cell>
          <cell r="U24">
            <v>1.3600000000000001E-3</v>
          </cell>
        </row>
        <row r="25">
          <cell r="D25">
            <v>-1.0850000000000005E-2</v>
          </cell>
          <cell r="U25">
            <v>-1.7200000000000002E-3</v>
          </cell>
        </row>
        <row r="26">
          <cell r="D26">
            <v>-8.8000000000000023E-3</v>
          </cell>
          <cell r="U26">
            <v>-2.6199999999999999E-3</v>
          </cell>
        </row>
        <row r="27">
          <cell r="D27">
            <v>7.5599999999999973E-3</v>
          </cell>
          <cell r="U27">
            <v>8.7499999999999991E-3</v>
          </cell>
        </row>
        <row r="28">
          <cell r="D28">
            <v>9.669999999999998E-3</v>
          </cell>
          <cell r="U28">
            <v>7.8399999999999997E-3</v>
          </cell>
        </row>
        <row r="29">
          <cell r="D29">
            <v>1.6139999999999995E-2</v>
          </cell>
          <cell r="U29">
            <v>1.9560000000000001E-2</v>
          </cell>
        </row>
        <row r="30">
          <cell r="D30">
            <v>1.5119999999999998E-2</v>
          </cell>
          <cell r="U30">
            <v>1.6539999999999999E-2</v>
          </cell>
        </row>
        <row r="31">
          <cell r="D31">
            <v>1.3089999999999997E-2</v>
          </cell>
          <cell r="U31">
            <v>1.052E-2</v>
          </cell>
        </row>
        <row r="32">
          <cell r="D32">
            <v>1.1739999999999997E-2</v>
          </cell>
          <cell r="U32">
            <v>6.550000000000002E-3</v>
          </cell>
        </row>
        <row r="33">
          <cell r="D33">
            <v>9.9599999999999966E-3</v>
          </cell>
          <cell r="U33">
            <v>1.239999999999998E-3</v>
          </cell>
        </row>
        <row r="34">
          <cell r="D34">
            <v>7.7099999999999964E-3</v>
          </cell>
          <cell r="U34">
            <v>-5.3500000000000006E-3</v>
          </cell>
        </row>
        <row r="35">
          <cell r="D35">
            <v>-3.7100000000000032E-3</v>
          </cell>
          <cell r="U35">
            <v>-4.6100000000000012E-3</v>
          </cell>
        </row>
        <row r="36">
          <cell r="D36">
            <v>-2.6400000000000035E-3</v>
          </cell>
          <cell r="U36">
            <v>-5.1100000000000008E-3</v>
          </cell>
        </row>
        <row r="37">
          <cell r="D37">
            <v>-5.5000000000000361E-4</v>
          </cell>
          <cell r="U37">
            <v>-6.0700000000000007E-3</v>
          </cell>
        </row>
        <row r="38">
          <cell r="D38">
            <v>8.3999999999999613E-4</v>
          </cell>
          <cell r="U38">
            <v>-6.7300000000000007E-3</v>
          </cell>
        </row>
        <row r="39">
          <cell r="D39">
            <v>2.6899999999999971E-3</v>
          </cell>
          <cell r="U39">
            <v>-7.5900000000000004E-3</v>
          </cell>
        </row>
        <row r="40">
          <cell r="D40">
            <v>4.9899999999999962E-3</v>
          </cell>
          <cell r="U40">
            <v>-8.6700000000000006E-3</v>
          </cell>
        </row>
        <row r="41">
          <cell r="D41">
            <v>-9.0799999999999995E-3</v>
          </cell>
          <cell r="U41">
            <v>5.9999999999999995E-4</v>
          </cell>
        </row>
        <row r="42">
          <cell r="D42">
            <v>-8.1300000000000001E-3</v>
          </cell>
          <cell r="U42">
            <v>5.2999999999999998E-4</v>
          </cell>
        </row>
        <row r="43">
          <cell r="D43">
            <v>-6.2300000000000003E-3</v>
          </cell>
          <cell r="U43">
            <v>4.1000000000000005E-4</v>
          </cell>
        </row>
        <row r="44">
          <cell r="D44">
            <v>-4.9800000000000001E-3</v>
          </cell>
          <cell r="U44">
            <v>3.1999999999999997E-4</v>
          </cell>
        </row>
        <row r="45">
          <cell r="D45">
            <v>-3.32E-3</v>
          </cell>
          <cell r="U45">
            <v>2.1000000000000001E-4</v>
          </cell>
        </row>
        <row r="46">
          <cell r="D46">
            <v>-1.25E-3</v>
          </cell>
          <cell r="U46">
            <v>7.9999999999999993E-5</v>
          </cell>
        </row>
        <row r="47">
          <cell r="D47">
            <v>-6.6600000000000001E-3</v>
          </cell>
          <cell r="U47">
            <v>5.8999999999999992E-4</v>
          </cell>
        </row>
        <row r="48">
          <cell r="D48">
            <v>-5.96E-3</v>
          </cell>
          <cell r="U48">
            <v>5.2000000000000006E-4</v>
          </cell>
        </row>
        <row r="49">
          <cell r="D49">
            <v>-4.5700000000000003E-3</v>
          </cell>
          <cell r="U49">
            <v>4.1000000000000005E-4</v>
          </cell>
        </row>
        <row r="50">
          <cell r="D50">
            <v>-3.65E-3</v>
          </cell>
          <cell r="U50">
            <v>3.1999999999999997E-4</v>
          </cell>
        </row>
        <row r="51">
          <cell r="D51">
            <v>-2.4400000000000003E-3</v>
          </cell>
          <cell r="U51">
            <v>2.1000000000000001E-4</v>
          </cell>
        </row>
        <row r="52">
          <cell r="D52">
            <v>-9.1E-4</v>
          </cell>
          <cell r="U52">
            <v>7.9999999999999993E-5</v>
          </cell>
        </row>
        <row r="53">
          <cell r="D53">
            <v>3.3740000000000006E-2</v>
          </cell>
          <cell r="U53">
            <v>2.334E-2</v>
          </cell>
        </row>
        <row r="54">
          <cell r="D54">
            <v>3.2870000000000003E-2</v>
          </cell>
          <cell r="U54">
            <v>2.0999999999999998E-2</v>
          </cell>
        </row>
        <row r="55">
          <cell r="D55">
            <v>3.1099999999999996E-2</v>
          </cell>
          <cell r="U55">
            <v>1.6370000000000003E-2</v>
          </cell>
        </row>
        <row r="56">
          <cell r="D56">
            <v>2.9949999999999997E-2</v>
          </cell>
          <cell r="U56">
            <v>1.3339999999999999E-2</v>
          </cell>
        </row>
        <row r="57">
          <cell r="D57">
            <v>2.8409999999999998E-2</v>
          </cell>
          <cell r="U57">
            <v>9.2699999999999987E-3</v>
          </cell>
        </row>
        <row r="58">
          <cell r="D58">
            <v>2.649E-2</v>
          </cell>
          <cell r="U58">
            <v>4.1999999999999989E-3</v>
          </cell>
        </row>
        <row r="59">
          <cell r="D59">
            <v>1.5419999999999996E-2</v>
          </cell>
          <cell r="U59">
            <v>6.9699999999999996E-3</v>
          </cell>
        </row>
        <row r="60">
          <cell r="D60">
            <v>1.6469999999999999E-2</v>
          </cell>
          <cell r="U60">
            <v>6.3499999999999997E-3</v>
          </cell>
        </row>
        <row r="61">
          <cell r="D61">
            <v>1.8529999999999998E-2</v>
          </cell>
          <cell r="U61">
            <v>5.1399999999999996E-3</v>
          </cell>
        </row>
        <row r="62">
          <cell r="D62">
            <v>1.9889999999999998E-2</v>
          </cell>
          <cell r="U62">
            <v>4.3499999999999997E-3</v>
          </cell>
        </row>
        <row r="63">
          <cell r="D63">
            <v>2.1699999999999997E-2</v>
          </cell>
          <cell r="U63">
            <v>3.2999999999999995E-3</v>
          </cell>
        </row>
        <row r="64">
          <cell r="D64">
            <v>2.3969999999999998E-2</v>
          </cell>
          <cell r="U64">
            <v>1.9499999999999995E-3</v>
          </cell>
        </row>
        <row r="65">
          <cell r="D65">
            <v>-8.2900000000000005E-3</v>
          </cell>
          <cell r="U65">
            <v>5.6999999999999998E-4</v>
          </cell>
        </row>
        <row r="66">
          <cell r="D66">
            <v>-7.4199999999999995E-3</v>
          </cell>
          <cell r="U66">
            <v>5.1000000000000004E-4</v>
          </cell>
        </row>
        <row r="67">
          <cell r="D67">
            <v>-5.6900000000000006E-3</v>
          </cell>
          <cell r="U67">
            <v>3.7999999999999997E-4</v>
          </cell>
        </row>
        <row r="68">
          <cell r="D68">
            <v>-4.5500000000000002E-3</v>
          </cell>
          <cell r="U68">
            <v>3.0999999999999995E-4</v>
          </cell>
        </row>
        <row r="69">
          <cell r="D69">
            <v>-3.0300000000000001E-3</v>
          </cell>
          <cell r="U69">
            <v>2.0999999999999998E-4</v>
          </cell>
        </row>
        <row r="70">
          <cell r="D70">
            <v>-1.1400000000000002E-3</v>
          </cell>
          <cell r="U70">
            <v>6.9999999999999994E-5</v>
          </cell>
        </row>
        <row r="71">
          <cell r="D71">
            <v>-3.5000000000000005E-4</v>
          </cell>
          <cell r="U71">
            <v>1.0000000000000001E-5</v>
          </cell>
        </row>
        <row r="72">
          <cell r="D72">
            <v>-3.5000000000000005E-4</v>
          </cell>
          <cell r="U72">
            <v>1.0000000000000001E-5</v>
          </cell>
        </row>
      </sheetData>
      <sheetData sheetId="7">
        <row r="8">
          <cell r="H8">
            <v>43770</v>
          </cell>
        </row>
      </sheetData>
      <sheetData sheetId="8">
        <row r="13">
          <cell r="D13">
            <v>1.0488600000000001</v>
          </cell>
          <cell r="Q13">
            <v>1.1525300000000001</v>
          </cell>
        </row>
        <row r="14">
          <cell r="D14">
            <v>1.0947099999999996</v>
          </cell>
          <cell r="Q14">
            <v>1.1892899999999995</v>
          </cell>
        </row>
        <row r="15">
          <cell r="D15">
            <v>0.81020999999999987</v>
          </cell>
          <cell r="Q15">
            <v>0.88947999999999994</v>
          </cell>
        </row>
        <row r="16">
          <cell r="D16">
            <v>0.79219000000000017</v>
          </cell>
          <cell r="Q16">
            <v>0.86690000000000023</v>
          </cell>
        </row>
        <row r="17">
          <cell r="D17">
            <v>0.76294999999999957</v>
          </cell>
          <cell r="Q17">
            <v>0.82713999999999965</v>
          </cell>
        </row>
        <row r="18">
          <cell r="D18">
            <v>0.58290999999999971</v>
          </cell>
          <cell r="Q18">
            <v>0.64432999999999974</v>
          </cell>
        </row>
        <row r="19">
          <cell r="D19">
            <v>0.57634000000000019</v>
          </cell>
          <cell r="Q19">
            <v>0.65150000000000019</v>
          </cell>
        </row>
        <row r="20">
          <cell r="D20">
            <v>0.53271000000000002</v>
          </cell>
          <cell r="Q20">
            <v>0.60427000000000008</v>
          </cell>
        </row>
        <row r="21">
          <cell r="D21">
            <v>0.59162000000000003</v>
          </cell>
          <cell r="Q21">
            <v>0.66025</v>
          </cell>
        </row>
        <row r="22">
          <cell r="D22">
            <v>0.54839999999999989</v>
          </cell>
          <cell r="Q22">
            <v>0.61316999999999988</v>
          </cell>
        </row>
        <row r="23">
          <cell r="D23">
            <v>0.32489000000000001</v>
          </cell>
          <cell r="Q23">
            <v>0.34945999999999999</v>
          </cell>
        </row>
        <row r="24">
          <cell r="D24">
            <v>0.28625000000000006</v>
          </cell>
          <cell r="Q24">
            <v>0.30789000000000005</v>
          </cell>
        </row>
        <row r="25">
          <cell r="D25">
            <v>0.53622000000000025</v>
          </cell>
          <cell r="Q25">
            <v>0.60577000000000025</v>
          </cell>
        </row>
        <row r="26">
          <cell r="D26">
            <v>0.49735999999999991</v>
          </cell>
          <cell r="Q26">
            <v>0.56395999999999991</v>
          </cell>
        </row>
        <row r="27">
          <cell r="D27">
            <v>0.55420000000000003</v>
          </cell>
          <cell r="Q27">
            <v>0.61581000000000008</v>
          </cell>
        </row>
        <row r="28">
          <cell r="D28">
            <v>0.51542999999999994</v>
          </cell>
          <cell r="Q28">
            <v>0.57401999999999997</v>
          </cell>
        </row>
        <row r="29">
          <cell r="D29">
            <v>0.37150999999999995</v>
          </cell>
          <cell r="Q29">
            <v>0.4353499999999999</v>
          </cell>
        </row>
        <row r="30">
          <cell r="D30">
            <v>0.35449999999999976</v>
          </cell>
          <cell r="Q30">
            <v>0.41633999999999971</v>
          </cell>
        </row>
        <row r="31">
          <cell r="D31">
            <v>0.32066999999999996</v>
          </cell>
          <cell r="Q31">
            <v>0.37851999999999991</v>
          </cell>
        </row>
        <row r="32">
          <cell r="D32">
            <v>0.2983800000000002</v>
          </cell>
          <cell r="Q32">
            <v>0.35361000000000026</v>
          </cell>
        </row>
        <row r="33">
          <cell r="D33">
            <v>0.26867999999999997</v>
          </cell>
          <cell r="Q33">
            <v>0.32037999999999994</v>
          </cell>
        </row>
        <row r="34">
          <cell r="D34">
            <v>0.23154000000000005</v>
          </cell>
          <cell r="Q34">
            <v>0.27890000000000004</v>
          </cell>
        </row>
        <row r="35">
          <cell r="D35">
            <v>0.34641000000000005</v>
          </cell>
          <cell r="Q35">
            <v>0.40593000000000001</v>
          </cell>
        </row>
        <row r="36">
          <cell r="D36">
            <v>0.33204000000000006</v>
          </cell>
          <cell r="Q36">
            <v>0.38999000000000006</v>
          </cell>
        </row>
        <row r="37">
          <cell r="D37">
            <v>0.30340999999999985</v>
          </cell>
          <cell r="Q37">
            <v>0.35830999999999991</v>
          </cell>
        </row>
        <row r="38">
          <cell r="D38">
            <v>0.28459000000000018</v>
          </cell>
          <cell r="Q38">
            <v>0.33744000000000013</v>
          </cell>
        </row>
        <row r="39">
          <cell r="D39">
            <v>0.25951000000000018</v>
          </cell>
          <cell r="Q39">
            <v>0.30965000000000015</v>
          </cell>
        </row>
        <row r="40">
          <cell r="D40">
            <v>0.22809999999999994</v>
          </cell>
          <cell r="Q40">
            <v>0.27485999999999994</v>
          </cell>
        </row>
        <row r="41">
          <cell r="D41">
            <v>0.12883999999999998</v>
          </cell>
          <cell r="Q41">
            <v>0.13851999999999998</v>
          </cell>
        </row>
        <row r="42">
          <cell r="D42">
            <v>0.11533999999999998</v>
          </cell>
          <cell r="Q42">
            <v>0.12399999999999999</v>
          </cell>
        </row>
        <row r="43">
          <cell r="D43">
            <v>8.8440000000000005E-2</v>
          </cell>
          <cell r="Q43">
            <v>9.5079999999999998E-2</v>
          </cell>
        </row>
        <row r="44">
          <cell r="D44">
            <v>7.0770000000000013E-2</v>
          </cell>
          <cell r="Q44">
            <v>7.6070000000000013E-2</v>
          </cell>
        </row>
        <row r="45">
          <cell r="D45">
            <v>4.7180000000000007E-2</v>
          </cell>
          <cell r="Q45">
            <v>5.0710000000000005E-2</v>
          </cell>
        </row>
        <row r="46">
          <cell r="D46">
            <v>1.7679999999999998E-2</v>
          </cell>
          <cell r="Q46">
            <v>1.9009999999999999E-2</v>
          </cell>
        </row>
        <row r="47">
          <cell r="D47">
            <v>0.13275000000000001</v>
          </cell>
          <cell r="Q47">
            <v>0.14000000000000001</v>
          </cell>
        </row>
        <row r="48">
          <cell r="D48">
            <v>0.11882999999999998</v>
          </cell>
          <cell r="Q48">
            <v>0.12530999999999998</v>
          </cell>
        </row>
        <row r="49">
          <cell r="D49">
            <v>9.1120000000000007E-2</v>
          </cell>
          <cell r="Q49">
            <v>9.6100000000000005E-2</v>
          </cell>
        </row>
        <row r="50">
          <cell r="D50">
            <v>7.2910000000000016E-2</v>
          </cell>
          <cell r="Q50">
            <v>7.6880000000000018E-2</v>
          </cell>
        </row>
        <row r="51">
          <cell r="D51">
            <v>4.8600000000000004E-2</v>
          </cell>
          <cell r="Q51">
            <v>5.1250000000000004E-2</v>
          </cell>
        </row>
        <row r="52">
          <cell r="D52">
            <v>1.823E-2</v>
          </cell>
          <cell r="Q52">
            <v>1.9220000000000001E-2</v>
          </cell>
        </row>
        <row r="53">
          <cell r="D53">
            <v>0.37347000000000002</v>
          </cell>
          <cell r="Q53">
            <v>0.42348999999999998</v>
          </cell>
        </row>
        <row r="54">
          <cell r="D54">
            <v>0.3582499999999999</v>
          </cell>
          <cell r="Q54">
            <v>0.40679999999999988</v>
          </cell>
        </row>
        <row r="55">
          <cell r="D55">
            <v>0.3279200000000001</v>
          </cell>
          <cell r="Q55">
            <v>0.37361000000000011</v>
          </cell>
        </row>
        <row r="56">
          <cell r="D56">
            <v>0.30798999999999999</v>
          </cell>
          <cell r="Q56">
            <v>0.3518</v>
          </cell>
        </row>
        <row r="57">
          <cell r="D57">
            <v>0.28140999999999999</v>
          </cell>
          <cell r="Q57">
            <v>0.32268999999999998</v>
          </cell>
        </row>
        <row r="58">
          <cell r="D58">
            <v>0.24818999999999991</v>
          </cell>
          <cell r="Q58">
            <v>0.28631999999999996</v>
          </cell>
        </row>
        <row r="59">
          <cell r="D59">
            <v>0.36416999999999994</v>
          </cell>
          <cell r="Q59">
            <v>0.4161399999999999</v>
          </cell>
        </row>
        <row r="60">
          <cell r="D60">
            <v>0.34992999999999991</v>
          </cell>
          <cell r="Q60">
            <v>0.40022999999999986</v>
          </cell>
        </row>
        <row r="61">
          <cell r="D61">
            <v>0.32155000000000006</v>
          </cell>
          <cell r="Q61">
            <v>0.36858000000000002</v>
          </cell>
        </row>
        <row r="62">
          <cell r="D62">
            <v>0.30288999999999983</v>
          </cell>
          <cell r="Q62">
            <v>0.3477699999999998</v>
          </cell>
        </row>
        <row r="63">
          <cell r="D63">
            <v>0.27800000000000002</v>
          </cell>
          <cell r="Q63">
            <v>0.32002000000000008</v>
          </cell>
        </row>
        <row r="64">
          <cell r="D64">
            <v>0.24689999999999993</v>
          </cell>
          <cell r="Q64">
            <v>0.28529999999999994</v>
          </cell>
        </row>
        <row r="65">
          <cell r="D65">
            <v>0.12573999999999999</v>
          </cell>
          <cell r="Q65">
            <v>0.1346</v>
          </cell>
        </row>
        <row r="66">
          <cell r="D66">
            <v>0.11255999999999999</v>
          </cell>
          <cell r="Q66">
            <v>0.12048999999999999</v>
          </cell>
        </row>
        <row r="67">
          <cell r="D67">
            <v>8.6309999999999998E-2</v>
          </cell>
          <cell r="Q67">
            <v>9.2380000000000004E-2</v>
          </cell>
        </row>
        <row r="68">
          <cell r="D68">
            <v>6.9059999999999996E-2</v>
          </cell>
          <cell r="Q68">
            <v>7.392E-2</v>
          </cell>
        </row>
        <row r="69">
          <cell r="D69">
            <v>4.6050000000000001E-2</v>
          </cell>
          <cell r="Q69">
            <v>4.929E-2</v>
          </cell>
        </row>
        <row r="70">
          <cell r="D70">
            <v>1.7250000000000001E-2</v>
          </cell>
          <cell r="Q70">
            <v>1.8460000000000001E-2</v>
          </cell>
        </row>
        <row r="71">
          <cell r="D71">
            <v>4.5599999999999998E-3</v>
          </cell>
          <cell r="Q71">
            <v>4.9199999999999999E-3</v>
          </cell>
        </row>
        <row r="72">
          <cell r="D72">
            <v>4.5599999999999998E-3</v>
          </cell>
          <cell r="Q72">
            <v>4.9199999999999999E-3</v>
          </cell>
        </row>
      </sheetData>
      <sheetData sheetId="9">
        <row r="13">
          <cell r="D13">
            <v>1.0488600000000001</v>
          </cell>
          <cell r="E13">
            <v>0.20291000000000001</v>
          </cell>
          <cell r="F13">
            <v>0.1109</v>
          </cell>
          <cell r="G13">
            <v>0</v>
          </cell>
          <cell r="I13">
            <v>0.26333000000000001</v>
          </cell>
          <cell r="J13">
            <v>0.10141</v>
          </cell>
          <cell r="K13">
            <v>0</v>
          </cell>
          <cell r="M13">
            <v>5.8519999999999996E-2</v>
          </cell>
          <cell r="N13">
            <v>0.11125999999999998</v>
          </cell>
        </row>
        <row r="14">
          <cell r="D14">
            <v>1.0947099999999996</v>
          </cell>
          <cell r="E14">
            <v>0.20291000000000001</v>
          </cell>
          <cell r="F14">
            <v>0.1109</v>
          </cell>
          <cell r="G14">
            <v>0</v>
          </cell>
          <cell r="I14">
            <v>0.26333000000000001</v>
          </cell>
          <cell r="J14">
            <v>0.10141</v>
          </cell>
          <cell r="K14">
            <v>0</v>
          </cell>
          <cell r="M14">
            <v>4.9410000000000009E-2</v>
          </cell>
          <cell r="N14">
            <v>9.3060000000000004E-2</v>
          </cell>
        </row>
        <row r="15">
          <cell r="D15">
            <v>0.81020999999999987</v>
          </cell>
          <cell r="E15">
            <v>0.20291000000000001</v>
          </cell>
          <cell r="F15">
            <v>0.1109</v>
          </cell>
          <cell r="G15">
            <v>0</v>
          </cell>
          <cell r="I15">
            <v>0.26333000000000001</v>
          </cell>
          <cell r="J15">
            <v>0.10141</v>
          </cell>
          <cell r="K15">
            <v>0</v>
          </cell>
          <cell r="M15">
            <v>3.8239999999999996E-2</v>
          </cell>
          <cell r="N15">
            <v>6.6579999999999986E-2</v>
          </cell>
        </row>
        <row r="16">
          <cell r="D16">
            <v>0.79219000000000017</v>
          </cell>
          <cell r="E16">
            <v>0.20291000000000001</v>
          </cell>
          <cell r="F16">
            <v>0.1109</v>
          </cell>
          <cell r="G16">
            <v>0</v>
          </cell>
          <cell r="I16">
            <v>0.26333000000000001</v>
          </cell>
          <cell r="J16">
            <v>0.10141</v>
          </cell>
          <cell r="K16">
            <v>0</v>
          </cell>
          <cell r="M16">
            <v>3.4699999999999995E-2</v>
          </cell>
          <cell r="N16">
            <v>5.8480000000000004E-2</v>
          </cell>
        </row>
        <row r="17">
          <cell r="D17">
            <v>0.76294999999999957</v>
          </cell>
          <cell r="E17">
            <v>0.20291000000000001</v>
          </cell>
          <cell r="F17">
            <v>0.1109</v>
          </cell>
          <cell r="I17">
            <v>0.26333000000000001</v>
          </cell>
          <cell r="J17">
            <v>0.10141</v>
          </cell>
          <cell r="K17">
            <v>0</v>
          </cell>
          <cell r="M17">
            <v>-1.3350000000000002E-2</v>
          </cell>
          <cell r="N17">
            <v>-8.9999999999999802E-5</v>
          </cell>
        </row>
        <row r="18">
          <cell r="D18">
            <v>0.58290999999999971</v>
          </cell>
          <cell r="E18">
            <v>0.20291000000000001</v>
          </cell>
          <cell r="F18">
            <v>0.1109</v>
          </cell>
          <cell r="I18">
            <v>0.26333000000000001</v>
          </cell>
          <cell r="J18">
            <v>0.10141</v>
          </cell>
          <cell r="K18">
            <v>0</v>
          </cell>
          <cell r="M18">
            <v>2.8219999999999992E-2</v>
          </cell>
          <cell r="N18">
            <v>3.8710000000000001E-2</v>
          </cell>
        </row>
        <row r="19">
          <cell r="D19">
            <v>0.57634000000000019</v>
          </cell>
          <cell r="E19">
            <v>0.20291000000000001</v>
          </cell>
          <cell r="I19">
            <v>0.26333000000000001</v>
          </cell>
          <cell r="M19">
            <v>2.8689999999999997E-2</v>
          </cell>
          <cell r="N19">
            <v>4.3429999999999996E-2</v>
          </cell>
        </row>
        <row r="20">
          <cell r="D20">
            <v>0.53271000000000002</v>
          </cell>
          <cell r="E20">
            <v>0.20291000000000001</v>
          </cell>
          <cell r="I20">
            <v>0.26333000000000001</v>
          </cell>
          <cell r="M20">
            <v>2.6029999999999994E-2</v>
          </cell>
          <cell r="N20">
            <v>3.7170000000000002E-2</v>
          </cell>
        </row>
        <row r="21">
          <cell r="D21">
            <v>0.59162000000000003</v>
          </cell>
          <cell r="E21">
            <v>0.20291000000000001</v>
          </cell>
          <cell r="I21">
            <v>0.26333000000000001</v>
          </cell>
          <cell r="M21">
            <v>4.4980000000000006E-2</v>
          </cell>
          <cell r="N21">
            <v>5.3189999999999994E-2</v>
          </cell>
        </row>
        <row r="22">
          <cell r="D22">
            <v>0.54839999999999989</v>
          </cell>
          <cell r="E22">
            <v>0.20291000000000001</v>
          </cell>
          <cell r="I22">
            <v>0.26333000000000001</v>
          </cell>
          <cell r="M22">
            <v>4.2639999999999997E-2</v>
          </cell>
          <cell r="N22">
            <v>4.6990000000000004E-2</v>
          </cell>
        </row>
        <row r="23">
          <cell r="D23">
            <v>0.32489000000000001</v>
          </cell>
          <cell r="E23">
            <v>0</v>
          </cell>
          <cell r="I23">
            <v>0</v>
          </cell>
          <cell r="M23">
            <v>-2.3020000000000002E-2</v>
          </cell>
          <cell r="N23">
            <v>1.5499999999999999E-3</v>
          </cell>
        </row>
        <row r="24">
          <cell r="D24">
            <v>0.28625000000000006</v>
          </cell>
          <cell r="E24">
            <v>0</v>
          </cell>
          <cell r="I24">
            <v>0</v>
          </cell>
          <cell r="M24">
            <v>-2.0279999999999999E-2</v>
          </cell>
          <cell r="N24">
            <v>1.3600000000000001E-3</v>
          </cell>
        </row>
        <row r="25">
          <cell r="D25">
            <v>0.53622000000000025</v>
          </cell>
          <cell r="E25">
            <v>0.20291000000000001</v>
          </cell>
          <cell r="I25">
            <v>0.26333000000000001</v>
          </cell>
          <cell r="M25">
            <v>-1.0850000000000005E-2</v>
          </cell>
          <cell r="N25">
            <v>-1.7200000000000002E-3</v>
          </cell>
        </row>
        <row r="26">
          <cell r="D26">
            <v>0.49735999999999991</v>
          </cell>
          <cell r="E26">
            <v>0.20291000000000001</v>
          </cell>
          <cell r="I26">
            <v>0.26333000000000001</v>
          </cell>
          <cell r="M26">
            <v>-8.8000000000000023E-3</v>
          </cell>
          <cell r="N26">
            <v>-2.6199999999999999E-3</v>
          </cell>
        </row>
        <row r="27">
          <cell r="D27">
            <v>0.55420000000000003</v>
          </cell>
          <cell r="E27">
            <v>0.20291000000000001</v>
          </cell>
          <cell r="I27">
            <v>0.26333000000000001</v>
          </cell>
          <cell r="M27">
            <v>7.5599999999999973E-3</v>
          </cell>
          <cell r="N27">
            <v>8.7499999999999991E-3</v>
          </cell>
        </row>
        <row r="28">
          <cell r="D28">
            <v>0.51542999999999994</v>
          </cell>
          <cell r="E28">
            <v>0.20291000000000001</v>
          </cell>
          <cell r="I28">
            <v>0.26333000000000001</v>
          </cell>
          <cell r="M28">
            <v>9.669999999999998E-3</v>
          </cell>
          <cell r="N28">
            <v>7.8399999999999997E-3</v>
          </cell>
        </row>
        <row r="29">
          <cell r="D29">
            <v>0.37150999999999995</v>
          </cell>
          <cell r="E29">
            <v>0.20291000000000001</v>
          </cell>
          <cell r="I29">
            <v>0.26333000000000001</v>
          </cell>
          <cell r="M29">
            <v>1.6139999999999995E-2</v>
          </cell>
          <cell r="N29">
            <v>1.9560000000000001E-2</v>
          </cell>
        </row>
        <row r="30">
          <cell r="D30">
            <v>0.35449999999999976</v>
          </cell>
          <cell r="E30">
            <v>0.20291000000000001</v>
          </cell>
          <cell r="I30">
            <v>0.26333000000000001</v>
          </cell>
          <cell r="M30">
            <v>1.5119999999999998E-2</v>
          </cell>
          <cell r="N30">
            <v>1.6539999999999999E-2</v>
          </cell>
        </row>
        <row r="31">
          <cell r="D31">
            <v>0.32066999999999996</v>
          </cell>
          <cell r="E31">
            <v>0.20291000000000001</v>
          </cell>
          <cell r="I31">
            <v>0.26333000000000001</v>
          </cell>
          <cell r="M31">
            <v>1.3089999999999997E-2</v>
          </cell>
          <cell r="N31">
            <v>1.052E-2</v>
          </cell>
        </row>
        <row r="32">
          <cell r="D32">
            <v>0.2983800000000002</v>
          </cell>
          <cell r="E32">
            <v>0.20291000000000001</v>
          </cell>
          <cell r="I32">
            <v>0.26333000000000001</v>
          </cell>
          <cell r="M32">
            <v>1.1739999999999997E-2</v>
          </cell>
          <cell r="N32">
            <v>6.550000000000002E-3</v>
          </cell>
        </row>
        <row r="33">
          <cell r="D33">
            <v>0.26867999999999997</v>
          </cell>
          <cell r="E33">
            <v>0.20291000000000001</v>
          </cell>
          <cell r="I33">
            <v>0.26333000000000001</v>
          </cell>
          <cell r="M33">
            <v>9.9599999999999966E-3</v>
          </cell>
          <cell r="N33">
            <v>1.239999999999998E-3</v>
          </cell>
        </row>
        <row r="34">
          <cell r="D34">
            <v>0.23154000000000005</v>
          </cell>
          <cell r="E34">
            <v>0.20291000000000001</v>
          </cell>
          <cell r="I34">
            <v>0.26333000000000001</v>
          </cell>
          <cell r="M34">
            <v>7.7099999999999964E-3</v>
          </cell>
          <cell r="N34">
            <v>-5.3500000000000006E-3</v>
          </cell>
        </row>
        <row r="35">
          <cell r="D35">
            <v>0.34641000000000005</v>
          </cell>
          <cell r="E35">
            <v>0.20291000000000001</v>
          </cell>
          <cell r="I35">
            <v>0.26333000000000001</v>
          </cell>
          <cell r="M35">
            <v>-3.7100000000000032E-3</v>
          </cell>
          <cell r="N35">
            <v>-4.6100000000000012E-3</v>
          </cell>
        </row>
        <row r="36">
          <cell r="D36">
            <v>0.33204000000000006</v>
          </cell>
          <cell r="E36">
            <v>0.20291000000000001</v>
          </cell>
          <cell r="I36">
            <v>0.26333000000000001</v>
          </cell>
          <cell r="M36">
            <v>-2.6400000000000035E-3</v>
          </cell>
          <cell r="N36">
            <v>-5.1100000000000008E-3</v>
          </cell>
        </row>
        <row r="37">
          <cell r="D37">
            <v>0.30340999999999985</v>
          </cell>
          <cell r="E37">
            <v>0.20291000000000001</v>
          </cell>
          <cell r="I37">
            <v>0.26333000000000001</v>
          </cell>
          <cell r="M37">
            <v>-5.5000000000000361E-4</v>
          </cell>
          <cell r="N37">
            <v>-6.0700000000000007E-3</v>
          </cell>
        </row>
        <row r="38">
          <cell r="D38">
            <v>0.28459000000000018</v>
          </cell>
          <cell r="E38">
            <v>0.20291000000000001</v>
          </cell>
          <cell r="I38">
            <v>0.26333000000000001</v>
          </cell>
          <cell r="M38">
            <v>8.3999999999999613E-4</v>
          </cell>
          <cell r="N38">
            <v>-6.7300000000000007E-3</v>
          </cell>
        </row>
        <row r="39">
          <cell r="D39">
            <v>0.25951000000000018</v>
          </cell>
          <cell r="E39">
            <v>0.20291000000000001</v>
          </cell>
          <cell r="I39">
            <v>0.26333000000000001</v>
          </cell>
          <cell r="M39">
            <v>2.6899999999999971E-3</v>
          </cell>
          <cell r="N39">
            <v>-7.5900000000000004E-3</v>
          </cell>
        </row>
        <row r="40">
          <cell r="D40">
            <v>0.22809999999999994</v>
          </cell>
          <cell r="E40">
            <v>0.20291000000000001</v>
          </cell>
          <cell r="I40">
            <v>0.26333000000000001</v>
          </cell>
          <cell r="M40">
            <v>4.9899999999999962E-3</v>
          </cell>
          <cell r="N40">
            <v>-8.6700000000000006E-3</v>
          </cell>
        </row>
        <row r="41">
          <cell r="D41">
            <v>0.12883999999999998</v>
          </cell>
          <cell r="E41">
            <v>0</v>
          </cell>
          <cell r="I41">
            <v>0</v>
          </cell>
          <cell r="M41">
            <v>-9.0799999999999995E-3</v>
          </cell>
          <cell r="N41">
            <v>5.9999999999999995E-4</v>
          </cell>
        </row>
        <row r="42">
          <cell r="D42">
            <v>0.11533999999999998</v>
          </cell>
          <cell r="E42">
            <v>0</v>
          </cell>
          <cell r="I42">
            <v>0</v>
          </cell>
          <cell r="M42">
            <v>-8.1300000000000001E-3</v>
          </cell>
          <cell r="N42">
            <v>5.2999999999999998E-4</v>
          </cell>
        </row>
        <row r="43">
          <cell r="D43">
            <v>8.8440000000000005E-2</v>
          </cell>
          <cell r="E43">
            <v>0</v>
          </cell>
          <cell r="I43">
            <v>0</v>
          </cell>
          <cell r="M43">
            <v>-6.2300000000000003E-3</v>
          </cell>
          <cell r="N43">
            <v>4.1000000000000005E-4</v>
          </cell>
        </row>
        <row r="44">
          <cell r="D44">
            <v>7.0770000000000013E-2</v>
          </cell>
          <cell r="E44">
            <v>0</v>
          </cell>
          <cell r="I44">
            <v>0</v>
          </cell>
          <cell r="M44">
            <v>-4.9800000000000001E-3</v>
          </cell>
          <cell r="N44">
            <v>3.1999999999999997E-4</v>
          </cell>
        </row>
        <row r="45">
          <cell r="D45">
            <v>4.7180000000000007E-2</v>
          </cell>
          <cell r="E45">
            <v>0</v>
          </cell>
          <cell r="I45">
            <v>0</v>
          </cell>
          <cell r="M45">
            <v>-3.32E-3</v>
          </cell>
          <cell r="N45">
            <v>2.1000000000000001E-4</v>
          </cell>
        </row>
        <row r="46">
          <cell r="D46">
            <v>1.7679999999999998E-2</v>
          </cell>
          <cell r="E46">
            <v>0</v>
          </cell>
          <cell r="I46">
            <v>0</v>
          </cell>
          <cell r="M46">
            <v>-1.25E-3</v>
          </cell>
          <cell r="N46">
            <v>7.9999999999999993E-5</v>
          </cell>
        </row>
        <row r="47">
          <cell r="D47">
            <v>0.13275000000000001</v>
          </cell>
          <cell r="E47">
            <v>0</v>
          </cell>
          <cell r="I47">
            <v>0</v>
          </cell>
          <cell r="M47">
            <v>-6.6600000000000001E-3</v>
          </cell>
          <cell r="N47">
            <v>5.8999999999999992E-4</v>
          </cell>
        </row>
        <row r="48">
          <cell r="D48">
            <v>0.11882999999999998</v>
          </cell>
          <cell r="E48">
            <v>0</v>
          </cell>
          <cell r="I48">
            <v>0</v>
          </cell>
          <cell r="M48">
            <v>-5.96E-3</v>
          </cell>
          <cell r="N48">
            <v>5.2000000000000006E-4</v>
          </cell>
        </row>
        <row r="49">
          <cell r="D49">
            <v>9.1120000000000007E-2</v>
          </cell>
          <cell r="E49">
            <v>0</v>
          </cell>
          <cell r="I49">
            <v>0</v>
          </cell>
          <cell r="M49">
            <v>-4.5700000000000003E-3</v>
          </cell>
          <cell r="N49">
            <v>4.1000000000000005E-4</v>
          </cell>
        </row>
        <row r="50">
          <cell r="D50">
            <v>7.2910000000000016E-2</v>
          </cell>
          <cell r="E50">
            <v>0</v>
          </cell>
          <cell r="I50">
            <v>0</v>
          </cell>
          <cell r="M50">
            <v>-3.65E-3</v>
          </cell>
          <cell r="N50">
            <v>3.1999999999999997E-4</v>
          </cell>
        </row>
        <row r="51">
          <cell r="D51">
            <v>4.8600000000000004E-2</v>
          </cell>
          <cell r="E51">
            <v>0</v>
          </cell>
          <cell r="I51">
            <v>0</v>
          </cell>
          <cell r="M51">
            <v>-2.4400000000000003E-3</v>
          </cell>
          <cell r="N51">
            <v>2.1000000000000001E-4</v>
          </cell>
        </row>
        <row r="52">
          <cell r="D52">
            <v>1.823E-2</v>
          </cell>
          <cell r="E52">
            <v>0</v>
          </cell>
          <cell r="I52">
            <v>0</v>
          </cell>
          <cell r="M52">
            <v>-9.1E-4</v>
          </cell>
          <cell r="N52">
            <v>7.9999999999999993E-5</v>
          </cell>
        </row>
        <row r="53">
          <cell r="D53">
            <v>0.37347000000000002</v>
          </cell>
          <cell r="E53">
            <v>0.20291000000000001</v>
          </cell>
          <cell r="I53">
            <v>0.26333000000000001</v>
          </cell>
          <cell r="M53">
            <v>3.3740000000000006E-2</v>
          </cell>
          <cell r="N53">
            <v>2.334E-2</v>
          </cell>
        </row>
        <row r="54">
          <cell r="D54">
            <v>0.3582499999999999</v>
          </cell>
          <cell r="E54">
            <v>0.20291000000000001</v>
          </cell>
          <cell r="I54">
            <v>0.26333000000000001</v>
          </cell>
          <cell r="M54">
            <v>3.2870000000000003E-2</v>
          </cell>
          <cell r="N54">
            <v>2.0999999999999998E-2</v>
          </cell>
        </row>
        <row r="55">
          <cell r="D55">
            <v>0.3279200000000001</v>
          </cell>
          <cell r="E55">
            <v>0.20291000000000001</v>
          </cell>
          <cell r="I55">
            <v>0.26333000000000001</v>
          </cell>
          <cell r="M55">
            <v>3.1099999999999996E-2</v>
          </cell>
          <cell r="N55">
            <v>1.6370000000000003E-2</v>
          </cell>
        </row>
        <row r="56">
          <cell r="D56">
            <v>0.30798999999999999</v>
          </cell>
          <cell r="E56">
            <v>0.20291000000000001</v>
          </cell>
          <cell r="I56">
            <v>0.26333000000000001</v>
          </cell>
          <cell r="M56">
            <v>2.9949999999999997E-2</v>
          </cell>
          <cell r="N56">
            <v>1.3339999999999999E-2</v>
          </cell>
        </row>
        <row r="57">
          <cell r="D57">
            <v>0.28140999999999999</v>
          </cell>
          <cell r="E57">
            <v>0.20291000000000001</v>
          </cell>
          <cell r="I57">
            <v>0.26333000000000001</v>
          </cell>
          <cell r="M57">
            <v>2.8409999999999998E-2</v>
          </cell>
          <cell r="N57">
            <v>9.2699999999999987E-3</v>
          </cell>
        </row>
        <row r="58">
          <cell r="D58">
            <v>0.24818999999999991</v>
          </cell>
          <cell r="E58">
            <v>0.20291000000000001</v>
          </cell>
          <cell r="I58">
            <v>0.26333000000000001</v>
          </cell>
          <cell r="M58">
            <v>2.649E-2</v>
          </cell>
          <cell r="N58">
            <v>4.1999999999999989E-3</v>
          </cell>
        </row>
        <row r="59">
          <cell r="D59">
            <v>0.36416999999999994</v>
          </cell>
          <cell r="E59">
            <v>0.20291000000000001</v>
          </cell>
          <cell r="I59">
            <v>0.26333000000000001</v>
          </cell>
          <cell r="M59">
            <v>1.5419999999999996E-2</v>
          </cell>
          <cell r="N59">
            <v>6.9699999999999996E-3</v>
          </cell>
        </row>
        <row r="60">
          <cell r="D60">
            <v>0.34992999999999991</v>
          </cell>
          <cell r="E60">
            <v>0.20291000000000001</v>
          </cell>
          <cell r="I60">
            <v>0.26333000000000001</v>
          </cell>
          <cell r="M60">
            <v>1.6469999999999999E-2</v>
          </cell>
          <cell r="N60">
            <v>6.3499999999999997E-3</v>
          </cell>
        </row>
        <row r="61">
          <cell r="D61">
            <v>0.32155000000000006</v>
          </cell>
          <cell r="E61">
            <v>0.20291000000000001</v>
          </cell>
          <cell r="I61">
            <v>0.26333000000000001</v>
          </cell>
          <cell r="M61">
            <v>1.8529999999999998E-2</v>
          </cell>
          <cell r="N61">
            <v>5.1399999999999996E-3</v>
          </cell>
        </row>
        <row r="62">
          <cell r="D62">
            <v>0.30288999999999983</v>
          </cell>
          <cell r="E62">
            <v>0.20291000000000001</v>
          </cell>
          <cell r="I62">
            <v>0.26333000000000001</v>
          </cell>
          <cell r="M62">
            <v>1.9889999999999998E-2</v>
          </cell>
          <cell r="N62">
            <v>4.3499999999999997E-3</v>
          </cell>
        </row>
        <row r="63">
          <cell r="D63">
            <v>0.27800000000000002</v>
          </cell>
          <cell r="E63">
            <v>0.20291000000000001</v>
          </cell>
          <cell r="I63">
            <v>0.26333000000000001</v>
          </cell>
          <cell r="M63">
            <v>2.1699999999999997E-2</v>
          </cell>
          <cell r="N63">
            <v>3.2999999999999995E-3</v>
          </cell>
        </row>
        <row r="64">
          <cell r="D64">
            <v>0.24689999999999993</v>
          </cell>
          <cell r="E64">
            <v>0.20291000000000001</v>
          </cell>
          <cell r="I64">
            <v>0.26333000000000001</v>
          </cell>
          <cell r="M64">
            <v>2.3969999999999998E-2</v>
          </cell>
          <cell r="N64">
            <v>1.9499999999999995E-3</v>
          </cell>
        </row>
        <row r="65">
          <cell r="D65">
            <v>0.12573999999999999</v>
          </cell>
          <cell r="E65">
            <v>0</v>
          </cell>
          <cell r="I65">
            <v>0</v>
          </cell>
          <cell r="M65">
            <v>-8.2900000000000005E-3</v>
          </cell>
          <cell r="N65">
            <v>5.6999999999999998E-4</v>
          </cell>
        </row>
        <row r="66">
          <cell r="D66">
            <v>0.11255999999999999</v>
          </cell>
          <cell r="E66">
            <v>0</v>
          </cell>
          <cell r="I66">
            <v>0</v>
          </cell>
          <cell r="M66">
            <v>-7.4199999999999995E-3</v>
          </cell>
          <cell r="N66">
            <v>5.1000000000000004E-4</v>
          </cell>
        </row>
        <row r="67">
          <cell r="D67">
            <v>8.6309999999999998E-2</v>
          </cell>
          <cell r="E67">
            <v>0</v>
          </cell>
          <cell r="I67">
            <v>0</v>
          </cell>
          <cell r="M67">
            <v>-5.6900000000000006E-3</v>
          </cell>
          <cell r="N67">
            <v>3.7999999999999997E-4</v>
          </cell>
        </row>
        <row r="68">
          <cell r="D68">
            <v>6.9059999999999996E-2</v>
          </cell>
          <cell r="E68">
            <v>0</v>
          </cell>
          <cell r="I68">
            <v>0</v>
          </cell>
          <cell r="M68">
            <v>-4.5500000000000002E-3</v>
          </cell>
          <cell r="N68">
            <v>3.0999999999999995E-4</v>
          </cell>
        </row>
        <row r="69">
          <cell r="D69">
            <v>4.6050000000000001E-2</v>
          </cell>
          <cell r="E69">
            <v>0</v>
          </cell>
          <cell r="I69">
            <v>0</v>
          </cell>
          <cell r="M69">
            <v>-3.0300000000000001E-3</v>
          </cell>
          <cell r="N69">
            <v>2.0999999999999998E-4</v>
          </cell>
        </row>
        <row r="70">
          <cell r="D70">
            <v>1.7250000000000001E-2</v>
          </cell>
          <cell r="E70">
            <v>0</v>
          </cell>
          <cell r="I70">
            <v>0</v>
          </cell>
          <cell r="M70">
            <v>-1.1400000000000002E-3</v>
          </cell>
          <cell r="N70">
            <v>6.9999999999999994E-5</v>
          </cell>
        </row>
        <row r="71">
          <cell r="D71">
            <v>4.5599999999999998E-3</v>
          </cell>
          <cell r="E71">
            <v>0</v>
          </cell>
          <cell r="I71">
            <v>0</v>
          </cell>
          <cell r="J71">
            <v>0</v>
          </cell>
          <cell r="K71">
            <v>0</v>
          </cell>
          <cell r="M71">
            <v>-3.5000000000000005E-4</v>
          </cell>
          <cell r="N71">
            <v>1.0000000000000001E-5</v>
          </cell>
        </row>
        <row r="72">
          <cell r="D72">
            <v>4.5599999999999998E-3</v>
          </cell>
          <cell r="E72">
            <v>0</v>
          </cell>
          <cell r="I72">
            <v>0</v>
          </cell>
          <cell r="J72">
            <v>0</v>
          </cell>
          <cell r="K72">
            <v>0</v>
          </cell>
          <cell r="M72">
            <v>-3.5000000000000005E-4</v>
          </cell>
          <cell r="N72">
            <v>1.0000000000000001E-5</v>
          </cell>
        </row>
        <row r="76">
          <cell r="D76" t="str">
            <v>2019-20 PGA+GRC</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current WA"/>
      <sheetName val="Winter WACOG WA"/>
      <sheetName val="Derivation of Demand rates WA"/>
      <sheetName val="Demand Charges"/>
      <sheetName val="Total Commodity Summary"/>
      <sheetName val="Commodity Cost from Vol Pipe"/>
      <sheetName val="Hedged Spot Dispatch &amp; Cost"/>
      <sheetName val="Commodity Cost from Supply"/>
      <sheetName val="Commodity Supply Dispatch"/>
      <sheetName val="download for JV28A"/>
      <sheetName val="Commodity Cost from Supply VERT"/>
      <sheetName val="Commodity Cost from RNG"/>
      <sheetName val="RNG Dispatch"/>
      <sheetName val="Commodity Cost from Storage"/>
      <sheetName val="Storage Dispatch"/>
      <sheetName val="Index Prices"/>
      <sheetName val="Line loss"/>
      <sheetName val="Fuel factors"/>
      <sheetName val="General Inputs"/>
      <sheetName val="Spot contracts"/>
      <sheetName val="Supply Contracts"/>
    </sheetNames>
    <sheetDataSet>
      <sheetData sheetId="0">
        <row r="19">
          <cell r="E19">
            <v>5065474</v>
          </cell>
        </row>
        <row r="24">
          <cell r="E24">
            <v>-618344</v>
          </cell>
        </row>
      </sheetData>
      <sheetData sheetId="1"/>
      <sheetData sheetId="2">
        <row r="20">
          <cell r="D20">
            <v>9.7189999999999999E-2</v>
          </cell>
        </row>
      </sheetData>
      <sheetData sheetId="3"/>
      <sheetData sheetId="4">
        <row r="57">
          <cell r="D57">
            <v>0.26139000000000001</v>
          </cell>
        </row>
      </sheetData>
      <sheetData sheetId="5"/>
      <sheetData sheetId="6"/>
      <sheetData sheetId="7"/>
      <sheetData sheetId="8"/>
      <sheetData sheetId="9"/>
      <sheetData sheetId="10"/>
      <sheetData sheetId="11"/>
      <sheetData sheetId="12"/>
      <sheetData sheetId="13"/>
      <sheetData sheetId="14"/>
      <sheetData sheetId="15"/>
      <sheetData sheetId="16">
        <row r="15">
          <cell r="C15">
            <v>6.3899999999999998E-3</v>
          </cell>
        </row>
      </sheetData>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5 R&amp;C Eng. Effic."/>
      <sheetName val="20-06 GREAT &amp; WA-LIEE"/>
      <sheetName val="20-07 HoldCo Credit"/>
      <sheetName val="20-04 ECRM"/>
      <sheetName val="20-8 Interim Tax Deferral"/>
      <sheetName val="20-XX Sch. 201 &amp; 203 (PGA)"/>
      <sheetName val="20-09 PGA"/>
      <sheetName val="20-10 Combined"/>
      <sheetName val="Revenue Senstive"/>
    </sheetNames>
    <sheetDataSet>
      <sheetData sheetId="0">
        <row r="12">
          <cell r="F12">
            <v>-4191528</v>
          </cell>
        </row>
        <row r="15">
          <cell r="F15">
            <v>4875101.7299305107</v>
          </cell>
        </row>
      </sheetData>
      <sheetData sheetId="1">
        <row r="12">
          <cell r="F12">
            <v>-396796</v>
          </cell>
        </row>
        <row r="15">
          <cell r="F15">
            <v>723176.68663007859</v>
          </cell>
        </row>
      </sheetData>
      <sheetData sheetId="2">
        <row r="12">
          <cell r="F12">
            <v>57386.11</v>
          </cell>
        </row>
        <row r="16">
          <cell r="F16">
            <v>-72271.029402558372</v>
          </cell>
        </row>
      </sheetData>
      <sheetData sheetId="3">
        <row r="15">
          <cell r="F15">
            <v>230275.87070386676</v>
          </cell>
        </row>
      </sheetData>
      <sheetData sheetId="4">
        <row r="12">
          <cell r="F12">
            <v>2191106</v>
          </cell>
        </row>
        <row r="15">
          <cell r="F15">
            <v>0</v>
          </cell>
        </row>
      </sheetData>
      <sheetData sheetId="5">
        <row r="19">
          <cell r="F19">
            <v>0</v>
          </cell>
        </row>
      </sheetData>
      <sheetData sheetId="6">
        <row r="18">
          <cell r="F18">
            <v>-767511</v>
          </cell>
        </row>
        <row r="20">
          <cell r="F20">
            <v>-548974.35362367204</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6"/>
  <sheetViews>
    <sheetView showGridLines="0" tabSelected="1" topLeftCell="B1" zoomScale="90" zoomScaleNormal="90" workbookViewId="0">
      <selection activeCell="O15" sqref="O15"/>
    </sheetView>
  </sheetViews>
  <sheetFormatPr defaultColWidth="8" defaultRowHeight="15" x14ac:dyDescent="0.25"/>
  <cols>
    <col min="1" max="1" width="5.85546875" style="18" customWidth="1"/>
    <col min="2" max="2" width="15.28515625" style="1" customWidth="1"/>
    <col min="3" max="3" width="8" style="1"/>
    <col min="4" max="4" width="14.140625" style="1" bestFit="1" customWidth="1"/>
    <col min="5" max="5" width="11.42578125" style="1" customWidth="1"/>
    <col min="6" max="6" width="11.7109375" style="1" customWidth="1"/>
    <col min="7" max="7" width="11.5703125" style="1" customWidth="1"/>
    <col min="8" max="8" width="10.140625" style="1" customWidth="1"/>
    <col min="9" max="9" width="12.7109375" style="1" customWidth="1"/>
    <col min="10" max="10" width="10.140625" style="1" customWidth="1"/>
    <col min="11" max="11" width="12.7109375" style="1" customWidth="1"/>
    <col min="12" max="12" width="13.5703125" style="1" customWidth="1"/>
    <col min="13" max="16384" width="8" style="18"/>
  </cols>
  <sheetData>
    <row r="1" spans="1:12" x14ac:dyDescent="0.25">
      <c r="A1" s="17" t="str">
        <f>+'[1]Washington volumes'!A1</f>
        <v>NW Natural</v>
      </c>
    </row>
    <row r="2" spans="1:12" x14ac:dyDescent="0.25">
      <c r="A2" s="17" t="str">
        <f>+'[1]Washington volumes'!A2</f>
        <v>Rates &amp; Regulatory Affairs</v>
      </c>
    </row>
    <row r="3" spans="1:12" x14ac:dyDescent="0.25">
      <c r="A3" s="17" t="str">
        <f>+'[1]Washington volumes'!A3</f>
        <v>2020-2021 PGA Filing - Washington: September Filing</v>
      </c>
      <c r="I3" s="51"/>
      <c r="J3" s="52"/>
      <c r="K3" s="52"/>
      <c r="L3" s="52"/>
    </row>
    <row r="4" spans="1:12" x14ac:dyDescent="0.25">
      <c r="A4" s="17" t="s">
        <v>43</v>
      </c>
      <c r="J4" s="20"/>
      <c r="K4" s="52"/>
      <c r="L4" s="52"/>
    </row>
    <row r="5" spans="1:12" x14ac:dyDescent="0.25">
      <c r="A5" s="53" t="s">
        <v>44</v>
      </c>
      <c r="G5" s="54"/>
      <c r="H5" s="54"/>
      <c r="I5" s="54"/>
      <c r="J5" s="55"/>
      <c r="K5" s="52"/>
      <c r="L5" s="56"/>
    </row>
    <row r="6" spans="1:12" ht="15.75" thickBot="1" x14ac:dyDescent="0.3">
      <c r="I6" s="18"/>
      <c r="J6" s="55"/>
      <c r="K6" s="55"/>
      <c r="L6" s="18"/>
    </row>
    <row r="7" spans="1:12" x14ac:dyDescent="0.25">
      <c r="A7" s="21">
        <v>1</v>
      </c>
      <c r="D7" s="22" t="s">
        <v>45</v>
      </c>
      <c r="F7" s="57" t="s">
        <v>46</v>
      </c>
      <c r="H7" s="22" t="s">
        <v>47</v>
      </c>
      <c r="I7" s="57"/>
      <c r="J7" s="22" t="s">
        <v>48</v>
      </c>
      <c r="K7" s="22" t="s">
        <v>48</v>
      </c>
      <c r="L7" s="58" t="s">
        <v>48</v>
      </c>
    </row>
    <row r="8" spans="1:12" x14ac:dyDescent="0.25">
      <c r="A8" s="21">
        <f t="shared" ref="A8:A71" si="0">+A7+1</f>
        <v>2</v>
      </c>
      <c r="D8" s="22" t="s">
        <v>49</v>
      </c>
      <c r="E8" s="57"/>
      <c r="F8" s="57" t="s">
        <v>50</v>
      </c>
      <c r="G8" s="22" t="s">
        <v>51</v>
      </c>
      <c r="H8" s="118">
        <v>43770</v>
      </c>
      <c r="I8" s="57">
        <f>+H8</f>
        <v>43770</v>
      </c>
      <c r="J8" s="57">
        <f>+EFFDATE</f>
        <v>44136</v>
      </c>
      <c r="K8" s="57">
        <f>+J8</f>
        <v>44136</v>
      </c>
      <c r="L8" s="59">
        <f>+K8</f>
        <v>44136</v>
      </c>
    </row>
    <row r="9" spans="1:12" x14ac:dyDescent="0.25">
      <c r="A9" s="21">
        <f t="shared" si="0"/>
        <v>3</v>
      </c>
      <c r="D9" s="22" t="s">
        <v>4</v>
      </c>
      <c r="E9" s="22" t="s">
        <v>52</v>
      </c>
      <c r="F9" s="22" t="s">
        <v>53</v>
      </c>
      <c r="G9" s="22" t="s">
        <v>53</v>
      </c>
      <c r="H9" s="22" t="s">
        <v>2</v>
      </c>
      <c r="I9" s="22" t="s">
        <v>47</v>
      </c>
      <c r="J9" s="23" t="s">
        <v>5</v>
      </c>
      <c r="K9" s="23" t="s">
        <v>5</v>
      </c>
      <c r="L9" s="60" t="s">
        <v>5</v>
      </c>
    </row>
    <row r="10" spans="1:12" s="27" customFormat="1" ht="15.75" thickBot="1" x14ac:dyDescent="0.3">
      <c r="A10" s="21">
        <f t="shared" si="0"/>
        <v>4</v>
      </c>
      <c r="B10" s="1"/>
      <c r="C10" s="1"/>
      <c r="D10" s="25" t="s">
        <v>6</v>
      </c>
      <c r="E10" s="25" t="s">
        <v>11</v>
      </c>
      <c r="F10" s="25" t="s">
        <v>54</v>
      </c>
      <c r="G10" s="25" t="s">
        <v>9</v>
      </c>
      <c r="H10" s="25" t="s">
        <v>55</v>
      </c>
      <c r="I10" s="25" t="s">
        <v>56</v>
      </c>
      <c r="J10" s="26" t="s">
        <v>55</v>
      </c>
      <c r="K10" s="25" t="s">
        <v>56</v>
      </c>
      <c r="L10" s="61" t="s">
        <v>57</v>
      </c>
    </row>
    <row r="11" spans="1:12" s="27" customFormat="1" x14ac:dyDescent="0.25">
      <c r="A11" s="21">
        <f t="shared" si="0"/>
        <v>5</v>
      </c>
      <c r="B11" s="1"/>
      <c r="C11" s="1"/>
      <c r="D11" s="19"/>
      <c r="E11" s="19"/>
      <c r="F11" s="19"/>
      <c r="G11" s="19"/>
      <c r="H11" s="19"/>
      <c r="I11" s="23" t="s">
        <v>58</v>
      </c>
      <c r="J11" s="62"/>
      <c r="K11" s="62" t="s">
        <v>136</v>
      </c>
      <c r="L11" s="63" t="s">
        <v>137</v>
      </c>
    </row>
    <row r="12" spans="1:12" s="27" customFormat="1" x14ac:dyDescent="0.25">
      <c r="A12" s="21">
        <f t="shared" si="0"/>
        <v>6</v>
      </c>
      <c r="B12" s="29" t="s">
        <v>10</v>
      </c>
      <c r="C12" s="29" t="s">
        <v>11</v>
      </c>
      <c r="D12" s="30" t="s">
        <v>12</v>
      </c>
      <c r="E12" s="30" t="s">
        <v>13</v>
      </c>
      <c r="F12" s="30" t="s">
        <v>14</v>
      </c>
      <c r="G12" s="30" t="s">
        <v>15</v>
      </c>
      <c r="H12" s="30" t="s">
        <v>16</v>
      </c>
      <c r="I12" s="30" t="s">
        <v>59</v>
      </c>
      <c r="J12" s="31" t="s">
        <v>138</v>
      </c>
      <c r="K12" s="31" t="s">
        <v>139</v>
      </c>
      <c r="L12" s="64" t="s">
        <v>140</v>
      </c>
    </row>
    <row r="13" spans="1:12" x14ac:dyDescent="0.25">
      <c r="A13" s="21">
        <f t="shared" si="0"/>
        <v>7</v>
      </c>
      <c r="B13" s="32" t="s">
        <v>19</v>
      </c>
      <c r="C13" s="32"/>
      <c r="D13" s="33">
        <f>+'[1]Washington volumes'!J13</f>
        <v>218577.4</v>
      </c>
      <c r="E13" s="65" t="s">
        <v>60</v>
      </c>
      <c r="F13" s="66">
        <f>+'[1]Washington volumes'!M13</f>
        <v>20</v>
      </c>
      <c r="G13" s="124">
        <v>5.5</v>
      </c>
      <c r="H13" s="67">
        <f>+'[1]Rates in summary'!D13</f>
        <v>1.0488600000000001</v>
      </c>
      <c r="I13" s="35">
        <f>ROUND(+$G13+(H13*$F13),2)</f>
        <v>26.48</v>
      </c>
      <c r="J13" s="67">
        <f>+'[1]Rates in summary'!Q13</f>
        <v>1.1525300000000001</v>
      </c>
      <c r="K13" s="35">
        <f>ROUND(+$G13+(J13*$F13),2)</f>
        <v>28.55</v>
      </c>
      <c r="L13" s="68">
        <f t="shared" ref="L13:L18" si="1">ROUND((K13-I13)/I13,3)</f>
        <v>7.8E-2</v>
      </c>
    </row>
    <row r="14" spans="1:12" x14ac:dyDescent="0.25">
      <c r="A14" s="21">
        <f t="shared" si="0"/>
        <v>8</v>
      </c>
      <c r="B14" s="32" t="s">
        <v>20</v>
      </c>
      <c r="C14" s="32"/>
      <c r="D14" s="33">
        <f>+'[1]Washington volumes'!J14</f>
        <v>38726</v>
      </c>
      <c r="E14" s="65" t="s">
        <v>60</v>
      </c>
      <c r="F14" s="66">
        <f>+'[1]Washington volumes'!M14</f>
        <v>92</v>
      </c>
      <c r="G14" s="124">
        <v>7</v>
      </c>
      <c r="H14" s="67">
        <f>+'[1]Rates in summary'!D14</f>
        <v>1.0947099999999996</v>
      </c>
      <c r="I14" s="35">
        <f t="shared" ref="I14:I18" si="2">ROUND(+$G14+(H14*$F14),2)</f>
        <v>107.71</v>
      </c>
      <c r="J14" s="67">
        <f>+'[1]Rates in summary'!Q14</f>
        <v>1.1892899999999995</v>
      </c>
      <c r="K14" s="35">
        <f t="shared" ref="K14:K18" si="3">ROUND(+$G14+(J14*$F14),2)</f>
        <v>116.41</v>
      </c>
      <c r="L14" s="68">
        <f t="shared" si="1"/>
        <v>8.1000000000000003E-2</v>
      </c>
    </row>
    <row r="15" spans="1:12" x14ac:dyDescent="0.25">
      <c r="A15" s="21">
        <f t="shared" si="0"/>
        <v>9</v>
      </c>
      <c r="B15" s="32" t="s">
        <v>21</v>
      </c>
      <c r="C15" s="32"/>
      <c r="D15" s="33">
        <f>+'[1]Washington volumes'!J15</f>
        <v>55009539.100000001</v>
      </c>
      <c r="E15" s="65" t="s">
        <v>60</v>
      </c>
      <c r="F15" s="66">
        <f>+'[1]Washington volumes'!M15</f>
        <v>57</v>
      </c>
      <c r="G15" s="124">
        <v>8</v>
      </c>
      <c r="H15" s="67">
        <f>+'[1]Rates in summary'!D15</f>
        <v>0.81020999999999987</v>
      </c>
      <c r="I15" s="35">
        <f t="shared" si="2"/>
        <v>54.18</v>
      </c>
      <c r="J15" s="67">
        <f>+'[1]Rates in summary'!Q15</f>
        <v>0.88947999999999994</v>
      </c>
      <c r="K15" s="34">
        <f t="shared" si="3"/>
        <v>58.7</v>
      </c>
      <c r="L15" s="68">
        <f t="shared" si="1"/>
        <v>8.3000000000000004E-2</v>
      </c>
    </row>
    <row r="16" spans="1:12" x14ac:dyDescent="0.25">
      <c r="A16" s="21">
        <f t="shared" si="0"/>
        <v>10</v>
      </c>
      <c r="B16" s="32" t="s">
        <v>22</v>
      </c>
      <c r="C16" s="32"/>
      <c r="D16" s="33">
        <f>+'[1]Washington volumes'!J16</f>
        <v>18385904.899999999</v>
      </c>
      <c r="E16" s="65" t="s">
        <v>60</v>
      </c>
      <c r="F16" s="66">
        <f>+'[1]Washington volumes'!M16</f>
        <v>242</v>
      </c>
      <c r="G16" s="124">
        <v>22</v>
      </c>
      <c r="H16" s="67">
        <f>+'[1]Rates in summary'!D16</f>
        <v>0.79219000000000017</v>
      </c>
      <c r="I16" s="35">
        <f t="shared" si="2"/>
        <v>213.71</v>
      </c>
      <c r="J16" s="67">
        <f>+'[1]Rates in summary'!Q16</f>
        <v>0.86690000000000023</v>
      </c>
      <c r="K16" s="34">
        <f t="shared" si="3"/>
        <v>231.79</v>
      </c>
      <c r="L16" s="68">
        <f t="shared" si="1"/>
        <v>8.5000000000000006E-2</v>
      </c>
    </row>
    <row r="17" spans="1:12" x14ac:dyDescent="0.25">
      <c r="A17" s="21">
        <f t="shared" si="0"/>
        <v>11</v>
      </c>
      <c r="B17" s="32" t="s">
        <v>23</v>
      </c>
      <c r="C17" s="32"/>
      <c r="D17" s="33">
        <f>+'[1]Washington volumes'!J17</f>
        <v>263842</v>
      </c>
      <c r="E17" s="65" t="s">
        <v>60</v>
      </c>
      <c r="F17" s="66">
        <f>+'[1]Washington volumes'!M17</f>
        <v>916</v>
      </c>
      <c r="G17" s="124">
        <v>22</v>
      </c>
      <c r="H17" s="67">
        <f>+'[1]Rates in summary'!D17</f>
        <v>0.76294999999999957</v>
      </c>
      <c r="I17" s="35">
        <f t="shared" si="2"/>
        <v>720.86</v>
      </c>
      <c r="J17" s="67">
        <f>+'[1]Rates in summary'!Q17</f>
        <v>0.82713999999999965</v>
      </c>
      <c r="K17" s="35">
        <f t="shared" si="3"/>
        <v>779.66</v>
      </c>
      <c r="L17" s="68">
        <f t="shared" si="1"/>
        <v>8.2000000000000003E-2</v>
      </c>
    </row>
    <row r="18" spans="1:12" x14ac:dyDescent="0.25">
      <c r="A18" s="21">
        <f t="shared" si="0"/>
        <v>12</v>
      </c>
      <c r="B18" s="36">
        <v>27</v>
      </c>
      <c r="C18" s="36"/>
      <c r="D18" s="33">
        <f>+'[1]Washington volumes'!J18</f>
        <v>591910</v>
      </c>
      <c r="E18" s="65" t="s">
        <v>60</v>
      </c>
      <c r="F18" s="66">
        <f>+'[1]Washington volumes'!M18</f>
        <v>65</v>
      </c>
      <c r="G18" s="124">
        <v>9</v>
      </c>
      <c r="H18" s="67">
        <f>+'[1]Rates in summary'!D18</f>
        <v>0.58290999999999971</v>
      </c>
      <c r="I18" s="35">
        <f t="shared" si="2"/>
        <v>46.89</v>
      </c>
      <c r="J18" s="67">
        <f>+'[1]Rates in summary'!Q18</f>
        <v>0.64432999999999974</v>
      </c>
      <c r="K18" s="35">
        <f t="shared" si="3"/>
        <v>50.88</v>
      </c>
      <c r="L18" s="68">
        <f t="shared" si="1"/>
        <v>8.5000000000000006E-2</v>
      </c>
    </row>
    <row r="19" spans="1:12" x14ac:dyDescent="0.25">
      <c r="A19" s="21">
        <f t="shared" si="0"/>
        <v>13</v>
      </c>
      <c r="B19" s="28" t="s">
        <v>24</v>
      </c>
      <c r="C19" s="37" t="s">
        <v>25</v>
      </c>
      <c r="D19" s="38">
        <f>+'[1]Washington volumes'!J19</f>
        <v>1992236.2</v>
      </c>
      <c r="E19" s="71">
        <v>2000</v>
      </c>
      <c r="F19" s="72">
        <f>+'[1]Washington volumes'!M19</f>
        <v>3745</v>
      </c>
      <c r="G19" s="126">
        <v>250</v>
      </c>
      <c r="H19" s="70">
        <f>+'[1]Rates in summary'!D19</f>
        <v>0.57634000000000019</v>
      </c>
      <c r="I19" s="39"/>
      <c r="J19" s="70">
        <f>+'[1]Rates in summary'!Q19</f>
        <v>0.65150000000000019</v>
      </c>
      <c r="K19" s="39"/>
      <c r="L19" s="74"/>
    </row>
    <row r="20" spans="1:12" x14ac:dyDescent="0.25">
      <c r="A20" s="21">
        <f t="shared" si="0"/>
        <v>14</v>
      </c>
      <c r="B20" s="28"/>
      <c r="C20" s="37" t="s">
        <v>26</v>
      </c>
      <c r="D20" s="38">
        <f>+'[1]Washington volumes'!J20</f>
        <v>2142067.7000000002</v>
      </c>
      <c r="E20" s="71" t="s">
        <v>61</v>
      </c>
      <c r="F20" s="72"/>
      <c r="G20" s="126"/>
      <c r="H20" s="70">
        <f>+'[1]Rates in summary'!D20</f>
        <v>0.53271000000000002</v>
      </c>
      <c r="I20" s="39"/>
      <c r="J20" s="70">
        <f>+'[1]Rates in summary'!Q20</f>
        <v>0.60427000000000008</v>
      </c>
      <c r="K20" s="39"/>
      <c r="L20" s="74"/>
    </row>
    <row r="21" spans="1:12" x14ac:dyDescent="0.25">
      <c r="A21" s="21">
        <f t="shared" si="0"/>
        <v>15</v>
      </c>
      <c r="B21" s="36"/>
      <c r="C21" s="75" t="s">
        <v>62</v>
      </c>
      <c r="D21" s="76"/>
      <c r="E21" s="77"/>
      <c r="F21" s="78"/>
      <c r="G21" s="128"/>
      <c r="H21" s="79"/>
      <c r="I21" s="80">
        <f>$G19+ROUND(IF($F19&lt;$E19,($F19*H19),IF($F19&gt;SUM($E19:$E20),(($E19*H19)+(($F19-$E19)*H20)),0)),2)</f>
        <v>2332.2600000000002</v>
      </c>
      <c r="J21" s="79"/>
      <c r="K21" s="80">
        <f>$G19+ROUND(IF($F19&lt;$E19,($F19*J19),IF($F19&gt;SUM($E19:$E20),(($E19*J19)+(($F19-$E19)*J20)),0)),2)</f>
        <v>2607.4499999999998</v>
      </c>
      <c r="L21" s="82">
        <f>ROUND((K21-I21)/I21,3)</f>
        <v>0.11799999999999999</v>
      </c>
    </row>
    <row r="22" spans="1:12" x14ac:dyDescent="0.25">
      <c r="A22" s="21">
        <f t="shared" si="0"/>
        <v>16</v>
      </c>
      <c r="B22" s="28" t="s">
        <v>27</v>
      </c>
      <c r="C22" s="37" t="s">
        <v>25</v>
      </c>
      <c r="D22" s="38">
        <f>+'[1]Washington volumes'!J21</f>
        <v>0</v>
      </c>
      <c r="E22" s="71">
        <v>2000</v>
      </c>
      <c r="F22" s="72">
        <f>+'[1]Washington volumes'!M21</f>
        <v>0</v>
      </c>
      <c r="G22" s="126">
        <v>250</v>
      </c>
      <c r="H22" s="70">
        <f>+'[1]Rates in summary'!D21</f>
        <v>0.59162000000000003</v>
      </c>
      <c r="I22" s="39"/>
      <c r="J22" s="70">
        <f>+'[1]Rates in summary'!Q21</f>
        <v>0.66025</v>
      </c>
      <c r="K22" s="39"/>
      <c r="L22" s="85"/>
    </row>
    <row r="23" spans="1:12" x14ac:dyDescent="0.25">
      <c r="A23" s="21">
        <f t="shared" si="0"/>
        <v>17</v>
      </c>
      <c r="B23" s="28"/>
      <c r="C23" s="37" t="s">
        <v>26</v>
      </c>
      <c r="D23" s="38">
        <f>+'[1]Washington volumes'!J22</f>
        <v>0</v>
      </c>
      <c r="E23" s="71" t="s">
        <v>61</v>
      </c>
      <c r="F23" s="86"/>
      <c r="G23" s="129"/>
      <c r="H23" s="70">
        <f>+'[1]Rates in summary'!D22</f>
        <v>0.54839999999999989</v>
      </c>
      <c r="I23" s="39"/>
      <c r="J23" s="70">
        <f>+'[1]Rates in summary'!Q22</f>
        <v>0.61316999999999988</v>
      </c>
      <c r="K23" s="39"/>
      <c r="L23" s="85"/>
    </row>
    <row r="24" spans="1:12" x14ac:dyDescent="0.25">
      <c r="A24" s="21">
        <f>+A22+1</f>
        <v>17</v>
      </c>
      <c r="B24" s="36"/>
      <c r="C24" s="75" t="s">
        <v>62</v>
      </c>
      <c r="D24" s="76"/>
      <c r="E24" s="77"/>
      <c r="F24" s="78"/>
      <c r="G24" s="128"/>
      <c r="H24" s="79"/>
      <c r="I24" s="80">
        <f>$G22+ROUND(IF($F22&lt;$E22,($F22*H22),IF($F22&gt;SUM($E22:$E22),(($E22*H22)+(($F22-$E22)*H22)),0)),2)</f>
        <v>250</v>
      </c>
      <c r="J24" s="79"/>
      <c r="K24" s="80">
        <f>$G22+ROUND(IF($F22&lt;$E22,($F22*J22),IF($F22&gt;SUM($E22:$E22),(($E22*J22)+(($F22-$E22)*J22)),0)),2)</f>
        <v>250</v>
      </c>
      <c r="L24" s="83">
        <f>ROUND((K24-I24)/I24,3)</f>
        <v>0</v>
      </c>
    </row>
    <row r="25" spans="1:12" x14ac:dyDescent="0.25">
      <c r="A25" s="21">
        <f t="shared" si="0"/>
        <v>18</v>
      </c>
      <c r="B25" s="28" t="s">
        <v>28</v>
      </c>
      <c r="C25" s="37" t="s">
        <v>25</v>
      </c>
      <c r="D25" s="38">
        <f>+'[1]Washington volumes'!J23</f>
        <v>169264</v>
      </c>
      <c r="E25" s="71">
        <v>2000</v>
      </c>
      <c r="F25" s="72">
        <f>+'[1]Washington volumes'!M23</f>
        <v>4482</v>
      </c>
      <c r="G25" s="126">
        <f>250+250</f>
        <v>500</v>
      </c>
      <c r="H25" s="70">
        <f>+'[1]Rates in summary'!D23</f>
        <v>0.32489000000000001</v>
      </c>
      <c r="I25" s="39"/>
      <c r="J25" s="70">
        <f>+'[1]Rates in summary'!Q23</f>
        <v>0.34945999999999999</v>
      </c>
      <c r="K25" s="39"/>
      <c r="L25" s="74"/>
    </row>
    <row r="26" spans="1:12" x14ac:dyDescent="0.25">
      <c r="A26" s="21">
        <f t="shared" si="0"/>
        <v>19</v>
      </c>
      <c r="B26" s="28"/>
      <c r="C26" s="37" t="s">
        <v>26</v>
      </c>
      <c r="D26" s="38">
        <f>+'[1]Washington volumes'!J24</f>
        <v>260994</v>
      </c>
      <c r="E26" s="71" t="s">
        <v>61</v>
      </c>
      <c r="F26" s="72"/>
      <c r="G26" s="126"/>
      <c r="H26" s="70">
        <f>+'[1]Rates in summary'!D24</f>
        <v>0.28625000000000006</v>
      </c>
      <c r="I26" s="39"/>
      <c r="J26" s="70">
        <f>+'[1]Rates in summary'!Q24</f>
        <v>0.30789000000000005</v>
      </c>
      <c r="K26" s="39"/>
      <c r="L26" s="74"/>
    </row>
    <row r="27" spans="1:12" x14ac:dyDescent="0.25">
      <c r="A27" s="21">
        <f t="shared" si="0"/>
        <v>20</v>
      </c>
      <c r="B27" s="36"/>
      <c r="C27" s="75" t="s">
        <v>62</v>
      </c>
      <c r="D27" s="76"/>
      <c r="E27" s="77"/>
      <c r="F27" s="78"/>
      <c r="G27" s="128"/>
      <c r="H27" s="79"/>
      <c r="I27" s="80">
        <f>$G25+ROUND(IF($F25&lt;$E25,($F25*H25),IF($F25&gt;SUM($E25:$E26),(($E25*H25)+(($F25-$E25)*H26)),0)),2)</f>
        <v>1860.25</v>
      </c>
      <c r="J27" s="79"/>
      <c r="K27" s="80">
        <f>$G25+ROUND(IF($F25&lt;$E25,($F25*J25),IF($F25&gt;SUM($E25:$E26),(($E25*J25)+(($F25-$E25)*J26)),0)),2)</f>
        <v>1963.1</v>
      </c>
      <c r="L27" s="83">
        <f>ROUND((K27-I27)/I27,3)</f>
        <v>5.5E-2</v>
      </c>
    </row>
    <row r="28" spans="1:12" x14ac:dyDescent="0.25">
      <c r="A28" s="21">
        <f t="shared" si="0"/>
        <v>21</v>
      </c>
      <c r="B28" s="28" t="s">
        <v>29</v>
      </c>
      <c r="C28" s="37" t="s">
        <v>25</v>
      </c>
      <c r="D28" s="38">
        <f>+'[1]Washington volumes'!J25</f>
        <v>399967</v>
      </c>
      <c r="E28" s="71">
        <v>2000</v>
      </c>
      <c r="F28" s="72">
        <f>+'[1]Washington volumes'!M25</f>
        <v>4770</v>
      </c>
      <c r="G28" s="126">
        <v>250</v>
      </c>
      <c r="H28" s="70">
        <f>+'[1]Rates in summary'!D25</f>
        <v>0.53622000000000025</v>
      </c>
      <c r="I28" s="39"/>
      <c r="J28" s="70">
        <f>+'[1]Rates in summary'!Q25</f>
        <v>0.60577000000000025</v>
      </c>
      <c r="K28" s="39"/>
      <c r="L28" s="85"/>
    </row>
    <row r="29" spans="1:12" x14ac:dyDescent="0.25">
      <c r="A29" s="21">
        <f t="shared" si="0"/>
        <v>22</v>
      </c>
      <c r="B29" s="28"/>
      <c r="C29" s="37" t="s">
        <v>26</v>
      </c>
      <c r="D29" s="38">
        <f>+'[1]Washington volumes'!J26</f>
        <v>630361</v>
      </c>
      <c r="E29" s="71" t="s">
        <v>61</v>
      </c>
      <c r="F29" s="86"/>
      <c r="G29" s="129"/>
      <c r="H29" s="70">
        <f>+'[1]Rates in summary'!D26</f>
        <v>0.49735999999999991</v>
      </c>
      <c r="I29" s="39"/>
      <c r="J29" s="70">
        <f>+'[1]Rates in summary'!Q26</f>
        <v>0.56395999999999991</v>
      </c>
      <c r="K29" s="39"/>
      <c r="L29" s="85"/>
    </row>
    <row r="30" spans="1:12" x14ac:dyDescent="0.25">
      <c r="A30" s="21">
        <f t="shared" si="0"/>
        <v>23</v>
      </c>
      <c r="B30" s="36"/>
      <c r="C30" s="75" t="s">
        <v>62</v>
      </c>
      <c r="D30" s="76"/>
      <c r="E30" s="77"/>
      <c r="F30" s="78"/>
      <c r="G30" s="128"/>
      <c r="H30" s="79"/>
      <c r="I30" s="80">
        <f>$G28+ROUND(IF($F28&lt;$E28,($F28*H28),IF($F28&gt;SUM($E28:$E29),(($E28*H28)+(($F28-$E28)*H29)),0)),2)</f>
        <v>2700.13</v>
      </c>
      <c r="J30" s="79"/>
      <c r="K30" s="80">
        <f>$G28+ROUND(IF($F28&lt;$E28,($F28*J28),IF($F28&gt;SUM($E28:$E29),(($E28*J28)+(($F28-$E28)*J29)),0)),2)</f>
        <v>3023.71</v>
      </c>
      <c r="L30" s="83">
        <f>ROUND((K30-I30)/I30,3)</f>
        <v>0.12</v>
      </c>
    </row>
    <row r="31" spans="1:12" x14ac:dyDescent="0.25">
      <c r="A31" s="21">
        <f t="shared" si="0"/>
        <v>24</v>
      </c>
      <c r="B31" s="28" t="s">
        <v>30</v>
      </c>
      <c r="C31" s="37" t="s">
        <v>25</v>
      </c>
      <c r="D31" s="38">
        <f>+'[1]Washington volumes'!J27</f>
        <v>0</v>
      </c>
      <c r="E31" s="71">
        <v>2000</v>
      </c>
      <c r="F31" s="72">
        <f>+'[1]Washington volumes'!M27</f>
        <v>0</v>
      </c>
      <c r="G31" s="126">
        <v>250</v>
      </c>
      <c r="H31" s="70">
        <f>+'[1]Rates in summary'!D27</f>
        <v>0.55420000000000003</v>
      </c>
      <c r="I31" s="39"/>
      <c r="J31" s="70">
        <f>+'[1]Rates in summary'!Q27</f>
        <v>0.61581000000000008</v>
      </c>
      <c r="K31" s="39"/>
      <c r="L31" s="74"/>
    </row>
    <row r="32" spans="1:12" x14ac:dyDescent="0.25">
      <c r="A32" s="21">
        <f t="shared" si="0"/>
        <v>25</v>
      </c>
      <c r="B32" s="28"/>
      <c r="C32" s="37" t="s">
        <v>26</v>
      </c>
      <c r="D32" s="38">
        <f>+'[1]Washington volumes'!J28</f>
        <v>0</v>
      </c>
      <c r="E32" s="71" t="s">
        <v>61</v>
      </c>
      <c r="F32" s="72"/>
      <c r="G32" s="126"/>
      <c r="H32" s="70">
        <f>+'[1]Rates in summary'!D28</f>
        <v>0.51542999999999994</v>
      </c>
      <c r="I32" s="39"/>
      <c r="J32" s="70">
        <f>+'[1]Rates in summary'!Q28</f>
        <v>0.57401999999999997</v>
      </c>
      <c r="K32" s="39"/>
      <c r="L32" s="74"/>
    </row>
    <row r="33" spans="1:12" x14ac:dyDescent="0.25">
      <c r="A33" s="21">
        <f t="shared" si="0"/>
        <v>26</v>
      </c>
      <c r="B33" s="36"/>
      <c r="C33" s="75" t="s">
        <v>62</v>
      </c>
      <c r="D33" s="76"/>
      <c r="E33" s="77"/>
      <c r="F33" s="78"/>
      <c r="G33" s="128"/>
      <c r="H33" s="79"/>
      <c r="I33" s="80">
        <f>$G31+ROUND(IF($F31&lt;$E31,($F31*H31),IF($F31&gt;SUM($E31:$E32),(($E31*H31)+(($F31-$E31)*H32)),0)),2)</f>
        <v>250</v>
      </c>
      <c r="J33" s="79"/>
      <c r="K33" s="80">
        <f>$G31+ROUND(IF($F31&lt;$E31,($F31*J31),IF($F31&gt;SUM($E31:$E32),(($E31*J31)+(($F31-$E31)*J32)),0)),2)</f>
        <v>250</v>
      </c>
      <c r="L33" s="83">
        <f>ROUND((K33-I33)/I33,3)</f>
        <v>0</v>
      </c>
    </row>
    <row r="34" spans="1:12" x14ac:dyDescent="0.25">
      <c r="A34" s="21">
        <f t="shared" si="0"/>
        <v>27</v>
      </c>
      <c r="B34" s="28" t="s">
        <v>31</v>
      </c>
      <c r="C34" s="37" t="s">
        <v>25</v>
      </c>
      <c r="D34" s="38">
        <f>+'[1]Washington volumes'!J29</f>
        <v>542975.5</v>
      </c>
      <c r="E34" s="38">
        <v>10000</v>
      </c>
      <c r="F34" s="72">
        <f>+'[1]Washington volumes'!M29</f>
        <v>18685</v>
      </c>
      <c r="G34" s="126">
        <v>1300</v>
      </c>
      <c r="H34" s="70">
        <f>+'[1]Rates in summary'!D29</f>
        <v>0.37150999999999995</v>
      </c>
      <c r="I34" s="39"/>
      <c r="J34" s="70">
        <f>+'[1]Rates in summary'!Q29</f>
        <v>0.4353499999999999</v>
      </c>
      <c r="K34" s="39"/>
      <c r="L34" s="74"/>
    </row>
    <row r="35" spans="1:12" x14ac:dyDescent="0.25">
      <c r="A35" s="21">
        <f t="shared" si="0"/>
        <v>28</v>
      </c>
      <c r="B35" s="28"/>
      <c r="C35" s="37" t="s">
        <v>26</v>
      </c>
      <c r="D35" s="38">
        <f>+'[1]Washington volumes'!J30</f>
        <v>474167</v>
      </c>
      <c r="E35" s="38">
        <v>20000</v>
      </c>
      <c r="F35" s="72"/>
      <c r="G35" s="126"/>
      <c r="H35" s="70">
        <f>+'[1]Rates in summary'!D30</f>
        <v>0.35449999999999976</v>
      </c>
      <c r="I35" s="39"/>
      <c r="J35" s="70">
        <f>+'[1]Rates in summary'!Q30</f>
        <v>0.41633999999999971</v>
      </c>
      <c r="K35" s="39"/>
      <c r="L35" s="74"/>
    </row>
    <row r="36" spans="1:12" x14ac:dyDescent="0.25">
      <c r="A36" s="21">
        <f t="shared" si="0"/>
        <v>29</v>
      </c>
      <c r="B36" s="28"/>
      <c r="C36" s="37" t="s">
        <v>32</v>
      </c>
      <c r="D36" s="38">
        <f>+'[1]Washington volumes'!J31</f>
        <v>97890.5</v>
      </c>
      <c r="E36" s="38">
        <v>20000</v>
      </c>
      <c r="F36" s="72"/>
      <c r="G36" s="126"/>
      <c r="H36" s="70">
        <f>+'[1]Rates in summary'!D31</f>
        <v>0.32066999999999996</v>
      </c>
      <c r="I36" s="39"/>
      <c r="J36" s="70">
        <f>+'[1]Rates in summary'!Q31</f>
        <v>0.37851999999999991</v>
      </c>
      <c r="K36" s="39"/>
      <c r="L36" s="74"/>
    </row>
    <row r="37" spans="1:12" x14ac:dyDescent="0.25">
      <c r="A37" s="21">
        <f t="shared" si="0"/>
        <v>30</v>
      </c>
      <c r="B37" s="28"/>
      <c r="C37" s="37" t="s">
        <v>33</v>
      </c>
      <c r="D37" s="38">
        <f>+'[1]Washington volumes'!J32</f>
        <v>6094</v>
      </c>
      <c r="E37" s="38">
        <v>100000</v>
      </c>
      <c r="F37" s="72"/>
      <c r="G37" s="126"/>
      <c r="H37" s="70">
        <f>+'[1]Rates in summary'!D32</f>
        <v>0.2983800000000002</v>
      </c>
      <c r="I37" s="39"/>
      <c r="J37" s="70">
        <f>+'[1]Rates in summary'!Q32</f>
        <v>0.35361000000000026</v>
      </c>
      <c r="K37" s="39"/>
      <c r="L37" s="74"/>
    </row>
    <row r="38" spans="1:12" x14ac:dyDescent="0.25">
      <c r="A38" s="21">
        <f t="shared" si="0"/>
        <v>31</v>
      </c>
      <c r="B38" s="28"/>
      <c r="C38" s="37" t="s">
        <v>34</v>
      </c>
      <c r="D38" s="38">
        <f>+'[1]Washington volumes'!J33</f>
        <v>0</v>
      </c>
      <c r="E38" s="38">
        <v>600000</v>
      </c>
      <c r="F38" s="72"/>
      <c r="G38" s="126"/>
      <c r="H38" s="70">
        <f>+'[1]Rates in summary'!D33</f>
        <v>0.26867999999999997</v>
      </c>
      <c r="I38" s="39"/>
      <c r="J38" s="70">
        <f>+'[1]Rates in summary'!Q33</f>
        <v>0.32037999999999994</v>
      </c>
      <c r="K38" s="39"/>
      <c r="L38" s="74"/>
    </row>
    <row r="39" spans="1:12" x14ac:dyDescent="0.25">
      <c r="A39" s="21">
        <f t="shared" si="0"/>
        <v>32</v>
      </c>
      <c r="B39" s="28"/>
      <c r="C39" s="37" t="s">
        <v>35</v>
      </c>
      <c r="D39" s="38">
        <f>+'[1]Washington volumes'!J34</f>
        <v>0</v>
      </c>
      <c r="E39" s="71" t="s">
        <v>61</v>
      </c>
      <c r="F39" s="72"/>
      <c r="G39" s="126"/>
      <c r="H39" s="70">
        <f>+'[1]Rates in summary'!D34</f>
        <v>0.23154000000000005</v>
      </c>
      <c r="I39" s="39"/>
      <c r="J39" s="70">
        <f>+'[1]Rates in summary'!Q34</f>
        <v>0.27890000000000004</v>
      </c>
      <c r="K39" s="39"/>
      <c r="L39" s="74"/>
    </row>
    <row r="40" spans="1:12" x14ac:dyDescent="0.25">
      <c r="A40" s="21">
        <f t="shared" si="0"/>
        <v>33</v>
      </c>
      <c r="B40" s="36"/>
      <c r="C40" s="75" t="s">
        <v>62</v>
      </c>
      <c r="D40" s="76"/>
      <c r="E40" s="77"/>
      <c r="F40" s="78"/>
      <c r="G40" s="128"/>
      <c r="H40" s="79"/>
      <c r="I40" s="80">
        <f>$G34+ROUND(IF($F34&lt;$E34,($F34*H34),IF($F34&lt;SUM($E34:$E35),(($E34*H34)+(($F34-$E34)*H35)),IF($F34&lt;SUM($E34:$E36),(($E34*H34)+($E35*H35)+(($F34-$E34-$E35)*H36)),IF($F34&lt;SUM($E34:$E37),(($E34*H34)+($E35*H35)+($E36*H36)+(($F34-SUM($E34:$E36))*H37)),IF($F34&lt;SUM($E34:$E38),(($E34*H34)+($E35*H35)+($E36*H36)+($E37*H37)+(($F34-SUM($E34:$E37))*H38)),(($E34*H34)+($E35*H35)+($E36*H36)+($E37*H36)+($E38*H38)+(($F34-SUM($E34:$E38))*H39))))))),2)</f>
        <v>8093.93</v>
      </c>
      <c r="J40" s="79"/>
      <c r="K40" s="80">
        <f>$G34+ROUND(IF($F34&lt;$E34,($F34*J34),IF($F34&lt;SUM($E34:$E35),(($E34*J34)+(($F34-$E34)*J35)),IF($F34&lt;SUM($E34:$E36),(($E34*J34)+($E35*J35)+(($F34-$E34-$E35)*J36)),IF($F34&lt;SUM($E34:$E37),(($E34*J34)+($E35*J35)+($E36*J36)+(($F34-SUM($E34:$E36))*J37)),IF($F34&lt;SUM($E34:$E38),(($E34*J34)+($E35*J35)+($E36*J36)+($E37*J37)+(($F34-SUM($E34:$E37))*J38)),(($E34*J34)+($E35*J35)+($E36*J36)+($E37*J36)+($E38*J38)+(($F34-SUM($E34:$E38))*J39))))))),2)</f>
        <v>9269.41</v>
      </c>
      <c r="L40" s="83">
        <f>ROUND((K40-I40)/I40,3)</f>
        <v>0.14499999999999999</v>
      </c>
    </row>
    <row r="41" spans="1:12" x14ac:dyDescent="0.25">
      <c r="A41" s="21">
        <f t="shared" si="0"/>
        <v>34</v>
      </c>
      <c r="B41" s="28" t="s">
        <v>36</v>
      </c>
      <c r="C41" s="37" t="s">
        <v>25</v>
      </c>
      <c r="D41" s="38">
        <f>+'[1]Washington volumes'!J35</f>
        <v>1086353</v>
      </c>
      <c r="E41" s="38">
        <v>10000</v>
      </c>
      <c r="F41" s="72">
        <f>+'[1]Washington volumes'!M35</f>
        <v>13593</v>
      </c>
      <c r="G41" s="126">
        <v>1300</v>
      </c>
      <c r="H41" s="70">
        <f>+'[1]Rates in summary'!D35</f>
        <v>0.34641000000000005</v>
      </c>
      <c r="I41" s="39"/>
      <c r="J41" s="70">
        <f>+'[1]Rates in summary'!Q35</f>
        <v>0.40593000000000001</v>
      </c>
      <c r="K41" s="39"/>
      <c r="L41" s="74"/>
    </row>
    <row r="42" spans="1:12" x14ac:dyDescent="0.25">
      <c r="A42" s="21">
        <f t="shared" si="0"/>
        <v>35</v>
      </c>
      <c r="B42" s="28"/>
      <c r="C42" s="37" t="s">
        <v>26</v>
      </c>
      <c r="D42" s="38">
        <f>+'[1]Washington volumes'!J36</f>
        <v>638955</v>
      </c>
      <c r="E42" s="38">
        <v>20000</v>
      </c>
      <c r="F42" s="72"/>
      <c r="G42" s="126"/>
      <c r="H42" s="70">
        <f>+'[1]Rates in summary'!D36</f>
        <v>0.33204000000000006</v>
      </c>
      <c r="I42" s="39"/>
      <c r="J42" s="70">
        <f>+'[1]Rates in summary'!Q36</f>
        <v>0.38999000000000006</v>
      </c>
      <c r="K42" s="39"/>
      <c r="L42" s="74"/>
    </row>
    <row r="43" spans="1:12" x14ac:dyDescent="0.25">
      <c r="A43" s="21">
        <f t="shared" si="0"/>
        <v>36</v>
      </c>
      <c r="B43" s="28"/>
      <c r="C43" s="37" t="s">
        <v>32</v>
      </c>
      <c r="D43" s="38">
        <f>+'[1]Washington volumes'!J37</f>
        <v>68923</v>
      </c>
      <c r="E43" s="38">
        <v>20000</v>
      </c>
      <c r="F43" s="72"/>
      <c r="G43" s="126"/>
      <c r="H43" s="70">
        <f>+'[1]Rates in summary'!D37</f>
        <v>0.30340999999999985</v>
      </c>
      <c r="I43" s="39"/>
      <c r="J43" s="70">
        <f>+'[1]Rates in summary'!Q37</f>
        <v>0.35830999999999991</v>
      </c>
      <c r="K43" s="39"/>
      <c r="L43" s="74"/>
    </row>
    <row r="44" spans="1:12" x14ac:dyDescent="0.25">
      <c r="A44" s="21">
        <f t="shared" si="0"/>
        <v>37</v>
      </c>
      <c r="B44" s="28"/>
      <c r="C44" s="37" t="s">
        <v>33</v>
      </c>
      <c r="D44" s="38">
        <f>+'[1]Washington volumes'!J38</f>
        <v>0</v>
      </c>
      <c r="E44" s="38">
        <v>100000</v>
      </c>
      <c r="F44" s="72"/>
      <c r="G44" s="126"/>
      <c r="H44" s="70">
        <f>+'[1]Rates in summary'!D38</f>
        <v>0.28459000000000018</v>
      </c>
      <c r="I44" s="39"/>
      <c r="J44" s="70">
        <f>+'[1]Rates in summary'!Q38</f>
        <v>0.33744000000000013</v>
      </c>
      <c r="K44" s="39"/>
      <c r="L44" s="74"/>
    </row>
    <row r="45" spans="1:12" x14ac:dyDescent="0.25">
      <c r="A45" s="21">
        <f t="shared" si="0"/>
        <v>38</v>
      </c>
      <c r="B45" s="28"/>
      <c r="C45" s="37" t="s">
        <v>34</v>
      </c>
      <c r="D45" s="38">
        <f>+'[1]Washington volumes'!J39</f>
        <v>0</v>
      </c>
      <c r="E45" s="38">
        <v>600000</v>
      </c>
      <c r="F45" s="72"/>
      <c r="G45" s="126"/>
      <c r="H45" s="70">
        <f>+'[1]Rates in summary'!D39</f>
        <v>0.25951000000000018</v>
      </c>
      <c r="I45" s="39"/>
      <c r="J45" s="70">
        <f>+'[1]Rates in summary'!Q39</f>
        <v>0.30965000000000015</v>
      </c>
      <c r="K45" s="39"/>
      <c r="L45" s="74"/>
    </row>
    <row r="46" spans="1:12" x14ac:dyDescent="0.25">
      <c r="A46" s="21">
        <f t="shared" si="0"/>
        <v>39</v>
      </c>
      <c r="B46" s="28"/>
      <c r="C46" s="37" t="s">
        <v>35</v>
      </c>
      <c r="D46" s="38">
        <f>+'[1]Washington volumes'!J40</f>
        <v>0</v>
      </c>
      <c r="E46" s="71" t="s">
        <v>61</v>
      </c>
      <c r="F46" s="72"/>
      <c r="G46" s="126"/>
      <c r="H46" s="70">
        <f>+'[1]Rates in summary'!D40</f>
        <v>0.22809999999999994</v>
      </c>
      <c r="I46" s="39"/>
      <c r="J46" s="70">
        <f>+'[1]Rates in summary'!Q40</f>
        <v>0.27485999999999994</v>
      </c>
      <c r="K46" s="39"/>
      <c r="L46" s="74"/>
    </row>
    <row r="47" spans="1:12" x14ac:dyDescent="0.25">
      <c r="A47" s="21">
        <f t="shared" si="0"/>
        <v>40</v>
      </c>
      <c r="B47" s="36"/>
      <c r="C47" s="75" t="s">
        <v>62</v>
      </c>
      <c r="D47" s="76"/>
      <c r="E47" s="77"/>
      <c r="F47" s="78"/>
      <c r="G47" s="128"/>
      <c r="H47" s="79"/>
      <c r="I47" s="80">
        <f>$G41+ROUND(IF($F41&lt;$E41,($F41*H41),IF($F41&lt;SUM($E41:$E42),(($E41*H41)+(($F41-$E41)*H42)),IF($F41&lt;SUM($E41:$E43),(($E41*H41)+($E42*H42)+(($F41-$E41-$E42)*H43)),IF($F41&lt;SUM($E41:$E44),(($E41*H41)+($E42*H42)+($E43*H43)+(($F41-SUM($E41:$E43))*H44)),IF($F41&lt;SUM($E41:$E45),(($E41*H41)+($E42*H42)+($E43*H43)+($E44*H44)+(($F41-SUM($E41:$E44))*H45)),(($E41*H41)+($E42*H42)+($E43*H43)+($E44*H43)+($E45*H45)+(($F41-SUM($E41:$E45))*H46))))))),2)</f>
        <v>5957.12</v>
      </c>
      <c r="J47" s="79"/>
      <c r="K47" s="80">
        <f>$G41+ROUND(IF($F41&lt;$E41,($F41*J41),IF($F41&lt;SUM($E41:$E42),(($E41*J41)+(($F41-$E41)*J42)),IF($F41&lt;SUM($E41:$E43),(($E41*J41)+($E42*J42)+(($F41-$E41-$E42)*J43)),IF($F41&lt;SUM($E41:$E44),(($E41*J41)+($E42*J42)+($E43*J43)+(($F41-SUM($E41:$E43))*J44)),IF($F41&lt;SUM($E41:$E45),(($E41*J41)+($E42*J42)+($E43*J43)+($E44*J44)+(($F41-SUM($E41:$E44))*J45)),(($E41*J41)+($E42*J42)+($E43*J43)+($E44*J43)+($E45*J45)+(($F41-SUM($E41:$E45))*J46))))))),2)</f>
        <v>6760.53</v>
      </c>
      <c r="L47" s="83">
        <f>ROUND((K47-I47)/I47,3)</f>
        <v>0.13500000000000001</v>
      </c>
    </row>
    <row r="48" spans="1:12" x14ac:dyDescent="0.25">
      <c r="A48" s="21">
        <f t="shared" si="0"/>
        <v>41</v>
      </c>
      <c r="B48" s="28" t="s">
        <v>75</v>
      </c>
      <c r="C48" s="37" t="s">
        <v>25</v>
      </c>
      <c r="D48" s="38">
        <f>+'[1]Washington volumes'!J41</f>
        <v>479847</v>
      </c>
      <c r="E48" s="38">
        <v>10000</v>
      </c>
      <c r="F48" s="72">
        <f>+'[1]Washington volumes'!M41</f>
        <v>48994</v>
      </c>
      <c r="G48" s="126">
        <f>1300+250</f>
        <v>1550</v>
      </c>
      <c r="H48" s="70">
        <f>+'[1]Rates in summary'!D41</f>
        <v>0.12883999999999998</v>
      </c>
      <c r="I48" s="39"/>
      <c r="J48" s="70">
        <f>+'[1]Rates in summary'!Q41</f>
        <v>0.13851999999999998</v>
      </c>
      <c r="K48" s="39"/>
      <c r="L48" s="74"/>
    </row>
    <row r="49" spans="1:12" x14ac:dyDescent="0.25">
      <c r="A49" s="21">
        <f t="shared" si="0"/>
        <v>42</v>
      </c>
      <c r="B49" s="28"/>
      <c r="C49" s="37" t="s">
        <v>26</v>
      </c>
      <c r="D49" s="38">
        <f>+'[1]Washington volumes'!J42</f>
        <v>792463</v>
      </c>
      <c r="E49" s="38">
        <v>20000</v>
      </c>
      <c r="F49" s="72"/>
      <c r="G49" s="126"/>
      <c r="H49" s="70">
        <f>+'[1]Rates in summary'!D42</f>
        <v>0.11533999999999998</v>
      </c>
      <c r="I49" s="39"/>
      <c r="J49" s="70">
        <f>+'[1]Rates in summary'!Q42</f>
        <v>0.12399999999999999</v>
      </c>
      <c r="K49" s="39"/>
      <c r="L49" s="74"/>
    </row>
    <row r="50" spans="1:12" x14ac:dyDescent="0.25">
      <c r="A50" s="21">
        <f t="shared" si="0"/>
        <v>43</v>
      </c>
      <c r="B50" s="28"/>
      <c r="C50" s="37" t="s">
        <v>32</v>
      </c>
      <c r="D50" s="38">
        <f>+'[1]Washington volumes'!J43</f>
        <v>542281</v>
      </c>
      <c r="E50" s="38">
        <v>20000</v>
      </c>
      <c r="F50" s="72"/>
      <c r="G50" s="126"/>
      <c r="H50" s="70">
        <f>+'[1]Rates in summary'!D43</f>
        <v>8.8440000000000005E-2</v>
      </c>
      <c r="I50" s="39"/>
      <c r="J50" s="70">
        <f>+'[1]Rates in summary'!Q43</f>
        <v>9.5079999999999998E-2</v>
      </c>
      <c r="K50" s="39"/>
      <c r="L50" s="74"/>
    </row>
    <row r="51" spans="1:12" x14ac:dyDescent="0.25">
      <c r="A51" s="21">
        <f t="shared" si="0"/>
        <v>44</v>
      </c>
      <c r="B51" s="28"/>
      <c r="C51" s="37" t="s">
        <v>33</v>
      </c>
      <c r="D51" s="38">
        <f>+'[1]Washington volumes'!J44</f>
        <v>537117</v>
      </c>
      <c r="E51" s="38">
        <v>100000</v>
      </c>
      <c r="F51" s="72"/>
      <c r="G51" s="126"/>
      <c r="H51" s="70">
        <f>+'[1]Rates in summary'!D44</f>
        <v>7.0770000000000013E-2</v>
      </c>
      <c r="I51" s="39"/>
      <c r="J51" s="70">
        <f>+'[1]Rates in summary'!Q44</f>
        <v>7.6070000000000013E-2</v>
      </c>
      <c r="K51" s="39"/>
      <c r="L51" s="74"/>
    </row>
    <row r="52" spans="1:12" x14ac:dyDescent="0.25">
      <c r="A52" s="21">
        <f t="shared" si="0"/>
        <v>45</v>
      </c>
      <c r="B52" s="28"/>
      <c r="C52" s="37" t="s">
        <v>34</v>
      </c>
      <c r="D52" s="38">
        <f>+'[1]Washington volumes'!J45</f>
        <v>0</v>
      </c>
      <c r="E52" s="38">
        <v>600000</v>
      </c>
      <c r="F52" s="72"/>
      <c r="G52" s="126"/>
      <c r="H52" s="70">
        <f>+'[1]Rates in summary'!D45</f>
        <v>4.7180000000000007E-2</v>
      </c>
      <c r="I52" s="39"/>
      <c r="J52" s="70">
        <f>+'[1]Rates in summary'!Q45</f>
        <v>5.0710000000000005E-2</v>
      </c>
      <c r="K52" s="39"/>
      <c r="L52" s="74"/>
    </row>
    <row r="53" spans="1:12" x14ac:dyDescent="0.25">
      <c r="A53" s="21">
        <f t="shared" si="0"/>
        <v>46</v>
      </c>
      <c r="B53" s="28"/>
      <c r="C53" s="37" t="s">
        <v>35</v>
      </c>
      <c r="D53" s="38">
        <f>+'[1]Washington volumes'!J46</f>
        <v>0</v>
      </c>
      <c r="E53" s="71" t="s">
        <v>61</v>
      </c>
      <c r="F53" s="72"/>
      <c r="G53" s="126"/>
      <c r="H53" s="70">
        <f>+'[1]Rates in summary'!D46</f>
        <v>1.7679999999999998E-2</v>
      </c>
      <c r="I53" s="39"/>
      <c r="J53" s="70">
        <f>+'[1]Rates in summary'!Q46</f>
        <v>1.9009999999999999E-2</v>
      </c>
      <c r="K53" s="39"/>
      <c r="L53" s="74"/>
    </row>
    <row r="54" spans="1:12" x14ac:dyDescent="0.25">
      <c r="A54" s="21">
        <f t="shared" si="0"/>
        <v>47</v>
      </c>
      <c r="B54" s="36"/>
      <c r="C54" s="75" t="s">
        <v>62</v>
      </c>
      <c r="D54" s="76"/>
      <c r="E54" s="77"/>
      <c r="F54" s="78"/>
      <c r="G54" s="128"/>
      <c r="H54" s="79"/>
      <c r="I54" s="80">
        <f>$G48+ROUND(IF($F48&lt;$E48,($F48*H48),IF($F48&lt;SUM($E48:$E49),(($E48*H48)+(($F48-$E48)*H49)),IF($F48&lt;SUM($E48:$E50),(($E48*H48)+($E49*H49)+(($F48-$E48-$E49)*H50)),IF($F48&lt;SUM($E48:$E51),(($E48*H48)+($E49*H49)+($E50*H50)+(($F48-SUM($E48:$E50))*H51)),IF($F48&lt;SUM($E48:$E52),(($E48*H48)+($E49*H49)+($E50*H50)+($E51*H51)+(($F48-SUM($E48:$E51))*H52)),(($E48*H48)+($E49*H49)+($E50*H50)+($E51*H50)+($E52*H52)+(($F48-SUM($E48:$E52))*H53))))))),2)</f>
        <v>6825.03</v>
      </c>
      <c r="J54" s="79"/>
      <c r="K54" s="80">
        <f>$G48+ROUND(IF($F48&lt;$E48,($F48*J48),IF($F48&lt;SUM($E48:$E49),(($E48*J48)+(($F48-$E48)*J49)),IF($F48&lt;SUM($E48:$E50),(($E48*J48)+($E49*J49)+(($F48-$E48-$E49)*J50)),IF($F48&lt;SUM($E48:$E51),(($E48*J48)+($E49*J49)+($E50*J50)+(($F48-SUM($E48:$E50))*J51)),IF($F48&lt;SUM($E48:$E52),(($E48*J48)+($E49*J49)+($E50*J50)+($E51*J51)+(($F48-SUM($E48:$E51))*J52)),(($E48*J48)+($E49*J49)+($E50*J50)+($E51*J50)+($E52*J52)+(($F48-SUM($E48:$E52))*J53))))))),2)</f>
        <v>7221.15</v>
      </c>
      <c r="L54" s="83">
        <f>ROUND((K54-I54)/I54,3)</f>
        <v>5.8000000000000003E-2</v>
      </c>
    </row>
    <row r="55" spans="1:12" s="42" customFormat="1" x14ac:dyDescent="0.25">
      <c r="A55" s="21">
        <f t="shared" si="0"/>
        <v>48</v>
      </c>
      <c r="B55" s="131" t="s">
        <v>76</v>
      </c>
      <c r="C55" s="37" t="s">
        <v>25</v>
      </c>
      <c r="D55" s="41">
        <f>+'[1]Washington volumes'!J47</f>
        <v>901597</v>
      </c>
      <c r="E55" s="41">
        <v>10000</v>
      </c>
      <c r="F55" s="87">
        <f>+'[1]Washington volumes'!M47</f>
        <v>63120</v>
      </c>
      <c r="G55" s="126">
        <f>1300+250</f>
        <v>1550</v>
      </c>
      <c r="H55" s="73">
        <f>+'[1]Rates in summary'!D47</f>
        <v>0.13275000000000001</v>
      </c>
      <c r="I55" s="40"/>
      <c r="J55" s="73">
        <f>+'[1]Rates in summary'!Q47</f>
        <v>0.14000000000000001</v>
      </c>
      <c r="K55" s="40"/>
      <c r="L55" s="88"/>
    </row>
    <row r="56" spans="1:12" s="42" customFormat="1" x14ac:dyDescent="0.25">
      <c r="A56" s="21">
        <f t="shared" si="0"/>
        <v>49</v>
      </c>
      <c r="B56" s="131"/>
      <c r="C56" s="37" t="s">
        <v>26</v>
      </c>
      <c r="D56" s="41">
        <f>+'[1]Washington volumes'!J48</f>
        <v>1041722</v>
      </c>
      <c r="E56" s="41">
        <v>20000</v>
      </c>
      <c r="F56" s="87"/>
      <c r="G56" s="126"/>
      <c r="H56" s="73">
        <f>+'[1]Rates in summary'!D48</f>
        <v>0.11882999999999998</v>
      </c>
      <c r="I56" s="40"/>
      <c r="J56" s="73">
        <f>+'[1]Rates in summary'!Q48</f>
        <v>0.12530999999999998</v>
      </c>
      <c r="K56" s="40"/>
      <c r="L56" s="88"/>
    </row>
    <row r="57" spans="1:12" s="42" customFormat="1" x14ac:dyDescent="0.25">
      <c r="A57" s="21">
        <f t="shared" si="0"/>
        <v>50</v>
      </c>
      <c r="B57" s="131"/>
      <c r="C57" s="37" t="s">
        <v>32</v>
      </c>
      <c r="D57" s="41">
        <f>+'[1]Washington volumes'!J49</f>
        <v>957215</v>
      </c>
      <c r="E57" s="41">
        <v>20000</v>
      </c>
      <c r="F57" s="87"/>
      <c r="G57" s="126"/>
      <c r="H57" s="73">
        <f>+'[1]Rates in summary'!D49</f>
        <v>9.1120000000000007E-2</v>
      </c>
      <c r="I57" s="40"/>
      <c r="J57" s="73">
        <f>+'[1]Rates in summary'!Q49</f>
        <v>9.6100000000000005E-2</v>
      </c>
      <c r="K57" s="40"/>
      <c r="L57" s="88"/>
    </row>
    <row r="58" spans="1:12" s="42" customFormat="1" x14ac:dyDescent="0.25">
      <c r="A58" s="21">
        <f t="shared" si="0"/>
        <v>51</v>
      </c>
      <c r="B58" s="131"/>
      <c r="C58" s="37" t="s">
        <v>33</v>
      </c>
      <c r="D58" s="41">
        <f>+'[1]Washington volumes'!J50</f>
        <v>2490044</v>
      </c>
      <c r="E58" s="41">
        <v>100000</v>
      </c>
      <c r="F58" s="87"/>
      <c r="G58" s="126"/>
      <c r="H58" s="73">
        <f>+'[1]Rates in summary'!D50</f>
        <v>7.2910000000000016E-2</v>
      </c>
      <c r="I58" s="40"/>
      <c r="J58" s="73">
        <f>+'[1]Rates in summary'!Q50</f>
        <v>7.6880000000000018E-2</v>
      </c>
      <c r="K58" s="40"/>
      <c r="L58" s="88"/>
    </row>
    <row r="59" spans="1:12" s="42" customFormat="1" x14ac:dyDescent="0.25">
      <c r="A59" s="21">
        <f t="shared" si="0"/>
        <v>52</v>
      </c>
      <c r="B59" s="131"/>
      <c r="C59" s="37" t="s">
        <v>34</v>
      </c>
      <c r="D59" s="41">
        <f>+'[1]Washington volumes'!J51</f>
        <v>1426372</v>
      </c>
      <c r="E59" s="41">
        <v>600000</v>
      </c>
      <c r="F59" s="87"/>
      <c r="G59" s="126"/>
      <c r="H59" s="73">
        <f>+'[1]Rates in summary'!D51</f>
        <v>4.8600000000000004E-2</v>
      </c>
      <c r="I59" s="40"/>
      <c r="J59" s="73">
        <f>+'[1]Rates in summary'!Q51</f>
        <v>5.1250000000000004E-2</v>
      </c>
      <c r="K59" s="40"/>
      <c r="L59" s="88"/>
    </row>
    <row r="60" spans="1:12" s="42" customFormat="1" x14ac:dyDescent="0.25">
      <c r="A60" s="21">
        <f t="shared" si="0"/>
        <v>53</v>
      </c>
      <c r="B60" s="131"/>
      <c r="C60" s="37" t="s">
        <v>35</v>
      </c>
      <c r="D60" s="41">
        <f>+'[1]Washington volumes'!J52</f>
        <v>0</v>
      </c>
      <c r="E60" s="89" t="s">
        <v>61</v>
      </c>
      <c r="F60" s="87"/>
      <c r="G60" s="126"/>
      <c r="H60" s="73">
        <f>+'[1]Rates in summary'!D52</f>
        <v>1.823E-2</v>
      </c>
      <c r="I60" s="40"/>
      <c r="J60" s="73">
        <f>+'[1]Rates in summary'!Q52</f>
        <v>1.9220000000000001E-2</v>
      </c>
      <c r="K60" s="40"/>
      <c r="L60" s="88"/>
    </row>
    <row r="61" spans="1:12" s="42" customFormat="1" x14ac:dyDescent="0.25">
      <c r="A61" s="21">
        <f t="shared" si="0"/>
        <v>54</v>
      </c>
      <c r="B61" s="132"/>
      <c r="C61" s="75" t="s">
        <v>62</v>
      </c>
      <c r="D61" s="90"/>
      <c r="E61" s="91"/>
      <c r="F61" s="92"/>
      <c r="G61" s="128"/>
      <c r="H61" s="81"/>
      <c r="I61" s="84">
        <f>$G55+ROUND(IF($F55&lt;$E55,($F55*H55),IF($F55&lt;SUM($E55:$E56),(($E55*H55)+(($F55-$E55)*H56)),IF($F55&lt;SUM($E55:$E57),(($E55*H55)+($E56*H56)+(($F55-$E55-$E56)*H57)),IF($F55&lt;SUM($E55:$E58),(($E55*H55)+($E56*H56)+($E57*H57)+(($F55-SUM($E55:$E57))*H58)),IF($F55&lt;SUM($E55:$E59),(($E55*H55)+($E56*H56)+($E57*H57)+($E58*H58)+(($F55-SUM($E55:$E58))*H59)),(($E55*H55)+($E56*H56)+($E57*H57)+($E58*H57)+($E59*H59)+(($F55-SUM($E55:$E59))*H60))))))),2)</f>
        <v>8033.08</v>
      </c>
      <c r="J61" s="81"/>
      <c r="K61" s="84">
        <f>$G55+ROUND(IF($F55&lt;$E55,($F55*J55),IF($F55&lt;SUM($E55:$E56),(($E55*J55)+(($F55-$E55)*J56)),IF($F55&lt;SUM($E55:$E57),(($E55*J55)+($E56*J56)+(($F55-$E55-$E56)*J57)),IF($F55&lt;SUM($E55:$E58),(($E55*J55)+($E56*J56)+($E57*J57)+(($F55-SUM($E55:$E57))*J58)),IF($F55&lt;SUM($E55:$E59),(($E55*J55)+($E56*J56)+($E57*J57)+($E58*J58)+(($F55-SUM($E55:$E58))*J59)),(($E55*J55)+($E56*J56)+($E57*J57)+($E58*J57)+($E59*J59)+(($F55-SUM($E55:$E59))*J60))))))),2)</f>
        <v>8386.869999999999</v>
      </c>
      <c r="L61" s="82">
        <f>ROUND((K61-I61)/I61,3)</f>
        <v>4.3999999999999997E-2</v>
      </c>
    </row>
    <row r="62" spans="1:12" x14ac:dyDescent="0.25">
      <c r="A62" s="21">
        <f t="shared" si="0"/>
        <v>55</v>
      </c>
      <c r="B62" s="28" t="s">
        <v>37</v>
      </c>
      <c r="C62" s="37" t="s">
        <v>25</v>
      </c>
      <c r="D62" s="38">
        <f>+'[1]Washington volumes'!J53</f>
        <v>239999</v>
      </c>
      <c r="E62" s="38">
        <v>10000</v>
      </c>
      <c r="F62" s="72">
        <f>+'[1]Washington volumes'!M53</f>
        <v>39641</v>
      </c>
      <c r="G62" s="126">
        <v>1300</v>
      </c>
      <c r="H62" s="70">
        <f>+'[1]Rates in summary'!D53</f>
        <v>0.37347000000000002</v>
      </c>
      <c r="I62" s="39"/>
      <c r="J62" s="70">
        <f>+'[1]Rates in summary'!Q53</f>
        <v>0.42348999999999998</v>
      </c>
      <c r="K62" s="39"/>
      <c r="L62" s="85"/>
    </row>
    <row r="63" spans="1:12" x14ac:dyDescent="0.25">
      <c r="A63" s="21">
        <f t="shared" si="0"/>
        <v>56</v>
      </c>
      <c r="B63" s="28"/>
      <c r="C63" s="37" t="s">
        <v>26</v>
      </c>
      <c r="D63" s="38">
        <f>+'[1]Washington volumes'!J54</f>
        <v>454151</v>
      </c>
      <c r="E63" s="38">
        <v>20000</v>
      </c>
      <c r="F63" s="86"/>
      <c r="G63" s="129"/>
      <c r="H63" s="70">
        <f>+'[1]Rates in summary'!D54</f>
        <v>0.3582499999999999</v>
      </c>
      <c r="I63" s="39"/>
      <c r="J63" s="70">
        <f>+'[1]Rates in summary'!Q54</f>
        <v>0.40679999999999988</v>
      </c>
      <c r="K63" s="39"/>
      <c r="L63" s="85"/>
    </row>
    <row r="64" spans="1:12" x14ac:dyDescent="0.25">
      <c r="A64" s="21">
        <f t="shared" si="0"/>
        <v>57</v>
      </c>
      <c r="B64" s="28"/>
      <c r="C64" s="37" t="s">
        <v>32</v>
      </c>
      <c r="D64" s="38">
        <f>+'[1]Washington volumes'!J55</f>
        <v>230285</v>
      </c>
      <c r="E64" s="38">
        <v>20000</v>
      </c>
      <c r="F64" s="86"/>
      <c r="G64" s="129"/>
      <c r="H64" s="70">
        <f>+'[1]Rates in summary'!D55</f>
        <v>0.3279200000000001</v>
      </c>
      <c r="I64" s="39"/>
      <c r="J64" s="70">
        <f>+'[1]Rates in summary'!Q55</f>
        <v>0.37361000000000011</v>
      </c>
      <c r="K64" s="39"/>
      <c r="L64" s="85"/>
    </row>
    <row r="65" spans="1:12" x14ac:dyDescent="0.25">
      <c r="A65" s="21">
        <f t="shared" si="0"/>
        <v>58</v>
      </c>
      <c r="B65" s="28"/>
      <c r="C65" s="37" t="s">
        <v>33</v>
      </c>
      <c r="D65" s="38">
        <f>+'[1]Washington volumes'!J56</f>
        <v>26942</v>
      </c>
      <c r="E65" s="38">
        <v>100000</v>
      </c>
      <c r="F65" s="86"/>
      <c r="G65" s="129"/>
      <c r="H65" s="70">
        <f>+'[1]Rates in summary'!D56</f>
        <v>0.30798999999999999</v>
      </c>
      <c r="I65" s="39"/>
      <c r="J65" s="70">
        <f>+'[1]Rates in summary'!Q56</f>
        <v>0.3518</v>
      </c>
      <c r="K65" s="39"/>
      <c r="L65" s="85"/>
    </row>
    <row r="66" spans="1:12" x14ac:dyDescent="0.25">
      <c r="A66" s="21">
        <f t="shared" si="0"/>
        <v>59</v>
      </c>
      <c r="B66" s="28"/>
      <c r="C66" s="37" t="s">
        <v>34</v>
      </c>
      <c r="D66" s="38">
        <f>+'[1]Washington volumes'!J57</f>
        <v>0</v>
      </c>
      <c r="E66" s="38">
        <v>600000</v>
      </c>
      <c r="F66" s="86"/>
      <c r="G66" s="129"/>
      <c r="H66" s="70">
        <f>+'[1]Rates in summary'!D57</f>
        <v>0.28140999999999999</v>
      </c>
      <c r="I66" s="39"/>
      <c r="J66" s="70">
        <f>+'[1]Rates in summary'!Q57</f>
        <v>0.32268999999999998</v>
      </c>
      <c r="K66" s="39"/>
      <c r="L66" s="85"/>
    </row>
    <row r="67" spans="1:12" x14ac:dyDescent="0.25">
      <c r="A67" s="21">
        <f t="shared" si="0"/>
        <v>60</v>
      </c>
      <c r="B67" s="28"/>
      <c r="C67" s="37" t="s">
        <v>35</v>
      </c>
      <c r="D67" s="38">
        <f>+'[1]Washington volumes'!J58</f>
        <v>0</v>
      </c>
      <c r="E67" s="71" t="s">
        <v>61</v>
      </c>
      <c r="F67" s="86"/>
      <c r="G67" s="129"/>
      <c r="H67" s="70">
        <f>+'[1]Rates in summary'!D58</f>
        <v>0.24818999999999991</v>
      </c>
      <c r="I67" s="39"/>
      <c r="J67" s="70">
        <f>+'[1]Rates in summary'!Q58</f>
        <v>0.28631999999999996</v>
      </c>
      <c r="K67" s="39"/>
      <c r="L67" s="85"/>
    </row>
    <row r="68" spans="1:12" x14ac:dyDescent="0.25">
      <c r="A68" s="21">
        <f t="shared" si="0"/>
        <v>61</v>
      </c>
      <c r="B68" s="36"/>
      <c r="C68" s="75" t="s">
        <v>62</v>
      </c>
      <c r="D68" s="76"/>
      <c r="E68" s="77"/>
      <c r="F68" s="78"/>
      <c r="G68" s="128"/>
      <c r="H68" s="79"/>
      <c r="I68" s="80">
        <f>$G62+ROUND(IF($F62&lt;$E62,($F62*H62),IF($F62&lt;SUM($E62:$E63),(($E62*H62)+(($F62-$E62)*H63)),IF($F62&lt;SUM($E62:$E64),(($E62*H62)+($E63*H63)+(($F62-$E62-$E63)*H64)),IF($F62&lt;SUM($E62:$E65),(($E62*H62)+($E63*H63)+($E64*H64)+(($F62-SUM($E62:$E64))*H65)),IF($F62&lt;SUM($E62:$E66),(($E62*H62)+($E63*H63)+($E64*H64)+($E65*H65)+(($F62-SUM($E62:$E65))*H66)),(($E62*H62)+($E63*H63)+($E64*H64)+($E65*H64)+($E66*H66)+(($F62-SUM($E62:$E66))*H67))))))),2)</f>
        <v>15361.18</v>
      </c>
      <c r="J68" s="79"/>
      <c r="K68" s="80">
        <f>$G62+ROUND(IF($F62&lt;$E62,($F62*J62),IF($F62&lt;SUM($E62:$E63),(($E62*J62)+(($F62-$E62)*J63)),IF($F62&lt;SUM($E62:$E64),(($E62*J62)+($E63*J63)+(($F62-$E62-$E63)*J64)),IF($F62&lt;SUM($E62:$E65),(($E62*J62)+($E63*J63)+($E64*J64)+(($F62-SUM($E62:$E64))*J65)),IF($F62&lt;SUM($E62:$E66),(($E62*J62)+($E63*J63)+($E64*J64)+($E65*J65)+(($F62-SUM($E62:$E65))*J66)),(($E62*J62)+($E63*J63)+($E64*J64)+($E65*J64)+($E66*J66)+(($F62-SUM($E62:$E66))*J67))))))),2)</f>
        <v>17272.870000000003</v>
      </c>
      <c r="L68" s="83">
        <f>ROUND((K68-I68)/I68,3)</f>
        <v>0.124</v>
      </c>
    </row>
    <row r="69" spans="1:12" x14ac:dyDescent="0.25">
      <c r="A69" s="21">
        <f t="shared" si="0"/>
        <v>62</v>
      </c>
      <c r="B69" s="28" t="s">
        <v>38</v>
      </c>
      <c r="C69" s="37" t="s">
        <v>25</v>
      </c>
      <c r="D69" s="38">
        <f>+'[1]Washington volumes'!J59</f>
        <v>160966</v>
      </c>
      <c r="E69" s="38">
        <v>10000</v>
      </c>
      <c r="F69" s="72">
        <f>+'[1]Washington volumes'!M59</f>
        <v>8520</v>
      </c>
      <c r="G69" s="126">
        <v>1300</v>
      </c>
      <c r="H69" s="70">
        <f>+'[1]Rates in summary'!D59</f>
        <v>0.36416999999999994</v>
      </c>
      <c r="I69" s="39"/>
      <c r="J69" s="70">
        <f>+'[1]Rates in summary'!Q59</f>
        <v>0.4161399999999999</v>
      </c>
      <c r="K69" s="39"/>
      <c r="L69" s="74"/>
    </row>
    <row r="70" spans="1:12" x14ac:dyDescent="0.25">
      <c r="A70" s="21">
        <f t="shared" si="0"/>
        <v>63</v>
      </c>
      <c r="B70" s="28"/>
      <c r="C70" s="37" t="s">
        <v>26</v>
      </c>
      <c r="D70" s="38">
        <f>+'[1]Washington volumes'!J60</f>
        <v>145741</v>
      </c>
      <c r="E70" s="38">
        <v>20000</v>
      </c>
      <c r="F70" s="72"/>
      <c r="G70" s="126"/>
      <c r="H70" s="70">
        <f>+'[1]Rates in summary'!D60</f>
        <v>0.34992999999999991</v>
      </c>
      <c r="I70" s="39"/>
      <c r="J70" s="70">
        <f>+'[1]Rates in summary'!Q60</f>
        <v>0.40022999999999986</v>
      </c>
      <c r="K70" s="39"/>
      <c r="L70" s="74"/>
    </row>
    <row r="71" spans="1:12" x14ac:dyDescent="0.25">
      <c r="A71" s="21">
        <f t="shared" si="0"/>
        <v>64</v>
      </c>
      <c r="B71" s="28"/>
      <c r="C71" s="37" t="s">
        <v>32</v>
      </c>
      <c r="D71" s="38">
        <f>+'[1]Washington volumes'!J61</f>
        <v>0</v>
      </c>
      <c r="E71" s="38">
        <v>20000</v>
      </c>
      <c r="F71" s="72"/>
      <c r="G71" s="126"/>
      <c r="H71" s="70">
        <f>+'[1]Rates in summary'!D61</f>
        <v>0.32155000000000006</v>
      </c>
      <c r="I71" s="39"/>
      <c r="J71" s="70">
        <f>+'[1]Rates in summary'!Q61</f>
        <v>0.36858000000000002</v>
      </c>
      <c r="K71" s="39"/>
      <c r="L71" s="74"/>
    </row>
    <row r="72" spans="1:12" x14ac:dyDescent="0.25">
      <c r="A72" s="21">
        <f t="shared" ref="A72:A94" si="4">+A71+1</f>
        <v>65</v>
      </c>
      <c r="B72" s="28"/>
      <c r="C72" s="37" t="s">
        <v>33</v>
      </c>
      <c r="D72" s="38">
        <f>+'[1]Washington volumes'!J62</f>
        <v>0</v>
      </c>
      <c r="E72" s="38">
        <v>100000</v>
      </c>
      <c r="F72" s="72"/>
      <c r="G72" s="126"/>
      <c r="H72" s="70">
        <f>+'[1]Rates in summary'!D62</f>
        <v>0.30288999999999983</v>
      </c>
      <c r="I72" s="39"/>
      <c r="J72" s="70">
        <f>+'[1]Rates in summary'!Q62</f>
        <v>0.3477699999999998</v>
      </c>
      <c r="K72" s="39"/>
      <c r="L72" s="74"/>
    </row>
    <row r="73" spans="1:12" x14ac:dyDescent="0.25">
      <c r="A73" s="21">
        <f t="shared" si="4"/>
        <v>66</v>
      </c>
      <c r="B73" s="28"/>
      <c r="C73" s="37" t="s">
        <v>34</v>
      </c>
      <c r="D73" s="38">
        <f>+'[1]Washington volumes'!J63</f>
        <v>0</v>
      </c>
      <c r="E73" s="38">
        <v>600000</v>
      </c>
      <c r="F73" s="72"/>
      <c r="G73" s="126"/>
      <c r="H73" s="70">
        <f>+'[1]Rates in summary'!D63</f>
        <v>0.27800000000000002</v>
      </c>
      <c r="I73" s="39"/>
      <c r="J73" s="70">
        <f>+'[1]Rates in summary'!Q63</f>
        <v>0.32002000000000008</v>
      </c>
      <c r="K73" s="39"/>
      <c r="L73" s="74"/>
    </row>
    <row r="74" spans="1:12" x14ac:dyDescent="0.25">
      <c r="A74" s="21">
        <f t="shared" si="4"/>
        <v>67</v>
      </c>
      <c r="B74" s="28"/>
      <c r="C74" s="37" t="s">
        <v>35</v>
      </c>
      <c r="D74" s="38">
        <f>+'[1]Washington volumes'!J64</f>
        <v>0</v>
      </c>
      <c r="E74" s="71" t="s">
        <v>61</v>
      </c>
      <c r="F74" s="72"/>
      <c r="G74" s="126"/>
      <c r="H74" s="70">
        <f>+'[1]Rates in summary'!D64</f>
        <v>0.24689999999999993</v>
      </c>
      <c r="I74" s="39"/>
      <c r="J74" s="70">
        <f>+'[1]Rates in summary'!Q64</f>
        <v>0.28529999999999994</v>
      </c>
      <c r="K74" s="39"/>
      <c r="L74" s="74"/>
    </row>
    <row r="75" spans="1:12" x14ac:dyDescent="0.25">
      <c r="A75" s="21">
        <f t="shared" si="4"/>
        <v>68</v>
      </c>
      <c r="B75" s="36"/>
      <c r="C75" s="75" t="s">
        <v>62</v>
      </c>
      <c r="D75" s="76"/>
      <c r="E75" s="77"/>
      <c r="F75" s="78"/>
      <c r="G75" s="128"/>
      <c r="H75" s="79"/>
      <c r="I75" s="80">
        <f>$G69+ROUND(IF($F69&lt;$E69,($F69*H69),IF($F69&lt;SUM($E69:$E70),(($E69*H69)+(($F69-$E69)*H70)),IF($F69&lt;SUM($E69:$E71),(($E69*H69)+($E70*H70)+(($F69-$E69-$E70)*H71)),IF($F69&lt;SUM($E69:$E72),(($E69*H69)+($E70*H70)+($E71*H71)+(($F69-SUM($E69:$E71))*H72)),IF($F69&lt;SUM($E69:$E73),(($E69*H69)+($E70*H70)+($E71*H71)+($E72*H72)+(($F69-SUM($E69:$E72))*H73)),(($E69*H69)+($E70*H70)+($E71*H71)+($E72*H71)+($E73*H73)+(($F69-SUM($E69:$E73))*H74))))))),2)</f>
        <v>4402.7299999999996</v>
      </c>
      <c r="J75" s="79"/>
      <c r="K75" s="80">
        <f>$G69+ROUND(IF($F69&lt;$E69,($F69*J69),IF($F69&lt;SUM($E69:$E70),(($E69*J69)+(($F69-$E69)*J70)),IF($F69&lt;SUM($E69:$E71),(($E69*J69)+($E70*J70)+(($F69-$E69-$E70)*J71)),IF($F69&lt;SUM($E69:$E72),(($E69*J69)+($E70*J70)+($E71*J71)+(($F69-SUM($E69:$E71))*J72)),IF($F69&lt;SUM($E69:$E73),(($E69*J69)+($E70*J70)+($E71*J71)+($E72*J72)+(($F69-SUM($E69:$E72))*J73)),(($E69*J69)+($E70*J70)+($E71*J71)+($E72*J71)+($E73*J73)+(($F69-SUM($E69:$E73))*J74))))))),2)</f>
        <v>4845.51</v>
      </c>
      <c r="L75" s="83">
        <f>ROUND((K75-I75)/I75,3)</f>
        <v>0.10100000000000001</v>
      </c>
    </row>
    <row r="76" spans="1:12" x14ac:dyDescent="0.25">
      <c r="A76" s="21">
        <f t="shared" si="4"/>
        <v>69</v>
      </c>
      <c r="B76" s="28" t="s">
        <v>39</v>
      </c>
      <c r="C76" s="37" t="s">
        <v>25</v>
      </c>
      <c r="D76" s="93">
        <f>+'[1]Washington volumes'!J65</f>
        <v>861932</v>
      </c>
      <c r="E76" s="38">
        <v>10000</v>
      </c>
      <c r="F76" s="94">
        <f>+'[1]Washington volumes'!M65</f>
        <v>63670</v>
      </c>
      <c r="G76" s="126">
        <f>1300+250</f>
        <v>1550</v>
      </c>
      <c r="H76" s="95">
        <f>+'[1]Rates in summary'!D65</f>
        <v>0.12573999999999999</v>
      </c>
      <c r="I76" s="39"/>
      <c r="J76" s="70">
        <f>+'[1]Rates in summary'!Q65</f>
        <v>0.1346</v>
      </c>
      <c r="K76" s="39"/>
      <c r="L76" s="96"/>
    </row>
    <row r="77" spans="1:12" x14ac:dyDescent="0.25">
      <c r="A77" s="21">
        <f t="shared" si="4"/>
        <v>70</v>
      </c>
      <c r="B77" s="28"/>
      <c r="C77" s="37" t="s">
        <v>26</v>
      </c>
      <c r="D77" s="97">
        <f>+'[1]Washington volumes'!J66</f>
        <v>1453508</v>
      </c>
      <c r="E77" s="38">
        <v>20000</v>
      </c>
      <c r="F77" s="98"/>
      <c r="G77" s="133"/>
      <c r="H77" s="99">
        <f>+'[1]Rates in summary'!D66</f>
        <v>0.11255999999999999</v>
      </c>
      <c r="I77" s="39"/>
      <c r="J77" s="70">
        <f>+'[1]Rates in summary'!Q66</f>
        <v>0.12048999999999999</v>
      </c>
      <c r="K77" s="39"/>
      <c r="L77" s="100"/>
    </row>
    <row r="78" spans="1:12" x14ac:dyDescent="0.25">
      <c r="A78" s="21">
        <f t="shared" si="4"/>
        <v>71</v>
      </c>
      <c r="B78" s="28"/>
      <c r="C78" s="37" t="s">
        <v>32</v>
      </c>
      <c r="D78" s="97">
        <f>+'[1]Washington volumes'!J67</f>
        <v>976710</v>
      </c>
      <c r="E78" s="38">
        <v>20000</v>
      </c>
      <c r="F78" s="98"/>
      <c r="G78" s="133"/>
      <c r="H78" s="99">
        <f>+'[1]Rates in summary'!D67</f>
        <v>8.6309999999999998E-2</v>
      </c>
      <c r="I78" s="39"/>
      <c r="J78" s="70">
        <f>+'[1]Rates in summary'!Q67</f>
        <v>9.2380000000000004E-2</v>
      </c>
      <c r="K78" s="39"/>
      <c r="L78" s="100"/>
    </row>
    <row r="79" spans="1:12" x14ac:dyDescent="0.25">
      <c r="A79" s="21">
        <f t="shared" si="4"/>
        <v>72</v>
      </c>
      <c r="B79" s="28"/>
      <c r="C79" s="37" t="s">
        <v>33</v>
      </c>
      <c r="D79" s="97">
        <f>+'[1]Washington volumes'!J68</f>
        <v>3078834</v>
      </c>
      <c r="E79" s="38">
        <v>100000</v>
      </c>
      <c r="F79" s="98"/>
      <c r="G79" s="133"/>
      <c r="H79" s="99">
        <f>+'[1]Rates in summary'!D68</f>
        <v>6.9059999999999996E-2</v>
      </c>
      <c r="I79" s="39"/>
      <c r="J79" s="70">
        <f>+'[1]Rates in summary'!Q68</f>
        <v>7.392E-2</v>
      </c>
      <c r="K79" s="39"/>
      <c r="L79" s="100"/>
    </row>
    <row r="80" spans="1:12" x14ac:dyDescent="0.25">
      <c r="A80" s="21">
        <f t="shared" si="4"/>
        <v>73</v>
      </c>
      <c r="B80" s="28"/>
      <c r="C80" s="37" t="s">
        <v>34</v>
      </c>
      <c r="D80" s="97">
        <f>+'[1]Washington volumes'!J69</f>
        <v>1269411</v>
      </c>
      <c r="E80" s="38">
        <v>600000</v>
      </c>
      <c r="F80" s="98"/>
      <c r="G80" s="133"/>
      <c r="H80" s="99">
        <f>+'[1]Rates in summary'!D69</f>
        <v>4.6050000000000001E-2</v>
      </c>
      <c r="I80" s="39"/>
      <c r="J80" s="70">
        <f>+'[1]Rates in summary'!Q69</f>
        <v>4.929E-2</v>
      </c>
      <c r="K80" s="39"/>
      <c r="L80" s="100"/>
    </row>
    <row r="81" spans="1:12" x14ac:dyDescent="0.25">
      <c r="A81" s="21">
        <f t="shared" si="4"/>
        <v>74</v>
      </c>
      <c r="B81" s="28"/>
      <c r="C81" s="37" t="s">
        <v>35</v>
      </c>
      <c r="D81" s="97">
        <f>+'[1]Washington volumes'!J70</f>
        <v>0</v>
      </c>
      <c r="E81" s="71" t="s">
        <v>61</v>
      </c>
      <c r="F81" s="98"/>
      <c r="G81" s="133"/>
      <c r="H81" s="99">
        <f>+'[1]Rates in summary'!D70</f>
        <v>1.7250000000000001E-2</v>
      </c>
      <c r="I81" s="39"/>
      <c r="J81" s="70">
        <f>+'[1]Rates in summary'!Q70</f>
        <v>1.8460000000000001E-2</v>
      </c>
      <c r="K81" s="39"/>
      <c r="L81" s="100"/>
    </row>
    <row r="82" spans="1:12" x14ac:dyDescent="0.25">
      <c r="A82" s="21">
        <f t="shared" si="4"/>
        <v>75</v>
      </c>
      <c r="B82" s="36"/>
      <c r="C82" s="75" t="s">
        <v>62</v>
      </c>
      <c r="D82" s="76"/>
      <c r="E82" s="77"/>
      <c r="F82" s="78"/>
      <c r="G82" s="128"/>
      <c r="H82" s="79"/>
      <c r="I82" s="80">
        <f>$G76+ROUND(IF($F76&lt;$E76,($F76*H76),IF($F76&lt;SUM($E76:$E77),(($E76*H76)+(($F76-$E76)*H77)),IF($F76&lt;SUM($E76:$E78),(($E76*H76)+($E77*H77)+(($F76-$E76-$E77)*H78)),IF($F76&lt;SUM($E76:$E79),(($E76*H76)+($E77*H77)+($E78*H78)+(($F76-SUM($E76:$E78))*H79)),IF($F76&lt;SUM($E76:$E80),(($E76*H76)+($E77*H77)+($E78*H78)+($E79*H79)+(($F76-SUM($E76:$E79))*H80)),(($E76*H76)+($E77*H77)+($E78*H78)+($E79*H78)+($E80*H80)+(($F76-SUM($E76:$E80))*H81))))))),2)</f>
        <v>7728.85</v>
      </c>
      <c r="J82" s="70"/>
      <c r="K82" s="80">
        <f>$G76+ROUND(IF($F76&lt;$E76,($F76*J76),IF($F76&lt;SUM($E76:$E77),(($E76*J76)+(($F76-$E76)*J77)),IF($F76&lt;SUM($E76:$E78),(($E76*J76)+($E77*J77)+(($F76-$E76-$E77)*J78)),IF($F76&lt;SUM($E76:$E79),(($E76*J76)+($E77*J77)+($E78*J78)+(($F76-SUM($E76:$E78))*J79)),IF($F76&lt;SUM($E76:$E80),(($E76*J76)+($E77*J77)+($E78*J78)+($E79*J79)+(($F76-SUM($E76:$E79))*J80)),(($E76*J76)+($E77*J77)+($E78*J78)+($E79*J78)+($E80*J80)+(($F76-SUM($E76:$E80))*J81))))))),2)</f>
        <v>8163.89</v>
      </c>
      <c r="L82" s="83">
        <f>ROUND((K82-I82)/I82,3)</f>
        <v>5.6000000000000001E-2</v>
      </c>
    </row>
    <row r="83" spans="1:12" x14ac:dyDescent="0.25">
      <c r="A83" s="21">
        <f t="shared" si="4"/>
        <v>76</v>
      </c>
      <c r="B83" s="36" t="s">
        <v>40</v>
      </c>
      <c r="C83" s="36"/>
      <c r="D83" s="101">
        <f>+'[1]Washington volumes'!J71</f>
        <v>0</v>
      </c>
      <c r="E83" s="102" t="s">
        <v>60</v>
      </c>
      <c r="F83" s="103">
        <f>+'[1]Washington volumes'!M71</f>
        <v>0</v>
      </c>
      <c r="G83" s="134">
        <v>38000</v>
      </c>
      <c r="H83" s="104">
        <f>+'[1]Rates in summary'!D71</f>
        <v>4.5599999999999998E-3</v>
      </c>
      <c r="I83" s="35">
        <f>ROUND(+$G83+(H83*$F83),2)</f>
        <v>38000</v>
      </c>
      <c r="J83" s="104">
        <f>+'[1]Rates in summary'!Q71</f>
        <v>4.9199999999999999E-3</v>
      </c>
      <c r="K83" s="35">
        <f>ROUND(+$G83+(J83*$F83),2)</f>
        <v>38000</v>
      </c>
      <c r="L83" s="105" t="s">
        <v>60</v>
      </c>
    </row>
    <row r="84" spans="1:12" x14ac:dyDescent="0.25">
      <c r="A84" s="21">
        <f t="shared" si="4"/>
        <v>77</v>
      </c>
      <c r="B84" s="32" t="s">
        <v>41</v>
      </c>
      <c r="C84" s="32"/>
      <c r="D84" s="106">
        <f>+'[1]Washington volumes'!J72</f>
        <v>0</v>
      </c>
      <c r="E84" s="102" t="s">
        <v>60</v>
      </c>
      <c r="F84" s="107">
        <f>+'[1]Washington volumes'!M72</f>
        <v>0</v>
      </c>
      <c r="G84" s="134">
        <v>38000</v>
      </c>
      <c r="H84" s="108">
        <f>+'[1]Rates in summary'!D72</f>
        <v>4.5599999999999998E-3</v>
      </c>
      <c r="I84" s="35">
        <f>ROUND(+$G84+(H84*$F84),2)</f>
        <v>38000</v>
      </c>
      <c r="J84" s="104">
        <f>+'[1]Rates in summary'!Q72</f>
        <v>4.9199999999999999E-3</v>
      </c>
      <c r="K84" s="35">
        <f>ROUND(+$G84+(J84*$F84),2)</f>
        <v>38000</v>
      </c>
      <c r="L84" s="105" t="s">
        <v>60</v>
      </c>
    </row>
    <row r="85" spans="1:12" ht="15.75" thickBot="1" x14ac:dyDescent="0.3">
      <c r="A85" s="21">
        <f t="shared" si="4"/>
        <v>78</v>
      </c>
      <c r="B85" s="32" t="s">
        <v>42</v>
      </c>
      <c r="C85" s="32"/>
      <c r="D85" s="109"/>
      <c r="E85" s="102"/>
      <c r="F85" s="110"/>
      <c r="G85" s="136"/>
      <c r="H85" s="111"/>
      <c r="I85" s="69"/>
      <c r="J85" s="111"/>
      <c r="K85" s="69"/>
      <c r="L85" s="112"/>
    </row>
    <row r="86" spans="1:12" x14ac:dyDescent="0.25">
      <c r="A86" s="21">
        <f t="shared" si="4"/>
        <v>79</v>
      </c>
      <c r="B86" s="217" t="s">
        <v>63</v>
      </c>
      <c r="C86" s="218"/>
      <c r="D86" s="218"/>
      <c r="E86" s="218"/>
      <c r="F86" s="218"/>
      <c r="G86" s="218"/>
      <c r="H86" s="218"/>
      <c r="I86" s="218"/>
    </row>
    <row r="87" spans="1:12" x14ac:dyDescent="0.25">
      <c r="A87" s="21">
        <f t="shared" si="4"/>
        <v>80</v>
      </c>
      <c r="B87" s="218"/>
      <c r="C87" s="218"/>
      <c r="D87" s="218"/>
      <c r="E87" s="218"/>
      <c r="F87" s="218"/>
      <c r="G87" s="218"/>
      <c r="H87" s="218"/>
      <c r="I87" s="218"/>
    </row>
    <row r="88" spans="1:12" x14ac:dyDescent="0.25">
      <c r="A88" s="21">
        <f t="shared" si="4"/>
        <v>81</v>
      </c>
      <c r="B88" s="219" t="s">
        <v>64</v>
      </c>
      <c r="C88" s="218"/>
      <c r="D88" s="218"/>
      <c r="E88" s="218"/>
      <c r="F88" s="218"/>
      <c r="G88" s="218"/>
      <c r="H88" s="218"/>
      <c r="I88" s="218"/>
      <c r="K88" s="51"/>
      <c r="L88" s="113"/>
    </row>
    <row r="89" spans="1:12" x14ac:dyDescent="0.25">
      <c r="A89" s="21">
        <f t="shared" si="4"/>
        <v>82</v>
      </c>
      <c r="B89" s="218"/>
      <c r="C89" s="218"/>
      <c r="D89" s="218"/>
      <c r="E89" s="218"/>
      <c r="F89" s="218"/>
      <c r="G89" s="218"/>
      <c r="H89" s="218"/>
      <c r="I89" s="218"/>
    </row>
    <row r="90" spans="1:12" ht="19.5" customHeight="1" x14ac:dyDescent="0.25">
      <c r="A90" s="21">
        <f t="shared" si="4"/>
        <v>83</v>
      </c>
      <c r="B90" s="218"/>
      <c r="C90" s="218"/>
      <c r="D90" s="218"/>
      <c r="E90" s="218"/>
      <c r="F90" s="218"/>
      <c r="G90" s="218"/>
      <c r="H90" s="218"/>
      <c r="I90" s="218"/>
    </row>
    <row r="91" spans="1:12" ht="15.75" thickBot="1" x14ac:dyDescent="0.3">
      <c r="A91" s="21">
        <f t="shared" si="4"/>
        <v>84</v>
      </c>
      <c r="B91" s="43" t="s">
        <v>66</v>
      </c>
    </row>
    <row r="92" spans="1:12" ht="15.75" thickBot="1" x14ac:dyDescent="0.3">
      <c r="A92" s="21">
        <f t="shared" si="4"/>
        <v>85</v>
      </c>
      <c r="B92" s="114" t="s">
        <v>67</v>
      </c>
      <c r="C92" s="24"/>
      <c r="D92" s="138"/>
      <c r="E92" s="45" t="s">
        <v>68</v>
      </c>
      <c r="F92" s="138"/>
      <c r="G92" s="45" t="s">
        <v>68</v>
      </c>
      <c r="H92" s="138"/>
      <c r="I92" s="138"/>
      <c r="J92" s="138"/>
      <c r="K92" s="138"/>
      <c r="L92" s="138"/>
    </row>
    <row r="93" spans="1:12" ht="15.75" thickBot="1" x14ac:dyDescent="0.3">
      <c r="A93" s="21">
        <f t="shared" si="4"/>
        <v>86</v>
      </c>
    </row>
    <row r="94" spans="1:12" ht="15.75" thickBot="1" x14ac:dyDescent="0.3">
      <c r="A94" s="21">
        <f t="shared" si="4"/>
        <v>87</v>
      </c>
      <c r="B94" s="114" t="s">
        <v>65</v>
      </c>
      <c r="C94" s="24"/>
      <c r="D94" s="44"/>
      <c r="E94" s="115"/>
      <c r="F94" s="115"/>
      <c r="G94" s="44"/>
      <c r="H94" s="45" t="s">
        <v>7</v>
      </c>
      <c r="I94" s="44"/>
      <c r="J94" s="44"/>
      <c r="K94" s="44"/>
      <c r="L94" s="44"/>
    </row>
    <row r="95" spans="1:12" x14ac:dyDescent="0.25">
      <c r="A95" s="21"/>
    </row>
    <row r="96" spans="1:12" x14ac:dyDescent="0.25">
      <c r="A96" s="21"/>
    </row>
  </sheetData>
  <mergeCells count="2">
    <mergeCell ref="B86:I87"/>
    <mergeCell ref="B88:I90"/>
  </mergeCells>
  <pageMargins left="0.7" right="0.7" top="0.75" bottom="0.75" header="0.3" footer="0.3"/>
  <pageSetup scale="50" fitToWidth="0" orientation="portrait" horizontalDpi="300" verticalDpi="300" r:id="rId1"/>
  <headerFooter>
    <oddHeader>&amp;RNWN WUTC Advice 20-10
Exhibit A - Supporting Materials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001EC-9E1A-48E5-A7A1-9C5E72A5FA24}">
  <dimension ref="A1:X81"/>
  <sheetViews>
    <sheetView topLeftCell="A15" zoomScaleNormal="100" workbookViewId="0">
      <selection activeCell="O15" sqref="O15"/>
    </sheetView>
  </sheetViews>
  <sheetFormatPr defaultColWidth="8" defaultRowHeight="15" outlineLevelCol="1" x14ac:dyDescent="0.25"/>
  <cols>
    <col min="1" max="1" width="5.85546875" style="18" customWidth="1"/>
    <col min="2" max="2" width="15.28515625" style="1" customWidth="1"/>
    <col min="3" max="3" width="8" style="1"/>
    <col min="4" max="4" width="11" style="1" customWidth="1"/>
    <col min="5" max="5" width="13.5703125" style="20" customWidth="1"/>
    <col min="6" max="6" width="14.85546875" style="1" customWidth="1"/>
    <col min="7" max="7" width="12.7109375" style="1" customWidth="1"/>
    <col min="8" max="8" width="14.140625" style="1" customWidth="1"/>
    <col min="9" max="15" width="12.7109375" style="1" hidden="1" customWidth="1" outlineLevel="1"/>
    <col min="16" max="16" width="12.7109375" style="20" hidden="1" customWidth="1" outlineLevel="1"/>
    <col min="17" max="17" width="12.7109375" style="1" customWidth="1" collapsed="1"/>
    <col min="18" max="18" width="13" style="42" customWidth="1"/>
    <col min="19" max="19" width="8" style="18"/>
    <col min="20" max="20" width="10.140625" style="18" bestFit="1" customWidth="1"/>
    <col min="21" max="23" width="9.7109375" style="18" bestFit="1" customWidth="1"/>
    <col min="24" max="24" width="9" style="18" bestFit="1" customWidth="1"/>
    <col min="25" max="16384" width="8" style="18"/>
  </cols>
  <sheetData>
    <row r="1" spans="1:24" x14ac:dyDescent="0.25">
      <c r="A1" s="17" t="str">
        <f>+'[1]Washington volumes'!A1</f>
        <v>NW Natural</v>
      </c>
    </row>
    <row r="2" spans="1:24" x14ac:dyDescent="0.25">
      <c r="A2" s="17" t="str">
        <f>+'[1]Washington volumes'!A2</f>
        <v>Rates &amp; Regulatory Affairs</v>
      </c>
    </row>
    <row r="3" spans="1:24" x14ac:dyDescent="0.25">
      <c r="A3" s="17" t="str">
        <f>+'[1]Washington volumes'!A3</f>
        <v>2020-2021 PGA Filing - Washington: September Filing</v>
      </c>
      <c r="H3" s="141"/>
      <c r="I3" s="141"/>
      <c r="J3" s="141"/>
      <c r="K3" s="141"/>
      <c r="L3" s="141"/>
      <c r="M3" s="141"/>
      <c r="N3" s="141"/>
      <c r="O3" s="141"/>
      <c r="P3" s="142"/>
    </row>
    <row r="4" spans="1:24" x14ac:dyDescent="0.25">
      <c r="A4" s="17" t="s">
        <v>98</v>
      </c>
    </row>
    <row r="7" spans="1:24" x14ac:dyDescent="0.25">
      <c r="A7" s="21">
        <v>1</v>
      </c>
      <c r="F7" s="22"/>
      <c r="G7" s="22"/>
      <c r="H7" s="21"/>
      <c r="I7" s="21"/>
      <c r="J7" s="21"/>
      <c r="K7" s="21"/>
      <c r="L7" s="21"/>
      <c r="M7" s="21"/>
      <c r="N7" s="21"/>
      <c r="O7" s="21"/>
      <c r="P7" s="28"/>
      <c r="Q7" s="23" t="s">
        <v>48</v>
      </c>
    </row>
    <row r="8" spans="1:24" x14ac:dyDescent="0.25">
      <c r="A8" s="21">
        <f t="shared" ref="A8:A71" si="0">+A7+1</f>
        <v>2</v>
      </c>
      <c r="D8" s="57">
        <f>+'[1]Avg Bill by RS'!H8</f>
        <v>43770</v>
      </c>
      <c r="E8" s="119"/>
      <c r="F8" s="22"/>
      <c r="G8" s="22" t="s">
        <v>48</v>
      </c>
      <c r="H8" s="22" t="s">
        <v>99</v>
      </c>
      <c r="I8" s="143"/>
      <c r="J8" s="143"/>
      <c r="K8" s="143"/>
      <c r="L8" s="143"/>
      <c r="M8" s="143"/>
      <c r="N8" s="143"/>
      <c r="O8" s="143"/>
      <c r="P8" s="144" t="s">
        <v>100</v>
      </c>
      <c r="Q8" s="145">
        <f>+EFFDATE</f>
        <v>44136</v>
      </c>
      <c r="R8" s="123" t="s">
        <v>101</v>
      </c>
    </row>
    <row r="9" spans="1:24" x14ac:dyDescent="0.25">
      <c r="A9" s="21">
        <f t="shared" si="0"/>
        <v>3</v>
      </c>
      <c r="D9" s="22" t="s">
        <v>2</v>
      </c>
      <c r="E9" s="119" t="s">
        <v>99</v>
      </c>
      <c r="F9" s="22" t="s">
        <v>99</v>
      </c>
      <c r="G9" s="22" t="s">
        <v>55</v>
      </c>
      <c r="H9" s="22" t="s">
        <v>3</v>
      </c>
      <c r="I9" s="146" t="s">
        <v>141</v>
      </c>
      <c r="J9" s="146" t="s">
        <v>141</v>
      </c>
      <c r="K9" s="146" t="s">
        <v>141</v>
      </c>
      <c r="L9" s="146" t="s">
        <v>141</v>
      </c>
      <c r="M9" s="146" t="s">
        <v>141</v>
      </c>
      <c r="N9" s="146" t="s">
        <v>141</v>
      </c>
      <c r="O9" s="146" t="s">
        <v>141</v>
      </c>
      <c r="P9" s="144" t="s">
        <v>102</v>
      </c>
      <c r="Q9" s="23" t="s">
        <v>2</v>
      </c>
      <c r="R9" s="123" t="s">
        <v>103</v>
      </c>
    </row>
    <row r="10" spans="1:24" s="27" customFormat="1" ht="15.75" thickBot="1" x14ac:dyDescent="0.3">
      <c r="A10" s="21">
        <f t="shared" si="0"/>
        <v>4</v>
      </c>
      <c r="B10" s="1"/>
      <c r="C10" s="1"/>
      <c r="D10" s="25" t="s">
        <v>55</v>
      </c>
      <c r="E10" s="121" t="s">
        <v>104</v>
      </c>
      <c r="F10" s="25" t="s">
        <v>105</v>
      </c>
      <c r="G10" s="25" t="s">
        <v>106</v>
      </c>
      <c r="H10" s="25" t="s">
        <v>107</v>
      </c>
      <c r="I10" s="147" t="s">
        <v>142</v>
      </c>
      <c r="J10" s="147" t="s">
        <v>142</v>
      </c>
      <c r="K10" s="147" t="s">
        <v>142</v>
      </c>
      <c r="L10" s="147" t="s">
        <v>142</v>
      </c>
      <c r="M10" s="147" t="s">
        <v>142</v>
      </c>
      <c r="N10" s="147" t="s">
        <v>142</v>
      </c>
      <c r="O10" s="147" t="s">
        <v>142</v>
      </c>
      <c r="P10" s="148" t="s">
        <v>8</v>
      </c>
      <c r="Q10" s="26" t="s">
        <v>108</v>
      </c>
      <c r="R10" s="120" t="s">
        <v>8</v>
      </c>
    </row>
    <row r="11" spans="1:24" s="27" customFormat="1" x14ac:dyDescent="0.25">
      <c r="A11" s="21">
        <f t="shared" si="0"/>
        <v>5</v>
      </c>
      <c r="B11" s="1"/>
      <c r="C11" s="1"/>
      <c r="D11" s="19"/>
      <c r="E11" s="149"/>
      <c r="F11" s="19"/>
      <c r="G11" s="23" t="s">
        <v>109</v>
      </c>
      <c r="H11" s="150"/>
      <c r="I11" s="150"/>
      <c r="J11" s="150"/>
      <c r="K11" s="150"/>
      <c r="L11" s="150"/>
      <c r="M11" s="150"/>
      <c r="N11" s="150"/>
      <c r="O11" s="150"/>
      <c r="P11" s="151"/>
      <c r="Q11" s="23" t="s">
        <v>110</v>
      </c>
      <c r="R11" s="122"/>
    </row>
    <row r="12" spans="1:24" s="27" customFormat="1" x14ac:dyDescent="0.25">
      <c r="A12" s="21">
        <f t="shared" si="0"/>
        <v>6</v>
      </c>
      <c r="B12" s="29" t="s">
        <v>10</v>
      </c>
      <c r="C12" s="29" t="s">
        <v>11</v>
      </c>
      <c r="D12" s="30" t="s">
        <v>12</v>
      </c>
      <c r="E12" s="31" t="s">
        <v>13</v>
      </c>
      <c r="F12" s="30" t="s">
        <v>14</v>
      </c>
      <c r="G12" s="30" t="s">
        <v>15</v>
      </c>
      <c r="H12" s="30" t="s">
        <v>16</v>
      </c>
      <c r="I12" s="30"/>
      <c r="J12" s="30"/>
      <c r="K12" s="30"/>
      <c r="L12" s="30"/>
      <c r="M12" s="30"/>
      <c r="N12" s="30"/>
      <c r="O12" s="30"/>
      <c r="P12" s="152" t="s">
        <v>59</v>
      </c>
      <c r="Q12" s="30" t="s">
        <v>17</v>
      </c>
      <c r="R12" s="122"/>
    </row>
    <row r="13" spans="1:24" x14ac:dyDescent="0.25">
      <c r="A13" s="21">
        <f t="shared" si="0"/>
        <v>7</v>
      </c>
      <c r="B13" s="32" t="s">
        <v>19</v>
      </c>
      <c r="C13" s="32"/>
      <c r="D13" s="153">
        <f>+'[1]Rates in detail'!D13</f>
        <v>1.0488600000000001</v>
      </c>
      <c r="E13" s="125">
        <f>+'[1]Rates in detail'!I13-'[1]Rates in detail'!E13</f>
        <v>6.0420000000000001E-2</v>
      </c>
      <c r="F13" s="153">
        <f>+'[1]Rates in detail'!J13+'[1]Rates in detail'!K13-'[1]Rates in detail'!F13-'[1]Rates in detail'!G13</f>
        <v>-9.4899999999999984E-3</v>
      </c>
      <c r="G13" s="125">
        <f>+D13+E13+F13</f>
        <v>1.09979</v>
      </c>
      <c r="H13" s="125">
        <f>+'[1]Rates in detail'!N13-'[1]Rates in detail'!M13</f>
        <v>5.2739999999999988E-2</v>
      </c>
      <c r="I13" s="153"/>
      <c r="J13" s="153"/>
      <c r="K13" s="153"/>
      <c r="L13" s="153"/>
      <c r="M13" s="153"/>
      <c r="N13" s="153"/>
      <c r="O13" s="153"/>
      <c r="P13" s="154"/>
      <c r="Q13" s="153">
        <f>+G13+H13+P13</f>
        <v>1.1525300000000001</v>
      </c>
      <c r="R13" s="125">
        <f>Q13-D13</f>
        <v>0.10366999999999993</v>
      </c>
      <c r="T13" s="116"/>
      <c r="U13" s="116"/>
      <c r="V13" s="116"/>
      <c r="W13" s="116"/>
      <c r="X13" s="116"/>
    </row>
    <row r="14" spans="1:24" x14ac:dyDescent="0.25">
      <c r="A14" s="21">
        <f t="shared" si="0"/>
        <v>8</v>
      </c>
      <c r="B14" s="32" t="s">
        <v>20</v>
      </c>
      <c r="C14" s="32"/>
      <c r="D14" s="153">
        <f>+'[1]Rates in detail'!D14</f>
        <v>1.0947099999999996</v>
      </c>
      <c r="E14" s="125">
        <f>+'[1]Rates in detail'!I14-'[1]Rates in detail'!E14</f>
        <v>6.0420000000000001E-2</v>
      </c>
      <c r="F14" s="153">
        <f>+'[1]Rates in detail'!J14+'[1]Rates in detail'!K14-'[1]Rates in detail'!F14-'[1]Rates in detail'!G14</f>
        <v>-9.4899999999999984E-3</v>
      </c>
      <c r="G14" s="153">
        <f t="shared" ref="G14:G72" si="1">+D14+E14+F14</f>
        <v>1.1456399999999995</v>
      </c>
      <c r="H14" s="153">
        <f>+'[1]Rates in detail'!N14-'[1]Rates in detail'!M14</f>
        <v>4.3649999999999994E-2</v>
      </c>
      <c r="I14" s="153"/>
      <c r="J14" s="153"/>
      <c r="K14" s="153"/>
      <c r="L14" s="153"/>
      <c r="M14" s="153"/>
      <c r="N14" s="153"/>
      <c r="O14" s="153"/>
      <c r="P14" s="154"/>
      <c r="Q14" s="153">
        <f t="shared" ref="Q14:Q72" si="2">+G14+H14+P14</f>
        <v>1.1892899999999995</v>
      </c>
      <c r="R14" s="125">
        <f t="shared" ref="R14:R72" si="3">Q14-D14</f>
        <v>9.4579999999999886E-2</v>
      </c>
      <c r="T14" s="116"/>
      <c r="U14" s="116"/>
      <c r="V14" s="116"/>
      <c r="W14" s="116"/>
      <c r="X14" s="116"/>
    </row>
    <row r="15" spans="1:24" x14ac:dyDescent="0.25">
      <c r="A15" s="21">
        <f t="shared" si="0"/>
        <v>9</v>
      </c>
      <c r="B15" s="32" t="s">
        <v>21</v>
      </c>
      <c r="C15" s="32"/>
      <c r="D15" s="153">
        <f>+'[1]Rates in detail'!D15</f>
        <v>0.81020999999999987</v>
      </c>
      <c r="E15" s="125">
        <f>+'[1]Rates in detail'!I15-'[1]Rates in detail'!E15</f>
        <v>6.0420000000000001E-2</v>
      </c>
      <c r="F15" s="153">
        <f>+'[1]Rates in detail'!J15+'[1]Rates in detail'!K15-'[1]Rates in detail'!F15-'[1]Rates in detail'!G15</f>
        <v>-9.4899999999999984E-3</v>
      </c>
      <c r="G15" s="153">
        <f t="shared" si="1"/>
        <v>0.86113999999999991</v>
      </c>
      <c r="H15" s="153">
        <f>+'[1]Rates in detail'!N15-'[1]Rates in detail'!M15</f>
        <v>2.833999999999999E-2</v>
      </c>
      <c r="I15" s="153"/>
      <c r="J15" s="153"/>
      <c r="K15" s="153"/>
      <c r="L15" s="153"/>
      <c r="M15" s="153"/>
      <c r="N15" s="153"/>
      <c r="O15" s="153"/>
      <c r="P15" s="154"/>
      <c r="Q15" s="153">
        <f t="shared" si="2"/>
        <v>0.88947999999999994</v>
      </c>
      <c r="R15" s="125">
        <f t="shared" si="3"/>
        <v>7.9270000000000063E-2</v>
      </c>
      <c r="T15" s="116"/>
      <c r="U15" s="116"/>
      <c r="V15" s="116"/>
      <c r="W15" s="116"/>
      <c r="X15" s="116"/>
    </row>
    <row r="16" spans="1:24" x14ac:dyDescent="0.25">
      <c r="A16" s="21">
        <f t="shared" si="0"/>
        <v>10</v>
      </c>
      <c r="B16" s="32" t="s">
        <v>22</v>
      </c>
      <c r="C16" s="32"/>
      <c r="D16" s="153">
        <f>+'[1]Rates in detail'!D16</f>
        <v>0.79219000000000017</v>
      </c>
      <c r="E16" s="125">
        <f>+'[1]Rates in detail'!I16-'[1]Rates in detail'!E16</f>
        <v>6.0420000000000001E-2</v>
      </c>
      <c r="F16" s="153">
        <f>+'[1]Rates in detail'!J16+'[1]Rates in detail'!K16-'[1]Rates in detail'!F16-'[1]Rates in detail'!G16</f>
        <v>-9.4899999999999984E-3</v>
      </c>
      <c r="G16" s="153">
        <f t="shared" si="1"/>
        <v>0.8431200000000002</v>
      </c>
      <c r="H16" s="153">
        <f>+'[1]Rates in detail'!N16-'[1]Rates in detail'!M16</f>
        <v>2.3780000000000009E-2</v>
      </c>
      <c r="I16" s="153"/>
      <c r="J16" s="153"/>
      <c r="K16" s="153"/>
      <c r="L16" s="153"/>
      <c r="M16" s="153"/>
      <c r="N16" s="153"/>
      <c r="O16" s="153"/>
      <c r="P16" s="154"/>
      <c r="Q16" s="153">
        <f t="shared" si="2"/>
        <v>0.86690000000000023</v>
      </c>
      <c r="R16" s="125">
        <f t="shared" si="3"/>
        <v>7.4710000000000054E-2</v>
      </c>
      <c r="T16" s="116"/>
      <c r="U16" s="116"/>
      <c r="V16" s="116"/>
      <c r="W16" s="116"/>
      <c r="X16" s="116"/>
    </row>
    <row r="17" spans="1:24" x14ac:dyDescent="0.25">
      <c r="A17" s="21">
        <f t="shared" si="0"/>
        <v>11</v>
      </c>
      <c r="B17" s="32" t="s">
        <v>23</v>
      </c>
      <c r="C17" s="32"/>
      <c r="D17" s="153">
        <f>+'[1]Rates in detail'!D17</f>
        <v>0.76294999999999957</v>
      </c>
      <c r="E17" s="125">
        <f>+'[1]Rates in detail'!I17-'[1]Rates in detail'!E17</f>
        <v>6.0420000000000001E-2</v>
      </c>
      <c r="F17" s="153">
        <f>+'[1]Rates in detail'!J17+'[1]Rates in detail'!K17-'[1]Rates in detail'!F17-'[1]Rates in detail'!G17</f>
        <v>-9.4899999999999984E-3</v>
      </c>
      <c r="G17" s="153">
        <f t="shared" si="1"/>
        <v>0.8138799999999996</v>
      </c>
      <c r="H17" s="153">
        <f>+'[1]Rates in detail'!N17-'[1]Rates in detail'!M17</f>
        <v>1.3260000000000003E-2</v>
      </c>
      <c r="I17" s="153"/>
      <c r="J17" s="153"/>
      <c r="K17" s="153"/>
      <c r="L17" s="153"/>
      <c r="M17" s="153"/>
      <c r="N17" s="153"/>
      <c r="O17" s="153"/>
      <c r="P17" s="154"/>
      <c r="Q17" s="153">
        <f t="shared" si="2"/>
        <v>0.82713999999999965</v>
      </c>
      <c r="R17" s="125">
        <f t="shared" si="3"/>
        <v>6.419000000000008E-2</v>
      </c>
      <c r="T17" s="116"/>
      <c r="U17" s="116"/>
      <c r="V17" s="116"/>
      <c r="W17" s="116"/>
      <c r="X17" s="116"/>
    </row>
    <row r="18" spans="1:24" x14ac:dyDescent="0.25">
      <c r="A18" s="21">
        <f t="shared" si="0"/>
        <v>12</v>
      </c>
      <c r="B18" s="36">
        <v>27</v>
      </c>
      <c r="C18" s="36"/>
      <c r="D18" s="153">
        <f>+'[1]Rates in detail'!D18</f>
        <v>0.58290999999999971</v>
      </c>
      <c r="E18" s="125">
        <f>+'[1]Rates in detail'!I18-'[1]Rates in detail'!E18</f>
        <v>6.0420000000000001E-2</v>
      </c>
      <c r="F18" s="153">
        <f>+'[1]Rates in detail'!J18+'[1]Rates in detail'!K18-'[1]Rates in detail'!F18-'[1]Rates in detail'!G18</f>
        <v>-9.4899999999999984E-3</v>
      </c>
      <c r="G18" s="153">
        <f t="shared" si="1"/>
        <v>0.63383999999999974</v>
      </c>
      <c r="H18" s="153">
        <f>+'[1]Rates in detail'!N18-'[1]Rates in detail'!M18</f>
        <v>1.049000000000001E-2</v>
      </c>
      <c r="I18" s="153"/>
      <c r="J18" s="153"/>
      <c r="K18" s="153"/>
      <c r="L18" s="153"/>
      <c r="M18" s="153"/>
      <c r="N18" s="153"/>
      <c r="O18" s="153"/>
      <c r="P18" s="154"/>
      <c r="Q18" s="153">
        <f t="shared" si="2"/>
        <v>0.64432999999999974</v>
      </c>
      <c r="R18" s="125">
        <f t="shared" si="3"/>
        <v>6.142000000000003E-2</v>
      </c>
      <c r="T18" s="116"/>
      <c r="U18" s="116"/>
      <c r="V18" s="116"/>
      <c r="W18" s="116"/>
      <c r="X18" s="116"/>
    </row>
    <row r="19" spans="1:24" x14ac:dyDescent="0.25">
      <c r="A19" s="21">
        <f t="shared" si="0"/>
        <v>13</v>
      </c>
      <c r="B19" s="28" t="s">
        <v>24</v>
      </c>
      <c r="C19" s="37" t="s">
        <v>25</v>
      </c>
      <c r="D19" s="130">
        <f>+'[1]Rates in detail'!D19</f>
        <v>0.57634000000000019</v>
      </c>
      <c r="E19" s="127">
        <f>+'[1]Rates in detail'!I19-'[1]Rates in detail'!E19</f>
        <v>6.0420000000000001E-2</v>
      </c>
      <c r="F19" s="130">
        <f>+'[1]Rates in detail'!J19+'[1]Rates in detail'!K19-'[1]Rates in detail'!F19-'[1]Rates in detail'!G19</f>
        <v>0</v>
      </c>
      <c r="G19" s="130">
        <f t="shared" si="1"/>
        <v>0.63676000000000021</v>
      </c>
      <c r="H19" s="130">
        <f>+'[1]Rates in detail'!N19-'[1]Rates in detail'!M19</f>
        <v>1.474E-2</v>
      </c>
      <c r="I19" s="130"/>
      <c r="J19" s="130"/>
      <c r="K19" s="130"/>
      <c r="L19" s="130"/>
      <c r="M19" s="130"/>
      <c r="N19" s="130"/>
      <c r="O19" s="130"/>
      <c r="P19" s="155"/>
      <c r="Q19" s="130">
        <f t="shared" si="2"/>
        <v>0.65150000000000019</v>
      </c>
      <c r="R19" s="127">
        <f t="shared" si="3"/>
        <v>7.5160000000000005E-2</v>
      </c>
      <c r="T19" s="116"/>
      <c r="U19" s="116"/>
      <c r="V19" s="116"/>
      <c r="W19" s="116"/>
      <c r="X19" s="116"/>
    </row>
    <row r="20" spans="1:24" x14ac:dyDescent="0.25">
      <c r="A20" s="21">
        <f t="shared" si="0"/>
        <v>14</v>
      </c>
      <c r="B20" s="36"/>
      <c r="C20" s="156" t="s">
        <v>26</v>
      </c>
      <c r="D20" s="153">
        <f>+'[1]Rates in detail'!D20</f>
        <v>0.53271000000000002</v>
      </c>
      <c r="E20" s="125">
        <f>+'[1]Rates in detail'!I20-'[1]Rates in detail'!E20</f>
        <v>6.0420000000000001E-2</v>
      </c>
      <c r="F20" s="153">
        <f>+'[1]Rates in detail'!J20+'[1]Rates in detail'!K20-'[1]Rates in detail'!F20-'[1]Rates in detail'!G20</f>
        <v>0</v>
      </c>
      <c r="G20" s="153">
        <f t="shared" si="1"/>
        <v>0.59313000000000005</v>
      </c>
      <c r="H20" s="153">
        <f>+'[1]Rates in detail'!N20-'[1]Rates in detail'!M20</f>
        <v>1.1140000000000008E-2</v>
      </c>
      <c r="I20" s="153"/>
      <c r="J20" s="153"/>
      <c r="K20" s="153"/>
      <c r="L20" s="153"/>
      <c r="M20" s="153"/>
      <c r="N20" s="153"/>
      <c r="O20" s="153"/>
      <c r="P20" s="154"/>
      <c r="Q20" s="153">
        <f t="shared" si="2"/>
        <v>0.60427000000000008</v>
      </c>
      <c r="R20" s="125">
        <f t="shared" si="3"/>
        <v>7.1560000000000068E-2</v>
      </c>
      <c r="T20" s="116"/>
      <c r="U20" s="116"/>
      <c r="V20" s="116"/>
      <c r="W20" s="116"/>
      <c r="X20" s="116"/>
    </row>
    <row r="21" spans="1:24" x14ac:dyDescent="0.25">
      <c r="A21" s="21">
        <f t="shared" si="0"/>
        <v>15</v>
      </c>
      <c r="B21" s="28" t="s">
        <v>27</v>
      </c>
      <c r="C21" s="37" t="s">
        <v>25</v>
      </c>
      <c r="D21" s="130">
        <f>+'[1]Rates in detail'!D21</f>
        <v>0.59162000000000003</v>
      </c>
      <c r="E21" s="127">
        <f>+'[1]Rates in detail'!I21-'[1]Rates in detail'!E21</f>
        <v>6.0420000000000001E-2</v>
      </c>
      <c r="F21" s="130">
        <f>+'[1]Rates in detail'!J21+'[1]Rates in detail'!K21-'[1]Rates in detail'!F21-'[1]Rates in detail'!G21</f>
        <v>0</v>
      </c>
      <c r="G21" s="130">
        <f>+D21+E21+F21</f>
        <v>0.65204000000000006</v>
      </c>
      <c r="H21" s="130">
        <f>+'[1]Rates in detail'!N21-'[1]Rates in detail'!M21</f>
        <v>8.2099999999999881E-3</v>
      </c>
      <c r="I21" s="130"/>
      <c r="J21" s="130"/>
      <c r="K21" s="130"/>
      <c r="L21" s="130"/>
      <c r="M21" s="130"/>
      <c r="N21" s="130"/>
      <c r="O21" s="130"/>
      <c r="P21" s="155"/>
      <c r="Q21" s="130">
        <f t="shared" si="2"/>
        <v>0.66025</v>
      </c>
      <c r="R21" s="127">
        <f t="shared" si="3"/>
        <v>6.8629999999999969E-2</v>
      </c>
      <c r="T21" s="116"/>
      <c r="U21" s="116"/>
      <c r="V21" s="116"/>
      <c r="W21" s="116"/>
      <c r="X21" s="116"/>
    </row>
    <row r="22" spans="1:24" x14ac:dyDescent="0.25">
      <c r="A22" s="21">
        <f t="shared" si="0"/>
        <v>16</v>
      </c>
      <c r="B22" s="36"/>
      <c r="C22" s="156" t="s">
        <v>26</v>
      </c>
      <c r="D22" s="153">
        <f>+'[1]Rates in detail'!D22</f>
        <v>0.54839999999999989</v>
      </c>
      <c r="E22" s="125">
        <f>+'[1]Rates in detail'!I22-'[1]Rates in detail'!E22</f>
        <v>6.0420000000000001E-2</v>
      </c>
      <c r="F22" s="153">
        <f>+'[1]Rates in detail'!J22+'[1]Rates in detail'!K22-'[1]Rates in detail'!F22-'[1]Rates in detail'!G22</f>
        <v>0</v>
      </c>
      <c r="G22" s="153">
        <f>+D22+E22+F22</f>
        <v>0.60881999999999992</v>
      </c>
      <c r="H22" s="153">
        <f>+'[1]Rates in detail'!N22-'[1]Rates in detail'!M22</f>
        <v>4.3500000000000066E-3</v>
      </c>
      <c r="I22" s="153"/>
      <c r="J22" s="153"/>
      <c r="K22" s="153"/>
      <c r="L22" s="153"/>
      <c r="M22" s="153"/>
      <c r="N22" s="153"/>
      <c r="O22" s="153"/>
      <c r="P22" s="154"/>
      <c r="Q22" s="153">
        <f t="shared" si="2"/>
        <v>0.61316999999999988</v>
      </c>
      <c r="R22" s="125">
        <f t="shared" si="3"/>
        <v>6.4769999999999994E-2</v>
      </c>
      <c r="T22" s="116"/>
      <c r="U22" s="116"/>
      <c r="V22" s="116"/>
      <c r="W22" s="116"/>
      <c r="X22" s="116"/>
    </row>
    <row r="23" spans="1:24" x14ac:dyDescent="0.25">
      <c r="A23" s="21">
        <f t="shared" si="0"/>
        <v>17</v>
      </c>
      <c r="B23" s="28" t="s">
        <v>28</v>
      </c>
      <c r="C23" s="37" t="s">
        <v>25</v>
      </c>
      <c r="D23" s="130">
        <f>+'[1]Rates in detail'!D23</f>
        <v>0.32489000000000001</v>
      </c>
      <c r="E23" s="127">
        <f>+'[1]Rates in detail'!I23-'[1]Rates in detail'!E23</f>
        <v>0</v>
      </c>
      <c r="F23" s="130">
        <f>+'[1]Rates in detail'!J23+'[1]Rates in detail'!K23-'[1]Rates in detail'!F23-'[1]Rates in detail'!G23</f>
        <v>0</v>
      </c>
      <c r="G23" s="130">
        <f t="shared" si="1"/>
        <v>0.32489000000000001</v>
      </c>
      <c r="H23" s="130">
        <f>+'[1]Rates in detail'!N23-'[1]Rates in detail'!M23</f>
        <v>2.4570000000000002E-2</v>
      </c>
      <c r="I23" s="130"/>
      <c r="J23" s="130"/>
      <c r="K23" s="130"/>
      <c r="L23" s="130"/>
      <c r="M23" s="130"/>
      <c r="N23" s="130"/>
      <c r="O23" s="130"/>
      <c r="P23" s="155"/>
      <c r="Q23" s="130">
        <f t="shared" si="2"/>
        <v>0.34945999999999999</v>
      </c>
      <c r="R23" s="127">
        <f t="shared" si="3"/>
        <v>2.4569999999999981E-2</v>
      </c>
      <c r="T23" s="116"/>
      <c r="U23" s="116"/>
      <c r="V23" s="116"/>
      <c r="W23" s="116"/>
      <c r="X23" s="116"/>
    </row>
    <row r="24" spans="1:24" x14ac:dyDescent="0.25">
      <c r="A24" s="21">
        <f t="shared" si="0"/>
        <v>18</v>
      </c>
      <c r="B24" s="36"/>
      <c r="C24" s="156" t="s">
        <v>26</v>
      </c>
      <c r="D24" s="153">
        <f>+'[1]Rates in detail'!D24</f>
        <v>0.28625000000000006</v>
      </c>
      <c r="E24" s="125">
        <f>+'[1]Rates in detail'!I24-'[1]Rates in detail'!E24</f>
        <v>0</v>
      </c>
      <c r="F24" s="153">
        <f>+'[1]Rates in detail'!J24+'[1]Rates in detail'!K24-'[1]Rates in detail'!F24-'[1]Rates in detail'!G24</f>
        <v>0</v>
      </c>
      <c r="G24" s="153">
        <f t="shared" si="1"/>
        <v>0.28625000000000006</v>
      </c>
      <c r="H24" s="153">
        <f>+'[1]Rates in detail'!N24-'[1]Rates in detail'!M24</f>
        <v>2.164E-2</v>
      </c>
      <c r="I24" s="153"/>
      <c r="J24" s="153"/>
      <c r="K24" s="153"/>
      <c r="L24" s="153"/>
      <c r="M24" s="153"/>
      <c r="N24" s="153"/>
      <c r="O24" s="153"/>
      <c r="P24" s="154"/>
      <c r="Q24" s="153">
        <f t="shared" si="2"/>
        <v>0.30789000000000005</v>
      </c>
      <c r="R24" s="125">
        <f t="shared" si="3"/>
        <v>2.1639999999999993E-2</v>
      </c>
      <c r="T24" s="116"/>
      <c r="U24" s="116"/>
      <c r="V24" s="116"/>
      <c r="W24" s="116"/>
      <c r="X24" s="116"/>
    </row>
    <row r="25" spans="1:24" x14ac:dyDescent="0.25">
      <c r="A25" s="21">
        <f t="shared" si="0"/>
        <v>19</v>
      </c>
      <c r="B25" s="28" t="s">
        <v>29</v>
      </c>
      <c r="C25" s="37" t="s">
        <v>25</v>
      </c>
      <c r="D25" s="130">
        <f>+'[1]Rates in detail'!D25</f>
        <v>0.53622000000000025</v>
      </c>
      <c r="E25" s="127">
        <f>+'[1]Rates in detail'!I25-'[1]Rates in detail'!E25</f>
        <v>6.0420000000000001E-2</v>
      </c>
      <c r="F25" s="130">
        <f>+'[1]Rates in detail'!J25+'[1]Rates in detail'!K25-'[1]Rates in detail'!F25-'[1]Rates in detail'!G25</f>
        <v>0</v>
      </c>
      <c r="G25" s="130">
        <f>+D25+E25+F25</f>
        <v>0.59664000000000028</v>
      </c>
      <c r="H25" s="130">
        <f>+'[1]Rates in detail'!N25-'[1]Rates in detail'!M25</f>
        <v>9.1300000000000062E-3</v>
      </c>
      <c r="I25" s="130"/>
      <c r="J25" s="130"/>
      <c r="K25" s="130"/>
      <c r="L25" s="130"/>
      <c r="M25" s="130"/>
      <c r="N25" s="130"/>
      <c r="O25" s="130"/>
      <c r="P25" s="155"/>
      <c r="Q25" s="130">
        <f t="shared" si="2"/>
        <v>0.60577000000000025</v>
      </c>
      <c r="R25" s="127">
        <f t="shared" si="3"/>
        <v>6.9550000000000001E-2</v>
      </c>
      <c r="T25" s="116"/>
      <c r="U25" s="116"/>
      <c r="V25" s="116"/>
      <c r="W25" s="116"/>
      <c r="X25" s="116"/>
    </row>
    <row r="26" spans="1:24" x14ac:dyDescent="0.25">
      <c r="A26" s="21">
        <f t="shared" si="0"/>
        <v>20</v>
      </c>
      <c r="B26" s="36"/>
      <c r="C26" s="156" t="s">
        <v>26</v>
      </c>
      <c r="D26" s="153">
        <f>+'[1]Rates in detail'!D26</f>
        <v>0.49735999999999991</v>
      </c>
      <c r="E26" s="125">
        <f>+'[1]Rates in detail'!I26-'[1]Rates in detail'!E26</f>
        <v>6.0420000000000001E-2</v>
      </c>
      <c r="F26" s="153">
        <f>+'[1]Rates in detail'!J26+'[1]Rates in detail'!K26-'[1]Rates in detail'!F26-'[1]Rates in detail'!G26</f>
        <v>0</v>
      </c>
      <c r="G26" s="153">
        <f>+D26+E26+F26</f>
        <v>0.55777999999999994</v>
      </c>
      <c r="H26" s="153">
        <f>+'[1]Rates in detail'!N26-'[1]Rates in detail'!M26</f>
        <v>6.1800000000000023E-3</v>
      </c>
      <c r="I26" s="153"/>
      <c r="J26" s="153"/>
      <c r="K26" s="153"/>
      <c r="L26" s="153"/>
      <c r="M26" s="153"/>
      <c r="N26" s="153"/>
      <c r="O26" s="153"/>
      <c r="P26" s="154"/>
      <c r="Q26" s="153">
        <f t="shared" si="2"/>
        <v>0.56395999999999991</v>
      </c>
      <c r="R26" s="125">
        <f t="shared" si="3"/>
        <v>6.6599999999999993E-2</v>
      </c>
      <c r="T26" s="116"/>
      <c r="U26" s="116"/>
      <c r="V26" s="116"/>
      <c r="W26" s="116"/>
      <c r="X26" s="116"/>
    </row>
    <row r="27" spans="1:24" x14ac:dyDescent="0.25">
      <c r="A27" s="21">
        <f t="shared" si="0"/>
        <v>21</v>
      </c>
      <c r="B27" s="28" t="s">
        <v>30</v>
      </c>
      <c r="C27" s="37" t="s">
        <v>25</v>
      </c>
      <c r="D27" s="130">
        <f>+'[1]Rates in detail'!D27</f>
        <v>0.55420000000000003</v>
      </c>
      <c r="E27" s="127">
        <f>+'[1]Rates in detail'!I27-'[1]Rates in detail'!E27</f>
        <v>6.0420000000000001E-2</v>
      </c>
      <c r="F27" s="130">
        <f>+'[1]Rates in detail'!J27+'[1]Rates in detail'!K27-'[1]Rates in detail'!F27-'[1]Rates in detail'!G27</f>
        <v>0</v>
      </c>
      <c r="G27" s="130">
        <f t="shared" si="1"/>
        <v>0.61462000000000006</v>
      </c>
      <c r="H27" s="130">
        <f>+'[1]Rates in detail'!N27-'[1]Rates in detail'!M27</f>
        <v>1.1900000000000018E-3</v>
      </c>
      <c r="I27" s="130"/>
      <c r="J27" s="130"/>
      <c r="K27" s="130"/>
      <c r="L27" s="130"/>
      <c r="M27" s="130"/>
      <c r="N27" s="130"/>
      <c r="O27" s="130"/>
      <c r="P27" s="155"/>
      <c r="Q27" s="130">
        <f t="shared" si="2"/>
        <v>0.61581000000000008</v>
      </c>
      <c r="R27" s="127">
        <f t="shared" si="3"/>
        <v>6.1610000000000054E-2</v>
      </c>
      <c r="T27" s="116"/>
      <c r="U27" s="116"/>
      <c r="V27" s="116"/>
      <c r="W27" s="116"/>
      <c r="X27" s="116"/>
    </row>
    <row r="28" spans="1:24" x14ac:dyDescent="0.25">
      <c r="A28" s="21">
        <f t="shared" si="0"/>
        <v>22</v>
      </c>
      <c r="B28" s="36"/>
      <c r="C28" s="156" t="s">
        <v>26</v>
      </c>
      <c r="D28" s="153">
        <f>+'[1]Rates in detail'!D28</f>
        <v>0.51542999999999994</v>
      </c>
      <c r="E28" s="125">
        <f>+'[1]Rates in detail'!I28-'[1]Rates in detail'!E28</f>
        <v>6.0420000000000001E-2</v>
      </c>
      <c r="F28" s="153">
        <f>+'[1]Rates in detail'!J28+'[1]Rates in detail'!K28-'[1]Rates in detail'!F28-'[1]Rates in detail'!G28</f>
        <v>0</v>
      </c>
      <c r="G28" s="153">
        <f t="shared" si="1"/>
        <v>0.57584999999999997</v>
      </c>
      <c r="H28" s="153">
        <f>+'[1]Rates in detail'!N28-'[1]Rates in detail'!M28</f>
        <v>-1.8299999999999983E-3</v>
      </c>
      <c r="I28" s="153"/>
      <c r="J28" s="153"/>
      <c r="K28" s="153"/>
      <c r="L28" s="153"/>
      <c r="M28" s="153"/>
      <c r="N28" s="153"/>
      <c r="O28" s="153"/>
      <c r="P28" s="154"/>
      <c r="Q28" s="153">
        <f t="shared" si="2"/>
        <v>0.57401999999999997</v>
      </c>
      <c r="R28" s="125">
        <f t="shared" si="3"/>
        <v>5.8590000000000031E-2</v>
      </c>
      <c r="T28" s="116"/>
      <c r="U28" s="116"/>
    </row>
    <row r="29" spans="1:24" x14ac:dyDescent="0.25">
      <c r="A29" s="21">
        <f t="shared" si="0"/>
        <v>23</v>
      </c>
      <c r="B29" s="28" t="s">
        <v>31</v>
      </c>
      <c r="C29" s="37" t="s">
        <v>25</v>
      </c>
      <c r="D29" s="130">
        <f>+'[1]Rates in detail'!D29</f>
        <v>0.37150999999999995</v>
      </c>
      <c r="E29" s="127">
        <f>+'[1]Rates in detail'!I29-'[1]Rates in detail'!E29</f>
        <v>6.0420000000000001E-2</v>
      </c>
      <c r="F29" s="130">
        <f>+'[1]Rates in detail'!J29+'[1]Rates in detail'!K29-'[1]Rates in detail'!F29-'[1]Rates in detail'!G29</f>
        <v>0</v>
      </c>
      <c r="G29" s="130">
        <f t="shared" si="1"/>
        <v>0.43192999999999993</v>
      </c>
      <c r="H29" s="130">
        <f>+'[1]Rates in detail'!N29-'[1]Rates in detail'!M29</f>
        <v>3.4200000000000064E-3</v>
      </c>
      <c r="I29" s="130"/>
      <c r="J29" s="130"/>
      <c r="K29" s="130"/>
      <c r="L29" s="130"/>
      <c r="M29" s="130"/>
      <c r="N29" s="130"/>
      <c r="O29" s="130"/>
      <c r="P29" s="155"/>
      <c r="Q29" s="130">
        <f t="shared" si="2"/>
        <v>0.4353499999999999</v>
      </c>
      <c r="R29" s="127">
        <f t="shared" si="3"/>
        <v>6.3839999999999952E-2</v>
      </c>
      <c r="T29" s="116"/>
      <c r="U29" s="116"/>
    </row>
    <row r="30" spans="1:24" x14ac:dyDescent="0.25">
      <c r="A30" s="21">
        <f t="shared" si="0"/>
        <v>24</v>
      </c>
      <c r="B30" s="28"/>
      <c r="C30" s="37" t="s">
        <v>26</v>
      </c>
      <c r="D30" s="130">
        <f>+'[1]Rates in detail'!D30</f>
        <v>0.35449999999999976</v>
      </c>
      <c r="E30" s="127">
        <f>+'[1]Rates in detail'!I30-'[1]Rates in detail'!E30</f>
        <v>6.0420000000000001E-2</v>
      </c>
      <c r="F30" s="130">
        <f>+'[1]Rates in detail'!J30+'[1]Rates in detail'!K30-'[1]Rates in detail'!F30-'[1]Rates in detail'!G30</f>
        <v>0</v>
      </c>
      <c r="G30" s="130">
        <f t="shared" si="1"/>
        <v>0.41491999999999973</v>
      </c>
      <c r="H30" s="130">
        <f>+'[1]Rates in detail'!N30-'[1]Rates in detail'!M30</f>
        <v>1.4200000000000011E-3</v>
      </c>
      <c r="I30" s="130"/>
      <c r="J30" s="130"/>
      <c r="K30" s="130"/>
      <c r="L30" s="130"/>
      <c r="M30" s="130"/>
      <c r="N30" s="130"/>
      <c r="O30" s="130"/>
      <c r="P30" s="155"/>
      <c r="Q30" s="130">
        <f t="shared" si="2"/>
        <v>0.41633999999999971</v>
      </c>
      <c r="R30" s="127">
        <f t="shared" si="3"/>
        <v>6.1839999999999951E-2</v>
      </c>
      <c r="T30" s="116"/>
      <c r="U30" s="116"/>
    </row>
    <row r="31" spans="1:24" x14ac:dyDescent="0.25">
      <c r="A31" s="21">
        <f t="shared" si="0"/>
        <v>25</v>
      </c>
      <c r="B31" s="28"/>
      <c r="C31" s="37" t="s">
        <v>32</v>
      </c>
      <c r="D31" s="130">
        <f>+'[1]Rates in detail'!D31</f>
        <v>0.32066999999999996</v>
      </c>
      <c r="E31" s="127">
        <f>+'[1]Rates in detail'!I31-'[1]Rates in detail'!E31</f>
        <v>6.0420000000000001E-2</v>
      </c>
      <c r="F31" s="130">
        <f>+'[1]Rates in detail'!J31+'[1]Rates in detail'!K31-'[1]Rates in detail'!F31-'[1]Rates in detail'!G31</f>
        <v>0</v>
      </c>
      <c r="G31" s="130">
        <f t="shared" si="1"/>
        <v>0.38108999999999993</v>
      </c>
      <c r="H31" s="130">
        <f>+'[1]Rates in detail'!N31-'[1]Rates in detail'!M31</f>
        <v>-2.5699999999999976E-3</v>
      </c>
      <c r="I31" s="130"/>
      <c r="J31" s="130"/>
      <c r="K31" s="130"/>
      <c r="L31" s="130"/>
      <c r="M31" s="130"/>
      <c r="N31" s="130"/>
      <c r="O31" s="130"/>
      <c r="P31" s="155"/>
      <c r="Q31" s="130">
        <f t="shared" si="2"/>
        <v>0.37851999999999991</v>
      </c>
      <c r="R31" s="127">
        <f t="shared" si="3"/>
        <v>5.7849999999999957E-2</v>
      </c>
      <c r="T31" s="116"/>
      <c r="U31" s="116"/>
    </row>
    <row r="32" spans="1:24" x14ac:dyDescent="0.25">
      <c r="A32" s="21">
        <f t="shared" si="0"/>
        <v>26</v>
      </c>
      <c r="B32" s="28"/>
      <c r="C32" s="37" t="s">
        <v>33</v>
      </c>
      <c r="D32" s="130">
        <f>+'[1]Rates in detail'!D32</f>
        <v>0.2983800000000002</v>
      </c>
      <c r="E32" s="127">
        <f>+'[1]Rates in detail'!I32-'[1]Rates in detail'!E32</f>
        <v>6.0420000000000001E-2</v>
      </c>
      <c r="F32" s="130">
        <f>+'[1]Rates in detail'!J32+'[1]Rates in detail'!K32-'[1]Rates in detail'!F32-'[1]Rates in detail'!G32</f>
        <v>0</v>
      </c>
      <c r="G32" s="130">
        <f t="shared" si="1"/>
        <v>0.35880000000000023</v>
      </c>
      <c r="H32" s="130">
        <f>+'[1]Rates in detail'!N32-'[1]Rates in detail'!M32</f>
        <v>-5.189999999999995E-3</v>
      </c>
      <c r="I32" s="130"/>
      <c r="J32" s="130"/>
      <c r="K32" s="130"/>
      <c r="L32" s="130"/>
      <c r="M32" s="130"/>
      <c r="N32" s="130"/>
      <c r="O32" s="130"/>
      <c r="P32" s="155"/>
      <c r="Q32" s="130">
        <f t="shared" si="2"/>
        <v>0.35361000000000026</v>
      </c>
      <c r="R32" s="127">
        <f t="shared" si="3"/>
        <v>5.5230000000000057E-2</v>
      </c>
      <c r="T32" s="116"/>
      <c r="U32" s="116"/>
    </row>
    <row r="33" spans="1:21" x14ac:dyDescent="0.25">
      <c r="A33" s="21">
        <f t="shared" si="0"/>
        <v>27</v>
      </c>
      <c r="B33" s="28"/>
      <c r="C33" s="37" t="s">
        <v>34</v>
      </c>
      <c r="D33" s="130">
        <f>+'[1]Rates in detail'!D33</f>
        <v>0.26867999999999997</v>
      </c>
      <c r="E33" s="127">
        <f>+'[1]Rates in detail'!I33-'[1]Rates in detail'!E33</f>
        <v>6.0420000000000001E-2</v>
      </c>
      <c r="F33" s="130">
        <f>+'[1]Rates in detail'!J33+'[1]Rates in detail'!K33-'[1]Rates in detail'!F33-'[1]Rates in detail'!G33</f>
        <v>0</v>
      </c>
      <c r="G33" s="130">
        <f t="shared" si="1"/>
        <v>0.32909999999999995</v>
      </c>
      <c r="H33" s="130">
        <f>+'[1]Rates in detail'!N33-'[1]Rates in detail'!M33</f>
        <v>-8.7199999999999986E-3</v>
      </c>
      <c r="I33" s="130"/>
      <c r="J33" s="130"/>
      <c r="K33" s="130"/>
      <c r="L33" s="130"/>
      <c r="M33" s="130"/>
      <c r="N33" s="130"/>
      <c r="O33" s="130"/>
      <c r="P33" s="155"/>
      <c r="Q33" s="130">
        <f t="shared" si="2"/>
        <v>0.32037999999999994</v>
      </c>
      <c r="R33" s="127">
        <f t="shared" si="3"/>
        <v>5.1699999999999968E-2</v>
      </c>
      <c r="T33" s="116"/>
      <c r="U33" s="116"/>
    </row>
    <row r="34" spans="1:21" x14ac:dyDescent="0.25">
      <c r="A34" s="21">
        <f t="shared" si="0"/>
        <v>28</v>
      </c>
      <c r="B34" s="36"/>
      <c r="C34" s="156" t="s">
        <v>35</v>
      </c>
      <c r="D34" s="153">
        <f>+'[1]Rates in detail'!D34</f>
        <v>0.23154000000000005</v>
      </c>
      <c r="E34" s="125">
        <f>+'[1]Rates in detail'!I34-'[1]Rates in detail'!E34</f>
        <v>6.0420000000000001E-2</v>
      </c>
      <c r="F34" s="153">
        <f>+'[1]Rates in detail'!J34+'[1]Rates in detail'!K34-'[1]Rates in detail'!F34-'[1]Rates in detail'!G34</f>
        <v>0</v>
      </c>
      <c r="G34" s="153">
        <f t="shared" si="1"/>
        <v>0.29196000000000005</v>
      </c>
      <c r="H34" s="153">
        <f>+'[1]Rates in detail'!N34-'[1]Rates in detail'!M34</f>
        <v>-1.3059999999999997E-2</v>
      </c>
      <c r="I34" s="153"/>
      <c r="J34" s="153"/>
      <c r="K34" s="153"/>
      <c r="L34" s="153"/>
      <c r="M34" s="153"/>
      <c r="N34" s="153"/>
      <c r="O34" s="153"/>
      <c r="P34" s="154"/>
      <c r="Q34" s="153">
        <f t="shared" si="2"/>
        <v>0.27890000000000004</v>
      </c>
      <c r="R34" s="125">
        <f t="shared" si="3"/>
        <v>4.7359999999999985E-2</v>
      </c>
      <c r="T34" s="116"/>
      <c r="U34" s="116"/>
    </row>
    <row r="35" spans="1:21" x14ac:dyDescent="0.25">
      <c r="A35" s="21">
        <f t="shared" si="0"/>
        <v>29</v>
      </c>
      <c r="B35" s="28" t="s">
        <v>36</v>
      </c>
      <c r="C35" s="37" t="s">
        <v>25</v>
      </c>
      <c r="D35" s="130">
        <f>+'[1]Rates in detail'!D35</f>
        <v>0.34641000000000005</v>
      </c>
      <c r="E35" s="127">
        <f>+'[1]Rates in detail'!I35-'[1]Rates in detail'!E35</f>
        <v>6.0420000000000001E-2</v>
      </c>
      <c r="F35" s="130">
        <f>+'[1]Rates in detail'!J35+'[1]Rates in detail'!K35-'[1]Rates in detail'!F35-'[1]Rates in detail'!G35</f>
        <v>0</v>
      </c>
      <c r="G35" s="130">
        <f t="shared" si="1"/>
        <v>0.40683000000000002</v>
      </c>
      <c r="H35" s="130">
        <f>+'[1]Rates in detail'!N35-'[1]Rates in detail'!M35</f>
        <v>-8.9999999999999802E-4</v>
      </c>
      <c r="I35" s="130"/>
      <c r="J35" s="130"/>
      <c r="K35" s="130"/>
      <c r="L35" s="130"/>
      <c r="M35" s="130"/>
      <c r="N35" s="130"/>
      <c r="O35" s="130"/>
      <c r="P35" s="155"/>
      <c r="Q35" s="130">
        <f t="shared" si="2"/>
        <v>0.40593000000000001</v>
      </c>
      <c r="R35" s="127">
        <f t="shared" si="3"/>
        <v>5.9519999999999962E-2</v>
      </c>
      <c r="T35" s="116"/>
      <c r="U35" s="116"/>
    </row>
    <row r="36" spans="1:21" x14ac:dyDescent="0.25">
      <c r="A36" s="21">
        <f t="shared" si="0"/>
        <v>30</v>
      </c>
      <c r="B36" s="28"/>
      <c r="C36" s="37" t="s">
        <v>26</v>
      </c>
      <c r="D36" s="130">
        <f>+'[1]Rates in detail'!D36</f>
        <v>0.33204000000000006</v>
      </c>
      <c r="E36" s="127">
        <f>+'[1]Rates in detail'!I36-'[1]Rates in detail'!E36</f>
        <v>6.0420000000000001E-2</v>
      </c>
      <c r="F36" s="130">
        <f>+'[1]Rates in detail'!J36+'[1]Rates in detail'!K36-'[1]Rates in detail'!F36-'[1]Rates in detail'!G36</f>
        <v>0</v>
      </c>
      <c r="G36" s="130">
        <f t="shared" si="1"/>
        <v>0.39246000000000003</v>
      </c>
      <c r="H36" s="130">
        <f>+'[1]Rates in detail'!N36-'[1]Rates in detail'!M36</f>
        <v>-2.4699999999999974E-3</v>
      </c>
      <c r="I36" s="130"/>
      <c r="J36" s="130"/>
      <c r="K36" s="130"/>
      <c r="L36" s="130"/>
      <c r="M36" s="130"/>
      <c r="N36" s="130"/>
      <c r="O36" s="130"/>
      <c r="P36" s="155"/>
      <c r="Q36" s="130">
        <f t="shared" si="2"/>
        <v>0.38999000000000006</v>
      </c>
      <c r="R36" s="127">
        <f t="shared" si="3"/>
        <v>5.7950000000000002E-2</v>
      </c>
      <c r="T36" s="116"/>
      <c r="U36" s="116"/>
    </row>
    <row r="37" spans="1:21" x14ac:dyDescent="0.25">
      <c r="A37" s="21">
        <f t="shared" si="0"/>
        <v>31</v>
      </c>
      <c r="B37" s="28"/>
      <c r="C37" s="37" t="s">
        <v>32</v>
      </c>
      <c r="D37" s="130">
        <f>+'[1]Rates in detail'!D37</f>
        <v>0.30340999999999985</v>
      </c>
      <c r="E37" s="127">
        <f>+'[1]Rates in detail'!I37-'[1]Rates in detail'!E37</f>
        <v>6.0420000000000001E-2</v>
      </c>
      <c r="F37" s="130">
        <f>+'[1]Rates in detail'!J37+'[1]Rates in detail'!K37-'[1]Rates in detail'!F37-'[1]Rates in detail'!G37</f>
        <v>0</v>
      </c>
      <c r="G37" s="130">
        <f t="shared" si="1"/>
        <v>0.36382999999999988</v>
      </c>
      <c r="H37" s="130">
        <f>+'[1]Rates in detail'!N37-'[1]Rates in detail'!M37</f>
        <v>-5.5199999999999971E-3</v>
      </c>
      <c r="I37" s="130"/>
      <c r="J37" s="130"/>
      <c r="K37" s="130"/>
      <c r="L37" s="130"/>
      <c r="M37" s="130"/>
      <c r="N37" s="130"/>
      <c r="O37" s="130"/>
      <c r="P37" s="155"/>
      <c r="Q37" s="130">
        <f t="shared" si="2"/>
        <v>0.35830999999999991</v>
      </c>
      <c r="R37" s="127">
        <f t="shared" si="3"/>
        <v>5.490000000000006E-2</v>
      </c>
      <c r="T37" s="116"/>
      <c r="U37" s="116"/>
    </row>
    <row r="38" spans="1:21" x14ac:dyDescent="0.25">
      <c r="A38" s="21">
        <f t="shared" si="0"/>
        <v>32</v>
      </c>
      <c r="B38" s="28"/>
      <c r="C38" s="37" t="s">
        <v>33</v>
      </c>
      <c r="D38" s="130">
        <f>+'[1]Rates in detail'!D38</f>
        <v>0.28459000000000018</v>
      </c>
      <c r="E38" s="127">
        <f>+'[1]Rates in detail'!I38-'[1]Rates in detail'!E38</f>
        <v>6.0420000000000001E-2</v>
      </c>
      <c r="F38" s="130">
        <f>+'[1]Rates in detail'!J38+'[1]Rates in detail'!K38-'[1]Rates in detail'!F38-'[1]Rates in detail'!G38</f>
        <v>0</v>
      </c>
      <c r="G38" s="130">
        <f t="shared" si="1"/>
        <v>0.34501000000000015</v>
      </c>
      <c r="H38" s="130">
        <f>+'[1]Rates in detail'!N38-'[1]Rates in detail'!M38</f>
        <v>-7.5699999999999969E-3</v>
      </c>
      <c r="I38" s="130"/>
      <c r="J38" s="130"/>
      <c r="K38" s="130"/>
      <c r="L38" s="130"/>
      <c r="M38" s="130"/>
      <c r="N38" s="130"/>
      <c r="O38" s="130"/>
      <c r="P38" s="155"/>
      <c r="Q38" s="130">
        <f t="shared" si="2"/>
        <v>0.33744000000000013</v>
      </c>
      <c r="R38" s="127">
        <f t="shared" si="3"/>
        <v>5.2849999999999953E-2</v>
      </c>
      <c r="T38" s="116"/>
      <c r="U38" s="116"/>
    </row>
    <row r="39" spans="1:21" x14ac:dyDescent="0.25">
      <c r="A39" s="21">
        <f t="shared" si="0"/>
        <v>33</v>
      </c>
      <c r="B39" s="28"/>
      <c r="C39" s="37" t="s">
        <v>34</v>
      </c>
      <c r="D39" s="130">
        <f>+'[1]Rates in detail'!D39</f>
        <v>0.25951000000000018</v>
      </c>
      <c r="E39" s="127">
        <f>+'[1]Rates in detail'!I39-'[1]Rates in detail'!E39</f>
        <v>6.0420000000000001E-2</v>
      </c>
      <c r="F39" s="130">
        <f>+'[1]Rates in detail'!J39+'[1]Rates in detail'!K39-'[1]Rates in detail'!F39-'[1]Rates in detail'!G39</f>
        <v>0</v>
      </c>
      <c r="G39" s="130">
        <f t="shared" si="1"/>
        <v>0.31993000000000016</v>
      </c>
      <c r="H39" s="130">
        <f>+'[1]Rates in detail'!N39-'[1]Rates in detail'!M39</f>
        <v>-1.0279999999999997E-2</v>
      </c>
      <c r="I39" s="130"/>
      <c r="J39" s="130"/>
      <c r="K39" s="130"/>
      <c r="L39" s="130"/>
      <c r="M39" s="130"/>
      <c r="N39" s="130"/>
      <c r="O39" s="130"/>
      <c r="P39" s="155"/>
      <c r="Q39" s="130">
        <f t="shared" si="2"/>
        <v>0.30965000000000015</v>
      </c>
      <c r="R39" s="127">
        <f t="shared" si="3"/>
        <v>5.0139999999999962E-2</v>
      </c>
      <c r="T39" s="116"/>
      <c r="U39" s="116"/>
    </row>
    <row r="40" spans="1:21" x14ac:dyDescent="0.25">
      <c r="A40" s="21">
        <f t="shared" si="0"/>
        <v>34</v>
      </c>
      <c r="B40" s="36"/>
      <c r="C40" s="156" t="s">
        <v>35</v>
      </c>
      <c r="D40" s="153">
        <f>+'[1]Rates in detail'!D40</f>
        <v>0.22809999999999994</v>
      </c>
      <c r="E40" s="125">
        <f>+'[1]Rates in detail'!I40-'[1]Rates in detail'!E40</f>
        <v>6.0420000000000001E-2</v>
      </c>
      <c r="F40" s="153">
        <f>+'[1]Rates in detail'!J40+'[1]Rates in detail'!K40-'[1]Rates in detail'!F40-'[1]Rates in detail'!G40</f>
        <v>0</v>
      </c>
      <c r="G40" s="153">
        <f t="shared" si="1"/>
        <v>0.28851999999999994</v>
      </c>
      <c r="H40" s="153">
        <f>+'[1]Rates in detail'!N40-'[1]Rates in detail'!M40</f>
        <v>-1.3659999999999997E-2</v>
      </c>
      <c r="I40" s="153"/>
      <c r="J40" s="153"/>
      <c r="K40" s="153"/>
      <c r="L40" s="153"/>
      <c r="M40" s="153"/>
      <c r="N40" s="153"/>
      <c r="O40" s="153"/>
      <c r="P40" s="154"/>
      <c r="Q40" s="153">
        <f t="shared" si="2"/>
        <v>0.27485999999999994</v>
      </c>
      <c r="R40" s="125">
        <f t="shared" si="3"/>
        <v>4.6759999999999996E-2</v>
      </c>
      <c r="T40" s="116"/>
      <c r="U40" s="116"/>
    </row>
    <row r="41" spans="1:21" x14ac:dyDescent="0.25">
      <c r="A41" s="21">
        <f t="shared" si="0"/>
        <v>35</v>
      </c>
      <c r="B41" s="28" t="s">
        <v>75</v>
      </c>
      <c r="C41" s="37" t="s">
        <v>25</v>
      </c>
      <c r="D41" s="130">
        <f>+'[1]Rates in detail'!D41</f>
        <v>0.12883999999999998</v>
      </c>
      <c r="E41" s="127">
        <f>+'[1]Rates in detail'!I41-'[1]Rates in detail'!E41</f>
        <v>0</v>
      </c>
      <c r="F41" s="130">
        <f>+'[1]Rates in detail'!J41+'[1]Rates in detail'!K41-'[1]Rates in detail'!F41-'[1]Rates in detail'!G41</f>
        <v>0</v>
      </c>
      <c r="G41" s="130">
        <f t="shared" si="1"/>
        <v>0.12883999999999998</v>
      </c>
      <c r="H41" s="130">
        <f>+'[1]Rates in detail'!N41-'[1]Rates in detail'!M41</f>
        <v>9.6799999999999994E-3</v>
      </c>
      <c r="I41" s="130"/>
      <c r="J41" s="130"/>
      <c r="K41" s="130"/>
      <c r="L41" s="130"/>
      <c r="M41" s="130"/>
      <c r="N41" s="130"/>
      <c r="O41" s="130"/>
      <c r="P41" s="155"/>
      <c r="Q41" s="130">
        <f t="shared" si="2"/>
        <v>0.13851999999999998</v>
      </c>
      <c r="R41" s="127">
        <f t="shared" si="3"/>
        <v>9.6799999999999942E-3</v>
      </c>
      <c r="T41" s="116"/>
      <c r="U41" s="116"/>
    </row>
    <row r="42" spans="1:21" x14ac:dyDescent="0.25">
      <c r="A42" s="21">
        <f t="shared" si="0"/>
        <v>36</v>
      </c>
      <c r="B42" s="28"/>
      <c r="C42" s="37" t="s">
        <v>26</v>
      </c>
      <c r="D42" s="130">
        <f>+'[1]Rates in detail'!D42</f>
        <v>0.11533999999999998</v>
      </c>
      <c r="E42" s="127">
        <f>+'[1]Rates in detail'!I42-'[1]Rates in detail'!E42</f>
        <v>0</v>
      </c>
      <c r="F42" s="130">
        <f>+'[1]Rates in detail'!J42+'[1]Rates in detail'!K42-'[1]Rates in detail'!F42-'[1]Rates in detail'!G42</f>
        <v>0</v>
      </c>
      <c r="G42" s="130">
        <f t="shared" si="1"/>
        <v>0.11533999999999998</v>
      </c>
      <c r="H42" s="130">
        <f>+'[1]Rates in detail'!N42-'[1]Rates in detail'!M42</f>
        <v>8.6599999999999993E-3</v>
      </c>
      <c r="I42" s="130"/>
      <c r="J42" s="130"/>
      <c r="K42" s="130"/>
      <c r="L42" s="130"/>
      <c r="M42" s="130"/>
      <c r="N42" s="130"/>
      <c r="O42" s="130"/>
      <c r="P42" s="155"/>
      <c r="Q42" s="130">
        <f t="shared" si="2"/>
        <v>0.12399999999999999</v>
      </c>
      <c r="R42" s="127">
        <f t="shared" si="3"/>
        <v>8.660000000000001E-3</v>
      </c>
      <c r="T42" s="116"/>
      <c r="U42" s="116"/>
    </row>
    <row r="43" spans="1:21" x14ac:dyDescent="0.25">
      <c r="A43" s="21">
        <f t="shared" si="0"/>
        <v>37</v>
      </c>
      <c r="B43" s="28"/>
      <c r="C43" s="37" t="s">
        <v>32</v>
      </c>
      <c r="D43" s="130">
        <f>+'[1]Rates in detail'!D43</f>
        <v>8.8440000000000005E-2</v>
      </c>
      <c r="E43" s="127">
        <f>+'[1]Rates in detail'!I43-'[1]Rates in detail'!E43</f>
        <v>0</v>
      </c>
      <c r="F43" s="130">
        <f>+'[1]Rates in detail'!J43+'[1]Rates in detail'!K43-'[1]Rates in detail'!F43-'[1]Rates in detail'!G43</f>
        <v>0</v>
      </c>
      <c r="G43" s="130">
        <f t="shared" si="1"/>
        <v>8.8440000000000005E-2</v>
      </c>
      <c r="H43" s="130">
        <f>+'[1]Rates in detail'!N43-'[1]Rates in detail'!M43</f>
        <v>6.6400000000000001E-3</v>
      </c>
      <c r="I43" s="130"/>
      <c r="J43" s="130"/>
      <c r="K43" s="130"/>
      <c r="L43" s="130"/>
      <c r="M43" s="130"/>
      <c r="N43" s="130"/>
      <c r="O43" s="130"/>
      <c r="P43" s="155"/>
      <c r="Q43" s="130">
        <f t="shared" si="2"/>
        <v>9.5079999999999998E-2</v>
      </c>
      <c r="R43" s="127">
        <f t="shared" si="3"/>
        <v>6.6399999999999931E-3</v>
      </c>
      <c r="T43" s="116"/>
      <c r="U43" s="116"/>
    </row>
    <row r="44" spans="1:21" x14ac:dyDescent="0.25">
      <c r="A44" s="21">
        <f t="shared" si="0"/>
        <v>38</v>
      </c>
      <c r="B44" s="28"/>
      <c r="C44" s="37" t="s">
        <v>33</v>
      </c>
      <c r="D44" s="130">
        <f>+'[1]Rates in detail'!D44</f>
        <v>7.0770000000000013E-2</v>
      </c>
      <c r="E44" s="127">
        <f>+'[1]Rates in detail'!I44-'[1]Rates in detail'!E44</f>
        <v>0</v>
      </c>
      <c r="F44" s="130">
        <f>+'[1]Rates in detail'!J44+'[1]Rates in detail'!K44-'[1]Rates in detail'!F44-'[1]Rates in detail'!G44</f>
        <v>0</v>
      </c>
      <c r="G44" s="130">
        <f t="shared" si="1"/>
        <v>7.0770000000000013E-2</v>
      </c>
      <c r="H44" s="130">
        <f>+'[1]Rates in detail'!N44-'[1]Rates in detail'!M44</f>
        <v>5.3E-3</v>
      </c>
      <c r="I44" s="130"/>
      <c r="J44" s="130"/>
      <c r="K44" s="130"/>
      <c r="L44" s="130"/>
      <c r="M44" s="130"/>
      <c r="N44" s="130"/>
      <c r="O44" s="130"/>
      <c r="P44" s="155"/>
      <c r="Q44" s="130">
        <f t="shared" si="2"/>
        <v>7.6070000000000013E-2</v>
      </c>
      <c r="R44" s="127">
        <f t="shared" si="3"/>
        <v>5.2999999999999992E-3</v>
      </c>
      <c r="T44" s="116"/>
      <c r="U44" s="116"/>
    </row>
    <row r="45" spans="1:21" x14ac:dyDescent="0.25">
      <c r="A45" s="21">
        <f t="shared" si="0"/>
        <v>39</v>
      </c>
      <c r="B45" s="28"/>
      <c r="C45" s="37" t="s">
        <v>34</v>
      </c>
      <c r="D45" s="130">
        <f>+'[1]Rates in detail'!D45</f>
        <v>4.7180000000000007E-2</v>
      </c>
      <c r="E45" s="127">
        <f>+'[1]Rates in detail'!I45-'[1]Rates in detail'!E45</f>
        <v>0</v>
      </c>
      <c r="F45" s="130">
        <f>+'[1]Rates in detail'!J45+'[1]Rates in detail'!K45-'[1]Rates in detail'!F45-'[1]Rates in detail'!G45</f>
        <v>0</v>
      </c>
      <c r="G45" s="130">
        <f t="shared" si="1"/>
        <v>4.7180000000000007E-2</v>
      </c>
      <c r="H45" s="130">
        <f>+'[1]Rates in detail'!N45-'[1]Rates in detail'!M45</f>
        <v>3.5300000000000002E-3</v>
      </c>
      <c r="I45" s="130"/>
      <c r="J45" s="130"/>
      <c r="K45" s="130"/>
      <c r="L45" s="130"/>
      <c r="M45" s="130"/>
      <c r="N45" s="130"/>
      <c r="O45" s="130"/>
      <c r="P45" s="155"/>
      <c r="Q45" s="130">
        <f t="shared" si="2"/>
        <v>5.0710000000000005E-2</v>
      </c>
      <c r="R45" s="127">
        <f t="shared" si="3"/>
        <v>3.5299999999999984E-3</v>
      </c>
      <c r="T45" s="116"/>
      <c r="U45" s="116"/>
    </row>
    <row r="46" spans="1:21" x14ac:dyDescent="0.25">
      <c r="A46" s="21">
        <f t="shared" si="0"/>
        <v>40</v>
      </c>
      <c r="B46" s="36"/>
      <c r="C46" s="156" t="s">
        <v>35</v>
      </c>
      <c r="D46" s="153">
        <f>+'[1]Rates in detail'!D46</f>
        <v>1.7679999999999998E-2</v>
      </c>
      <c r="E46" s="125">
        <f>+'[1]Rates in detail'!I46-'[1]Rates in detail'!E46</f>
        <v>0</v>
      </c>
      <c r="F46" s="153">
        <f>+'[1]Rates in detail'!J46+'[1]Rates in detail'!K46-'[1]Rates in detail'!F46-'[1]Rates in detail'!G46</f>
        <v>0</v>
      </c>
      <c r="G46" s="153">
        <f t="shared" si="1"/>
        <v>1.7679999999999998E-2</v>
      </c>
      <c r="H46" s="153">
        <f>+'[1]Rates in detail'!N46-'[1]Rates in detail'!M46</f>
        <v>1.33E-3</v>
      </c>
      <c r="I46" s="153"/>
      <c r="J46" s="153"/>
      <c r="K46" s="153"/>
      <c r="L46" s="153"/>
      <c r="M46" s="153"/>
      <c r="N46" s="153"/>
      <c r="O46" s="153"/>
      <c r="P46" s="154"/>
      <c r="Q46" s="153">
        <f t="shared" si="2"/>
        <v>1.9009999999999999E-2</v>
      </c>
      <c r="R46" s="125">
        <f t="shared" si="3"/>
        <v>1.3300000000000013E-3</v>
      </c>
      <c r="T46" s="116"/>
      <c r="U46" s="116"/>
    </row>
    <row r="47" spans="1:21" s="42" customFormat="1" x14ac:dyDescent="0.25">
      <c r="A47" s="21">
        <f t="shared" si="0"/>
        <v>41</v>
      </c>
      <c r="B47" s="131" t="s">
        <v>76</v>
      </c>
      <c r="C47" s="37" t="s">
        <v>25</v>
      </c>
      <c r="D47" s="127">
        <f>+'[1]Rates in detail'!D47</f>
        <v>0.13275000000000001</v>
      </c>
      <c r="E47" s="127">
        <f>+'[1]Rates in detail'!I47-'[1]Rates in detail'!E47</f>
        <v>0</v>
      </c>
      <c r="F47" s="127">
        <f>+'[1]Rates in detail'!J47+'[1]Rates in detail'!K47-'[1]Rates in detail'!F47-'[1]Rates in detail'!G47</f>
        <v>0</v>
      </c>
      <c r="G47" s="127">
        <f t="shared" si="1"/>
        <v>0.13275000000000001</v>
      </c>
      <c r="H47" s="127">
        <f>+'[1]Rates in detail'!N47-'[1]Rates in detail'!M47</f>
        <v>7.2500000000000004E-3</v>
      </c>
      <c r="I47" s="127"/>
      <c r="J47" s="127"/>
      <c r="K47" s="127"/>
      <c r="L47" s="127"/>
      <c r="M47" s="127"/>
      <c r="N47" s="127"/>
      <c r="O47" s="127"/>
      <c r="P47" s="155"/>
      <c r="Q47" s="127">
        <f>+G47+H47+P47</f>
        <v>0.14000000000000001</v>
      </c>
      <c r="R47" s="127">
        <f t="shared" si="3"/>
        <v>7.2500000000000064E-3</v>
      </c>
      <c r="T47" s="116"/>
      <c r="U47" s="116"/>
    </row>
    <row r="48" spans="1:21" s="42" customFormat="1" x14ac:dyDescent="0.25">
      <c r="A48" s="21">
        <f t="shared" si="0"/>
        <v>42</v>
      </c>
      <c r="B48" s="131"/>
      <c r="C48" s="37" t="s">
        <v>26</v>
      </c>
      <c r="D48" s="127">
        <f>+'[1]Rates in detail'!D48</f>
        <v>0.11882999999999998</v>
      </c>
      <c r="E48" s="127">
        <f>+'[1]Rates in detail'!I48-'[1]Rates in detail'!E48</f>
        <v>0</v>
      </c>
      <c r="F48" s="127">
        <f>+'[1]Rates in detail'!J48+'[1]Rates in detail'!K48-'[1]Rates in detail'!F48-'[1]Rates in detail'!G48</f>
        <v>0</v>
      </c>
      <c r="G48" s="127">
        <f t="shared" si="1"/>
        <v>0.11882999999999998</v>
      </c>
      <c r="H48" s="127">
        <f>+'[1]Rates in detail'!N48-'[1]Rates in detail'!M48</f>
        <v>6.4799999999999996E-3</v>
      </c>
      <c r="I48" s="127"/>
      <c r="J48" s="127"/>
      <c r="K48" s="127"/>
      <c r="L48" s="127"/>
      <c r="M48" s="127"/>
      <c r="N48" s="127"/>
      <c r="O48" s="127"/>
      <c r="P48" s="155"/>
      <c r="Q48" s="127">
        <f t="shared" si="2"/>
        <v>0.12530999999999998</v>
      </c>
      <c r="R48" s="127">
        <f t="shared" si="3"/>
        <v>6.4799999999999996E-3</v>
      </c>
      <c r="T48" s="116"/>
      <c r="U48" s="116"/>
    </row>
    <row r="49" spans="1:21" s="42" customFormat="1" x14ac:dyDescent="0.25">
      <c r="A49" s="21">
        <f t="shared" si="0"/>
        <v>43</v>
      </c>
      <c r="B49" s="131"/>
      <c r="C49" s="37" t="s">
        <v>32</v>
      </c>
      <c r="D49" s="127">
        <f>+'[1]Rates in detail'!D49</f>
        <v>9.1120000000000007E-2</v>
      </c>
      <c r="E49" s="127">
        <f>+'[1]Rates in detail'!I49-'[1]Rates in detail'!E49</f>
        <v>0</v>
      </c>
      <c r="F49" s="127">
        <f>+'[1]Rates in detail'!J49+'[1]Rates in detail'!K49-'[1]Rates in detail'!F49-'[1]Rates in detail'!G49</f>
        <v>0</v>
      </c>
      <c r="G49" s="127">
        <f t="shared" si="1"/>
        <v>9.1120000000000007E-2</v>
      </c>
      <c r="H49" s="127">
        <f>+'[1]Rates in detail'!N49-'[1]Rates in detail'!M49</f>
        <v>4.9800000000000001E-3</v>
      </c>
      <c r="I49" s="127"/>
      <c r="J49" s="127"/>
      <c r="K49" s="127"/>
      <c r="L49" s="127"/>
      <c r="M49" s="127"/>
      <c r="N49" s="127"/>
      <c r="O49" s="127"/>
      <c r="P49" s="155"/>
      <c r="Q49" s="127">
        <f t="shared" si="2"/>
        <v>9.6100000000000005E-2</v>
      </c>
      <c r="R49" s="127">
        <f t="shared" si="3"/>
        <v>4.9799999999999983E-3</v>
      </c>
      <c r="T49" s="116"/>
      <c r="U49" s="116"/>
    </row>
    <row r="50" spans="1:21" s="42" customFormat="1" x14ac:dyDescent="0.25">
      <c r="A50" s="21">
        <f t="shared" si="0"/>
        <v>44</v>
      </c>
      <c r="B50" s="131"/>
      <c r="C50" s="37" t="s">
        <v>33</v>
      </c>
      <c r="D50" s="127">
        <f>+'[1]Rates in detail'!D50</f>
        <v>7.2910000000000016E-2</v>
      </c>
      <c r="E50" s="127">
        <f>+'[1]Rates in detail'!I50-'[1]Rates in detail'!E50</f>
        <v>0</v>
      </c>
      <c r="F50" s="127">
        <f>+'[1]Rates in detail'!J50+'[1]Rates in detail'!K50-'[1]Rates in detail'!F50-'[1]Rates in detail'!G50</f>
        <v>0</v>
      </c>
      <c r="G50" s="127">
        <f t="shared" si="1"/>
        <v>7.2910000000000016E-2</v>
      </c>
      <c r="H50" s="127">
        <f>+'[1]Rates in detail'!N50-'[1]Rates in detail'!M50</f>
        <v>3.9699999999999996E-3</v>
      </c>
      <c r="I50" s="127"/>
      <c r="J50" s="127"/>
      <c r="K50" s="127"/>
      <c r="L50" s="127"/>
      <c r="M50" s="127"/>
      <c r="N50" s="127"/>
      <c r="O50" s="127"/>
      <c r="P50" s="155"/>
      <c r="Q50" s="127">
        <f t="shared" si="2"/>
        <v>7.6880000000000018E-2</v>
      </c>
      <c r="R50" s="127">
        <f t="shared" si="3"/>
        <v>3.9700000000000013E-3</v>
      </c>
      <c r="T50" s="116"/>
      <c r="U50" s="116"/>
    </row>
    <row r="51" spans="1:21" s="42" customFormat="1" x14ac:dyDescent="0.25">
      <c r="A51" s="21">
        <f t="shared" si="0"/>
        <v>45</v>
      </c>
      <c r="B51" s="131"/>
      <c r="C51" s="37" t="s">
        <v>34</v>
      </c>
      <c r="D51" s="127">
        <f>+'[1]Rates in detail'!D51</f>
        <v>4.8600000000000004E-2</v>
      </c>
      <c r="E51" s="127">
        <f>+'[1]Rates in detail'!I51-'[1]Rates in detail'!E51</f>
        <v>0</v>
      </c>
      <c r="F51" s="127">
        <f>+'[1]Rates in detail'!J51+'[1]Rates in detail'!K51-'[1]Rates in detail'!F51-'[1]Rates in detail'!G51</f>
        <v>0</v>
      </c>
      <c r="G51" s="127">
        <f t="shared" si="1"/>
        <v>4.8600000000000004E-2</v>
      </c>
      <c r="H51" s="127">
        <f>+'[1]Rates in detail'!N51-'[1]Rates in detail'!M51</f>
        <v>2.6500000000000004E-3</v>
      </c>
      <c r="I51" s="127"/>
      <c r="J51" s="127"/>
      <c r="K51" s="127"/>
      <c r="L51" s="127"/>
      <c r="M51" s="127"/>
      <c r="N51" s="127"/>
      <c r="O51" s="127"/>
      <c r="P51" s="155"/>
      <c r="Q51" s="127">
        <f t="shared" si="2"/>
        <v>5.1250000000000004E-2</v>
      </c>
      <c r="R51" s="127">
        <f t="shared" si="3"/>
        <v>2.6499999999999996E-3</v>
      </c>
      <c r="T51" s="116"/>
      <c r="U51" s="116"/>
    </row>
    <row r="52" spans="1:21" s="42" customFormat="1" x14ac:dyDescent="0.25">
      <c r="A52" s="21">
        <f t="shared" si="0"/>
        <v>46</v>
      </c>
      <c r="B52" s="132"/>
      <c r="C52" s="156" t="s">
        <v>35</v>
      </c>
      <c r="D52" s="125">
        <f>+'[1]Rates in detail'!D52</f>
        <v>1.823E-2</v>
      </c>
      <c r="E52" s="125">
        <f>+'[1]Rates in detail'!I52-'[1]Rates in detail'!E52</f>
        <v>0</v>
      </c>
      <c r="F52" s="125">
        <f>+'[1]Rates in detail'!J52+'[1]Rates in detail'!K52-'[1]Rates in detail'!F52-'[1]Rates in detail'!G52</f>
        <v>0</v>
      </c>
      <c r="G52" s="125">
        <f t="shared" si="1"/>
        <v>1.823E-2</v>
      </c>
      <c r="H52" s="125">
        <f>+'[1]Rates in detail'!N52-'[1]Rates in detail'!M52</f>
        <v>9.8999999999999999E-4</v>
      </c>
      <c r="I52" s="125"/>
      <c r="J52" s="125"/>
      <c r="K52" s="125"/>
      <c r="L52" s="125"/>
      <c r="M52" s="125"/>
      <c r="N52" s="125"/>
      <c r="O52" s="125"/>
      <c r="P52" s="154"/>
      <c r="Q52" s="125">
        <f t="shared" si="2"/>
        <v>1.9220000000000001E-2</v>
      </c>
      <c r="R52" s="125">
        <f t="shared" si="3"/>
        <v>9.900000000000013E-4</v>
      </c>
      <c r="T52" s="116"/>
      <c r="U52" s="116"/>
    </row>
    <row r="53" spans="1:21" x14ac:dyDescent="0.25">
      <c r="A53" s="21">
        <f t="shared" si="0"/>
        <v>47</v>
      </c>
      <c r="B53" s="28" t="s">
        <v>37</v>
      </c>
      <c r="C53" s="37" t="s">
        <v>25</v>
      </c>
      <c r="D53" s="130">
        <f>+'[1]Rates in detail'!D53</f>
        <v>0.37347000000000002</v>
      </c>
      <c r="E53" s="127">
        <f>+'[1]Rates in detail'!I53-'[1]Rates in detail'!E53</f>
        <v>6.0420000000000001E-2</v>
      </c>
      <c r="F53" s="130">
        <f>+'[1]Rates in detail'!J53+'[1]Rates in detail'!K53-'[1]Rates in detail'!F53-'[1]Rates in detail'!G53</f>
        <v>0</v>
      </c>
      <c r="G53" s="130">
        <f t="shared" si="1"/>
        <v>0.43389</v>
      </c>
      <c r="H53" s="130">
        <f>+'[1]Rates in detail'!N53-'[1]Rates in detail'!M53</f>
        <v>-1.0400000000000006E-2</v>
      </c>
      <c r="I53" s="130"/>
      <c r="J53" s="130"/>
      <c r="K53" s="130"/>
      <c r="L53" s="130"/>
      <c r="M53" s="130"/>
      <c r="N53" s="130"/>
      <c r="O53" s="130"/>
      <c r="P53" s="155"/>
      <c r="Q53" s="130">
        <f t="shared" si="2"/>
        <v>0.42348999999999998</v>
      </c>
      <c r="R53" s="127">
        <f t="shared" si="3"/>
        <v>5.0019999999999953E-2</v>
      </c>
      <c r="T53" s="116"/>
      <c r="U53" s="116"/>
    </row>
    <row r="54" spans="1:21" x14ac:dyDescent="0.25">
      <c r="A54" s="21">
        <f t="shared" si="0"/>
        <v>48</v>
      </c>
      <c r="B54" s="28"/>
      <c r="C54" s="37" t="s">
        <v>26</v>
      </c>
      <c r="D54" s="130">
        <f>+'[1]Rates in detail'!D54</f>
        <v>0.3582499999999999</v>
      </c>
      <c r="E54" s="127">
        <f>+'[1]Rates in detail'!I54-'[1]Rates in detail'!E54</f>
        <v>6.0420000000000001E-2</v>
      </c>
      <c r="F54" s="130">
        <f>+'[1]Rates in detail'!J54+'[1]Rates in detail'!K54-'[1]Rates in detail'!F54-'[1]Rates in detail'!G54</f>
        <v>0</v>
      </c>
      <c r="G54" s="130">
        <f t="shared" si="1"/>
        <v>0.41866999999999988</v>
      </c>
      <c r="H54" s="130">
        <f>+'[1]Rates in detail'!N54-'[1]Rates in detail'!M54</f>
        <v>-1.1870000000000006E-2</v>
      </c>
      <c r="I54" s="130"/>
      <c r="J54" s="130"/>
      <c r="K54" s="130"/>
      <c r="L54" s="130"/>
      <c r="M54" s="130"/>
      <c r="N54" s="130"/>
      <c r="O54" s="130"/>
      <c r="P54" s="155"/>
      <c r="Q54" s="130">
        <f t="shared" si="2"/>
        <v>0.40679999999999988</v>
      </c>
      <c r="R54" s="127">
        <f t="shared" si="3"/>
        <v>4.8549999999999982E-2</v>
      </c>
      <c r="T54" s="116"/>
      <c r="U54" s="116"/>
    </row>
    <row r="55" spans="1:21" x14ac:dyDescent="0.25">
      <c r="A55" s="21">
        <f t="shared" si="0"/>
        <v>49</v>
      </c>
      <c r="B55" s="28"/>
      <c r="C55" s="37" t="s">
        <v>32</v>
      </c>
      <c r="D55" s="130">
        <f>+'[1]Rates in detail'!D55</f>
        <v>0.3279200000000001</v>
      </c>
      <c r="E55" s="127">
        <f>+'[1]Rates in detail'!I55-'[1]Rates in detail'!E55</f>
        <v>6.0420000000000001E-2</v>
      </c>
      <c r="F55" s="130">
        <f>+'[1]Rates in detail'!J55+'[1]Rates in detail'!K55-'[1]Rates in detail'!F55-'[1]Rates in detail'!G55</f>
        <v>0</v>
      </c>
      <c r="G55" s="130">
        <f t="shared" si="1"/>
        <v>0.38834000000000013</v>
      </c>
      <c r="H55" s="130">
        <f>+'[1]Rates in detail'!N55-'[1]Rates in detail'!M55</f>
        <v>-1.4729999999999993E-2</v>
      </c>
      <c r="I55" s="130"/>
      <c r="J55" s="130"/>
      <c r="K55" s="130"/>
      <c r="L55" s="130"/>
      <c r="M55" s="130"/>
      <c r="N55" s="130"/>
      <c r="O55" s="130"/>
      <c r="P55" s="155"/>
      <c r="Q55" s="130">
        <f t="shared" si="2"/>
        <v>0.37361000000000011</v>
      </c>
      <c r="R55" s="127">
        <f t="shared" si="3"/>
        <v>4.5690000000000008E-2</v>
      </c>
      <c r="T55" s="116"/>
      <c r="U55" s="116"/>
    </row>
    <row r="56" spans="1:21" x14ac:dyDescent="0.25">
      <c r="A56" s="21">
        <f t="shared" si="0"/>
        <v>50</v>
      </c>
      <c r="B56" s="28"/>
      <c r="C56" s="37" t="s">
        <v>33</v>
      </c>
      <c r="D56" s="130">
        <f>+'[1]Rates in detail'!D56</f>
        <v>0.30798999999999999</v>
      </c>
      <c r="E56" s="127">
        <f>+'[1]Rates in detail'!I56-'[1]Rates in detail'!E56</f>
        <v>6.0420000000000001E-2</v>
      </c>
      <c r="F56" s="130">
        <f>+'[1]Rates in detail'!J56+'[1]Rates in detail'!K56-'[1]Rates in detail'!F56-'[1]Rates in detail'!G56</f>
        <v>0</v>
      </c>
      <c r="G56" s="130">
        <f t="shared" si="1"/>
        <v>0.36841000000000002</v>
      </c>
      <c r="H56" s="130">
        <f>+'[1]Rates in detail'!N56-'[1]Rates in detail'!M56</f>
        <v>-1.661E-2</v>
      </c>
      <c r="I56" s="130"/>
      <c r="J56" s="130"/>
      <c r="K56" s="130"/>
      <c r="L56" s="130"/>
      <c r="M56" s="130"/>
      <c r="N56" s="130"/>
      <c r="O56" s="130"/>
      <c r="P56" s="155"/>
      <c r="Q56" s="130">
        <f t="shared" si="2"/>
        <v>0.3518</v>
      </c>
      <c r="R56" s="127">
        <f t="shared" si="3"/>
        <v>4.3810000000000016E-2</v>
      </c>
      <c r="T56" s="116"/>
      <c r="U56" s="116"/>
    </row>
    <row r="57" spans="1:21" x14ac:dyDescent="0.25">
      <c r="A57" s="21">
        <f t="shared" si="0"/>
        <v>51</v>
      </c>
      <c r="B57" s="28"/>
      <c r="C57" s="37" t="s">
        <v>34</v>
      </c>
      <c r="D57" s="130">
        <f>+'[1]Rates in detail'!D57</f>
        <v>0.28140999999999999</v>
      </c>
      <c r="E57" s="127">
        <f>+'[1]Rates in detail'!I57-'[1]Rates in detail'!E57</f>
        <v>6.0420000000000001E-2</v>
      </c>
      <c r="F57" s="130">
        <f>+'[1]Rates in detail'!J57+'[1]Rates in detail'!K57-'[1]Rates in detail'!F57-'[1]Rates in detail'!G57</f>
        <v>0</v>
      </c>
      <c r="G57" s="130">
        <f t="shared" si="1"/>
        <v>0.34182999999999997</v>
      </c>
      <c r="H57" s="130">
        <f>+'[1]Rates in detail'!N57-'[1]Rates in detail'!M57</f>
        <v>-1.9139999999999997E-2</v>
      </c>
      <c r="I57" s="130"/>
      <c r="J57" s="130"/>
      <c r="K57" s="130"/>
      <c r="L57" s="130"/>
      <c r="M57" s="130"/>
      <c r="N57" s="130"/>
      <c r="O57" s="130"/>
      <c r="P57" s="155"/>
      <c r="Q57" s="130">
        <f t="shared" si="2"/>
        <v>0.32268999999999998</v>
      </c>
      <c r="R57" s="127">
        <f t="shared" si="3"/>
        <v>4.1279999999999983E-2</v>
      </c>
      <c r="T57" s="116"/>
      <c r="U57" s="116"/>
    </row>
    <row r="58" spans="1:21" x14ac:dyDescent="0.25">
      <c r="A58" s="21">
        <f t="shared" si="0"/>
        <v>52</v>
      </c>
      <c r="B58" s="36"/>
      <c r="C58" s="156" t="s">
        <v>35</v>
      </c>
      <c r="D58" s="153">
        <f>+'[1]Rates in detail'!D58</f>
        <v>0.24818999999999991</v>
      </c>
      <c r="E58" s="125">
        <f>+'[1]Rates in detail'!I58-'[1]Rates in detail'!E58</f>
        <v>6.0420000000000001E-2</v>
      </c>
      <c r="F58" s="153">
        <f>+'[1]Rates in detail'!J58+'[1]Rates in detail'!K58-'[1]Rates in detail'!F58-'[1]Rates in detail'!G58</f>
        <v>0</v>
      </c>
      <c r="G58" s="153">
        <f t="shared" si="1"/>
        <v>0.30860999999999994</v>
      </c>
      <c r="H58" s="153">
        <f>+'[1]Rates in detail'!N58-'[1]Rates in detail'!M58</f>
        <v>-2.2290000000000001E-2</v>
      </c>
      <c r="I58" s="153"/>
      <c r="J58" s="153"/>
      <c r="K58" s="153"/>
      <c r="L58" s="153"/>
      <c r="M58" s="153"/>
      <c r="N58" s="153"/>
      <c r="O58" s="153"/>
      <c r="P58" s="154"/>
      <c r="Q58" s="153">
        <f t="shared" si="2"/>
        <v>0.28631999999999996</v>
      </c>
      <c r="R58" s="125">
        <f t="shared" si="3"/>
        <v>3.8130000000000053E-2</v>
      </c>
      <c r="T58" s="116"/>
      <c r="U58" s="116"/>
    </row>
    <row r="59" spans="1:21" x14ac:dyDescent="0.25">
      <c r="A59" s="21">
        <f t="shared" si="0"/>
        <v>53</v>
      </c>
      <c r="B59" s="28" t="s">
        <v>38</v>
      </c>
      <c r="C59" s="37" t="s">
        <v>25</v>
      </c>
      <c r="D59" s="130">
        <f>+'[1]Rates in detail'!D59</f>
        <v>0.36416999999999994</v>
      </c>
      <c r="E59" s="127">
        <f>+'[1]Rates in detail'!I59-'[1]Rates in detail'!E59</f>
        <v>6.0420000000000001E-2</v>
      </c>
      <c r="F59" s="130">
        <f>+'[1]Rates in detail'!J59+'[1]Rates in detail'!K59-'[1]Rates in detail'!F59-'[1]Rates in detail'!G59</f>
        <v>0</v>
      </c>
      <c r="G59" s="130">
        <f t="shared" si="1"/>
        <v>0.42458999999999991</v>
      </c>
      <c r="H59" s="130">
        <f>+'[1]Rates in detail'!N59-'[1]Rates in detail'!M59</f>
        <v>-8.4499999999999957E-3</v>
      </c>
      <c r="I59" s="130"/>
      <c r="J59" s="130"/>
      <c r="K59" s="130"/>
      <c r="L59" s="130"/>
      <c r="M59" s="130"/>
      <c r="N59" s="130"/>
      <c r="O59" s="130"/>
      <c r="P59" s="155"/>
      <c r="Q59" s="130">
        <f t="shared" si="2"/>
        <v>0.4161399999999999</v>
      </c>
      <c r="R59" s="127">
        <f t="shared" si="3"/>
        <v>5.1969999999999961E-2</v>
      </c>
      <c r="T59" s="116"/>
      <c r="U59" s="116"/>
    </row>
    <row r="60" spans="1:21" x14ac:dyDescent="0.25">
      <c r="A60" s="21">
        <f t="shared" si="0"/>
        <v>54</v>
      </c>
      <c r="B60" s="28"/>
      <c r="C60" s="37" t="s">
        <v>26</v>
      </c>
      <c r="D60" s="130">
        <f>+'[1]Rates in detail'!D60</f>
        <v>0.34992999999999991</v>
      </c>
      <c r="E60" s="127">
        <f>+'[1]Rates in detail'!I60-'[1]Rates in detail'!E60</f>
        <v>6.0420000000000001E-2</v>
      </c>
      <c r="F60" s="130">
        <f>+'[1]Rates in detail'!J60+'[1]Rates in detail'!K60-'[1]Rates in detail'!F60-'[1]Rates in detail'!G60</f>
        <v>0</v>
      </c>
      <c r="G60" s="130">
        <f t="shared" si="1"/>
        <v>0.41034999999999988</v>
      </c>
      <c r="H60" s="130">
        <f>+'[1]Rates in detail'!N60-'[1]Rates in detail'!M60</f>
        <v>-1.0119999999999999E-2</v>
      </c>
      <c r="I60" s="130"/>
      <c r="J60" s="130"/>
      <c r="K60" s="130"/>
      <c r="L60" s="130"/>
      <c r="M60" s="130"/>
      <c r="N60" s="130"/>
      <c r="O60" s="130"/>
      <c r="P60" s="155"/>
      <c r="Q60" s="130">
        <f t="shared" si="2"/>
        <v>0.40022999999999986</v>
      </c>
      <c r="R60" s="127">
        <f t="shared" si="3"/>
        <v>5.0299999999999956E-2</v>
      </c>
      <c r="T60" s="116"/>
      <c r="U60" s="116"/>
    </row>
    <row r="61" spans="1:21" x14ac:dyDescent="0.25">
      <c r="A61" s="21">
        <f t="shared" si="0"/>
        <v>55</v>
      </c>
      <c r="B61" s="28"/>
      <c r="C61" s="37" t="s">
        <v>32</v>
      </c>
      <c r="D61" s="130">
        <f>+'[1]Rates in detail'!D61</f>
        <v>0.32155000000000006</v>
      </c>
      <c r="E61" s="127">
        <f>+'[1]Rates in detail'!I61-'[1]Rates in detail'!E61</f>
        <v>6.0420000000000001E-2</v>
      </c>
      <c r="F61" s="130">
        <f>+'[1]Rates in detail'!J61+'[1]Rates in detail'!K61-'[1]Rates in detail'!F61-'[1]Rates in detail'!G61</f>
        <v>0</v>
      </c>
      <c r="G61" s="130">
        <f t="shared" si="1"/>
        <v>0.38197000000000003</v>
      </c>
      <c r="H61" s="130">
        <f>+'[1]Rates in detail'!N61-'[1]Rates in detail'!M61</f>
        <v>-1.3389999999999999E-2</v>
      </c>
      <c r="I61" s="130"/>
      <c r="J61" s="130"/>
      <c r="K61" s="130"/>
      <c r="L61" s="130"/>
      <c r="M61" s="130"/>
      <c r="N61" s="130"/>
      <c r="O61" s="130"/>
      <c r="P61" s="155"/>
      <c r="Q61" s="130">
        <f t="shared" si="2"/>
        <v>0.36858000000000002</v>
      </c>
      <c r="R61" s="127">
        <f t="shared" si="3"/>
        <v>4.7029999999999961E-2</v>
      </c>
      <c r="T61" s="116"/>
      <c r="U61" s="116"/>
    </row>
    <row r="62" spans="1:21" x14ac:dyDescent="0.25">
      <c r="A62" s="21">
        <f t="shared" si="0"/>
        <v>56</v>
      </c>
      <c r="B62" s="28"/>
      <c r="C62" s="37" t="s">
        <v>33</v>
      </c>
      <c r="D62" s="130">
        <f>+'[1]Rates in detail'!D62</f>
        <v>0.30288999999999983</v>
      </c>
      <c r="E62" s="127">
        <f>+'[1]Rates in detail'!I62-'[1]Rates in detail'!E62</f>
        <v>6.0420000000000001E-2</v>
      </c>
      <c r="F62" s="130">
        <f>+'[1]Rates in detail'!J62+'[1]Rates in detail'!K62-'[1]Rates in detail'!F62-'[1]Rates in detail'!G62</f>
        <v>0</v>
      </c>
      <c r="G62" s="130">
        <f t="shared" si="1"/>
        <v>0.3633099999999998</v>
      </c>
      <c r="H62" s="130">
        <f>+'[1]Rates in detail'!N62-'[1]Rates in detail'!M62</f>
        <v>-1.5539999999999998E-2</v>
      </c>
      <c r="I62" s="130"/>
      <c r="J62" s="130"/>
      <c r="K62" s="130"/>
      <c r="L62" s="130"/>
      <c r="M62" s="130"/>
      <c r="N62" s="130"/>
      <c r="O62" s="130"/>
      <c r="P62" s="155"/>
      <c r="Q62" s="130">
        <f t="shared" si="2"/>
        <v>0.3477699999999998</v>
      </c>
      <c r="R62" s="127">
        <f t="shared" si="3"/>
        <v>4.4879999999999975E-2</v>
      </c>
      <c r="T62" s="116"/>
      <c r="U62" s="116"/>
    </row>
    <row r="63" spans="1:21" x14ac:dyDescent="0.25">
      <c r="A63" s="21">
        <f t="shared" si="0"/>
        <v>57</v>
      </c>
      <c r="B63" s="28"/>
      <c r="C63" s="37" t="s">
        <v>34</v>
      </c>
      <c r="D63" s="130">
        <f>+'[1]Rates in detail'!D63</f>
        <v>0.27800000000000002</v>
      </c>
      <c r="E63" s="127">
        <f>+'[1]Rates in detail'!I63-'[1]Rates in detail'!E63</f>
        <v>6.0420000000000001E-2</v>
      </c>
      <c r="F63" s="130">
        <f>+'[1]Rates in detail'!J63+'[1]Rates in detail'!K63-'[1]Rates in detail'!F63-'[1]Rates in detail'!G63</f>
        <v>0</v>
      </c>
      <c r="G63" s="130">
        <f t="shared" si="1"/>
        <v>0.33842000000000005</v>
      </c>
      <c r="H63" s="130">
        <f>+'[1]Rates in detail'!N63-'[1]Rates in detail'!M63</f>
        <v>-1.8399999999999996E-2</v>
      </c>
      <c r="I63" s="130"/>
      <c r="J63" s="130"/>
      <c r="K63" s="130"/>
      <c r="L63" s="130"/>
      <c r="M63" s="130"/>
      <c r="N63" s="130"/>
      <c r="O63" s="130"/>
      <c r="P63" s="155"/>
      <c r="Q63" s="130">
        <f t="shared" si="2"/>
        <v>0.32002000000000008</v>
      </c>
      <c r="R63" s="127">
        <f t="shared" si="3"/>
        <v>4.2020000000000057E-2</v>
      </c>
      <c r="T63" s="116"/>
      <c r="U63" s="116"/>
    </row>
    <row r="64" spans="1:21" x14ac:dyDescent="0.25">
      <c r="A64" s="21">
        <f t="shared" si="0"/>
        <v>58</v>
      </c>
      <c r="B64" s="36"/>
      <c r="C64" s="156" t="s">
        <v>35</v>
      </c>
      <c r="D64" s="153">
        <f>+'[1]Rates in detail'!D64</f>
        <v>0.24689999999999993</v>
      </c>
      <c r="E64" s="125">
        <f>+'[1]Rates in detail'!I64-'[1]Rates in detail'!E64</f>
        <v>6.0420000000000001E-2</v>
      </c>
      <c r="F64" s="153">
        <f>+'[1]Rates in detail'!J64+'[1]Rates in detail'!K64-'[1]Rates in detail'!F64-'[1]Rates in detail'!G64</f>
        <v>0</v>
      </c>
      <c r="G64" s="153">
        <f t="shared" si="1"/>
        <v>0.30731999999999993</v>
      </c>
      <c r="H64" s="153">
        <f>+'[1]Rates in detail'!N64-'[1]Rates in detail'!M64</f>
        <v>-2.2019999999999998E-2</v>
      </c>
      <c r="I64" s="153"/>
      <c r="J64" s="153"/>
      <c r="K64" s="153"/>
      <c r="L64" s="153"/>
      <c r="M64" s="153"/>
      <c r="N64" s="153"/>
      <c r="O64" s="153"/>
      <c r="P64" s="154"/>
      <c r="Q64" s="153">
        <f t="shared" si="2"/>
        <v>0.28529999999999994</v>
      </c>
      <c r="R64" s="125">
        <f t="shared" si="3"/>
        <v>3.8400000000000017E-2</v>
      </c>
      <c r="T64" s="116"/>
      <c r="U64" s="116"/>
    </row>
    <row r="65" spans="1:21" x14ac:dyDescent="0.25">
      <c r="A65" s="21">
        <f t="shared" si="0"/>
        <v>59</v>
      </c>
      <c r="B65" s="28" t="s">
        <v>39</v>
      </c>
      <c r="C65" s="37" t="s">
        <v>25</v>
      </c>
      <c r="D65" s="157">
        <f>+'[1]Rates in detail'!D65</f>
        <v>0.12573999999999999</v>
      </c>
      <c r="E65" s="158">
        <f>+'[1]Rates in detail'!I65-'[1]Rates in detail'!E65</f>
        <v>0</v>
      </c>
      <c r="F65" s="157">
        <f>+'[1]Rates in detail'!J65+'[1]Rates in detail'!K65-'[1]Rates in detail'!F65-'[1]Rates in detail'!G65</f>
        <v>0</v>
      </c>
      <c r="G65" s="157">
        <f t="shared" si="1"/>
        <v>0.12573999999999999</v>
      </c>
      <c r="H65" s="157">
        <f>+'[1]Rates in detail'!N65-'[1]Rates in detail'!M65</f>
        <v>8.8599999999999998E-3</v>
      </c>
      <c r="I65" s="157"/>
      <c r="J65" s="157"/>
      <c r="K65" s="157"/>
      <c r="L65" s="157"/>
      <c r="M65" s="157"/>
      <c r="N65" s="157"/>
      <c r="O65" s="157"/>
      <c r="P65" s="159"/>
      <c r="Q65" s="157">
        <f t="shared" si="2"/>
        <v>0.1346</v>
      </c>
      <c r="R65" s="158">
        <f t="shared" si="3"/>
        <v>8.8600000000000068E-3</v>
      </c>
      <c r="T65" s="116"/>
      <c r="U65" s="116"/>
    </row>
    <row r="66" spans="1:21" x14ac:dyDescent="0.25">
      <c r="A66" s="21">
        <f t="shared" si="0"/>
        <v>60</v>
      </c>
      <c r="B66" s="28"/>
      <c r="C66" s="37" t="s">
        <v>26</v>
      </c>
      <c r="D66" s="158">
        <f>+'[1]Rates in detail'!D66</f>
        <v>0.11255999999999999</v>
      </c>
      <c r="E66" s="158">
        <f>+'[1]Rates in detail'!I66-'[1]Rates in detail'!E66</f>
        <v>0</v>
      </c>
      <c r="F66" s="158">
        <f>+'[1]Rates in detail'!J66+'[1]Rates in detail'!K66-'[1]Rates in detail'!F66-'[1]Rates in detail'!G66</f>
        <v>0</v>
      </c>
      <c r="G66" s="158">
        <f t="shared" si="1"/>
        <v>0.11255999999999999</v>
      </c>
      <c r="H66" s="158">
        <f>+'[1]Rates in detail'!N66-'[1]Rates in detail'!M66</f>
        <v>7.9299999999999995E-3</v>
      </c>
      <c r="I66" s="158"/>
      <c r="J66" s="158"/>
      <c r="K66" s="158"/>
      <c r="L66" s="158"/>
      <c r="M66" s="158"/>
      <c r="N66" s="158"/>
      <c r="O66" s="158"/>
      <c r="P66" s="159"/>
      <c r="Q66" s="158">
        <f t="shared" si="2"/>
        <v>0.12048999999999999</v>
      </c>
      <c r="R66" s="158">
        <f t="shared" si="3"/>
        <v>7.9299999999999926E-3</v>
      </c>
      <c r="T66" s="116"/>
      <c r="U66" s="116"/>
    </row>
    <row r="67" spans="1:21" x14ac:dyDescent="0.25">
      <c r="A67" s="21">
        <f t="shared" si="0"/>
        <v>61</v>
      </c>
      <c r="B67" s="28"/>
      <c r="C67" s="37" t="s">
        <v>32</v>
      </c>
      <c r="D67" s="158">
        <f>+'[1]Rates in detail'!D67</f>
        <v>8.6309999999999998E-2</v>
      </c>
      <c r="E67" s="158">
        <f>+'[1]Rates in detail'!I67-'[1]Rates in detail'!E67</f>
        <v>0</v>
      </c>
      <c r="F67" s="158">
        <f>+'[1]Rates in detail'!J67+'[1]Rates in detail'!K67-'[1]Rates in detail'!F67-'[1]Rates in detail'!G67</f>
        <v>0</v>
      </c>
      <c r="G67" s="158">
        <f t="shared" si="1"/>
        <v>8.6309999999999998E-2</v>
      </c>
      <c r="H67" s="158">
        <f>+'[1]Rates in detail'!N67-'[1]Rates in detail'!M67</f>
        <v>6.0700000000000007E-3</v>
      </c>
      <c r="I67" s="158"/>
      <c r="J67" s="158"/>
      <c r="K67" s="158"/>
      <c r="L67" s="158"/>
      <c r="M67" s="158"/>
      <c r="N67" s="158"/>
      <c r="O67" s="158"/>
      <c r="P67" s="159"/>
      <c r="Q67" s="158">
        <f t="shared" si="2"/>
        <v>9.2380000000000004E-2</v>
      </c>
      <c r="R67" s="158">
        <f t="shared" si="3"/>
        <v>6.0700000000000059E-3</v>
      </c>
      <c r="T67" s="116"/>
      <c r="U67" s="116"/>
    </row>
    <row r="68" spans="1:21" x14ac:dyDescent="0.25">
      <c r="A68" s="21">
        <f t="shared" si="0"/>
        <v>62</v>
      </c>
      <c r="B68" s="28"/>
      <c r="C68" s="37" t="s">
        <v>33</v>
      </c>
      <c r="D68" s="158">
        <f>+'[1]Rates in detail'!D68</f>
        <v>6.9059999999999996E-2</v>
      </c>
      <c r="E68" s="158">
        <f>+'[1]Rates in detail'!I68-'[1]Rates in detail'!E68</f>
        <v>0</v>
      </c>
      <c r="F68" s="158">
        <f>+'[1]Rates in detail'!J68+'[1]Rates in detail'!K68-'[1]Rates in detail'!F68-'[1]Rates in detail'!G68</f>
        <v>0</v>
      </c>
      <c r="G68" s="158">
        <f t="shared" si="1"/>
        <v>6.9059999999999996E-2</v>
      </c>
      <c r="H68" s="158">
        <f>+'[1]Rates in detail'!N68-'[1]Rates in detail'!M68</f>
        <v>4.8599999999999997E-3</v>
      </c>
      <c r="I68" s="158"/>
      <c r="J68" s="158"/>
      <c r="K68" s="158"/>
      <c r="L68" s="158"/>
      <c r="M68" s="158"/>
      <c r="N68" s="158"/>
      <c r="O68" s="158"/>
      <c r="P68" s="159"/>
      <c r="Q68" s="158">
        <f t="shared" si="2"/>
        <v>7.392E-2</v>
      </c>
      <c r="R68" s="158">
        <f t="shared" si="3"/>
        <v>4.8600000000000032E-3</v>
      </c>
      <c r="T68" s="116"/>
      <c r="U68" s="116"/>
    </row>
    <row r="69" spans="1:21" x14ac:dyDescent="0.25">
      <c r="A69" s="21">
        <f t="shared" si="0"/>
        <v>63</v>
      </c>
      <c r="B69" s="28"/>
      <c r="C69" s="37" t="s">
        <v>34</v>
      </c>
      <c r="D69" s="158">
        <f>+'[1]Rates in detail'!D69</f>
        <v>4.6050000000000001E-2</v>
      </c>
      <c r="E69" s="158">
        <f>+'[1]Rates in detail'!I69-'[1]Rates in detail'!E69</f>
        <v>0</v>
      </c>
      <c r="F69" s="158">
        <f>+'[1]Rates in detail'!J69+'[1]Rates in detail'!K69-'[1]Rates in detail'!F69-'[1]Rates in detail'!G69</f>
        <v>0</v>
      </c>
      <c r="G69" s="158">
        <f t="shared" si="1"/>
        <v>4.6050000000000001E-2</v>
      </c>
      <c r="H69" s="158">
        <f>+'[1]Rates in detail'!N69-'[1]Rates in detail'!M69</f>
        <v>3.2400000000000003E-3</v>
      </c>
      <c r="I69" s="158"/>
      <c r="J69" s="158"/>
      <c r="K69" s="158"/>
      <c r="L69" s="158"/>
      <c r="M69" s="158"/>
      <c r="N69" s="158"/>
      <c r="O69" s="158"/>
      <c r="P69" s="159"/>
      <c r="Q69" s="158">
        <f t="shared" si="2"/>
        <v>4.929E-2</v>
      </c>
      <c r="R69" s="158">
        <f t="shared" si="3"/>
        <v>3.2399999999999998E-3</v>
      </c>
      <c r="T69" s="116"/>
      <c r="U69" s="116"/>
    </row>
    <row r="70" spans="1:21" x14ac:dyDescent="0.25">
      <c r="A70" s="21">
        <f t="shared" si="0"/>
        <v>64</v>
      </c>
      <c r="B70" s="36"/>
      <c r="C70" s="156" t="s">
        <v>35</v>
      </c>
      <c r="D70" s="160">
        <f>+'[1]Rates in detail'!D70</f>
        <v>1.7250000000000001E-2</v>
      </c>
      <c r="E70" s="160">
        <f>+'[1]Rates in detail'!I70-'[1]Rates in detail'!E70</f>
        <v>0</v>
      </c>
      <c r="F70" s="160">
        <f>+'[1]Rates in detail'!J70+'[1]Rates in detail'!K70-'[1]Rates in detail'!F70-'[1]Rates in detail'!G70</f>
        <v>0</v>
      </c>
      <c r="G70" s="160">
        <f t="shared" si="1"/>
        <v>1.7250000000000001E-2</v>
      </c>
      <c r="H70" s="160">
        <f>+'[1]Rates in detail'!N70-'[1]Rates in detail'!M70</f>
        <v>1.2100000000000001E-3</v>
      </c>
      <c r="I70" s="160"/>
      <c r="J70" s="160"/>
      <c r="K70" s="160"/>
      <c r="L70" s="160"/>
      <c r="M70" s="160"/>
      <c r="N70" s="160"/>
      <c r="O70" s="160"/>
      <c r="P70" s="161"/>
      <c r="Q70" s="160">
        <f t="shared" si="2"/>
        <v>1.8460000000000001E-2</v>
      </c>
      <c r="R70" s="160">
        <f t="shared" si="3"/>
        <v>1.2099999999999993E-3</v>
      </c>
      <c r="T70" s="116"/>
      <c r="U70" s="116"/>
    </row>
    <row r="71" spans="1:21" x14ac:dyDescent="0.25">
      <c r="A71" s="21">
        <f t="shared" si="0"/>
        <v>65</v>
      </c>
      <c r="B71" s="36" t="s">
        <v>40</v>
      </c>
      <c r="C71" s="36"/>
      <c r="D71" s="135">
        <f>+'[1]Rates in detail'!D71</f>
        <v>4.5599999999999998E-3</v>
      </c>
      <c r="E71" s="135">
        <f>+'[1]Rates in detail'!I71-'[1]Rates in detail'!E71</f>
        <v>0</v>
      </c>
      <c r="F71" s="135">
        <f>+'[1]Rates in detail'!J71+'[1]Rates in detail'!K71-'[1]Rates in detail'!F71-'[1]Rates in detail'!G71</f>
        <v>0</v>
      </c>
      <c r="G71" s="135">
        <f t="shared" si="1"/>
        <v>4.5599999999999998E-3</v>
      </c>
      <c r="H71" s="135">
        <f>+'[1]Rates in detail'!N71-'[1]Rates in detail'!M71</f>
        <v>3.6000000000000008E-4</v>
      </c>
      <c r="I71" s="135"/>
      <c r="J71" s="135"/>
      <c r="K71" s="135"/>
      <c r="L71" s="135"/>
      <c r="M71" s="135"/>
      <c r="N71" s="135"/>
      <c r="O71" s="135"/>
      <c r="P71" s="162"/>
      <c r="Q71" s="135">
        <f t="shared" si="2"/>
        <v>4.9199999999999999E-3</v>
      </c>
      <c r="R71" s="135">
        <f t="shared" si="3"/>
        <v>3.6000000000000008E-4</v>
      </c>
      <c r="T71" s="116"/>
      <c r="U71" s="116"/>
    </row>
    <row r="72" spans="1:21" x14ac:dyDescent="0.25">
      <c r="A72" s="21">
        <f t="shared" ref="A72:A80" si="4">+A71+1</f>
        <v>66</v>
      </c>
      <c r="B72" s="32" t="s">
        <v>41</v>
      </c>
      <c r="C72" s="32"/>
      <c r="D72" s="160">
        <f>+'[1]Rates in detail'!D72</f>
        <v>4.5599999999999998E-3</v>
      </c>
      <c r="E72" s="160">
        <f>+'[1]Rates in detail'!I72-'[1]Rates in detail'!E72</f>
        <v>0</v>
      </c>
      <c r="F72" s="160">
        <f>+'[1]Rates in detail'!J72+'[1]Rates in detail'!K72-'[1]Rates in detail'!F72-'[1]Rates in detail'!G72</f>
        <v>0</v>
      </c>
      <c r="G72" s="160">
        <f t="shared" si="1"/>
        <v>4.5599999999999998E-3</v>
      </c>
      <c r="H72" s="160">
        <f>+'[1]Rates in detail'!N72-'[1]Rates in detail'!M72</f>
        <v>3.6000000000000008E-4</v>
      </c>
      <c r="I72" s="160"/>
      <c r="J72" s="160"/>
      <c r="K72" s="160"/>
      <c r="L72" s="160"/>
      <c r="M72" s="160"/>
      <c r="N72" s="160"/>
      <c r="O72" s="160"/>
      <c r="P72" s="161"/>
      <c r="Q72" s="160">
        <f t="shared" si="2"/>
        <v>4.9199999999999999E-3</v>
      </c>
      <c r="R72" s="160">
        <f t="shared" si="3"/>
        <v>3.6000000000000008E-4</v>
      </c>
      <c r="T72" s="116"/>
      <c r="U72" s="116"/>
    </row>
    <row r="73" spans="1:21" x14ac:dyDescent="0.25">
      <c r="A73" s="21">
        <f t="shared" si="4"/>
        <v>67</v>
      </c>
      <c r="B73" s="32" t="s">
        <v>42</v>
      </c>
      <c r="C73" s="32"/>
      <c r="D73" s="111"/>
      <c r="E73" s="160"/>
      <c r="F73" s="111"/>
      <c r="G73" s="111"/>
      <c r="H73" s="111"/>
      <c r="I73" s="111"/>
      <c r="J73" s="111"/>
      <c r="K73" s="111"/>
      <c r="L73" s="111"/>
      <c r="M73" s="111"/>
      <c r="N73" s="111"/>
      <c r="O73" s="111"/>
      <c r="P73" s="161"/>
      <c r="Q73" s="111"/>
      <c r="R73" s="160"/>
      <c r="T73" s="116"/>
      <c r="U73" s="116"/>
    </row>
    <row r="74" spans="1:21" x14ac:dyDescent="0.25">
      <c r="A74" s="21">
        <f t="shared" si="4"/>
        <v>68</v>
      </c>
      <c r="P74" s="163"/>
      <c r="T74" s="130"/>
    </row>
    <row r="75" spans="1:21" ht="15.75" thickBot="1" x14ac:dyDescent="0.3">
      <c r="A75" s="21">
        <f t="shared" si="4"/>
        <v>69</v>
      </c>
      <c r="B75" s="43" t="s">
        <v>66</v>
      </c>
      <c r="P75" s="163"/>
      <c r="T75" s="130"/>
    </row>
    <row r="76" spans="1:21" ht="15.75" thickBot="1" x14ac:dyDescent="0.3">
      <c r="A76" s="21">
        <f t="shared" si="4"/>
        <v>70</v>
      </c>
      <c r="B76" s="114" t="s">
        <v>67</v>
      </c>
      <c r="C76" s="24"/>
      <c r="D76" s="45" t="str">
        <f>'[1]Rates in detail'!D76</f>
        <v>2019-20 PGA+GRC</v>
      </c>
      <c r="E76" s="139"/>
      <c r="F76" s="138"/>
      <c r="G76" s="138"/>
      <c r="H76" s="138"/>
      <c r="I76" s="138"/>
      <c r="J76" s="138"/>
      <c r="K76" s="138"/>
      <c r="L76" s="138"/>
      <c r="M76" s="138"/>
      <c r="N76" s="138"/>
      <c r="O76" s="138"/>
      <c r="P76" s="164"/>
      <c r="Q76" s="138"/>
      <c r="T76" s="130"/>
    </row>
    <row r="77" spans="1:21" ht="15.75" thickBot="1" x14ac:dyDescent="0.3">
      <c r="A77" s="21">
        <f t="shared" si="4"/>
        <v>71</v>
      </c>
      <c r="P77" s="163"/>
      <c r="T77" s="130"/>
    </row>
    <row r="78" spans="1:21" ht="15.75" thickBot="1" x14ac:dyDescent="0.3">
      <c r="A78" s="21">
        <f t="shared" si="4"/>
        <v>72</v>
      </c>
      <c r="B78" s="114" t="s">
        <v>111</v>
      </c>
      <c r="C78" s="24"/>
      <c r="D78" s="44"/>
      <c r="E78" s="45" t="s">
        <v>112</v>
      </c>
      <c r="F78" s="45" t="s">
        <v>113</v>
      </c>
      <c r="G78" s="44"/>
      <c r="H78" s="45" t="s">
        <v>114</v>
      </c>
      <c r="I78" s="45"/>
      <c r="J78" s="45"/>
      <c r="K78" s="45"/>
      <c r="L78" s="45"/>
      <c r="M78" s="45"/>
      <c r="N78" s="45"/>
      <c r="O78" s="45"/>
      <c r="P78" s="165"/>
      <c r="Q78" s="45" t="s">
        <v>115</v>
      </c>
      <c r="T78" s="130"/>
    </row>
    <row r="79" spans="1:21" x14ac:dyDescent="0.25">
      <c r="A79" s="21">
        <f t="shared" si="4"/>
        <v>73</v>
      </c>
      <c r="T79" s="130"/>
    </row>
    <row r="80" spans="1:21" x14ac:dyDescent="0.25">
      <c r="A80" s="21">
        <f t="shared" si="4"/>
        <v>74</v>
      </c>
      <c r="B80" s="166" t="s">
        <v>116</v>
      </c>
      <c r="C80" s="167"/>
      <c r="D80" s="167"/>
      <c r="E80" s="168"/>
      <c r="F80" s="167"/>
      <c r="G80" s="167"/>
      <c r="H80" s="167"/>
      <c r="I80" s="167"/>
      <c r="J80" s="167"/>
      <c r="K80" s="167"/>
      <c r="L80" s="167"/>
      <c r="M80" s="167"/>
      <c r="N80" s="167"/>
      <c r="O80" s="167"/>
      <c r="P80" s="168"/>
      <c r="Q80" s="167"/>
      <c r="T80" s="130"/>
    </row>
    <row r="81" spans="1:17" x14ac:dyDescent="0.25">
      <c r="A81" s="21"/>
      <c r="B81" s="167"/>
      <c r="C81" s="167"/>
      <c r="D81" s="167"/>
      <c r="E81" s="168"/>
      <c r="F81" s="167"/>
      <c r="G81" s="167"/>
      <c r="H81" s="167"/>
      <c r="I81" s="167"/>
      <c r="J81" s="167"/>
      <c r="K81" s="167"/>
      <c r="L81" s="167"/>
      <c r="M81" s="167"/>
      <c r="N81" s="167"/>
      <c r="O81" s="167"/>
      <c r="P81" s="168"/>
      <c r="Q81" s="167"/>
    </row>
  </sheetData>
  <pageMargins left="0.7" right="0.7" top="0.75" bottom="0.75" header="0.3" footer="0.3"/>
  <pageSetup scale="50" fitToWidth="0" orientation="portrait" horizontalDpi="1200" verticalDpi="1200" r:id="rId1"/>
  <headerFooter>
    <oddHeader>&amp;RNWN WUTC Advice 20-10
Exhibit A - Supporting Materials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4D52-DEA1-43AB-814A-F465E2E7DAEA}">
  <dimension ref="A1:Z83"/>
  <sheetViews>
    <sheetView topLeftCell="A15" zoomScaleNormal="100" workbookViewId="0">
      <selection activeCell="O15" sqref="O15"/>
    </sheetView>
  </sheetViews>
  <sheetFormatPr defaultColWidth="8" defaultRowHeight="15" outlineLevelCol="1" x14ac:dyDescent="0.25"/>
  <cols>
    <col min="1" max="1" width="5.85546875" style="18" customWidth="1"/>
    <col min="2" max="2" width="16.28515625" style="1" customWidth="1"/>
    <col min="3" max="3" width="8.85546875" style="1" customWidth="1"/>
    <col min="4" max="8" width="12.7109375" style="1" customWidth="1"/>
    <col min="9" max="9" width="12.7109375" style="20" customWidth="1"/>
    <col min="10" max="12" width="12.7109375" style="1" customWidth="1"/>
    <col min="13" max="13" width="14.7109375" style="1" customWidth="1"/>
    <col min="14" max="14" width="15.140625" style="1" customWidth="1"/>
    <col min="15" max="20" width="12.7109375" style="1" hidden="1" customWidth="1" outlineLevel="1"/>
    <col min="21" max="21" width="14.7109375" style="163" hidden="1" customWidth="1" outlineLevel="1"/>
    <col min="22" max="22" width="13.5703125" style="1" customWidth="1" collapsed="1"/>
    <col min="23" max="23" width="13.5703125" style="20" customWidth="1"/>
    <col min="24" max="24" width="10.85546875" style="18" customWidth="1"/>
    <col min="25" max="16384" width="8" style="18"/>
  </cols>
  <sheetData>
    <row r="1" spans="1:26" x14ac:dyDescent="0.25">
      <c r="A1" s="17" t="str">
        <f>+'[1]Washington volumes'!A1</f>
        <v>NW Natural</v>
      </c>
    </row>
    <row r="2" spans="1:26" x14ac:dyDescent="0.25">
      <c r="A2" s="17" t="str">
        <f>+'[1]Washington volumes'!A2</f>
        <v>Rates &amp; Regulatory Affairs</v>
      </c>
      <c r="G2" s="141"/>
      <c r="H2" s="141"/>
      <c r="I2" s="142"/>
    </row>
    <row r="3" spans="1:26" x14ac:dyDescent="0.25">
      <c r="A3" s="17" t="str">
        <f>+'[1]Washington volumes'!A3</f>
        <v>2020-2021 PGA Filing - Washington: September Filing</v>
      </c>
      <c r="I3" s="117"/>
      <c r="M3" s="141"/>
      <c r="N3" s="141"/>
    </row>
    <row r="4" spans="1:26" x14ac:dyDescent="0.25">
      <c r="A4" s="17" t="s">
        <v>117</v>
      </c>
      <c r="H4" s="141"/>
      <c r="I4" s="142"/>
      <c r="L4" s="141"/>
      <c r="N4" s="141"/>
    </row>
    <row r="5" spans="1:26" x14ac:dyDescent="0.25">
      <c r="H5" s="141"/>
      <c r="I5" s="169"/>
      <c r="J5" s="170"/>
      <c r="L5" s="170"/>
      <c r="M5" s="171"/>
    </row>
    <row r="6" spans="1:26" x14ac:dyDescent="0.25">
      <c r="H6" s="141"/>
    </row>
    <row r="7" spans="1:26" x14ac:dyDescent="0.25">
      <c r="A7" s="21">
        <v>1</v>
      </c>
      <c r="E7" s="172"/>
      <c r="F7" s="23" t="s">
        <v>118</v>
      </c>
      <c r="G7" s="23" t="s">
        <v>118</v>
      </c>
      <c r="H7" s="150"/>
      <c r="I7" s="173"/>
      <c r="J7" s="23" t="s">
        <v>119</v>
      </c>
      <c r="K7" s="23" t="s">
        <v>119</v>
      </c>
      <c r="L7" s="23"/>
      <c r="M7" s="62" t="s">
        <v>118</v>
      </c>
      <c r="N7" s="23" t="s">
        <v>119</v>
      </c>
      <c r="O7" s="23"/>
      <c r="P7" s="23"/>
      <c r="Q7" s="23"/>
      <c r="R7" s="23"/>
      <c r="S7" s="23"/>
      <c r="T7" s="23"/>
      <c r="U7" s="174" t="s">
        <v>119</v>
      </c>
      <c r="V7" s="145">
        <f>+EFFDATE</f>
        <v>44136</v>
      </c>
      <c r="W7" s="175"/>
    </row>
    <row r="8" spans="1:26" x14ac:dyDescent="0.25">
      <c r="A8" s="21">
        <f>+A7+1</f>
        <v>2</v>
      </c>
      <c r="D8" s="145">
        <f>+'[1]Avg Bill by RS'!H8</f>
        <v>43770</v>
      </c>
      <c r="E8" s="23" t="s">
        <v>118</v>
      </c>
      <c r="F8" s="23" t="s">
        <v>47</v>
      </c>
      <c r="G8" s="23" t="s">
        <v>47</v>
      </c>
      <c r="H8" s="172"/>
      <c r="I8" s="62" t="s">
        <v>119</v>
      </c>
      <c r="J8" s="145" t="s">
        <v>48</v>
      </c>
      <c r="K8" s="145" t="s">
        <v>48</v>
      </c>
      <c r="L8" s="23"/>
      <c r="M8" s="62" t="s">
        <v>47</v>
      </c>
      <c r="N8" s="145" t="s">
        <v>48</v>
      </c>
      <c r="O8" s="143"/>
      <c r="P8" s="143"/>
      <c r="Q8" s="143"/>
      <c r="R8" s="143"/>
      <c r="S8" s="143"/>
      <c r="T8" s="143"/>
      <c r="U8" s="176" t="s">
        <v>120</v>
      </c>
      <c r="V8" s="23" t="s">
        <v>48</v>
      </c>
      <c r="W8" s="62"/>
      <c r="X8" s="177"/>
      <c r="Y8" s="178"/>
      <c r="Z8" s="178"/>
    </row>
    <row r="9" spans="1:26" x14ac:dyDescent="0.25">
      <c r="A9" s="21">
        <f t="shared" ref="A9:A72" si="0">+A8+1</f>
        <v>3</v>
      </c>
      <c r="D9" s="62" t="s">
        <v>2</v>
      </c>
      <c r="E9" s="23" t="s">
        <v>47</v>
      </c>
      <c r="F9" s="23" t="s">
        <v>121</v>
      </c>
      <c r="G9" s="23" t="s">
        <v>122</v>
      </c>
      <c r="H9" s="23"/>
      <c r="I9" s="175" t="s">
        <v>48</v>
      </c>
      <c r="J9" s="23" t="s">
        <v>121</v>
      </c>
      <c r="K9" s="23" t="s">
        <v>122</v>
      </c>
      <c r="L9" s="23"/>
      <c r="M9" s="62" t="s">
        <v>3</v>
      </c>
      <c r="N9" s="23" t="s">
        <v>3</v>
      </c>
      <c r="O9" s="146" t="s">
        <v>141</v>
      </c>
      <c r="P9" s="146" t="s">
        <v>141</v>
      </c>
      <c r="Q9" s="146" t="s">
        <v>141</v>
      </c>
      <c r="R9" s="146" t="s">
        <v>141</v>
      </c>
      <c r="S9" s="146" t="s">
        <v>141</v>
      </c>
      <c r="T9" s="146" t="s">
        <v>141</v>
      </c>
      <c r="U9" s="174" t="s">
        <v>102</v>
      </c>
      <c r="V9" s="23" t="s">
        <v>123</v>
      </c>
      <c r="W9" s="62"/>
    </row>
    <row r="10" spans="1:26" s="27" customFormat="1" ht="15.75" thickBot="1" x14ac:dyDescent="0.3">
      <c r="A10" s="21">
        <f t="shared" si="0"/>
        <v>4</v>
      </c>
      <c r="B10" s="179"/>
      <c r="C10" s="179"/>
      <c r="D10" s="26" t="s">
        <v>55</v>
      </c>
      <c r="E10" s="26" t="s">
        <v>104</v>
      </c>
      <c r="F10" s="26" t="s">
        <v>124</v>
      </c>
      <c r="G10" s="26" t="s">
        <v>124</v>
      </c>
      <c r="H10" s="26" t="s">
        <v>125</v>
      </c>
      <c r="I10" s="120" t="s">
        <v>104</v>
      </c>
      <c r="J10" s="26" t="s">
        <v>124</v>
      </c>
      <c r="K10" s="26" t="s">
        <v>124</v>
      </c>
      <c r="L10" s="26" t="s">
        <v>125</v>
      </c>
      <c r="M10" s="120" t="s">
        <v>126</v>
      </c>
      <c r="N10" s="26" t="s">
        <v>126</v>
      </c>
      <c r="O10" s="180" t="s">
        <v>142</v>
      </c>
      <c r="P10" s="180" t="s">
        <v>142</v>
      </c>
      <c r="Q10" s="180" t="s">
        <v>142</v>
      </c>
      <c r="R10" s="180" t="s">
        <v>142</v>
      </c>
      <c r="S10" s="180" t="s">
        <v>142</v>
      </c>
      <c r="T10" s="180" t="s">
        <v>142</v>
      </c>
      <c r="U10" s="181" t="s">
        <v>55</v>
      </c>
      <c r="V10" s="26" t="s">
        <v>108</v>
      </c>
      <c r="W10" s="123"/>
      <c r="X10" s="150"/>
    </row>
    <row r="11" spans="1:26" s="27" customFormat="1" x14ac:dyDescent="0.25">
      <c r="A11" s="21">
        <f t="shared" si="0"/>
        <v>5</v>
      </c>
      <c r="B11" s="1"/>
      <c r="C11" s="1"/>
      <c r="D11" s="19"/>
      <c r="E11" s="19"/>
      <c r="F11" s="19"/>
      <c r="G11" s="19"/>
      <c r="H11" s="150" t="s">
        <v>127</v>
      </c>
      <c r="I11" s="62"/>
      <c r="J11" s="23"/>
      <c r="K11" s="23"/>
      <c r="L11" s="23" t="s">
        <v>128</v>
      </c>
      <c r="M11" s="23"/>
      <c r="N11" s="23"/>
      <c r="O11" s="23"/>
      <c r="P11" s="23"/>
      <c r="Q11" s="23"/>
      <c r="R11" s="23"/>
      <c r="S11" s="23"/>
      <c r="T11" s="23"/>
      <c r="U11" s="174"/>
      <c r="V11" s="23" t="s">
        <v>129</v>
      </c>
      <c r="W11" s="62"/>
      <c r="X11" s="177"/>
    </row>
    <row r="12" spans="1:26" s="27" customFormat="1" x14ac:dyDescent="0.25">
      <c r="A12" s="21">
        <f t="shared" si="0"/>
        <v>6</v>
      </c>
      <c r="B12" s="29" t="s">
        <v>10</v>
      </c>
      <c r="C12" s="29" t="s">
        <v>11</v>
      </c>
      <c r="D12" s="30" t="s">
        <v>12</v>
      </c>
      <c r="E12" s="30" t="s">
        <v>13</v>
      </c>
      <c r="F12" s="30" t="s">
        <v>14</v>
      </c>
      <c r="G12" s="30" t="s">
        <v>15</v>
      </c>
      <c r="H12" s="30" t="s">
        <v>16</v>
      </c>
      <c r="I12" s="31" t="s">
        <v>59</v>
      </c>
      <c r="J12" s="30" t="s">
        <v>17</v>
      </c>
      <c r="K12" s="30" t="s">
        <v>18</v>
      </c>
      <c r="L12" s="30" t="s">
        <v>94</v>
      </c>
      <c r="M12" s="30" t="s">
        <v>95</v>
      </c>
      <c r="N12" s="30" t="s">
        <v>96</v>
      </c>
      <c r="O12" s="30"/>
      <c r="P12" s="30"/>
      <c r="Q12" s="30"/>
      <c r="R12" s="30"/>
      <c r="S12" s="30"/>
      <c r="T12" s="30"/>
      <c r="U12" s="152" t="s">
        <v>97</v>
      </c>
      <c r="V12" s="30" t="s">
        <v>97</v>
      </c>
      <c r="W12" s="123"/>
      <c r="X12" s="177"/>
    </row>
    <row r="13" spans="1:26" x14ac:dyDescent="0.25">
      <c r="A13" s="21">
        <f t="shared" si="0"/>
        <v>7</v>
      </c>
      <c r="B13" s="32" t="s">
        <v>19</v>
      </c>
      <c r="C13" s="32"/>
      <c r="D13" s="182">
        <v>1.0488600000000001</v>
      </c>
      <c r="E13" s="183">
        <v>0.20291000000000001</v>
      </c>
      <c r="F13" s="183">
        <v>0.1109</v>
      </c>
      <c r="G13" s="183">
        <v>0</v>
      </c>
      <c r="H13" s="153">
        <f>+D13-SUM(E13:G13)</f>
        <v>0.73505000000000009</v>
      </c>
      <c r="I13" s="184">
        <f>+[1]Inputs!B16</f>
        <v>0.26333000000000001</v>
      </c>
      <c r="J13" s="185">
        <f>+[1]Inputs!B18</f>
        <v>0.10141</v>
      </c>
      <c r="K13" s="153">
        <v>0</v>
      </c>
      <c r="L13" s="153">
        <f>SUM(H13:K13)</f>
        <v>1.09979</v>
      </c>
      <c r="M13" s="125">
        <f>+[1]Temporaries!D13</f>
        <v>5.8519999999999996E-2</v>
      </c>
      <c r="N13" s="125">
        <f>+[1]Temporaries!U13</f>
        <v>0.11125999999999998</v>
      </c>
      <c r="O13" s="153"/>
      <c r="P13" s="153"/>
      <c r="Q13" s="153"/>
      <c r="R13" s="153"/>
      <c r="S13" s="153"/>
      <c r="T13" s="153"/>
      <c r="U13" s="154"/>
      <c r="V13" s="153">
        <f>+L13-M13+N13+U13</f>
        <v>1.1525300000000001</v>
      </c>
      <c r="W13" s="127"/>
      <c r="X13" s="187"/>
    </row>
    <row r="14" spans="1:26" x14ac:dyDescent="0.25">
      <c r="A14" s="21">
        <f t="shared" si="0"/>
        <v>8</v>
      </c>
      <c r="B14" s="32" t="s">
        <v>20</v>
      </c>
      <c r="C14" s="32"/>
      <c r="D14" s="182">
        <v>1.0947099999999996</v>
      </c>
      <c r="E14" s="125">
        <f>+$E$13</f>
        <v>0.20291000000000001</v>
      </c>
      <c r="F14" s="125">
        <f>+$F$13</f>
        <v>0.1109</v>
      </c>
      <c r="G14" s="125">
        <f>G13</f>
        <v>0</v>
      </c>
      <c r="H14" s="153">
        <f t="shared" ref="H14:H72" si="1">+D14-SUM(E14:G14)</f>
        <v>0.78089999999999959</v>
      </c>
      <c r="I14" s="184">
        <f t="shared" ref="I14:I20" si="2">+$I$13</f>
        <v>0.26333000000000001</v>
      </c>
      <c r="J14" s="185">
        <f>+$J$13</f>
        <v>0.10141</v>
      </c>
      <c r="K14" s="153">
        <v>0</v>
      </c>
      <c r="L14" s="153">
        <f t="shared" ref="L14:L72" si="3">SUM(H14:K14)</f>
        <v>1.1456399999999995</v>
      </c>
      <c r="M14" s="153">
        <f>+[1]Temporaries!D14</f>
        <v>4.9410000000000009E-2</v>
      </c>
      <c r="N14" s="153">
        <f>+[1]Temporaries!U14</f>
        <v>9.3060000000000004E-2</v>
      </c>
      <c r="O14" s="153"/>
      <c r="P14" s="153"/>
      <c r="Q14" s="153"/>
      <c r="R14" s="153"/>
      <c r="S14" s="153"/>
      <c r="T14" s="153"/>
      <c r="U14" s="154"/>
      <c r="V14" s="153">
        <f t="shared" ref="V14:V72" si="4">+L14-M14+N14+U14</f>
        <v>1.1892899999999995</v>
      </c>
      <c r="W14" s="127"/>
      <c r="X14" s="177"/>
    </row>
    <row r="15" spans="1:26" x14ac:dyDescent="0.25">
      <c r="A15" s="21">
        <f t="shared" si="0"/>
        <v>9</v>
      </c>
      <c r="B15" s="32" t="s">
        <v>21</v>
      </c>
      <c r="C15" s="32"/>
      <c r="D15" s="182">
        <v>0.81020999999999987</v>
      </c>
      <c r="E15" s="125">
        <f t="shared" ref="E15:E22" si="5">+$E$13</f>
        <v>0.20291000000000001</v>
      </c>
      <c r="F15" s="125">
        <f>+$F$13</f>
        <v>0.1109</v>
      </c>
      <c r="G15" s="125">
        <f>G14</f>
        <v>0</v>
      </c>
      <c r="H15" s="153">
        <f t="shared" si="1"/>
        <v>0.49639999999999984</v>
      </c>
      <c r="I15" s="184">
        <f t="shared" si="2"/>
        <v>0.26333000000000001</v>
      </c>
      <c r="J15" s="185">
        <f>+$J$13</f>
        <v>0.10141</v>
      </c>
      <c r="K15" s="153">
        <v>0</v>
      </c>
      <c r="L15" s="153">
        <f t="shared" si="3"/>
        <v>0.86113999999999979</v>
      </c>
      <c r="M15" s="153">
        <f>+[1]Temporaries!D15</f>
        <v>3.8239999999999996E-2</v>
      </c>
      <c r="N15" s="125">
        <f>+[1]Temporaries!U15</f>
        <v>6.6579999999999986E-2</v>
      </c>
      <c r="O15" s="153"/>
      <c r="P15" s="153"/>
      <c r="Q15" s="153"/>
      <c r="R15" s="153"/>
      <c r="S15" s="153"/>
      <c r="T15" s="153"/>
      <c r="U15" s="154"/>
      <c r="V15" s="153">
        <f t="shared" si="4"/>
        <v>0.88947999999999972</v>
      </c>
      <c r="W15" s="127"/>
      <c r="X15" s="177"/>
    </row>
    <row r="16" spans="1:26" x14ac:dyDescent="0.25">
      <c r="A16" s="21">
        <f t="shared" si="0"/>
        <v>10</v>
      </c>
      <c r="B16" s="32" t="s">
        <v>22</v>
      </c>
      <c r="C16" s="32"/>
      <c r="D16" s="182">
        <v>0.79219000000000017</v>
      </c>
      <c r="E16" s="125">
        <f t="shared" si="5"/>
        <v>0.20291000000000001</v>
      </c>
      <c r="F16" s="125">
        <f>+$F$13</f>
        <v>0.1109</v>
      </c>
      <c r="G16" s="125">
        <f>G15</f>
        <v>0</v>
      </c>
      <c r="H16" s="153">
        <f t="shared" si="1"/>
        <v>0.47838000000000014</v>
      </c>
      <c r="I16" s="184">
        <f t="shared" si="2"/>
        <v>0.26333000000000001</v>
      </c>
      <c r="J16" s="185">
        <f>+$J$13</f>
        <v>0.10141</v>
      </c>
      <c r="K16" s="153">
        <v>0</v>
      </c>
      <c r="L16" s="153">
        <f t="shared" si="3"/>
        <v>0.84312000000000009</v>
      </c>
      <c r="M16" s="153">
        <f>+[1]Temporaries!D16</f>
        <v>3.4699999999999995E-2</v>
      </c>
      <c r="N16" s="125">
        <f>+[1]Temporaries!U16</f>
        <v>5.8480000000000004E-2</v>
      </c>
      <c r="O16" s="153"/>
      <c r="P16" s="153"/>
      <c r="Q16" s="153"/>
      <c r="R16" s="153"/>
      <c r="S16" s="153"/>
      <c r="T16" s="153"/>
      <c r="U16" s="154"/>
      <c r="V16" s="153">
        <f t="shared" si="4"/>
        <v>0.86690000000000011</v>
      </c>
      <c r="W16" s="127"/>
      <c r="X16" s="177"/>
    </row>
    <row r="17" spans="1:24" x14ac:dyDescent="0.25">
      <c r="A17" s="21">
        <f t="shared" si="0"/>
        <v>11</v>
      </c>
      <c r="B17" s="32" t="s">
        <v>23</v>
      </c>
      <c r="C17" s="32"/>
      <c r="D17" s="182">
        <v>0.76294999999999957</v>
      </c>
      <c r="E17" s="125">
        <f t="shared" si="5"/>
        <v>0.20291000000000001</v>
      </c>
      <c r="F17" s="125">
        <f>+$F$13</f>
        <v>0.1109</v>
      </c>
      <c r="G17" s="188"/>
      <c r="H17" s="153">
        <f t="shared" si="1"/>
        <v>0.44913999999999954</v>
      </c>
      <c r="I17" s="184">
        <f t="shared" si="2"/>
        <v>0.26333000000000001</v>
      </c>
      <c r="J17" s="185">
        <f>+$J$13</f>
        <v>0.10141</v>
      </c>
      <c r="K17" s="153">
        <v>0</v>
      </c>
      <c r="L17" s="153">
        <f t="shared" si="3"/>
        <v>0.81387999999999949</v>
      </c>
      <c r="M17" s="153">
        <f>+[1]Temporaries!D17</f>
        <v>-1.3350000000000002E-2</v>
      </c>
      <c r="N17" s="125">
        <f>+[1]Temporaries!U17</f>
        <v>-8.9999999999999802E-5</v>
      </c>
      <c r="O17" s="153"/>
      <c r="P17" s="153"/>
      <c r="Q17" s="153"/>
      <c r="R17" s="153"/>
      <c r="S17" s="153"/>
      <c r="T17" s="153"/>
      <c r="U17" s="154"/>
      <c r="V17" s="153">
        <f t="shared" si="4"/>
        <v>0.82713999999999943</v>
      </c>
      <c r="W17" s="127"/>
      <c r="X17" s="177"/>
    </row>
    <row r="18" spans="1:24" x14ac:dyDescent="0.25">
      <c r="A18" s="21">
        <f t="shared" si="0"/>
        <v>12</v>
      </c>
      <c r="B18" s="36">
        <v>27</v>
      </c>
      <c r="C18" s="36"/>
      <c r="D18" s="182">
        <v>0.58290999999999971</v>
      </c>
      <c r="E18" s="125">
        <f t="shared" si="5"/>
        <v>0.20291000000000001</v>
      </c>
      <c r="F18" s="125">
        <f>+$F$13</f>
        <v>0.1109</v>
      </c>
      <c r="G18" s="188"/>
      <c r="H18" s="153">
        <f t="shared" si="1"/>
        <v>0.26909999999999967</v>
      </c>
      <c r="I18" s="184">
        <f t="shared" si="2"/>
        <v>0.26333000000000001</v>
      </c>
      <c r="J18" s="185">
        <f>+$J$13</f>
        <v>0.10141</v>
      </c>
      <c r="K18" s="153">
        <v>0</v>
      </c>
      <c r="L18" s="153">
        <f t="shared" si="3"/>
        <v>0.63383999999999974</v>
      </c>
      <c r="M18" s="153">
        <f>+[1]Temporaries!D18</f>
        <v>2.8219999999999992E-2</v>
      </c>
      <c r="N18" s="125">
        <f>+[1]Temporaries!U18</f>
        <v>3.8710000000000001E-2</v>
      </c>
      <c r="O18" s="153"/>
      <c r="P18" s="153"/>
      <c r="Q18" s="153"/>
      <c r="R18" s="153"/>
      <c r="S18" s="153"/>
      <c r="T18" s="153"/>
      <c r="U18" s="154"/>
      <c r="V18" s="153">
        <f t="shared" si="4"/>
        <v>0.64432999999999974</v>
      </c>
      <c r="W18" s="127"/>
      <c r="X18" s="177"/>
    </row>
    <row r="19" spans="1:24" x14ac:dyDescent="0.25">
      <c r="A19" s="21">
        <f t="shared" si="0"/>
        <v>13</v>
      </c>
      <c r="B19" s="28" t="s">
        <v>24</v>
      </c>
      <c r="C19" s="37" t="s">
        <v>25</v>
      </c>
      <c r="D19" s="189">
        <v>0.57634000000000019</v>
      </c>
      <c r="E19" s="127">
        <f t="shared" si="5"/>
        <v>0.20291000000000001</v>
      </c>
      <c r="F19" s="190"/>
      <c r="G19" s="191"/>
      <c r="H19" s="130">
        <f t="shared" si="1"/>
        <v>0.37343000000000015</v>
      </c>
      <c r="I19" s="192">
        <f t="shared" si="2"/>
        <v>0.26333000000000001</v>
      </c>
      <c r="J19" s="186"/>
      <c r="K19" s="130"/>
      <c r="L19" s="130">
        <f t="shared" si="3"/>
        <v>0.63676000000000021</v>
      </c>
      <c r="M19" s="130">
        <f>+[1]Temporaries!D19</f>
        <v>2.8689999999999997E-2</v>
      </c>
      <c r="N19" s="127">
        <f>+[1]Temporaries!U19</f>
        <v>4.3429999999999996E-2</v>
      </c>
      <c r="O19" s="130"/>
      <c r="P19" s="130"/>
      <c r="Q19" s="130"/>
      <c r="R19" s="130"/>
      <c r="S19" s="130"/>
      <c r="T19" s="130"/>
      <c r="U19" s="155"/>
      <c r="V19" s="130">
        <f t="shared" si="4"/>
        <v>0.65150000000000019</v>
      </c>
      <c r="W19" s="127"/>
      <c r="X19" s="177"/>
    </row>
    <row r="20" spans="1:24" x14ac:dyDescent="0.25">
      <c r="A20" s="21">
        <f t="shared" si="0"/>
        <v>14</v>
      </c>
      <c r="B20" s="36"/>
      <c r="C20" s="156" t="s">
        <v>26</v>
      </c>
      <c r="D20" s="182">
        <v>0.53271000000000002</v>
      </c>
      <c r="E20" s="125">
        <f t="shared" si="5"/>
        <v>0.20291000000000001</v>
      </c>
      <c r="F20" s="183"/>
      <c r="G20" s="188"/>
      <c r="H20" s="153">
        <f t="shared" si="1"/>
        <v>0.32979999999999998</v>
      </c>
      <c r="I20" s="184">
        <f t="shared" si="2"/>
        <v>0.26333000000000001</v>
      </c>
      <c r="J20" s="185"/>
      <c r="K20" s="153"/>
      <c r="L20" s="153">
        <f t="shared" si="3"/>
        <v>0.59312999999999994</v>
      </c>
      <c r="M20" s="153">
        <f>+[1]Temporaries!D20</f>
        <v>2.6029999999999994E-2</v>
      </c>
      <c r="N20" s="125">
        <f>+[1]Temporaries!U20</f>
        <v>3.7170000000000002E-2</v>
      </c>
      <c r="O20" s="153"/>
      <c r="P20" s="153"/>
      <c r="Q20" s="153"/>
      <c r="R20" s="153"/>
      <c r="S20" s="153"/>
      <c r="T20" s="153"/>
      <c r="U20" s="154"/>
      <c r="V20" s="153">
        <f t="shared" si="4"/>
        <v>0.60426999999999997</v>
      </c>
      <c r="W20" s="127"/>
      <c r="X20" s="177"/>
    </row>
    <row r="21" spans="1:24" x14ac:dyDescent="0.25">
      <c r="A21" s="21">
        <f t="shared" si="0"/>
        <v>15</v>
      </c>
      <c r="B21" s="28" t="s">
        <v>27</v>
      </c>
      <c r="C21" s="37" t="s">
        <v>25</v>
      </c>
      <c r="D21" s="189">
        <v>0.59162000000000003</v>
      </c>
      <c r="E21" s="127">
        <f t="shared" si="5"/>
        <v>0.20291000000000001</v>
      </c>
      <c r="F21" s="190"/>
      <c r="G21" s="191"/>
      <c r="H21" s="130">
        <f>+D21-SUM(E21:G21)</f>
        <v>0.38871</v>
      </c>
      <c r="I21" s="192">
        <f>+$I$13</f>
        <v>0.26333000000000001</v>
      </c>
      <c r="J21" s="186"/>
      <c r="K21" s="193"/>
      <c r="L21" s="130">
        <f>SUM(H21:K21)</f>
        <v>0.65203999999999995</v>
      </c>
      <c r="M21" s="130">
        <f>+[1]Temporaries!D21</f>
        <v>4.4980000000000006E-2</v>
      </c>
      <c r="N21" s="127">
        <f>+[1]Temporaries!U21</f>
        <v>5.3189999999999994E-2</v>
      </c>
      <c r="O21" s="130"/>
      <c r="P21" s="130"/>
      <c r="Q21" s="130"/>
      <c r="R21" s="130"/>
      <c r="S21" s="130"/>
      <c r="T21" s="130"/>
      <c r="U21" s="155"/>
      <c r="V21" s="130">
        <f t="shared" si="4"/>
        <v>0.66024999999999989</v>
      </c>
      <c r="W21" s="127"/>
      <c r="X21" s="177"/>
    </row>
    <row r="22" spans="1:24" x14ac:dyDescent="0.25">
      <c r="A22" s="21">
        <f t="shared" si="0"/>
        <v>16</v>
      </c>
      <c r="B22" s="36"/>
      <c r="C22" s="156" t="s">
        <v>26</v>
      </c>
      <c r="D22" s="182">
        <v>0.54839999999999989</v>
      </c>
      <c r="E22" s="125">
        <f t="shared" si="5"/>
        <v>0.20291000000000001</v>
      </c>
      <c r="F22" s="183"/>
      <c r="G22" s="188"/>
      <c r="H22" s="153">
        <f>+D22-SUM(E22:G22)</f>
        <v>0.34548999999999985</v>
      </c>
      <c r="I22" s="184">
        <f>+$I$13</f>
        <v>0.26333000000000001</v>
      </c>
      <c r="J22" s="185"/>
      <c r="K22" s="153"/>
      <c r="L22" s="153">
        <f>SUM(H22:K22)</f>
        <v>0.60881999999999992</v>
      </c>
      <c r="M22" s="153">
        <f>+[1]Temporaries!D22</f>
        <v>4.2639999999999997E-2</v>
      </c>
      <c r="N22" s="125">
        <f>+[1]Temporaries!U22</f>
        <v>4.6990000000000004E-2</v>
      </c>
      <c r="O22" s="153"/>
      <c r="P22" s="153"/>
      <c r="Q22" s="153"/>
      <c r="R22" s="153"/>
      <c r="S22" s="153"/>
      <c r="T22" s="153"/>
      <c r="U22" s="154"/>
      <c r="V22" s="153">
        <f t="shared" si="4"/>
        <v>0.61316999999999988</v>
      </c>
      <c r="W22" s="127"/>
      <c r="X22" s="177"/>
    </row>
    <row r="23" spans="1:24" x14ac:dyDescent="0.25">
      <c r="A23" s="21">
        <f t="shared" si="0"/>
        <v>17</v>
      </c>
      <c r="B23" s="28" t="s">
        <v>28</v>
      </c>
      <c r="C23" s="37" t="s">
        <v>25</v>
      </c>
      <c r="D23" s="189">
        <v>0.32489000000000001</v>
      </c>
      <c r="E23" s="127">
        <v>0</v>
      </c>
      <c r="F23" s="190"/>
      <c r="G23" s="191"/>
      <c r="H23" s="130">
        <f t="shared" si="1"/>
        <v>0.32489000000000001</v>
      </c>
      <c r="I23" s="192">
        <v>0</v>
      </c>
      <c r="J23" s="186"/>
      <c r="K23" s="130"/>
      <c r="L23" s="130">
        <f t="shared" si="3"/>
        <v>0.32489000000000001</v>
      </c>
      <c r="M23" s="130">
        <f>+[1]Temporaries!D23</f>
        <v>-2.3020000000000002E-2</v>
      </c>
      <c r="N23" s="127">
        <f>+[1]Temporaries!U23</f>
        <v>1.5499999999999999E-3</v>
      </c>
      <c r="O23" s="130"/>
      <c r="P23" s="130"/>
      <c r="Q23" s="130"/>
      <c r="R23" s="130"/>
      <c r="S23" s="130"/>
      <c r="T23" s="130"/>
      <c r="U23" s="155"/>
      <c r="V23" s="130">
        <f t="shared" si="4"/>
        <v>0.34945999999999999</v>
      </c>
      <c r="W23" s="127"/>
      <c r="X23" s="177"/>
    </row>
    <row r="24" spans="1:24" x14ac:dyDescent="0.25">
      <c r="A24" s="21">
        <f t="shared" si="0"/>
        <v>18</v>
      </c>
      <c r="B24" s="36"/>
      <c r="C24" s="156" t="s">
        <v>26</v>
      </c>
      <c r="D24" s="182">
        <v>0.28625000000000006</v>
      </c>
      <c r="E24" s="125">
        <v>0</v>
      </c>
      <c r="F24" s="183"/>
      <c r="G24" s="188"/>
      <c r="H24" s="153">
        <f t="shared" si="1"/>
        <v>0.28625000000000006</v>
      </c>
      <c r="I24" s="184">
        <v>0</v>
      </c>
      <c r="J24" s="185"/>
      <c r="K24" s="153"/>
      <c r="L24" s="153">
        <f t="shared" si="3"/>
        <v>0.28625000000000006</v>
      </c>
      <c r="M24" s="153">
        <f>+[1]Temporaries!D24</f>
        <v>-2.0279999999999999E-2</v>
      </c>
      <c r="N24" s="125">
        <f>+[1]Temporaries!U24</f>
        <v>1.3600000000000001E-3</v>
      </c>
      <c r="O24" s="153"/>
      <c r="P24" s="153"/>
      <c r="Q24" s="153"/>
      <c r="R24" s="153"/>
      <c r="S24" s="153"/>
      <c r="T24" s="153"/>
      <c r="U24" s="154"/>
      <c r="V24" s="153">
        <f t="shared" si="4"/>
        <v>0.30789000000000011</v>
      </c>
      <c r="W24" s="127"/>
      <c r="X24" s="177"/>
    </row>
    <row r="25" spans="1:24" x14ac:dyDescent="0.25">
      <c r="A25" s="21">
        <f t="shared" si="0"/>
        <v>19</v>
      </c>
      <c r="B25" s="28" t="s">
        <v>29</v>
      </c>
      <c r="C25" s="37" t="s">
        <v>25</v>
      </c>
      <c r="D25" s="189">
        <v>0.53622000000000025</v>
      </c>
      <c r="E25" s="127">
        <f>+$E$13</f>
        <v>0.20291000000000001</v>
      </c>
      <c r="F25" s="190"/>
      <c r="G25" s="191"/>
      <c r="H25" s="130">
        <f>+D25-SUM(E25:G25)</f>
        <v>0.33331000000000022</v>
      </c>
      <c r="I25" s="192">
        <f>+$I$13</f>
        <v>0.26333000000000001</v>
      </c>
      <c r="J25" s="186"/>
      <c r="K25" s="130"/>
      <c r="L25" s="130">
        <f>SUM(H25:K25)</f>
        <v>0.59664000000000028</v>
      </c>
      <c r="M25" s="130">
        <f>+[1]Temporaries!D25</f>
        <v>-1.0850000000000005E-2</v>
      </c>
      <c r="N25" s="127">
        <f>+[1]Temporaries!U25</f>
        <v>-1.7200000000000002E-3</v>
      </c>
      <c r="O25" s="130"/>
      <c r="P25" s="130"/>
      <c r="Q25" s="130"/>
      <c r="R25" s="130"/>
      <c r="S25" s="130"/>
      <c r="T25" s="130"/>
      <c r="U25" s="155"/>
      <c r="V25" s="130">
        <f t="shared" si="4"/>
        <v>0.60577000000000025</v>
      </c>
      <c r="W25" s="127"/>
      <c r="X25" s="177"/>
    </row>
    <row r="26" spans="1:24" x14ac:dyDescent="0.25">
      <c r="A26" s="21">
        <f t="shared" si="0"/>
        <v>20</v>
      </c>
      <c r="B26" s="36"/>
      <c r="C26" s="156" t="s">
        <v>26</v>
      </c>
      <c r="D26" s="182">
        <v>0.49735999999999991</v>
      </c>
      <c r="E26" s="125">
        <f>+$E$13</f>
        <v>0.20291000000000001</v>
      </c>
      <c r="F26" s="183"/>
      <c r="G26" s="188"/>
      <c r="H26" s="153">
        <f>+D26-SUM(E26:G26)</f>
        <v>0.29444999999999988</v>
      </c>
      <c r="I26" s="184">
        <f>+$I$13</f>
        <v>0.26333000000000001</v>
      </c>
      <c r="J26" s="185"/>
      <c r="K26" s="153"/>
      <c r="L26" s="153">
        <f>SUM(H26:K26)</f>
        <v>0.55777999999999994</v>
      </c>
      <c r="M26" s="153">
        <f>+[1]Temporaries!D26</f>
        <v>-8.8000000000000023E-3</v>
      </c>
      <c r="N26" s="125">
        <f>+[1]Temporaries!U26</f>
        <v>-2.6199999999999999E-3</v>
      </c>
      <c r="O26" s="153"/>
      <c r="P26" s="153"/>
      <c r="Q26" s="153"/>
      <c r="R26" s="153"/>
      <c r="S26" s="153"/>
      <c r="T26" s="153"/>
      <c r="U26" s="154"/>
      <c r="V26" s="153">
        <f t="shared" si="4"/>
        <v>0.56396000000000002</v>
      </c>
      <c r="W26" s="127"/>
      <c r="X26" s="177"/>
    </row>
    <row r="27" spans="1:24" x14ac:dyDescent="0.25">
      <c r="A27" s="21">
        <f t="shared" si="0"/>
        <v>21</v>
      </c>
      <c r="B27" s="28" t="s">
        <v>30</v>
      </c>
      <c r="C27" s="37" t="s">
        <v>25</v>
      </c>
      <c r="D27" s="189">
        <v>0.55420000000000003</v>
      </c>
      <c r="E27" s="127">
        <f>+$E$13</f>
        <v>0.20291000000000001</v>
      </c>
      <c r="F27" s="190"/>
      <c r="G27" s="191"/>
      <c r="H27" s="130">
        <f t="shared" si="1"/>
        <v>0.35128999999999999</v>
      </c>
      <c r="I27" s="192">
        <f t="shared" ref="I27:I40" si="6">+$I$13</f>
        <v>0.26333000000000001</v>
      </c>
      <c r="J27" s="186"/>
      <c r="K27" s="193"/>
      <c r="L27" s="130">
        <f t="shared" si="3"/>
        <v>0.61461999999999994</v>
      </c>
      <c r="M27" s="130">
        <f>+[1]Temporaries!D27</f>
        <v>7.5599999999999973E-3</v>
      </c>
      <c r="N27" s="127">
        <f>+[1]Temporaries!U27</f>
        <v>8.7499999999999991E-3</v>
      </c>
      <c r="O27" s="130"/>
      <c r="P27" s="130"/>
      <c r="Q27" s="130"/>
      <c r="R27" s="130"/>
      <c r="S27" s="130"/>
      <c r="T27" s="130"/>
      <c r="U27" s="155"/>
      <c r="V27" s="130">
        <f t="shared" si="4"/>
        <v>0.61580999999999997</v>
      </c>
      <c r="W27" s="127"/>
      <c r="X27" s="177"/>
    </row>
    <row r="28" spans="1:24" x14ac:dyDescent="0.25">
      <c r="A28" s="21">
        <f t="shared" si="0"/>
        <v>22</v>
      </c>
      <c r="B28" s="36"/>
      <c r="C28" s="156" t="s">
        <v>26</v>
      </c>
      <c r="D28" s="182">
        <v>0.51542999999999994</v>
      </c>
      <c r="E28" s="125">
        <f>+$E$13</f>
        <v>0.20291000000000001</v>
      </c>
      <c r="F28" s="183"/>
      <c r="G28" s="188"/>
      <c r="H28" s="153">
        <f t="shared" si="1"/>
        <v>0.31251999999999991</v>
      </c>
      <c r="I28" s="184">
        <f t="shared" si="6"/>
        <v>0.26333000000000001</v>
      </c>
      <c r="J28" s="185"/>
      <c r="K28" s="153"/>
      <c r="L28" s="153">
        <f t="shared" si="3"/>
        <v>0.57584999999999997</v>
      </c>
      <c r="M28" s="153">
        <f>+[1]Temporaries!D28</f>
        <v>9.669999999999998E-3</v>
      </c>
      <c r="N28" s="125">
        <f>+[1]Temporaries!U28</f>
        <v>7.8399999999999997E-3</v>
      </c>
      <c r="O28" s="153"/>
      <c r="P28" s="153"/>
      <c r="Q28" s="153"/>
      <c r="R28" s="153"/>
      <c r="S28" s="153"/>
      <c r="T28" s="153"/>
      <c r="U28" s="154"/>
      <c r="V28" s="153">
        <f t="shared" si="4"/>
        <v>0.57401999999999997</v>
      </c>
      <c r="W28" s="127"/>
      <c r="X28" s="177"/>
    </row>
    <row r="29" spans="1:24" x14ac:dyDescent="0.25">
      <c r="A29" s="21">
        <f t="shared" si="0"/>
        <v>23</v>
      </c>
      <c r="B29" s="28" t="s">
        <v>31</v>
      </c>
      <c r="C29" s="37" t="s">
        <v>25</v>
      </c>
      <c r="D29" s="189">
        <v>0.37150999999999995</v>
      </c>
      <c r="E29" s="127">
        <f t="shared" ref="E29:E40" si="7">+$E$13</f>
        <v>0.20291000000000001</v>
      </c>
      <c r="F29" s="190"/>
      <c r="G29" s="191"/>
      <c r="H29" s="130">
        <f t="shared" si="1"/>
        <v>0.16859999999999994</v>
      </c>
      <c r="I29" s="192">
        <f t="shared" si="6"/>
        <v>0.26333000000000001</v>
      </c>
      <c r="J29" s="186"/>
      <c r="K29" s="130"/>
      <c r="L29" s="130">
        <f t="shared" si="3"/>
        <v>0.43192999999999993</v>
      </c>
      <c r="M29" s="130">
        <f>+[1]Temporaries!D29</f>
        <v>1.6139999999999995E-2</v>
      </c>
      <c r="N29" s="127">
        <f>+[1]Temporaries!U29</f>
        <v>1.9560000000000001E-2</v>
      </c>
      <c r="O29" s="130"/>
      <c r="P29" s="130"/>
      <c r="Q29" s="130"/>
      <c r="R29" s="130"/>
      <c r="S29" s="130"/>
      <c r="T29" s="130"/>
      <c r="U29" s="155"/>
      <c r="V29" s="130">
        <f t="shared" si="4"/>
        <v>0.43534999999999996</v>
      </c>
      <c r="W29" s="127"/>
      <c r="X29" s="177"/>
    </row>
    <row r="30" spans="1:24" x14ac:dyDescent="0.25">
      <c r="A30" s="21">
        <f t="shared" si="0"/>
        <v>24</v>
      </c>
      <c r="B30" s="28"/>
      <c r="C30" s="37" t="s">
        <v>26</v>
      </c>
      <c r="D30" s="189">
        <v>0.35449999999999976</v>
      </c>
      <c r="E30" s="127">
        <f t="shared" si="7"/>
        <v>0.20291000000000001</v>
      </c>
      <c r="F30" s="190"/>
      <c r="G30" s="191"/>
      <c r="H30" s="130">
        <f t="shared" si="1"/>
        <v>0.15158999999999975</v>
      </c>
      <c r="I30" s="192">
        <f t="shared" si="6"/>
        <v>0.26333000000000001</v>
      </c>
      <c r="J30" s="186"/>
      <c r="K30" s="130"/>
      <c r="L30" s="130">
        <f t="shared" si="3"/>
        <v>0.41491999999999973</v>
      </c>
      <c r="M30" s="130">
        <f>+[1]Temporaries!D30</f>
        <v>1.5119999999999998E-2</v>
      </c>
      <c r="N30" s="127">
        <f>+[1]Temporaries!U30</f>
        <v>1.6539999999999999E-2</v>
      </c>
      <c r="O30" s="130"/>
      <c r="P30" s="130"/>
      <c r="Q30" s="130"/>
      <c r="R30" s="130"/>
      <c r="S30" s="130"/>
      <c r="T30" s="130"/>
      <c r="U30" s="155"/>
      <c r="V30" s="130">
        <f t="shared" si="4"/>
        <v>0.41633999999999971</v>
      </c>
      <c r="W30" s="127"/>
      <c r="X30" s="177"/>
    </row>
    <row r="31" spans="1:24" x14ac:dyDescent="0.25">
      <c r="A31" s="21">
        <f t="shared" si="0"/>
        <v>25</v>
      </c>
      <c r="B31" s="28"/>
      <c r="C31" s="37" t="s">
        <v>32</v>
      </c>
      <c r="D31" s="189">
        <v>0.32066999999999996</v>
      </c>
      <c r="E31" s="127">
        <f t="shared" si="7"/>
        <v>0.20291000000000001</v>
      </c>
      <c r="F31" s="190"/>
      <c r="G31" s="191"/>
      <c r="H31" s="130">
        <f t="shared" si="1"/>
        <v>0.11775999999999995</v>
      </c>
      <c r="I31" s="192">
        <f t="shared" si="6"/>
        <v>0.26333000000000001</v>
      </c>
      <c r="J31" s="186"/>
      <c r="K31" s="130"/>
      <c r="L31" s="130">
        <f t="shared" si="3"/>
        <v>0.38108999999999993</v>
      </c>
      <c r="M31" s="130">
        <f>+[1]Temporaries!D31</f>
        <v>1.3089999999999997E-2</v>
      </c>
      <c r="N31" s="127">
        <f>+[1]Temporaries!U31</f>
        <v>1.052E-2</v>
      </c>
      <c r="O31" s="130"/>
      <c r="P31" s="130"/>
      <c r="Q31" s="130"/>
      <c r="R31" s="130"/>
      <c r="S31" s="130"/>
      <c r="T31" s="130"/>
      <c r="U31" s="155"/>
      <c r="V31" s="130">
        <f t="shared" si="4"/>
        <v>0.37851999999999991</v>
      </c>
      <c r="W31" s="127"/>
      <c r="X31" s="177"/>
    </row>
    <row r="32" spans="1:24" x14ac:dyDescent="0.25">
      <c r="A32" s="21">
        <f t="shared" si="0"/>
        <v>26</v>
      </c>
      <c r="B32" s="28"/>
      <c r="C32" s="37" t="s">
        <v>33</v>
      </c>
      <c r="D32" s="189">
        <v>0.2983800000000002</v>
      </c>
      <c r="E32" s="127">
        <f t="shared" si="7"/>
        <v>0.20291000000000001</v>
      </c>
      <c r="F32" s="190"/>
      <c r="G32" s="191"/>
      <c r="H32" s="130">
        <f t="shared" si="1"/>
        <v>9.5470000000000194E-2</v>
      </c>
      <c r="I32" s="192">
        <f t="shared" si="6"/>
        <v>0.26333000000000001</v>
      </c>
      <c r="J32" s="186"/>
      <c r="K32" s="130"/>
      <c r="L32" s="130">
        <f t="shared" si="3"/>
        <v>0.35880000000000023</v>
      </c>
      <c r="M32" s="130">
        <f>+[1]Temporaries!D32</f>
        <v>1.1739999999999997E-2</v>
      </c>
      <c r="N32" s="127">
        <f>+[1]Temporaries!U32</f>
        <v>6.550000000000002E-3</v>
      </c>
      <c r="O32" s="130"/>
      <c r="P32" s="130"/>
      <c r="Q32" s="130"/>
      <c r="R32" s="130"/>
      <c r="S32" s="130"/>
      <c r="T32" s="130"/>
      <c r="U32" s="155"/>
      <c r="V32" s="130">
        <f t="shared" si="4"/>
        <v>0.35361000000000026</v>
      </c>
      <c r="W32" s="127"/>
      <c r="X32" s="177"/>
    </row>
    <row r="33" spans="1:24" x14ac:dyDescent="0.25">
      <c r="A33" s="21">
        <f t="shared" si="0"/>
        <v>27</v>
      </c>
      <c r="B33" s="28"/>
      <c r="C33" s="37" t="s">
        <v>34</v>
      </c>
      <c r="D33" s="189">
        <v>0.26867999999999997</v>
      </c>
      <c r="E33" s="127">
        <f t="shared" si="7"/>
        <v>0.20291000000000001</v>
      </c>
      <c r="F33" s="190"/>
      <c r="G33" s="191"/>
      <c r="H33" s="130">
        <f t="shared" si="1"/>
        <v>6.5769999999999967E-2</v>
      </c>
      <c r="I33" s="192">
        <f t="shared" si="6"/>
        <v>0.26333000000000001</v>
      </c>
      <c r="J33" s="186"/>
      <c r="K33" s="130"/>
      <c r="L33" s="130">
        <f t="shared" si="3"/>
        <v>0.32909999999999995</v>
      </c>
      <c r="M33" s="130">
        <f>+[1]Temporaries!D33</f>
        <v>9.9599999999999966E-3</v>
      </c>
      <c r="N33" s="127">
        <f>+[1]Temporaries!U33</f>
        <v>1.239999999999998E-3</v>
      </c>
      <c r="O33" s="130"/>
      <c r="P33" s="130"/>
      <c r="Q33" s="130"/>
      <c r="R33" s="130"/>
      <c r="S33" s="130"/>
      <c r="T33" s="130"/>
      <c r="U33" s="155"/>
      <c r="V33" s="130">
        <f t="shared" si="4"/>
        <v>0.32038</v>
      </c>
      <c r="W33" s="127"/>
      <c r="X33" s="177"/>
    </row>
    <row r="34" spans="1:24" x14ac:dyDescent="0.25">
      <c r="A34" s="21">
        <f t="shared" si="0"/>
        <v>28</v>
      </c>
      <c r="B34" s="36"/>
      <c r="C34" s="156" t="s">
        <v>35</v>
      </c>
      <c r="D34" s="182">
        <v>0.23154000000000005</v>
      </c>
      <c r="E34" s="125">
        <f t="shared" si="7"/>
        <v>0.20291000000000001</v>
      </c>
      <c r="F34" s="183"/>
      <c r="G34" s="188"/>
      <c r="H34" s="153">
        <f t="shared" si="1"/>
        <v>2.8630000000000044E-2</v>
      </c>
      <c r="I34" s="184">
        <f t="shared" si="6"/>
        <v>0.26333000000000001</v>
      </c>
      <c r="J34" s="185"/>
      <c r="K34" s="153"/>
      <c r="L34" s="153">
        <f t="shared" si="3"/>
        <v>0.29196000000000005</v>
      </c>
      <c r="M34" s="153">
        <f>+[1]Temporaries!D34</f>
        <v>7.7099999999999964E-3</v>
      </c>
      <c r="N34" s="125">
        <f>+[1]Temporaries!U34</f>
        <v>-5.3500000000000006E-3</v>
      </c>
      <c r="O34" s="153"/>
      <c r="P34" s="153"/>
      <c r="Q34" s="153"/>
      <c r="R34" s="153"/>
      <c r="S34" s="153"/>
      <c r="T34" s="153"/>
      <c r="U34" s="154"/>
      <c r="V34" s="153">
        <f t="shared" si="4"/>
        <v>0.27890000000000004</v>
      </c>
      <c r="W34" s="127"/>
      <c r="X34" s="177"/>
    </row>
    <row r="35" spans="1:24" x14ac:dyDescent="0.25">
      <c r="A35" s="21">
        <f t="shared" si="0"/>
        <v>29</v>
      </c>
      <c r="B35" s="28" t="s">
        <v>36</v>
      </c>
      <c r="C35" s="37" t="s">
        <v>25</v>
      </c>
      <c r="D35" s="189">
        <v>0.34641000000000005</v>
      </c>
      <c r="E35" s="127">
        <f t="shared" si="7"/>
        <v>0.20291000000000001</v>
      </c>
      <c r="F35" s="190"/>
      <c r="G35" s="191"/>
      <c r="H35" s="130">
        <f t="shared" si="1"/>
        <v>0.14350000000000004</v>
      </c>
      <c r="I35" s="192">
        <f t="shared" si="6"/>
        <v>0.26333000000000001</v>
      </c>
      <c r="J35" s="186"/>
      <c r="K35" s="130"/>
      <c r="L35" s="130">
        <f t="shared" si="3"/>
        <v>0.40683000000000002</v>
      </c>
      <c r="M35" s="130">
        <f>+[1]Temporaries!D35</f>
        <v>-3.7100000000000032E-3</v>
      </c>
      <c r="N35" s="127">
        <f>+[1]Temporaries!U35</f>
        <v>-4.6100000000000012E-3</v>
      </c>
      <c r="O35" s="130"/>
      <c r="P35" s="130"/>
      <c r="Q35" s="130"/>
      <c r="R35" s="130"/>
      <c r="S35" s="130"/>
      <c r="T35" s="130"/>
      <c r="U35" s="155"/>
      <c r="V35" s="130">
        <f t="shared" si="4"/>
        <v>0.40593000000000001</v>
      </c>
      <c r="W35" s="127"/>
      <c r="X35" s="177"/>
    </row>
    <row r="36" spans="1:24" x14ac:dyDescent="0.25">
      <c r="A36" s="21">
        <f t="shared" si="0"/>
        <v>30</v>
      </c>
      <c r="B36" s="28"/>
      <c r="C36" s="37" t="s">
        <v>26</v>
      </c>
      <c r="D36" s="189">
        <v>0.33204000000000006</v>
      </c>
      <c r="E36" s="127">
        <f t="shared" si="7"/>
        <v>0.20291000000000001</v>
      </c>
      <c r="F36" s="190"/>
      <c r="G36" s="191"/>
      <c r="H36" s="130">
        <f t="shared" si="1"/>
        <v>0.12913000000000005</v>
      </c>
      <c r="I36" s="192">
        <f t="shared" si="6"/>
        <v>0.26333000000000001</v>
      </c>
      <c r="J36" s="186"/>
      <c r="K36" s="130"/>
      <c r="L36" s="130">
        <f t="shared" si="3"/>
        <v>0.39246000000000003</v>
      </c>
      <c r="M36" s="130">
        <f>+[1]Temporaries!D36</f>
        <v>-2.6400000000000035E-3</v>
      </c>
      <c r="N36" s="127">
        <f>+[1]Temporaries!U36</f>
        <v>-5.1100000000000008E-3</v>
      </c>
      <c r="O36" s="130"/>
      <c r="P36" s="130"/>
      <c r="Q36" s="130"/>
      <c r="R36" s="130"/>
      <c r="S36" s="130"/>
      <c r="T36" s="130"/>
      <c r="U36" s="155"/>
      <c r="V36" s="130">
        <f t="shared" si="4"/>
        <v>0.38999</v>
      </c>
      <c r="W36" s="127"/>
      <c r="X36" s="177"/>
    </row>
    <row r="37" spans="1:24" x14ac:dyDescent="0.25">
      <c r="A37" s="21">
        <f t="shared" si="0"/>
        <v>31</v>
      </c>
      <c r="B37" s="28"/>
      <c r="C37" s="37" t="s">
        <v>32</v>
      </c>
      <c r="D37" s="189">
        <v>0.30340999999999985</v>
      </c>
      <c r="E37" s="127">
        <f t="shared" si="7"/>
        <v>0.20291000000000001</v>
      </c>
      <c r="F37" s="190"/>
      <c r="G37" s="191"/>
      <c r="H37" s="130">
        <f t="shared" si="1"/>
        <v>0.10049999999999984</v>
      </c>
      <c r="I37" s="192">
        <f t="shared" si="6"/>
        <v>0.26333000000000001</v>
      </c>
      <c r="J37" s="186"/>
      <c r="K37" s="130"/>
      <c r="L37" s="130">
        <f t="shared" si="3"/>
        <v>0.36382999999999988</v>
      </c>
      <c r="M37" s="130">
        <f>+[1]Temporaries!D37</f>
        <v>-5.5000000000000361E-4</v>
      </c>
      <c r="N37" s="127">
        <f>+[1]Temporaries!U37</f>
        <v>-6.0700000000000007E-3</v>
      </c>
      <c r="O37" s="130"/>
      <c r="P37" s="130"/>
      <c r="Q37" s="130"/>
      <c r="R37" s="130"/>
      <c r="S37" s="130"/>
      <c r="T37" s="130"/>
      <c r="U37" s="155"/>
      <c r="V37" s="130">
        <f t="shared" si="4"/>
        <v>0.35830999999999985</v>
      </c>
      <c r="W37" s="127"/>
      <c r="X37" s="177"/>
    </row>
    <row r="38" spans="1:24" x14ac:dyDescent="0.25">
      <c r="A38" s="21">
        <f t="shared" si="0"/>
        <v>32</v>
      </c>
      <c r="B38" s="28"/>
      <c r="C38" s="37" t="s">
        <v>33</v>
      </c>
      <c r="D38" s="189">
        <v>0.28459000000000018</v>
      </c>
      <c r="E38" s="127">
        <f t="shared" si="7"/>
        <v>0.20291000000000001</v>
      </c>
      <c r="F38" s="190"/>
      <c r="G38" s="191"/>
      <c r="H38" s="130">
        <f t="shared" si="1"/>
        <v>8.1680000000000169E-2</v>
      </c>
      <c r="I38" s="192">
        <f t="shared" si="6"/>
        <v>0.26333000000000001</v>
      </c>
      <c r="J38" s="186"/>
      <c r="K38" s="130"/>
      <c r="L38" s="130">
        <f t="shared" si="3"/>
        <v>0.34501000000000015</v>
      </c>
      <c r="M38" s="130">
        <f>+[1]Temporaries!D38</f>
        <v>8.3999999999999613E-4</v>
      </c>
      <c r="N38" s="127">
        <f>+[1]Temporaries!U38</f>
        <v>-6.7300000000000007E-3</v>
      </c>
      <c r="O38" s="130"/>
      <c r="P38" s="130"/>
      <c r="Q38" s="130"/>
      <c r="R38" s="130"/>
      <c r="S38" s="130"/>
      <c r="T38" s="130"/>
      <c r="U38" s="155"/>
      <c r="V38" s="130">
        <f t="shared" si="4"/>
        <v>0.33744000000000013</v>
      </c>
      <c r="W38" s="127"/>
      <c r="X38" s="177"/>
    </row>
    <row r="39" spans="1:24" x14ac:dyDescent="0.25">
      <c r="A39" s="21">
        <f t="shared" si="0"/>
        <v>33</v>
      </c>
      <c r="B39" s="28"/>
      <c r="C39" s="37" t="s">
        <v>34</v>
      </c>
      <c r="D39" s="189">
        <v>0.25951000000000018</v>
      </c>
      <c r="E39" s="127">
        <f t="shared" si="7"/>
        <v>0.20291000000000001</v>
      </c>
      <c r="F39" s="190"/>
      <c r="G39" s="191"/>
      <c r="H39" s="130">
        <f t="shared" si="1"/>
        <v>5.6600000000000178E-2</v>
      </c>
      <c r="I39" s="192">
        <f t="shared" si="6"/>
        <v>0.26333000000000001</v>
      </c>
      <c r="J39" s="186"/>
      <c r="K39" s="130"/>
      <c r="L39" s="130">
        <f t="shared" si="3"/>
        <v>0.31993000000000016</v>
      </c>
      <c r="M39" s="130">
        <f>+[1]Temporaries!D39</f>
        <v>2.6899999999999971E-3</v>
      </c>
      <c r="N39" s="127">
        <f>+[1]Temporaries!U39</f>
        <v>-7.5900000000000004E-3</v>
      </c>
      <c r="O39" s="130"/>
      <c r="P39" s="130"/>
      <c r="Q39" s="130"/>
      <c r="R39" s="130"/>
      <c r="S39" s="130"/>
      <c r="T39" s="130"/>
      <c r="U39" s="155"/>
      <c r="V39" s="130">
        <f t="shared" si="4"/>
        <v>0.3096500000000002</v>
      </c>
      <c r="W39" s="127"/>
      <c r="X39" s="177"/>
    </row>
    <row r="40" spans="1:24" x14ac:dyDescent="0.25">
      <c r="A40" s="21">
        <f t="shared" si="0"/>
        <v>34</v>
      </c>
      <c r="B40" s="36"/>
      <c r="C40" s="156" t="s">
        <v>35</v>
      </c>
      <c r="D40" s="182">
        <v>0.22809999999999994</v>
      </c>
      <c r="E40" s="125">
        <f t="shared" si="7"/>
        <v>0.20291000000000001</v>
      </c>
      <c r="F40" s="183"/>
      <c r="G40" s="188"/>
      <c r="H40" s="153">
        <f t="shared" si="1"/>
        <v>2.5189999999999935E-2</v>
      </c>
      <c r="I40" s="184">
        <f t="shared" si="6"/>
        <v>0.26333000000000001</v>
      </c>
      <c r="J40" s="185"/>
      <c r="K40" s="153"/>
      <c r="L40" s="153">
        <f t="shared" si="3"/>
        <v>0.28851999999999994</v>
      </c>
      <c r="M40" s="153">
        <f>+[1]Temporaries!D40</f>
        <v>4.9899999999999962E-3</v>
      </c>
      <c r="N40" s="125">
        <f>+[1]Temporaries!U40</f>
        <v>-8.6700000000000006E-3</v>
      </c>
      <c r="O40" s="153"/>
      <c r="P40" s="153"/>
      <c r="Q40" s="153"/>
      <c r="R40" s="153"/>
      <c r="S40" s="153"/>
      <c r="T40" s="153"/>
      <c r="U40" s="154"/>
      <c r="V40" s="153">
        <f t="shared" si="4"/>
        <v>0.27485999999999994</v>
      </c>
      <c r="W40" s="127"/>
      <c r="X40" s="177"/>
    </row>
    <row r="41" spans="1:24" x14ac:dyDescent="0.25">
      <c r="A41" s="21">
        <f t="shared" si="0"/>
        <v>35</v>
      </c>
      <c r="B41" s="28" t="s">
        <v>75</v>
      </c>
      <c r="C41" s="37" t="s">
        <v>25</v>
      </c>
      <c r="D41" s="189">
        <v>0.12883999999999998</v>
      </c>
      <c r="E41" s="127">
        <v>0</v>
      </c>
      <c r="F41" s="190"/>
      <c r="G41" s="191"/>
      <c r="H41" s="130">
        <f>+D41-SUM(E41:G41)</f>
        <v>0.12883999999999998</v>
      </c>
      <c r="I41" s="192">
        <v>0</v>
      </c>
      <c r="J41" s="186"/>
      <c r="K41" s="130"/>
      <c r="L41" s="130">
        <f t="shared" si="3"/>
        <v>0.12883999999999998</v>
      </c>
      <c r="M41" s="130">
        <f>+[1]Temporaries!D41</f>
        <v>-9.0799999999999995E-3</v>
      </c>
      <c r="N41" s="127">
        <f>+[1]Temporaries!U41</f>
        <v>5.9999999999999995E-4</v>
      </c>
      <c r="O41" s="130"/>
      <c r="P41" s="130"/>
      <c r="Q41" s="130"/>
      <c r="R41" s="130"/>
      <c r="S41" s="130"/>
      <c r="T41" s="130"/>
      <c r="U41" s="155"/>
      <c r="V41" s="130">
        <f t="shared" si="4"/>
        <v>0.13851999999999998</v>
      </c>
      <c r="W41" s="127"/>
      <c r="X41" s="177"/>
    </row>
    <row r="42" spans="1:24" x14ac:dyDescent="0.25">
      <c r="A42" s="21">
        <f t="shared" si="0"/>
        <v>36</v>
      </c>
      <c r="B42" s="28"/>
      <c r="C42" s="37" t="s">
        <v>26</v>
      </c>
      <c r="D42" s="189">
        <v>0.11533999999999998</v>
      </c>
      <c r="E42" s="127">
        <v>0</v>
      </c>
      <c r="F42" s="190"/>
      <c r="G42" s="191"/>
      <c r="H42" s="130">
        <f t="shared" si="1"/>
        <v>0.11533999999999998</v>
      </c>
      <c r="I42" s="192">
        <v>0</v>
      </c>
      <c r="J42" s="186"/>
      <c r="K42" s="130"/>
      <c r="L42" s="130">
        <f t="shared" si="3"/>
        <v>0.11533999999999998</v>
      </c>
      <c r="M42" s="130">
        <f>+[1]Temporaries!D42</f>
        <v>-8.1300000000000001E-3</v>
      </c>
      <c r="N42" s="127">
        <f>+[1]Temporaries!U42</f>
        <v>5.2999999999999998E-4</v>
      </c>
      <c r="O42" s="130"/>
      <c r="P42" s="130"/>
      <c r="Q42" s="130"/>
      <c r="R42" s="130"/>
      <c r="S42" s="130"/>
      <c r="T42" s="130"/>
      <c r="U42" s="155"/>
      <c r="V42" s="130">
        <f t="shared" si="4"/>
        <v>0.12399999999999999</v>
      </c>
      <c r="W42" s="127"/>
      <c r="X42" s="177"/>
    </row>
    <row r="43" spans="1:24" x14ac:dyDescent="0.25">
      <c r="A43" s="21">
        <f t="shared" si="0"/>
        <v>37</v>
      </c>
      <c r="B43" s="28"/>
      <c r="C43" s="37" t="s">
        <v>32</v>
      </c>
      <c r="D43" s="189">
        <v>8.8440000000000005E-2</v>
      </c>
      <c r="E43" s="127">
        <v>0</v>
      </c>
      <c r="F43" s="190"/>
      <c r="G43" s="191"/>
      <c r="H43" s="130">
        <f t="shared" si="1"/>
        <v>8.8440000000000005E-2</v>
      </c>
      <c r="I43" s="192">
        <v>0</v>
      </c>
      <c r="J43" s="186"/>
      <c r="K43" s="130"/>
      <c r="L43" s="130">
        <f t="shared" si="3"/>
        <v>8.8440000000000005E-2</v>
      </c>
      <c r="M43" s="130">
        <f>+[1]Temporaries!D43</f>
        <v>-6.2300000000000003E-3</v>
      </c>
      <c r="N43" s="127">
        <f>+[1]Temporaries!U43</f>
        <v>4.1000000000000005E-4</v>
      </c>
      <c r="O43" s="130"/>
      <c r="P43" s="130"/>
      <c r="Q43" s="130"/>
      <c r="R43" s="130"/>
      <c r="S43" s="130"/>
      <c r="T43" s="130"/>
      <c r="U43" s="155"/>
      <c r="V43" s="130">
        <f t="shared" si="4"/>
        <v>9.5079999999999998E-2</v>
      </c>
      <c r="W43" s="127"/>
      <c r="X43" s="177"/>
    </row>
    <row r="44" spans="1:24" x14ac:dyDescent="0.25">
      <c r="A44" s="21">
        <f t="shared" si="0"/>
        <v>38</v>
      </c>
      <c r="B44" s="28"/>
      <c r="C44" s="37" t="s">
        <v>33</v>
      </c>
      <c r="D44" s="189">
        <v>7.0770000000000013E-2</v>
      </c>
      <c r="E44" s="127">
        <v>0</v>
      </c>
      <c r="F44" s="190"/>
      <c r="G44" s="191"/>
      <c r="H44" s="130">
        <f t="shared" si="1"/>
        <v>7.0770000000000013E-2</v>
      </c>
      <c r="I44" s="192">
        <v>0</v>
      </c>
      <c r="J44" s="186"/>
      <c r="K44" s="130"/>
      <c r="L44" s="130">
        <f t="shared" si="3"/>
        <v>7.0770000000000013E-2</v>
      </c>
      <c r="M44" s="130">
        <f>+[1]Temporaries!D44</f>
        <v>-4.9800000000000001E-3</v>
      </c>
      <c r="N44" s="127">
        <f>+[1]Temporaries!U44</f>
        <v>3.1999999999999997E-4</v>
      </c>
      <c r="O44" s="130"/>
      <c r="P44" s="130"/>
      <c r="Q44" s="130"/>
      <c r="R44" s="130"/>
      <c r="S44" s="130"/>
      <c r="T44" s="130"/>
      <c r="U44" s="155"/>
      <c r="V44" s="130">
        <f t="shared" si="4"/>
        <v>7.6070000000000013E-2</v>
      </c>
      <c r="W44" s="127"/>
      <c r="X44" s="177"/>
    </row>
    <row r="45" spans="1:24" x14ac:dyDescent="0.25">
      <c r="A45" s="21">
        <f t="shared" si="0"/>
        <v>39</v>
      </c>
      <c r="B45" s="28"/>
      <c r="C45" s="37" t="s">
        <v>34</v>
      </c>
      <c r="D45" s="189">
        <v>4.7180000000000007E-2</v>
      </c>
      <c r="E45" s="127">
        <v>0</v>
      </c>
      <c r="F45" s="190"/>
      <c r="G45" s="191"/>
      <c r="H45" s="130">
        <f t="shared" si="1"/>
        <v>4.7180000000000007E-2</v>
      </c>
      <c r="I45" s="192">
        <v>0</v>
      </c>
      <c r="J45" s="186"/>
      <c r="K45" s="130"/>
      <c r="L45" s="130">
        <f t="shared" si="3"/>
        <v>4.7180000000000007E-2</v>
      </c>
      <c r="M45" s="130">
        <f>+[1]Temporaries!D45</f>
        <v>-3.32E-3</v>
      </c>
      <c r="N45" s="127">
        <f>+[1]Temporaries!U45</f>
        <v>2.1000000000000001E-4</v>
      </c>
      <c r="O45" s="130"/>
      <c r="P45" s="130"/>
      <c r="Q45" s="130"/>
      <c r="R45" s="130"/>
      <c r="S45" s="130"/>
      <c r="T45" s="130"/>
      <c r="U45" s="155"/>
      <c r="V45" s="130">
        <f t="shared" si="4"/>
        <v>5.0710000000000005E-2</v>
      </c>
      <c r="W45" s="127"/>
      <c r="X45" s="177"/>
    </row>
    <row r="46" spans="1:24" x14ac:dyDescent="0.25">
      <c r="A46" s="21">
        <f t="shared" si="0"/>
        <v>40</v>
      </c>
      <c r="B46" s="36"/>
      <c r="C46" s="156" t="s">
        <v>35</v>
      </c>
      <c r="D46" s="182">
        <v>1.7679999999999998E-2</v>
      </c>
      <c r="E46" s="125">
        <v>0</v>
      </c>
      <c r="F46" s="183"/>
      <c r="G46" s="188"/>
      <c r="H46" s="153">
        <f t="shared" si="1"/>
        <v>1.7679999999999998E-2</v>
      </c>
      <c r="I46" s="184">
        <v>0</v>
      </c>
      <c r="J46" s="185"/>
      <c r="K46" s="153"/>
      <c r="L46" s="153">
        <f t="shared" si="3"/>
        <v>1.7679999999999998E-2</v>
      </c>
      <c r="M46" s="153">
        <f>+[1]Temporaries!D46</f>
        <v>-1.25E-3</v>
      </c>
      <c r="N46" s="125">
        <f>+[1]Temporaries!U46</f>
        <v>7.9999999999999993E-5</v>
      </c>
      <c r="O46" s="153"/>
      <c r="P46" s="153"/>
      <c r="Q46" s="153"/>
      <c r="R46" s="153"/>
      <c r="S46" s="153"/>
      <c r="T46" s="153"/>
      <c r="U46" s="154"/>
      <c r="V46" s="153">
        <f t="shared" si="4"/>
        <v>1.9009999999999999E-2</v>
      </c>
      <c r="W46" s="127"/>
      <c r="X46" s="177"/>
    </row>
    <row r="47" spans="1:24" x14ac:dyDescent="0.25">
      <c r="A47" s="21">
        <f t="shared" si="0"/>
        <v>41</v>
      </c>
      <c r="B47" s="131" t="s">
        <v>76</v>
      </c>
      <c r="C47" s="37" t="s">
        <v>25</v>
      </c>
      <c r="D47" s="189">
        <v>0.13275000000000001</v>
      </c>
      <c r="E47" s="127">
        <v>0</v>
      </c>
      <c r="F47" s="190"/>
      <c r="G47" s="191"/>
      <c r="H47" s="130">
        <f>+D47-SUM(E47:G47)</f>
        <v>0.13275000000000001</v>
      </c>
      <c r="I47" s="192">
        <v>0</v>
      </c>
      <c r="J47" s="186"/>
      <c r="K47" s="130"/>
      <c r="L47" s="130">
        <f t="shared" ref="L47:L52" si="8">SUM(H47:K47)</f>
        <v>0.13275000000000001</v>
      </c>
      <c r="M47" s="194">
        <f>+[1]Temporaries!D47</f>
        <v>-6.6600000000000001E-3</v>
      </c>
      <c r="N47" s="195">
        <f>+[1]Temporaries!U47</f>
        <v>5.8999999999999992E-4</v>
      </c>
      <c r="O47" s="130"/>
      <c r="P47" s="130"/>
      <c r="Q47" s="130"/>
      <c r="R47" s="130"/>
      <c r="S47" s="130"/>
      <c r="T47" s="130"/>
      <c r="U47" s="155"/>
      <c r="V47" s="130">
        <f t="shared" si="4"/>
        <v>0.14000000000000001</v>
      </c>
      <c r="W47" s="127"/>
      <c r="X47" s="177"/>
    </row>
    <row r="48" spans="1:24" x14ac:dyDescent="0.25">
      <c r="A48" s="21">
        <f t="shared" si="0"/>
        <v>42</v>
      </c>
      <c r="B48" s="131"/>
      <c r="C48" s="37" t="s">
        <v>26</v>
      </c>
      <c r="D48" s="189">
        <v>0.11882999999999998</v>
      </c>
      <c r="E48" s="127">
        <v>0</v>
      </c>
      <c r="F48" s="190"/>
      <c r="G48" s="191"/>
      <c r="H48" s="130">
        <f t="shared" ref="H48:H52" si="9">+D48-SUM(E48:G48)</f>
        <v>0.11882999999999998</v>
      </c>
      <c r="I48" s="192">
        <v>0</v>
      </c>
      <c r="J48" s="186"/>
      <c r="K48" s="130"/>
      <c r="L48" s="130">
        <f t="shared" si="8"/>
        <v>0.11882999999999998</v>
      </c>
      <c r="M48" s="130">
        <f>+[1]Temporaries!D48</f>
        <v>-5.96E-3</v>
      </c>
      <c r="N48" s="127">
        <f>+[1]Temporaries!U48</f>
        <v>5.2000000000000006E-4</v>
      </c>
      <c r="O48" s="130"/>
      <c r="P48" s="130"/>
      <c r="Q48" s="130"/>
      <c r="R48" s="130"/>
      <c r="S48" s="130"/>
      <c r="T48" s="130"/>
      <c r="U48" s="155"/>
      <c r="V48" s="130">
        <f t="shared" si="4"/>
        <v>0.12530999999999998</v>
      </c>
      <c r="W48" s="127"/>
      <c r="X48" s="177"/>
    </row>
    <row r="49" spans="1:24" x14ac:dyDescent="0.25">
      <c r="A49" s="21">
        <f t="shared" si="0"/>
        <v>43</v>
      </c>
      <c r="B49" s="131"/>
      <c r="C49" s="37" t="s">
        <v>32</v>
      </c>
      <c r="D49" s="189">
        <v>9.1120000000000007E-2</v>
      </c>
      <c r="E49" s="127">
        <v>0</v>
      </c>
      <c r="F49" s="190"/>
      <c r="G49" s="191"/>
      <c r="H49" s="130">
        <f t="shared" si="9"/>
        <v>9.1120000000000007E-2</v>
      </c>
      <c r="I49" s="192">
        <v>0</v>
      </c>
      <c r="J49" s="186"/>
      <c r="K49" s="130"/>
      <c r="L49" s="130">
        <f t="shared" si="8"/>
        <v>9.1120000000000007E-2</v>
      </c>
      <c r="M49" s="130">
        <f>+[1]Temporaries!D49</f>
        <v>-4.5700000000000003E-3</v>
      </c>
      <c r="N49" s="127">
        <f>+[1]Temporaries!U49</f>
        <v>4.1000000000000005E-4</v>
      </c>
      <c r="O49" s="130"/>
      <c r="P49" s="130"/>
      <c r="Q49" s="130"/>
      <c r="R49" s="130"/>
      <c r="S49" s="130"/>
      <c r="T49" s="130"/>
      <c r="U49" s="155"/>
      <c r="V49" s="130">
        <f t="shared" si="4"/>
        <v>9.6100000000000005E-2</v>
      </c>
      <c r="W49" s="127"/>
      <c r="X49" s="177"/>
    </row>
    <row r="50" spans="1:24" x14ac:dyDescent="0.25">
      <c r="A50" s="21">
        <f t="shared" si="0"/>
        <v>44</v>
      </c>
      <c r="B50" s="131"/>
      <c r="C50" s="37" t="s">
        <v>33</v>
      </c>
      <c r="D50" s="189">
        <v>7.2910000000000016E-2</v>
      </c>
      <c r="E50" s="127">
        <v>0</v>
      </c>
      <c r="F50" s="190"/>
      <c r="G50" s="191"/>
      <c r="H50" s="130">
        <f t="shared" si="9"/>
        <v>7.2910000000000016E-2</v>
      </c>
      <c r="I50" s="192">
        <v>0</v>
      </c>
      <c r="J50" s="186"/>
      <c r="K50" s="130"/>
      <c r="L50" s="130">
        <f t="shared" si="8"/>
        <v>7.2910000000000016E-2</v>
      </c>
      <c r="M50" s="130">
        <f>+[1]Temporaries!D50</f>
        <v>-3.65E-3</v>
      </c>
      <c r="N50" s="127">
        <f>+[1]Temporaries!U50</f>
        <v>3.1999999999999997E-4</v>
      </c>
      <c r="O50" s="130"/>
      <c r="P50" s="130"/>
      <c r="Q50" s="130"/>
      <c r="R50" s="130"/>
      <c r="S50" s="130"/>
      <c r="T50" s="130"/>
      <c r="U50" s="155"/>
      <c r="V50" s="130">
        <f t="shared" si="4"/>
        <v>7.6880000000000018E-2</v>
      </c>
      <c r="W50" s="127"/>
      <c r="X50" s="177"/>
    </row>
    <row r="51" spans="1:24" x14ac:dyDescent="0.25">
      <c r="A51" s="21">
        <f t="shared" si="0"/>
        <v>45</v>
      </c>
      <c r="B51" s="131"/>
      <c r="C51" s="37" t="s">
        <v>34</v>
      </c>
      <c r="D51" s="189">
        <v>4.8600000000000004E-2</v>
      </c>
      <c r="E51" s="127">
        <v>0</v>
      </c>
      <c r="F51" s="190"/>
      <c r="G51" s="191"/>
      <c r="H51" s="130">
        <f t="shared" si="9"/>
        <v>4.8600000000000004E-2</v>
      </c>
      <c r="I51" s="192">
        <v>0</v>
      </c>
      <c r="J51" s="186"/>
      <c r="K51" s="130"/>
      <c r="L51" s="130">
        <f t="shared" si="8"/>
        <v>4.8600000000000004E-2</v>
      </c>
      <c r="M51" s="130">
        <f>+[1]Temporaries!D51</f>
        <v>-2.4400000000000003E-3</v>
      </c>
      <c r="N51" s="127">
        <f>+[1]Temporaries!U51</f>
        <v>2.1000000000000001E-4</v>
      </c>
      <c r="O51" s="130"/>
      <c r="P51" s="130"/>
      <c r="Q51" s="130"/>
      <c r="R51" s="130"/>
      <c r="S51" s="130"/>
      <c r="T51" s="130"/>
      <c r="U51" s="155"/>
      <c r="V51" s="130">
        <f t="shared" si="4"/>
        <v>5.1250000000000004E-2</v>
      </c>
      <c r="W51" s="127"/>
      <c r="X51" s="177"/>
    </row>
    <row r="52" spans="1:24" x14ac:dyDescent="0.25">
      <c r="A52" s="21">
        <f t="shared" si="0"/>
        <v>46</v>
      </c>
      <c r="B52" s="132"/>
      <c r="C52" s="156" t="s">
        <v>35</v>
      </c>
      <c r="D52" s="182">
        <v>1.823E-2</v>
      </c>
      <c r="E52" s="125">
        <v>0</v>
      </c>
      <c r="F52" s="183"/>
      <c r="G52" s="188"/>
      <c r="H52" s="153">
        <f t="shared" si="9"/>
        <v>1.823E-2</v>
      </c>
      <c r="I52" s="184">
        <v>0</v>
      </c>
      <c r="J52" s="185"/>
      <c r="K52" s="153"/>
      <c r="L52" s="153">
        <f t="shared" si="8"/>
        <v>1.823E-2</v>
      </c>
      <c r="M52" s="153">
        <f>+[1]Temporaries!D52</f>
        <v>-9.1E-4</v>
      </c>
      <c r="N52" s="125">
        <f>+[1]Temporaries!U52</f>
        <v>7.9999999999999993E-5</v>
      </c>
      <c r="O52" s="153"/>
      <c r="P52" s="153"/>
      <c r="Q52" s="153"/>
      <c r="R52" s="153"/>
      <c r="S52" s="153"/>
      <c r="T52" s="153"/>
      <c r="U52" s="154"/>
      <c r="V52" s="153">
        <f t="shared" si="4"/>
        <v>1.9220000000000001E-2</v>
      </c>
      <c r="W52" s="127"/>
      <c r="X52" s="177"/>
    </row>
    <row r="53" spans="1:24" x14ac:dyDescent="0.25">
      <c r="A53" s="21">
        <f t="shared" si="0"/>
        <v>47</v>
      </c>
      <c r="B53" s="28" t="s">
        <v>37</v>
      </c>
      <c r="C53" s="37" t="s">
        <v>25</v>
      </c>
      <c r="D53" s="189">
        <v>0.37347000000000002</v>
      </c>
      <c r="E53" s="127">
        <f t="shared" ref="E53:E64" si="10">+$E$13</f>
        <v>0.20291000000000001</v>
      </c>
      <c r="F53" s="190"/>
      <c r="G53" s="191"/>
      <c r="H53" s="130">
        <f t="shared" ref="H53:H58" si="11">+D53-SUM(E53:G53)</f>
        <v>0.17056000000000002</v>
      </c>
      <c r="I53" s="192">
        <f t="shared" ref="I53:I64" si="12">+$I$13</f>
        <v>0.26333000000000001</v>
      </c>
      <c r="J53" s="186"/>
      <c r="K53" s="130"/>
      <c r="L53" s="130">
        <f t="shared" ref="L53:L58" si="13">SUM(H53:K53)</f>
        <v>0.43389</v>
      </c>
      <c r="M53" s="130">
        <f>+[1]Temporaries!D53</f>
        <v>3.3740000000000006E-2</v>
      </c>
      <c r="N53" s="127">
        <f>+[1]Temporaries!U53</f>
        <v>2.334E-2</v>
      </c>
      <c r="O53" s="130"/>
      <c r="P53" s="130"/>
      <c r="Q53" s="130"/>
      <c r="R53" s="130"/>
      <c r="S53" s="130"/>
      <c r="T53" s="130"/>
      <c r="U53" s="155"/>
      <c r="V53" s="130">
        <f t="shared" si="4"/>
        <v>0.42349000000000003</v>
      </c>
      <c r="W53" s="127"/>
      <c r="X53" s="177"/>
    </row>
    <row r="54" spans="1:24" x14ac:dyDescent="0.25">
      <c r="A54" s="21">
        <f t="shared" si="0"/>
        <v>48</v>
      </c>
      <c r="B54" s="28"/>
      <c r="C54" s="37" t="s">
        <v>26</v>
      </c>
      <c r="D54" s="189">
        <v>0.3582499999999999</v>
      </c>
      <c r="E54" s="127">
        <f t="shared" si="10"/>
        <v>0.20291000000000001</v>
      </c>
      <c r="F54" s="190"/>
      <c r="G54" s="191"/>
      <c r="H54" s="130">
        <f t="shared" si="11"/>
        <v>0.15533999999999989</v>
      </c>
      <c r="I54" s="192">
        <f t="shared" si="12"/>
        <v>0.26333000000000001</v>
      </c>
      <c r="J54" s="186"/>
      <c r="K54" s="130"/>
      <c r="L54" s="130">
        <f t="shared" si="13"/>
        <v>0.41866999999999988</v>
      </c>
      <c r="M54" s="130">
        <f>+[1]Temporaries!D54</f>
        <v>3.2870000000000003E-2</v>
      </c>
      <c r="N54" s="127">
        <f>+[1]Temporaries!U54</f>
        <v>2.0999999999999998E-2</v>
      </c>
      <c r="O54" s="130"/>
      <c r="P54" s="130"/>
      <c r="Q54" s="130"/>
      <c r="R54" s="130"/>
      <c r="S54" s="130"/>
      <c r="T54" s="130"/>
      <c r="U54" s="155"/>
      <c r="V54" s="130">
        <f t="shared" si="4"/>
        <v>0.40679999999999988</v>
      </c>
      <c r="W54" s="127"/>
      <c r="X54" s="177"/>
    </row>
    <row r="55" spans="1:24" x14ac:dyDescent="0.25">
      <c r="A55" s="21">
        <f t="shared" si="0"/>
        <v>49</v>
      </c>
      <c r="B55" s="28"/>
      <c r="C55" s="37" t="s">
        <v>32</v>
      </c>
      <c r="D55" s="189">
        <v>0.3279200000000001</v>
      </c>
      <c r="E55" s="127">
        <f t="shared" si="10"/>
        <v>0.20291000000000001</v>
      </c>
      <c r="F55" s="190"/>
      <c r="G55" s="191"/>
      <c r="H55" s="130">
        <f t="shared" si="11"/>
        <v>0.12501000000000009</v>
      </c>
      <c r="I55" s="192">
        <f t="shared" si="12"/>
        <v>0.26333000000000001</v>
      </c>
      <c r="J55" s="186"/>
      <c r="K55" s="130"/>
      <c r="L55" s="130">
        <f t="shared" si="13"/>
        <v>0.38834000000000013</v>
      </c>
      <c r="M55" s="130">
        <f>+[1]Temporaries!D55</f>
        <v>3.1099999999999996E-2</v>
      </c>
      <c r="N55" s="127">
        <f>+[1]Temporaries!U55</f>
        <v>1.6370000000000003E-2</v>
      </c>
      <c r="O55" s="130"/>
      <c r="P55" s="130"/>
      <c r="Q55" s="130"/>
      <c r="R55" s="130"/>
      <c r="S55" s="130"/>
      <c r="T55" s="130"/>
      <c r="U55" s="155"/>
      <c r="V55" s="130">
        <f t="shared" si="4"/>
        <v>0.37361000000000011</v>
      </c>
      <c r="W55" s="127"/>
      <c r="X55" s="177"/>
    </row>
    <row r="56" spans="1:24" x14ac:dyDescent="0.25">
      <c r="A56" s="21">
        <f t="shared" si="0"/>
        <v>50</v>
      </c>
      <c r="B56" s="28"/>
      <c r="C56" s="37" t="s">
        <v>33</v>
      </c>
      <c r="D56" s="189">
        <v>0.30798999999999999</v>
      </c>
      <c r="E56" s="127">
        <f t="shared" si="10"/>
        <v>0.20291000000000001</v>
      </c>
      <c r="F56" s="190"/>
      <c r="G56" s="191"/>
      <c r="H56" s="130">
        <f t="shared" si="11"/>
        <v>0.10507999999999998</v>
      </c>
      <c r="I56" s="192">
        <f t="shared" si="12"/>
        <v>0.26333000000000001</v>
      </c>
      <c r="J56" s="186"/>
      <c r="K56" s="130"/>
      <c r="L56" s="130">
        <f t="shared" si="13"/>
        <v>0.36841000000000002</v>
      </c>
      <c r="M56" s="130">
        <f>+[1]Temporaries!D56</f>
        <v>2.9949999999999997E-2</v>
      </c>
      <c r="N56" s="127">
        <f>+[1]Temporaries!U56</f>
        <v>1.3339999999999999E-2</v>
      </c>
      <c r="O56" s="130"/>
      <c r="P56" s="130"/>
      <c r="Q56" s="130"/>
      <c r="R56" s="130"/>
      <c r="S56" s="130"/>
      <c r="T56" s="130"/>
      <c r="U56" s="155"/>
      <c r="V56" s="130">
        <f t="shared" si="4"/>
        <v>0.35180000000000006</v>
      </c>
      <c r="W56" s="127"/>
      <c r="X56" s="177"/>
    </row>
    <row r="57" spans="1:24" x14ac:dyDescent="0.25">
      <c r="A57" s="21">
        <f t="shared" si="0"/>
        <v>51</v>
      </c>
      <c r="B57" s="28"/>
      <c r="C57" s="37" t="s">
        <v>34</v>
      </c>
      <c r="D57" s="189">
        <v>0.28140999999999999</v>
      </c>
      <c r="E57" s="127">
        <f t="shared" si="10"/>
        <v>0.20291000000000001</v>
      </c>
      <c r="F57" s="190"/>
      <c r="G57" s="191"/>
      <c r="H57" s="130">
        <f t="shared" si="11"/>
        <v>7.8499999999999986E-2</v>
      </c>
      <c r="I57" s="192">
        <f t="shared" si="12"/>
        <v>0.26333000000000001</v>
      </c>
      <c r="J57" s="186"/>
      <c r="K57" s="130"/>
      <c r="L57" s="130">
        <f t="shared" si="13"/>
        <v>0.34182999999999997</v>
      </c>
      <c r="M57" s="130">
        <f>+[1]Temporaries!D57</f>
        <v>2.8409999999999998E-2</v>
      </c>
      <c r="N57" s="127">
        <f>+[1]Temporaries!U57</f>
        <v>9.2699999999999987E-3</v>
      </c>
      <c r="O57" s="130"/>
      <c r="P57" s="130"/>
      <c r="Q57" s="130"/>
      <c r="R57" s="130"/>
      <c r="S57" s="130"/>
      <c r="T57" s="130"/>
      <c r="U57" s="155"/>
      <c r="V57" s="130">
        <f t="shared" si="4"/>
        <v>0.32268999999999998</v>
      </c>
      <c r="W57" s="127"/>
      <c r="X57" s="177"/>
    </row>
    <row r="58" spans="1:24" x14ac:dyDescent="0.25">
      <c r="A58" s="21">
        <f t="shared" si="0"/>
        <v>52</v>
      </c>
      <c r="B58" s="36"/>
      <c r="C58" s="156" t="s">
        <v>35</v>
      </c>
      <c r="D58" s="182">
        <v>0.24818999999999991</v>
      </c>
      <c r="E58" s="125">
        <f t="shared" si="10"/>
        <v>0.20291000000000001</v>
      </c>
      <c r="F58" s="183"/>
      <c r="G58" s="188"/>
      <c r="H58" s="153">
        <f t="shared" si="11"/>
        <v>4.5279999999999904E-2</v>
      </c>
      <c r="I58" s="184">
        <f t="shared" si="12"/>
        <v>0.26333000000000001</v>
      </c>
      <c r="J58" s="185"/>
      <c r="K58" s="153"/>
      <c r="L58" s="153">
        <f t="shared" si="13"/>
        <v>0.30860999999999994</v>
      </c>
      <c r="M58" s="153">
        <f>+[1]Temporaries!D58</f>
        <v>2.649E-2</v>
      </c>
      <c r="N58" s="125">
        <f>+[1]Temporaries!U58</f>
        <v>4.1999999999999989E-3</v>
      </c>
      <c r="O58" s="153"/>
      <c r="P58" s="153"/>
      <c r="Q58" s="153"/>
      <c r="R58" s="153"/>
      <c r="S58" s="153"/>
      <c r="T58" s="153"/>
      <c r="U58" s="154"/>
      <c r="V58" s="153">
        <f t="shared" si="4"/>
        <v>0.28631999999999991</v>
      </c>
      <c r="W58" s="127"/>
      <c r="X58" s="177"/>
    </row>
    <row r="59" spans="1:24" x14ac:dyDescent="0.25">
      <c r="A59" s="21">
        <f t="shared" si="0"/>
        <v>53</v>
      </c>
      <c r="B59" s="28" t="s">
        <v>38</v>
      </c>
      <c r="C59" s="37" t="s">
        <v>25</v>
      </c>
      <c r="D59" s="189">
        <v>0.36416999999999994</v>
      </c>
      <c r="E59" s="127">
        <f t="shared" si="10"/>
        <v>0.20291000000000001</v>
      </c>
      <c r="F59" s="190"/>
      <c r="G59" s="191"/>
      <c r="H59" s="130">
        <f>+D59-SUM(E59:G59)</f>
        <v>0.16125999999999993</v>
      </c>
      <c r="I59" s="192">
        <f t="shared" si="12"/>
        <v>0.26333000000000001</v>
      </c>
      <c r="J59" s="186"/>
      <c r="K59" s="130"/>
      <c r="L59" s="130">
        <f t="shared" si="3"/>
        <v>0.42458999999999991</v>
      </c>
      <c r="M59" s="130">
        <f>+[1]Temporaries!D59</f>
        <v>1.5419999999999996E-2</v>
      </c>
      <c r="N59" s="127">
        <f>+[1]Temporaries!U59</f>
        <v>6.9699999999999996E-3</v>
      </c>
      <c r="O59" s="130"/>
      <c r="P59" s="130"/>
      <c r="Q59" s="130"/>
      <c r="R59" s="130"/>
      <c r="S59" s="130"/>
      <c r="T59" s="130"/>
      <c r="U59" s="155"/>
      <c r="V59" s="130">
        <f t="shared" si="4"/>
        <v>0.4161399999999999</v>
      </c>
      <c r="W59" s="127"/>
      <c r="X59" s="177"/>
    </row>
    <row r="60" spans="1:24" x14ac:dyDescent="0.25">
      <c r="A60" s="21">
        <f t="shared" si="0"/>
        <v>54</v>
      </c>
      <c r="B60" s="28"/>
      <c r="C60" s="37" t="s">
        <v>26</v>
      </c>
      <c r="D60" s="189">
        <v>0.34992999999999991</v>
      </c>
      <c r="E60" s="127">
        <f t="shared" si="10"/>
        <v>0.20291000000000001</v>
      </c>
      <c r="F60" s="190"/>
      <c r="G60" s="191"/>
      <c r="H60" s="130">
        <f t="shared" si="1"/>
        <v>0.1470199999999999</v>
      </c>
      <c r="I60" s="192">
        <f t="shared" si="12"/>
        <v>0.26333000000000001</v>
      </c>
      <c r="J60" s="186"/>
      <c r="K60" s="130"/>
      <c r="L60" s="130">
        <f t="shared" si="3"/>
        <v>0.41034999999999988</v>
      </c>
      <c r="M60" s="130">
        <f>+[1]Temporaries!D60</f>
        <v>1.6469999999999999E-2</v>
      </c>
      <c r="N60" s="127">
        <f>+[1]Temporaries!U60</f>
        <v>6.3499999999999997E-3</v>
      </c>
      <c r="O60" s="130"/>
      <c r="P60" s="130"/>
      <c r="Q60" s="130"/>
      <c r="R60" s="130"/>
      <c r="S60" s="130"/>
      <c r="T60" s="130"/>
      <c r="U60" s="155"/>
      <c r="V60" s="130">
        <f t="shared" si="4"/>
        <v>0.40022999999999992</v>
      </c>
      <c r="W60" s="127"/>
      <c r="X60" s="177"/>
    </row>
    <row r="61" spans="1:24" x14ac:dyDescent="0.25">
      <c r="A61" s="21">
        <f t="shared" si="0"/>
        <v>55</v>
      </c>
      <c r="B61" s="28"/>
      <c r="C61" s="37" t="s">
        <v>32</v>
      </c>
      <c r="D61" s="189">
        <v>0.32155000000000006</v>
      </c>
      <c r="E61" s="127">
        <f t="shared" si="10"/>
        <v>0.20291000000000001</v>
      </c>
      <c r="F61" s="190"/>
      <c r="G61" s="191"/>
      <c r="H61" s="130">
        <f t="shared" si="1"/>
        <v>0.11864000000000005</v>
      </c>
      <c r="I61" s="192">
        <f t="shared" si="12"/>
        <v>0.26333000000000001</v>
      </c>
      <c r="J61" s="186"/>
      <c r="K61" s="130"/>
      <c r="L61" s="130">
        <f t="shared" si="3"/>
        <v>0.38197000000000003</v>
      </c>
      <c r="M61" s="130">
        <f>+[1]Temporaries!D61</f>
        <v>1.8529999999999998E-2</v>
      </c>
      <c r="N61" s="127">
        <f>+[1]Temporaries!U61</f>
        <v>5.1399999999999996E-3</v>
      </c>
      <c r="O61" s="130"/>
      <c r="P61" s="130"/>
      <c r="Q61" s="130"/>
      <c r="R61" s="130"/>
      <c r="S61" s="130"/>
      <c r="T61" s="130"/>
      <c r="U61" s="155"/>
      <c r="V61" s="130">
        <f t="shared" si="4"/>
        <v>0.36858000000000002</v>
      </c>
      <c r="W61" s="127"/>
      <c r="X61" s="177"/>
    </row>
    <row r="62" spans="1:24" x14ac:dyDescent="0.25">
      <c r="A62" s="21">
        <f t="shared" si="0"/>
        <v>56</v>
      </c>
      <c r="B62" s="28"/>
      <c r="C62" s="37" t="s">
        <v>33</v>
      </c>
      <c r="D62" s="189">
        <v>0.30288999999999983</v>
      </c>
      <c r="E62" s="127">
        <f t="shared" si="10"/>
        <v>0.20291000000000001</v>
      </c>
      <c r="F62" s="190"/>
      <c r="G62" s="191"/>
      <c r="H62" s="130">
        <f t="shared" si="1"/>
        <v>9.9979999999999819E-2</v>
      </c>
      <c r="I62" s="192">
        <f t="shared" si="12"/>
        <v>0.26333000000000001</v>
      </c>
      <c r="J62" s="186"/>
      <c r="K62" s="130"/>
      <c r="L62" s="130">
        <f t="shared" si="3"/>
        <v>0.3633099999999998</v>
      </c>
      <c r="M62" s="130">
        <f>+[1]Temporaries!D62</f>
        <v>1.9889999999999998E-2</v>
      </c>
      <c r="N62" s="127">
        <f>+[1]Temporaries!U62</f>
        <v>4.3499999999999997E-3</v>
      </c>
      <c r="O62" s="130"/>
      <c r="P62" s="130"/>
      <c r="Q62" s="130"/>
      <c r="R62" s="130"/>
      <c r="S62" s="130"/>
      <c r="T62" s="130"/>
      <c r="U62" s="155"/>
      <c r="V62" s="130">
        <f t="shared" si="4"/>
        <v>0.3477699999999998</v>
      </c>
      <c r="W62" s="127"/>
      <c r="X62" s="177"/>
    </row>
    <row r="63" spans="1:24" x14ac:dyDescent="0.25">
      <c r="A63" s="21">
        <f t="shared" si="0"/>
        <v>57</v>
      </c>
      <c r="B63" s="28"/>
      <c r="C63" s="37" t="s">
        <v>34</v>
      </c>
      <c r="D63" s="189">
        <v>0.27800000000000002</v>
      </c>
      <c r="E63" s="127">
        <f t="shared" si="10"/>
        <v>0.20291000000000001</v>
      </c>
      <c r="F63" s="190"/>
      <c r="G63" s="191"/>
      <c r="H63" s="130">
        <f t="shared" si="1"/>
        <v>7.5090000000000018E-2</v>
      </c>
      <c r="I63" s="192">
        <f t="shared" si="12"/>
        <v>0.26333000000000001</v>
      </c>
      <c r="J63" s="186"/>
      <c r="K63" s="130"/>
      <c r="L63" s="130">
        <f t="shared" si="3"/>
        <v>0.33842000000000005</v>
      </c>
      <c r="M63" s="130">
        <f>+[1]Temporaries!D63</f>
        <v>2.1699999999999997E-2</v>
      </c>
      <c r="N63" s="127">
        <f>+[1]Temporaries!U63</f>
        <v>3.2999999999999995E-3</v>
      </c>
      <c r="O63" s="130"/>
      <c r="P63" s="130"/>
      <c r="Q63" s="130"/>
      <c r="R63" s="130"/>
      <c r="S63" s="130"/>
      <c r="T63" s="130"/>
      <c r="U63" s="155"/>
      <c r="V63" s="130">
        <f t="shared" si="4"/>
        <v>0.32002000000000008</v>
      </c>
      <c r="W63" s="127"/>
      <c r="X63" s="177"/>
    </row>
    <row r="64" spans="1:24" x14ac:dyDescent="0.25">
      <c r="A64" s="21">
        <f t="shared" si="0"/>
        <v>58</v>
      </c>
      <c r="B64" s="36"/>
      <c r="C64" s="156" t="s">
        <v>35</v>
      </c>
      <c r="D64" s="182">
        <v>0.24689999999999993</v>
      </c>
      <c r="E64" s="125">
        <f t="shared" si="10"/>
        <v>0.20291000000000001</v>
      </c>
      <c r="F64" s="183"/>
      <c r="G64" s="188"/>
      <c r="H64" s="153">
        <f t="shared" si="1"/>
        <v>4.3989999999999918E-2</v>
      </c>
      <c r="I64" s="184">
        <f t="shared" si="12"/>
        <v>0.26333000000000001</v>
      </c>
      <c r="J64" s="185"/>
      <c r="K64" s="153"/>
      <c r="L64" s="153">
        <f t="shared" si="3"/>
        <v>0.30731999999999993</v>
      </c>
      <c r="M64" s="153">
        <f>+[1]Temporaries!D64</f>
        <v>2.3969999999999998E-2</v>
      </c>
      <c r="N64" s="125">
        <f>+[1]Temporaries!U64</f>
        <v>1.9499999999999995E-3</v>
      </c>
      <c r="O64" s="153"/>
      <c r="P64" s="153"/>
      <c r="Q64" s="153"/>
      <c r="R64" s="153"/>
      <c r="S64" s="153"/>
      <c r="T64" s="153"/>
      <c r="U64" s="154"/>
      <c r="V64" s="153">
        <f t="shared" si="4"/>
        <v>0.28529999999999994</v>
      </c>
      <c r="W64" s="127"/>
      <c r="X64" s="177"/>
    </row>
    <row r="65" spans="1:24" x14ac:dyDescent="0.25">
      <c r="A65" s="21">
        <f t="shared" si="0"/>
        <v>59</v>
      </c>
      <c r="B65" s="28" t="s">
        <v>39</v>
      </c>
      <c r="C65" s="37" t="s">
        <v>25</v>
      </c>
      <c r="D65" s="196">
        <v>0.12573999999999999</v>
      </c>
      <c r="E65" s="158">
        <v>0</v>
      </c>
      <c r="F65" s="197"/>
      <c r="G65" s="198"/>
      <c r="H65" s="157">
        <f t="shared" si="1"/>
        <v>0.12573999999999999</v>
      </c>
      <c r="I65" s="199">
        <v>0</v>
      </c>
      <c r="J65" s="200"/>
      <c r="K65" s="157"/>
      <c r="L65" s="157">
        <f t="shared" si="3"/>
        <v>0.12573999999999999</v>
      </c>
      <c r="M65" s="157">
        <f>+[1]Temporaries!D65</f>
        <v>-8.2900000000000005E-3</v>
      </c>
      <c r="N65" s="158">
        <f>+[1]Temporaries!U65</f>
        <v>5.6999999999999998E-4</v>
      </c>
      <c r="O65" s="157"/>
      <c r="P65" s="157"/>
      <c r="Q65" s="157"/>
      <c r="R65" s="157"/>
      <c r="S65" s="157"/>
      <c r="T65" s="157"/>
      <c r="U65" s="159"/>
      <c r="V65" s="157">
        <f t="shared" si="4"/>
        <v>0.13459999999999997</v>
      </c>
      <c r="W65" s="127"/>
      <c r="X65" s="177"/>
    </row>
    <row r="66" spans="1:24" s="42" customFormat="1" x14ac:dyDescent="0.25">
      <c r="A66" s="21">
        <f t="shared" si="0"/>
        <v>60</v>
      </c>
      <c r="B66" s="28"/>
      <c r="C66" s="37" t="s">
        <v>26</v>
      </c>
      <c r="D66" s="196">
        <v>0.11255999999999999</v>
      </c>
      <c r="E66" s="158">
        <v>0</v>
      </c>
      <c r="F66" s="197"/>
      <c r="G66" s="197"/>
      <c r="H66" s="158">
        <f t="shared" si="1"/>
        <v>0.11255999999999999</v>
      </c>
      <c r="I66" s="199">
        <v>0</v>
      </c>
      <c r="J66" s="199"/>
      <c r="K66" s="158"/>
      <c r="L66" s="158">
        <f t="shared" si="3"/>
        <v>0.11255999999999999</v>
      </c>
      <c r="M66" s="158">
        <f>+[1]Temporaries!D66</f>
        <v>-7.4199999999999995E-3</v>
      </c>
      <c r="N66" s="158">
        <f>+[1]Temporaries!U66</f>
        <v>5.1000000000000004E-4</v>
      </c>
      <c r="O66" s="158"/>
      <c r="P66" s="158"/>
      <c r="Q66" s="158"/>
      <c r="R66" s="158"/>
      <c r="S66" s="158"/>
      <c r="T66" s="158"/>
      <c r="U66" s="159"/>
      <c r="V66" s="158">
        <f t="shared" si="4"/>
        <v>0.12048999999999999</v>
      </c>
      <c r="W66" s="127"/>
      <c r="X66" s="177"/>
    </row>
    <row r="67" spans="1:24" s="42" customFormat="1" x14ac:dyDescent="0.25">
      <c r="A67" s="21">
        <f t="shared" si="0"/>
        <v>61</v>
      </c>
      <c r="B67" s="28"/>
      <c r="C67" s="37" t="s">
        <v>32</v>
      </c>
      <c r="D67" s="196">
        <v>8.6309999999999998E-2</v>
      </c>
      <c r="E67" s="158">
        <v>0</v>
      </c>
      <c r="F67" s="197"/>
      <c r="G67" s="197"/>
      <c r="H67" s="158">
        <f t="shared" si="1"/>
        <v>8.6309999999999998E-2</v>
      </c>
      <c r="I67" s="199">
        <v>0</v>
      </c>
      <c r="J67" s="199"/>
      <c r="K67" s="158"/>
      <c r="L67" s="158">
        <f t="shared" si="3"/>
        <v>8.6309999999999998E-2</v>
      </c>
      <c r="M67" s="158">
        <f>+[1]Temporaries!D67</f>
        <v>-5.6900000000000006E-3</v>
      </c>
      <c r="N67" s="158">
        <f>+[1]Temporaries!U67</f>
        <v>3.7999999999999997E-4</v>
      </c>
      <c r="O67" s="158"/>
      <c r="P67" s="158"/>
      <c r="Q67" s="158"/>
      <c r="R67" s="158"/>
      <c r="S67" s="158"/>
      <c r="T67" s="158"/>
      <c r="U67" s="159"/>
      <c r="V67" s="158">
        <f t="shared" si="4"/>
        <v>9.2380000000000004E-2</v>
      </c>
      <c r="W67" s="127"/>
      <c r="X67" s="177"/>
    </row>
    <row r="68" spans="1:24" s="42" customFormat="1" x14ac:dyDescent="0.25">
      <c r="A68" s="21">
        <f t="shared" si="0"/>
        <v>62</v>
      </c>
      <c r="B68" s="28"/>
      <c r="C68" s="37" t="s">
        <v>33</v>
      </c>
      <c r="D68" s="196">
        <v>6.9059999999999996E-2</v>
      </c>
      <c r="E68" s="158">
        <v>0</v>
      </c>
      <c r="F68" s="197"/>
      <c r="G68" s="197"/>
      <c r="H68" s="158">
        <f t="shared" si="1"/>
        <v>6.9059999999999996E-2</v>
      </c>
      <c r="I68" s="199">
        <v>0</v>
      </c>
      <c r="J68" s="199"/>
      <c r="K68" s="158"/>
      <c r="L68" s="158">
        <f t="shared" si="3"/>
        <v>6.9059999999999996E-2</v>
      </c>
      <c r="M68" s="158">
        <f>+[1]Temporaries!D68</f>
        <v>-4.5500000000000002E-3</v>
      </c>
      <c r="N68" s="158">
        <f>+[1]Temporaries!U68</f>
        <v>3.0999999999999995E-4</v>
      </c>
      <c r="O68" s="158"/>
      <c r="P68" s="158"/>
      <c r="Q68" s="158"/>
      <c r="R68" s="158"/>
      <c r="S68" s="158"/>
      <c r="T68" s="158"/>
      <c r="U68" s="159"/>
      <c r="V68" s="158">
        <f t="shared" si="4"/>
        <v>7.392E-2</v>
      </c>
      <c r="W68" s="127"/>
      <c r="X68" s="177"/>
    </row>
    <row r="69" spans="1:24" s="42" customFormat="1" x14ac:dyDescent="0.25">
      <c r="A69" s="21">
        <f t="shared" si="0"/>
        <v>63</v>
      </c>
      <c r="B69" s="28"/>
      <c r="C69" s="37" t="s">
        <v>34</v>
      </c>
      <c r="D69" s="196">
        <v>4.6050000000000001E-2</v>
      </c>
      <c r="E69" s="158">
        <v>0</v>
      </c>
      <c r="F69" s="197"/>
      <c r="G69" s="197"/>
      <c r="H69" s="158">
        <f t="shared" si="1"/>
        <v>4.6050000000000001E-2</v>
      </c>
      <c r="I69" s="199">
        <v>0</v>
      </c>
      <c r="J69" s="199"/>
      <c r="K69" s="158"/>
      <c r="L69" s="158">
        <f t="shared" si="3"/>
        <v>4.6050000000000001E-2</v>
      </c>
      <c r="M69" s="158">
        <f>+[1]Temporaries!D69</f>
        <v>-3.0300000000000001E-3</v>
      </c>
      <c r="N69" s="158">
        <f>+[1]Temporaries!U69</f>
        <v>2.0999999999999998E-4</v>
      </c>
      <c r="O69" s="158"/>
      <c r="P69" s="158"/>
      <c r="Q69" s="158"/>
      <c r="R69" s="158"/>
      <c r="S69" s="158"/>
      <c r="T69" s="158"/>
      <c r="U69" s="159"/>
      <c r="V69" s="158">
        <f t="shared" si="4"/>
        <v>4.929E-2</v>
      </c>
      <c r="W69" s="127"/>
      <c r="X69" s="177"/>
    </row>
    <row r="70" spans="1:24" s="42" customFormat="1" x14ac:dyDescent="0.25">
      <c r="A70" s="21">
        <f t="shared" si="0"/>
        <v>64</v>
      </c>
      <c r="B70" s="36"/>
      <c r="C70" s="156" t="s">
        <v>35</v>
      </c>
      <c r="D70" s="201">
        <v>1.7250000000000001E-2</v>
      </c>
      <c r="E70" s="160">
        <v>0</v>
      </c>
      <c r="F70" s="202"/>
      <c r="G70" s="202"/>
      <c r="H70" s="160">
        <f t="shared" si="1"/>
        <v>1.7250000000000001E-2</v>
      </c>
      <c r="I70" s="203">
        <v>0</v>
      </c>
      <c r="J70" s="203"/>
      <c r="K70" s="160"/>
      <c r="L70" s="160">
        <f t="shared" si="3"/>
        <v>1.7250000000000001E-2</v>
      </c>
      <c r="M70" s="160">
        <f>+[1]Temporaries!D70</f>
        <v>-1.1400000000000002E-3</v>
      </c>
      <c r="N70" s="160">
        <f>+[1]Temporaries!U70</f>
        <v>6.9999999999999994E-5</v>
      </c>
      <c r="O70" s="160"/>
      <c r="P70" s="160"/>
      <c r="Q70" s="160"/>
      <c r="R70" s="160"/>
      <c r="S70" s="160"/>
      <c r="T70" s="160"/>
      <c r="U70" s="161"/>
      <c r="V70" s="160">
        <f t="shared" si="4"/>
        <v>1.8460000000000001E-2</v>
      </c>
      <c r="W70" s="127"/>
      <c r="X70" s="177"/>
    </row>
    <row r="71" spans="1:24" s="42" customFormat="1" x14ac:dyDescent="0.25">
      <c r="A71" s="21">
        <f t="shared" si="0"/>
        <v>65</v>
      </c>
      <c r="B71" s="36" t="s">
        <v>40</v>
      </c>
      <c r="C71" s="36"/>
      <c r="D71" s="204">
        <v>4.5599999999999998E-3</v>
      </c>
      <c r="E71" s="135">
        <v>0</v>
      </c>
      <c r="F71" s="205"/>
      <c r="G71" s="205"/>
      <c r="H71" s="135">
        <f t="shared" si="1"/>
        <v>4.5599999999999998E-3</v>
      </c>
      <c r="I71" s="206">
        <v>0</v>
      </c>
      <c r="J71" s="206">
        <v>0</v>
      </c>
      <c r="K71" s="135">
        <v>0</v>
      </c>
      <c r="L71" s="135">
        <f t="shared" si="3"/>
        <v>4.5599999999999998E-3</v>
      </c>
      <c r="M71" s="135">
        <f>+[1]Temporaries!D71</f>
        <v>-3.5000000000000005E-4</v>
      </c>
      <c r="N71" s="135">
        <f>+[1]Temporaries!U71</f>
        <v>1.0000000000000001E-5</v>
      </c>
      <c r="O71" s="135"/>
      <c r="P71" s="135"/>
      <c r="Q71" s="135"/>
      <c r="R71" s="135"/>
      <c r="S71" s="135"/>
      <c r="T71" s="135"/>
      <c r="U71" s="162"/>
      <c r="V71" s="135">
        <f t="shared" si="4"/>
        <v>4.919999999999999E-3</v>
      </c>
      <c r="W71" s="127"/>
      <c r="X71" s="177"/>
    </row>
    <row r="72" spans="1:24" s="42" customFormat="1" x14ac:dyDescent="0.25">
      <c r="A72" s="21">
        <f t="shared" si="0"/>
        <v>66</v>
      </c>
      <c r="B72" s="32" t="s">
        <v>41</v>
      </c>
      <c r="C72" s="32"/>
      <c r="D72" s="201">
        <v>4.5599999999999998E-3</v>
      </c>
      <c r="E72" s="160">
        <v>0</v>
      </c>
      <c r="F72" s="202"/>
      <c r="G72" s="202"/>
      <c r="H72" s="160">
        <f t="shared" si="1"/>
        <v>4.5599999999999998E-3</v>
      </c>
      <c r="I72" s="203">
        <v>0</v>
      </c>
      <c r="J72" s="203">
        <v>0</v>
      </c>
      <c r="K72" s="160">
        <v>0</v>
      </c>
      <c r="L72" s="160">
        <f t="shared" si="3"/>
        <v>4.5599999999999998E-3</v>
      </c>
      <c r="M72" s="160">
        <f>+[1]Temporaries!D72</f>
        <v>-3.5000000000000005E-4</v>
      </c>
      <c r="N72" s="160">
        <f>+[1]Temporaries!U72</f>
        <v>1.0000000000000001E-5</v>
      </c>
      <c r="O72" s="160"/>
      <c r="P72" s="160"/>
      <c r="Q72" s="160"/>
      <c r="R72" s="160"/>
      <c r="S72" s="160"/>
      <c r="T72" s="160"/>
      <c r="U72" s="161"/>
      <c r="V72" s="160">
        <f t="shared" si="4"/>
        <v>4.919999999999999E-3</v>
      </c>
      <c r="W72" s="127"/>
      <c r="X72" s="177"/>
    </row>
    <row r="73" spans="1:24" s="42" customFormat="1" x14ac:dyDescent="0.25">
      <c r="A73" s="21">
        <f t="shared" ref="A73:A81" si="14">+A72+1</f>
        <v>67</v>
      </c>
      <c r="B73" s="32" t="s">
        <v>42</v>
      </c>
      <c r="C73" s="32"/>
      <c r="D73" s="201"/>
      <c r="E73" s="111"/>
      <c r="F73" s="111"/>
      <c r="G73" s="111"/>
      <c r="H73" s="111"/>
      <c r="I73" s="203"/>
      <c r="J73" s="207"/>
      <c r="K73" s="111"/>
      <c r="L73" s="111"/>
      <c r="M73" s="111"/>
      <c r="N73" s="111"/>
      <c r="O73" s="111"/>
      <c r="P73" s="111"/>
      <c r="Q73" s="111"/>
      <c r="R73" s="111"/>
      <c r="S73" s="111"/>
      <c r="T73" s="111"/>
      <c r="U73" s="161"/>
      <c r="V73" s="111"/>
      <c r="W73" s="158"/>
      <c r="X73" s="177"/>
    </row>
    <row r="74" spans="1:24" x14ac:dyDescent="0.25">
      <c r="A74" s="21">
        <f t="shared" si="14"/>
        <v>68</v>
      </c>
      <c r="X74" s="177"/>
    </row>
    <row r="75" spans="1:24" ht="15.75" thickBot="1" x14ac:dyDescent="0.3">
      <c r="A75" s="21">
        <f t="shared" si="14"/>
        <v>69</v>
      </c>
      <c r="B75" s="43" t="s">
        <v>66</v>
      </c>
      <c r="X75" s="177"/>
    </row>
    <row r="76" spans="1:24" ht="15.75" thickBot="1" x14ac:dyDescent="0.3">
      <c r="A76" s="21">
        <f t="shared" si="14"/>
        <v>70</v>
      </c>
      <c r="B76" s="114" t="s">
        <v>67</v>
      </c>
      <c r="C76" s="24"/>
      <c r="D76" s="139" t="s">
        <v>130</v>
      </c>
      <c r="E76" s="45" t="s">
        <v>131</v>
      </c>
      <c r="F76" s="45" t="str">
        <f>+E76</f>
        <v>2019-20 PGA</v>
      </c>
      <c r="G76" s="45" t="str">
        <f>+F76</f>
        <v>2019-20 PGA</v>
      </c>
      <c r="H76" s="44"/>
      <c r="I76" s="139" t="s">
        <v>132</v>
      </c>
      <c r="J76" s="139" t="s">
        <v>132</v>
      </c>
      <c r="K76" s="139" t="s">
        <v>132</v>
      </c>
      <c r="L76" s="44"/>
      <c r="M76" s="44"/>
      <c r="N76" s="44"/>
      <c r="O76" s="44"/>
      <c r="P76" s="44"/>
      <c r="Q76" s="44"/>
      <c r="R76" s="44"/>
      <c r="S76" s="44"/>
      <c r="T76" s="44"/>
      <c r="U76" s="208"/>
      <c r="V76" s="44"/>
      <c r="W76" s="42"/>
      <c r="X76" s="177"/>
    </row>
    <row r="77" spans="1:24" ht="15.75" thickBot="1" x14ac:dyDescent="0.3">
      <c r="A77" s="21">
        <f t="shared" si="14"/>
        <v>71</v>
      </c>
      <c r="B77" s="209"/>
      <c r="W77" s="42"/>
      <c r="X77" s="177"/>
    </row>
    <row r="78" spans="1:24" ht="15.75" thickBot="1" x14ac:dyDescent="0.3">
      <c r="A78" s="21">
        <f t="shared" si="14"/>
        <v>72</v>
      </c>
      <c r="B78" s="114" t="s">
        <v>70</v>
      </c>
      <c r="C78" s="24"/>
      <c r="D78" s="44"/>
      <c r="E78" s="44"/>
      <c r="F78" s="44"/>
      <c r="G78" s="44"/>
      <c r="H78" s="44"/>
      <c r="I78" s="140"/>
      <c r="J78" s="44"/>
      <c r="K78" s="44"/>
      <c r="L78" s="44"/>
      <c r="M78" s="137" t="s">
        <v>7</v>
      </c>
      <c r="N78" s="137" t="s">
        <v>133</v>
      </c>
      <c r="O78" s="137"/>
      <c r="P78" s="137"/>
      <c r="Q78" s="137"/>
      <c r="R78" s="137"/>
      <c r="S78" s="137"/>
      <c r="T78" s="137"/>
      <c r="U78" s="208"/>
      <c r="V78" s="44"/>
      <c r="W78" s="42"/>
      <c r="X78" s="177"/>
    </row>
    <row r="79" spans="1:24" ht="15.75" thickBot="1" x14ac:dyDescent="0.3">
      <c r="A79" s="21">
        <f t="shared" si="14"/>
        <v>73</v>
      </c>
      <c r="B79" s="114" t="s">
        <v>134</v>
      </c>
      <c r="C79" s="24"/>
      <c r="D79" s="44"/>
      <c r="E79" s="44"/>
      <c r="F79" s="44"/>
      <c r="G79" s="44"/>
      <c r="H79" s="44"/>
      <c r="I79" s="140"/>
      <c r="J79" s="44"/>
      <c r="K79" s="44"/>
      <c r="L79" s="44"/>
      <c r="M79" s="44"/>
      <c r="N79" s="44"/>
      <c r="O79" s="44"/>
      <c r="P79" s="44"/>
      <c r="Q79" s="44"/>
      <c r="R79" s="44"/>
      <c r="S79" s="44"/>
      <c r="T79" s="44"/>
      <c r="U79" s="165"/>
      <c r="V79" s="44"/>
      <c r="W79" s="42"/>
      <c r="X79" s="177"/>
    </row>
    <row r="80" spans="1:24" x14ac:dyDescent="0.25">
      <c r="A80" s="21">
        <f t="shared" si="14"/>
        <v>74</v>
      </c>
      <c r="B80" s="209" t="s">
        <v>135</v>
      </c>
      <c r="X80" s="177"/>
    </row>
    <row r="81" spans="1:24" x14ac:dyDescent="0.25">
      <c r="A81" s="21">
        <f t="shared" si="14"/>
        <v>75</v>
      </c>
      <c r="B81" s="209"/>
      <c r="X81" s="177"/>
    </row>
    <row r="82" spans="1:24" x14ac:dyDescent="0.25">
      <c r="B82" s="209"/>
      <c r="X82" s="177"/>
    </row>
    <row r="83" spans="1:24" x14ac:dyDescent="0.25">
      <c r="X83" s="177"/>
    </row>
  </sheetData>
  <pageMargins left="0.7" right="0.7" top="0.75" bottom="0.75" header="0.3" footer="0.3"/>
  <pageSetup scale="50" fitToHeight="0" orientation="portrait" horizontalDpi="1200" verticalDpi="1200" r:id="rId1"/>
  <headerFooter>
    <oddHeader>&amp;RNWN WUTC Advice 20-10
Exhibit A - Supporting Materials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9"/>
  <sheetViews>
    <sheetView zoomScaleNormal="100" workbookViewId="0">
      <selection activeCell="O15" sqref="O15"/>
    </sheetView>
  </sheetViews>
  <sheetFormatPr defaultColWidth="8" defaultRowHeight="12.75" x14ac:dyDescent="0.2"/>
  <cols>
    <col min="1" max="1" width="6.7109375" style="3" customWidth="1"/>
    <col min="2" max="5" width="12.7109375" style="3" customWidth="1"/>
    <col min="6" max="6" width="15.5703125" style="3" customWidth="1"/>
    <col min="7" max="7" width="2.140625" style="3" customWidth="1"/>
    <col min="8" max="8" width="37" style="3" bestFit="1" customWidth="1"/>
    <col min="9" max="10" width="14.42578125" style="3" hidden="1" customWidth="1"/>
    <col min="11" max="15" width="14.42578125" style="3" customWidth="1"/>
    <col min="16" max="23" width="12.7109375" style="3" customWidth="1"/>
    <col min="24" max="16384" width="8" style="3"/>
  </cols>
  <sheetData>
    <row r="1" spans="1:15" ht="14.25" x14ac:dyDescent="0.2">
      <c r="A1" s="2" t="s">
        <v>0</v>
      </c>
    </row>
    <row r="2" spans="1:15" ht="14.25" x14ac:dyDescent="0.2">
      <c r="A2" s="2" t="s">
        <v>1</v>
      </c>
    </row>
    <row r="3" spans="1:15" ht="14.25" x14ac:dyDescent="0.2">
      <c r="A3" s="210" t="s">
        <v>77</v>
      </c>
    </row>
    <row r="4" spans="1:15" ht="14.25" x14ac:dyDescent="0.2">
      <c r="A4" s="210" t="s">
        <v>78</v>
      </c>
    </row>
    <row r="7" spans="1:15" x14ac:dyDescent="0.2">
      <c r="A7" s="5">
        <v>1</v>
      </c>
      <c r="F7" s="6" t="s">
        <v>69</v>
      </c>
      <c r="H7" s="6" t="s">
        <v>73</v>
      </c>
      <c r="I7" s="6" t="s">
        <v>79</v>
      </c>
      <c r="J7" s="6" t="s">
        <v>80</v>
      </c>
    </row>
    <row r="8" spans="1:15" x14ac:dyDescent="0.2">
      <c r="A8" s="5">
        <f>+A7+1</f>
        <v>2</v>
      </c>
      <c r="B8" s="9" t="s">
        <v>81</v>
      </c>
    </row>
    <row r="9" spans="1:15" x14ac:dyDescent="0.2">
      <c r="A9" s="5">
        <f>+A8+1</f>
        <v>3</v>
      </c>
      <c r="H9" s="8"/>
      <c r="M9" s="7"/>
      <c r="N9" s="7"/>
    </row>
    <row r="10" spans="1:15" x14ac:dyDescent="0.2">
      <c r="A10" s="5">
        <f t="shared" ref="A10:A34" si="0">+A9+1</f>
        <v>4</v>
      </c>
      <c r="B10" s="3" t="s">
        <v>82</v>
      </c>
      <c r="F10" s="46">
        <f>'[2]Comparison to current WA'!$E$19</f>
        <v>5065474</v>
      </c>
      <c r="H10" s="211" t="s">
        <v>83</v>
      </c>
      <c r="I10" s="212"/>
      <c r="J10" s="212">
        <f>+F10-I10</f>
        <v>5065474</v>
      </c>
      <c r="M10" s="7"/>
      <c r="N10" s="7"/>
    </row>
    <row r="11" spans="1:15" x14ac:dyDescent="0.2">
      <c r="A11" s="5">
        <f t="shared" si="0"/>
        <v>5</v>
      </c>
      <c r="F11" s="7"/>
      <c r="H11" s="8"/>
      <c r="I11" s="213"/>
      <c r="J11" s="213"/>
      <c r="M11" s="7"/>
      <c r="N11" s="7"/>
    </row>
    <row r="12" spans="1:15" x14ac:dyDescent="0.2">
      <c r="A12" s="5">
        <f t="shared" si="0"/>
        <v>6</v>
      </c>
      <c r="B12" s="3" t="s">
        <v>84</v>
      </c>
      <c r="F12" s="10">
        <f>'[2]Comparison to current WA'!$E$24</f>
        <v>-618344</v>
      </c>
      <c r="H12" s="8" t="str">
        <f>H10</f>
        <v>NWN 2020-21 PGA gas cost development file September filing_WA.xls</v>
      </c>
      <c r="I12" s="214"/>
      <c r="J12" s="214">
        <f>+F12-I12</f>
        <v>-618344</v>
      </c>
      <c r="M12" s="7"/>
      <c r="N12" s="7"/>
    </row>
    <row r="13" spans="1:15" x14ac:dyDescent="0.2">
      <c r="A13" s="5">
        <f t="shared" si="0"/>
        <v>7</v>
      </c>
      <c r="F13" s="7"/>
      <c r="H13" s="8"/>
      <c r="I13" s="7"/>
      <c r="J13" s="7"/>
      <c r="M13" s="7"/>
      <c r="N13" s="7"/>
      <c r="O13" s="7"/>
    </row>
    <row r="14" spans="1:15" x14ac:dyDescent="0.2">
      <c r="A14" s="5">
        <f t="shared" si="0"/>
        <v>8</v>
      </c>
      <c r="B14" s="47" t="s">
        <v>85</v>
      </c>
      <c r="F14" s="10">
        <f>SUM(F10:F12)</f>
        <v>4447130</v>
      </c>
      <c r="H14" s="48"/>
      <c r="I14" s="10">
        <v>-88914</v>
      </c>
      <c r="J14" s="10">
        <f>+F14-I14</f>
        <v>4536044</v>
      </c>
      <c r="M14" s="7"/>
      <c r="N14" s="7"/>
      <c r="O14" s="7"/>
    </row>
    <row r="15" spans="1:15" x14ac:dyDescent="0.2">
      <c r="A15" s="5">
        <f t="shared" si="0"/>
        <v>9</v>
      </c>
      <c r="F15" s="7"/>
      <c r="H15" s="8"/>
      <c r="I15" s="7"/>
      <c r="J15" s="7"/>
      <c r="M15" s="7"/>
      <c r="N15" s="7"/>
    </row>
    <row r="16" spans="1:15" x14ac:dyDescent="0.2">
      <c r="A16" s="5">
        <f t="shared" si="0"/>
        <v>10</v>
      </c>
      <c r="B16" s="9" t="s">
        <v>86</v>
      </c>
      <c r="F16" s="7"/>
      <c r="H16" s="8"/>
      <c r="I16" s="7"/>
      <c r="J16" s="7"/>
      <c r="M16" s="7"/>
      <c r="N16" s="7"/>
    </row>
    <row r="17" spans="1:14" x14ac:dyDescent="0.2">
      <c r="A17" s="5">
        <f t="shared" si="0"/>
        <v>11</v>
      </c>
      <c r="F17" s="7"/>
      <c r="H17" s="8"/>
      <c r="I17" s="7"/>
      <c r="J17" s="7"/>
      <c r="M17" s="7"/>
    </row>
    <row r="18" spans="1:14" x14ac:dyDescent="0.2">
      <c r="A18" s="5">
        <f t="shared" si="0"/>
        <v>12</v>
      </c>
      <c r="B18" s="3" t="s">
        <v>87</v>
      </c>
      <c r="F18" s="49">
        <f>'[3]20-05 R&amp;C Eng. Effic.'!F15+'[3]20-06 GREAT &amp; WA-LIEE'!F15+'[3]20-07 HoldCo Credit'!F16+'[3]20-04 ECRM'!F15+'[3]20-8 Interim Tax Deferral'!F15+'[3]20-09 PGA'!F18</f>
        <v>4988772.2578618973</v>
      </c>
      <c r="H18" s="8" t="s">
        <v>88</v>
      </c>
      <c r="I18" s="213"/>
      <c r="J18" s="213">
        <f>+F18-I18</f>
        <v>4988772.2578618973</v>
      </c>
      <c r="L18" s="7"/>
      <c r="M18" s="7"/>
    </row>
    <row r="19" spans="1:14" x14ac:dyDescent="0.2">
      <c r="A19" s="5">
        <f t="shared" si="0"/>
        <v>13</v>
      </c>
      <c r="F19" s="213"/>
      <c r="H19" s="8"/>
      <c r="I19" s="213"/>
      <c r="J19" s="213"/>
    </row>
    <row r="20" spans="1:14" x14ac:dyDescent="0.2">
      <c r="A20" s="5">
        <f t="shared" si="0"/>
        <v>14</v>
      </c>
      <c r="B20" s="3" t="s">
        <v>71</v>
      </c>
      <c r="F20" s="10">
        <f>SUM('[3]20-05 R&amp;C Eng. Effic.'!F12,'[3]20-06 GREAT &amp; WA-LIEE'!F12,'[3]20-07 HoldCo Credit'!F12,'[3]20-09 PGA'!F20,'[3]20-8 Interim Tax Deferral'!F12)</f>
        <v>-2888806.2436236721</v>
      </c>
      <c r="H20" s="8" t="s">
        <v>89</v>
      </c>
      <c r="I20" s="214"/>
      <c r="J20" s="214">
        <f>+F20-I20</f>
        <v>-2888806.2436236721</v>
      </c>
      <c r="L20" s="7"/>
      <c r="M20" s="7"/>
      <c r="N20" s="7"/>
    </row>
    <row r="21" spans="1:14" x14ac:dyDescent="0.2">
      <c r="A21" s="5">
        <f t="shared" si="0"/>
        <v>15</v>
      </c>
      <c r="F21" s="7"/>
      <c r="I21" s="7"/>
      <c r="J21" s="7"/>
    </row>
    <row r="22" spans="1:14" x14ac:dyDescent="0.2">
      <c r="A22" s="5">
        <f t="shared" si="0"/>
        <v>16</v>
      </c>
      <c r="B22" s="47" t="s">
        <v>90</v>
      </c>
      <c r="F22" s="10">
        <f>+F18+F20</f>
        <v>2099966.0142382253</v>
      </c>
      <c r="H22" s="50"/>
      <c r="I22" s="10">
        <v>-6564812</v>
      </c>
      <c r="J22" s="10">
        <f>+F22-I22</f>
        <v>8664778.0142382253</v>
      </c>
      <c r="L22" s="7"/>
    </row>
    <row r="23" spans="1:14" x14ac:dyDescent="0.2">
      <c r="A23" s="5">
        <f t="shared" si="0"/>
        <v>17</v>
      </c>
      <c r="B23" s="47"/>
      <c r="F23" s="11"/>
      <c r="H23" s="50"/>
      <c r="I23" s="11"/>
      <c r="J23" s="11"/>
      <c r="L23" s="7"/>
    </row>
    <row r="24" spans="1:14" x14ac:dyDescent="0.2">
      <c r="A24" s="5">
        <f t="shared" si="0"/>
        <v>18</v>
      </c>
      <c r="B24" s="9" t="s">
        <v>91</v>
      </c>
      <c r="F24" s="11"/>
      <c r="H24" s="50"/>
      <c r="I24" s="11"/>
      <c r="J24" s="11"/>
      <c r="L24" s="7"/>
    </row>
    <row r="25" spans="1:14" x14ac:dyDescent="0.2">
      <c r="A25" s="5">
        <f t="shared" si="0"/>
        <v>19</v>
      </c>
      <c r="B25" s="9"/>
      <c r="F25" s="11"/>
      <c r="H25" s="50"/>
      <c r="I25" s="11"/>
      <c r="J25" s="11"/>
      <c r="L25" s="7"/>
    </row>
    <row r="26" spans="1:14" x14ac:dyDescent="0.2">
      <c r="A26" s="5">
        <f t="shared" si="0"/>
        <v>20</v>
      </c>
      <c r="B26" s="3" t="s">
        <v>60</v>
      </c>
      <c r="F26" s="10">
        <f>'[3]20-XX Sch. 201 &amp; 203 (PGA)'!F19</f>
        <v>0</v>
      </c>
      <c r="H26" s="8" t="s">
        <v>92</v>
      </c>
      <c r="I26" s="7"/>
      <c r="J26" s="7"/>
      <c r="L26" s="7"/>
    </row>
    <row r="27" spans="1:14" x14ac:dyDescent="0.2">
      <c r="A27" s="5">
        <f>+A26+1</f>
        <v>21</v>
      </c>
      <c r="F27" s="213"/>
      <c r="I27" s="7"/>
      <c r="J27" s="7"/>
      <c r="L27" s="7"/>
    </row>
    <row r="28" spans="1:14" ht="13.5" thickBot="1" x14ac:dyDescent="0.25">
      <c r="A28" s="5">
        <f t="shared" si="0"/>
        <v>22</v>
      </c>
      <c r="B28" s="4" t="s">
        <v>93</v>
      </c>
      <c r="F28" s="12">
        <f>+F22+F14+F26</f>
        <v>6547096.0142382253</v>
      </c>
      <c r="I28" s="12">
        <v>-6653726</v>
      </c>
      <c r="J28" s="12">
        <f>+F28-I28</f>
        <v>13200822.014238225</v>
      </c>
      <c r="L28" s="7"/>
    </row>
    <row r="29" spans="1:14" ht="13.5" thickTop="1" x14ac:dyDescent="0.2">
      <c r="A29" s="5">
        <f t="shared" si="0"/>
        <v>23</v>
      </c>
      <c r="F29" s="7"/>
      <c r="I29" s="7"/>
      <c r="J29" s="7"/>
    </row>
    <row r="30" spans="1:14" x14ac:dyDescent="0.2">
      <c r="A30" s="5">
        <f t="shared" si="0"/>
        <v>24</v>
      </c>
      <c r="F30" s="7"/>
      <c r="I30" s="7"/>
      <c r="J30" s="7"/>
    </row>
    <row r="31" spans="1:14" x14ac:dyDescent="0.2">
      <c r="A31" s="5">
        <f t="shared" si="0"/>
        <v>25</v>
      </c>
      <c r="F31" s="7"/>
      <c r="I31" s="7"/>
      <c r="J31" s="7"/>
    </row>
    <row r="32" spans="1:14" x14ac:dyDescent="0.2">
      <c r="A32" s="5">
        <f t="shared" si="0"/>
        <v>26</v>
      </c>
      <c r="B32" s="215" t="s">
        <v>74</v>
      </c>
      <c r="C32" s="13"/>
      <c r="D32" s="13"/>
      <c r="F32" s="216">
        <v>65154832.451915644</v>
      </c>
      <c r="I32" s="14"/>
      <c r="J32" s="14">
        <f>+F32-I32</f>
        <v>65154832.451915644</v>
      </c>
    </row>
    <row r="33" spans="1:10" x14ac:dyDescent="0.2">
      <c r="A33" s="5">
        <f t="shared" si="0"/>
        <v>27</v>
      </c>
      <c r="B33" s="4"/>
      <c r="F33" s="15"/>
      <c r="I33" s="15"/>
      <c r="J33" s="15"/>
    </row>
    <row r="34" spans="1:10" x14ac:dyDescent="0.2">
      <c r="A34" s="5">
        <f t="shared" si="0"/>
        <v>28</v>
      </c>
      <c r="B34" s="4" t="s">
        <v>72</v>
      </c>
      <c r="F34" s="16">
        <f>ROUND(F28/F32,4)</f>
        <v>0.10050000000000001</v>
      </c>
      <c r="I34" s="16">
        <v>-6.9699999999999998E-2</v>
      </c>
      <c r="J34" s="16">
        <f>+F34-I34</f>
        <v>0.17020000000000002</v>
      </c>
    </row>
    <row r="35" spans="1:10" x14ac:dyDescent="0.2">
      <c r="A35" s="5"/>
      <c r="F35" s="15"/>
    </row>
    <row r="36" spans="1:10" x14ac:dyDescent="0.2">
      <c r="A36" s="5"/>
      <c r="F36" s="7"/>
    </row>
    <row r="37" spans="1:10" x14ac:dyDescent="0.2">
      <c r="A37" s="5"/>
      <c r="F37" s="7"/>
    </row>
    <row r="38" spans="1:10" x14ac:dyDescent="0.2">
      <c r="A38" s="5"/>
      <c r="F38" s="46"/>
    </row>
    <row r="39" spans="1:10" x14ac:dyDescent="0.2">
      <c r="A39" s="5"/>
    </row>
    <row r="40" spans="1:10" x14ac:dyDescent="0.2">
      <c r="A40" s="5"/>
    </row>
    <row r="41" spans="1:10" x14ac:dyDescent="0.2">
      <c r="A41" s="5"/>
    </row>
    <row r="42" spans="1:10" x14ac:dyDescent="0.2">
      <c r="A42" s="5"/>
    </row>
    <row r="43" spans="1:10" x14ac:dyDescent="0.2">
      <c r="A43" s="5"/>
    </row>
    <row r="44" spans="1:10" x14ac:dyDescent="0.2">
      <c r="A44" s="5"/>
    </row>
    <row r="45" spans="1:10" x14ac:dyDescent="0.2">
      <c r="A45" s="5"/>
    </row>
    <row r="46" spans="1:10" x14ac:dyDescent="0.2">
      <c r="A46" s="5"/>
    </row>
    <row r="47" spans="1:10" x14ac:dyDescent="0.2">
      <c r="A47" s="5"/>
    </row>
    <row r="48" spans="1:10" x14ac:dyDescent="0.2">
      <c r="A48" s="5"/>
    </row>
    <row r="49" spans="1:5" x14ac:dyDescent="0.2">
      <c r="A49" s="5"/>
    </row>
    <row r="50" spans="1:5" x14ac:dyDescent="0.2">
      <c r="A50" s="5"/>
      <c r="E50" s="7"/>
    </row>
    <row r="51" spans="1:5" x14ac:dyDescent="0.2">
      <c r="A51" s="5"/>
      <c r="E51" s="7"/>
    </row>
    <row r="52" spans="1:5" x14ac:dyDescent="0.2">
      <c r="A52" s="5"/>
      <c r="E52" s="7"/>
    </row>
    <row r="53" spans="1:5" x14ac:dyDescent="0.2">
      <c r="A53" s="5"/>
    </row>
    <row r="54" spans="1:5" x14ac:dyDescent="0.2">
      <c r="A54" s="5"/>
    </row>
    <row r="55" spans="1:5" x14ac:dyDescent="0.2">
      <c r="A55" s="5"/>
    </row>
    <row r="56" spans="1:5" x14ac:dyDescent="0.2">
      <c r="A56" s="5"/>
    </row>
    <row r="57" spans="1:5" x14ac:dyDescent="0.2">
      <c r="A57" s="5"/>
    </row>
    <row r="58" spans="1:5" x14ac:dyDescent="0.2">
      <c r="A58" s="5"/>
    </row>
    <row r="59" spans="1:5" x14ac:dyDescent="0.2">
      <c r="A59" s="5"/>
    </row>
    <row r="60" spans="1:5" x14ac:dyDescent="0.2">
      <c r="A60" s="5"/>
    </row>
    <row r="61" spans="1:5" x14ac:dyDescent="0.2">
      <c r="A61" s="5"/>
    </row>
    <row r="62" spans="1:5" x14ac:dyDescent="0.2">
      <c r="A62" s="5"/>
    </row>
    <row r="63" spans="1:5" x14ac:dyDescent="0.2">
      <c r="A63" s="5"/>
    </row>
    <row r="64" spans="1:5"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row r="78" spans="1:1" x14ac:dyDescent="0.2">
      <c r="A78" s="5"/>
    </row>
    <row r="79" spans="1:1" x14ac:dyDescent="0.2">
      <c r="A79" s="5"/>
    </row>
    <row r="80" spans="1:1" x14ac:dyDescent="0.2">
      <c r="A80" s="5"/>
    </row>
    <row r="81" spans="1:1" x14ac:dyDescent="0.2">
      <c r="A81" s="5"/>
    </row>
    <row r="82" spans="1:1" x14ac:dyDescent="0.2">
      <c r="A82" s="5"/>
    </row>
    <row r="83" spans="1:1" x14ac:dyDescent="0.2">
      <c r="A83" s="5"/>
    </row>
    <row r="84" spans="1:1" x14ac:dyDescent="0.2">
      <c r="A84" s="5"/>
    </row>
    <row r="85" spans="1:1" x14ac:dyDescent="0.2">
      <c r="A85" s="5"/>
    </row>
    <row r="86" spans="1:1" x14ac:dyDescent="0.2">
      <c r="A86" s="5"/>
    </row>
    <row r="87" spans="1:1" x14ac:dyDescent="0.2">
      <c r="A87" s="5"/>
    </row>
    <row r="88" spans="1:1" x14ac:dyDescent="0.2">
      <c r="A88" s="5"/>
    </row>
    <row r="89" spans="1:1" x14ac:dyDescent="0.2">
      <c r="A89" s="5"/>
    </row>
  </sheetData>
  <pageMargins left="0.7" right="0.7" top="0.75" bottom="0.75" header="0.3" footer="0.3"/>
  <pageSetup scale="50" fitToHeight="0" orientation="landscape" r:id="rId1"/>
  <headerFooter>
    <oddHeader>&amp;RNWN WUTC Advice 20-10
Exhibit A - Supporting Materials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79C23215B78F24098969FCB50D05F65" ma:contentTypeVersion="52" ma:contentTypeDescription="" ma:contentTypeScope="" ma:versionID="4b85d28c8b484b2301f68e555cdeb37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2020-09-15T07:00:00+00:00</OpenedDate>
    <SignificantOrder xmlns="dc463f71-b30c-4ab2-9473-d307f9d35888">false</SignificantOrder>
    <Date1 xmlns="dc463f71-b30c-4ab2-9473-d307f9d35888">2020-09-15T07:00:00+00:00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200801</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DCBFFEC-F4C4-442E-B5FB-020841BDE54B}"/>
</file>

<file path=customXml/itemProps2.xml><?xml version="1.0" encoding="utf-8"?>
<ds:datastoreItem xmlns:ds="http://schemas.openxmlformats.org/officeDocument/2006/customXml" ds:itemID="{E13632B7-902A-46A2-AB18-A192C61C218E}"/>
</file>

<file path=customXml/itemProps3.xml><?xml version="1.0" encoding="utf-8"?>
<ds:datastoreItem xmlns:ds="http://schemas.openxmlformats.org/officeDocument/2006/customXml" ds:itemID="{FDA7EA33-A34E-43C1-A910-38E1B2350141}"/>
</file>

<file path=customXml/itemProps4.xml><?xml version="1.0" encoding="utf-8"?>
<ds:datastoreItem xmlns:ds="http://schemas.openxmlformats.org/officeDocument/2006/customXml" ds:itemID="{38978E15-2724-4BD2-923E-86A32E5F89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Effcts on Avg. Bill</vt:lpstr>
      <vt:lpstr>Proposed Rates Summary</vt:lpstr>
      <vt:lpstr>Proposed Rates Detail</vt:lpstr>
      <vt:lpstr>Effects on Revenue</vt:lpstr>
      <vt:lpstr>'Effects on Revenue'!Print_Area</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Lee-Pella, Erica N.</cp:lastModifiedBy>
  <cp:lastPrinted>2020-09-14T22:40:54Z</cp:lastPrinted>
  <dcterms:created xsi:type="dcterms:W3CDTF">2019-09-11T21:16:28Z</dcterms:created>
  <dcterms:modified xsi:type="dcterms:W3CDTF">2020-09-14T22:47:07Z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0x0101006E56B4D1795A2E4DB2F0B01679ED314A00E79C23215B78F24098969FCB50D05F65</vt:lpwstr>
  </property>
  <property fmtid="{D5CDD505-2E9C-101B-9397-08002B2CF9AE}" pid="3" name="_docset_NoMedatataSyncRequired">
    <vt:lpwstr>False</vt:lpwstr>
  </property>
  <property fmtid="{D5CDD505-2E9C-101B-9397-08002B2CF9AE}" pid="4" name="IsEFSEC">
    <vt:bool>false</vt:bool>
  </property>
</Properties>
</file>