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6" windowWidth="18156" windowHeight="7560" firstSheet="1" activeTab="0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  <sheet name="RSA" sheetId="6" state="hidden" r:id="rId6"/>
  </sheet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3">'Pricing'!$A$1:$L$17</definedName>
    <definedName name="_xlnm.Print_Area" localSheetId="0">'WUTC_AW of Kent (SeaTac)_MF'!$A$1:$I$69</definedName>
    <definedName name="_xlnm.Print_Titles" localSheetId="4">'Multi_Family'!$A:$B,'Multi_Family'!$1:$6</definedName>
  </definedNames>
  <calcPr fullCalcOnLoad="1" iterate="1" iterateCount="100" iterateDelta="0.00999999999999999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sharedStrings.xml><?xml version="1.0" encoding="utf-8"?>
<sst xmlns="http://schemas.openxmlformats.org/spreadsheetml/2006/main" count="199" uniqueCount="97">
  <si>
    <t>Deferred Accounting Methodology</t>
  </si>
  <si>
    <t>Commodity</t>
  </si>
  <si>
    <t>Revenue</t>
  </si>
  <si>
    <t>Month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</si>
  <si>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</si>
  <si>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</si>
  <si>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</si>
  <si>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</si>
  <si>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</si>
  <si>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</si>
  <si>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</si>
  <si>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</si>
  <si>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</si>
  <si>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</si>
  <si>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</si>
  <si>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</si>
  <si>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</si>
  <si>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</si>
  <si>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</si>
  <si>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</si>
  <si>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</si>
  <si>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</si>
  <si>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</si>
  <si>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</si>
  <si>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</si>
  <si>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</si>
  <si>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</si>
  <si>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</si>
  <si>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</si>
  <si>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</si>
  <si>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</si>
  <si>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</si>
  <si>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</si>
  <si>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</si>
  <si>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</si>
  <si>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</si>
  <si>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</si>
  <si>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</si>
  <si>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</si>
  <si>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</si>
  <si>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</si>
  <si>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</si>
  <si>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</si>
  <si>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</si>
  <si>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</si>
  <si>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</si>
  <si>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</si>
  <si>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</si>
  <si>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</si>
  <si>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</si>
  <si>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</si>
  <si>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</si>
  <si>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</si>
  <si>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</si>
  <si>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</si>
  <si>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</si>
  <si>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</si>
  <si>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</si>
  <si>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</si>
  <si>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</si>
  <si>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</si>
  <si>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</si>
  <si>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</si>
  <si>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(Excess) / Deficient Commodity Credits</t>
  </si>
  <si>
    <t>3.5x Compaction</t>
  </si>
  <si>
    <t>TG-12______</t>
  </si>
  <si>
    <t>% of Revenue Passed Back</t>
  </si>
  <si>
    <t>% Passed Back</t>
  </si>
  <si>
    <t>Commodity Value Timeframe:  May - Oct</t>
  </si>
  <si>
    <t xml:space="preserve"> True-up Computation</t>
  </si>
  <si>
    <t>Shrinkage</t>
  </si>
  <si>
    <t>Metal</t>
  </si>
  <si>
    <t>Rabanco Ltd (dba Allied Waste of Seatac)</t>
  </si>
  <si>
    <t>Prior six months</t>
  </si>
  <si>
    <t>Current six months</t>
  </si>
  <si>
    <t>Total twelve months</t>
  </si>
  <si>
    <t>Total Annual Customers</t>
  </si>
  <si>
    <t>Underspent RSA per King County report</t>
  </si>
  <si>
    <t>Allocation to Divisions:</t>
  </si>
  <si>
    <t>SF portion</t>
  </si>
  <si>
    <t>MF portion</t>
  </si>
  <si>
    <t>Bellevue</t>
  </si>
  <si>
    <t>Kent</t>
  </si>
  <si>
    <t>SeaTac</t>
  </si>
  <si>
    <t>RSA Rev breakdown:</t>
  </si>
  <si>
    <t>SF $</t>
  </si>
  <si>
    <t>MF $</t>
  </si>
  <si>
    <t>SF %</t>
  </si>
  <si>
    <t>MF %</t>
  </si>
  <si>
    <t>Credit per customer</t>
  </si>
  <si>
    <t>Seatac MF RSA Unspent</t>
  </si>
  <si>
    <t>Total Annual Yards</t>
  </si>
  <si>
    <t>use for 6 month calculation</t>
  </si>
  <si>
    <t>Total Passback at end of 2 year plan year 2021</t>
  </si>
  <si>
    <t>Unspent RSA dollars</t>
  </si>
  <si>
    <t xml:space="preserve">12 month running average "BASE CREDIT" </t>
  </si>
  <si>
    <t>8/1/20 - 7/31/21 Adjusted Credit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</si>
</sst>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7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7" fontId="9" fillId="0" borderId="0" xfId="59" applyNumberFormat="1" applyFont="1">
      <alignment/>
      <protection/>
    </xf>
    <xf numFmtId="167" fontId="7" fillId="0" borderId="0" xfId="59" applyNumberFormat="1" applyFont="1">
      <alignment/>
      <protection/>
    </xf>
    <xf numFmtId="169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7" fontId="7" fillId="0" borderId="10" xfId="59" applyNumberFormat="1" applyFont="1" applyBorder="1">
      <alignment/>
      <protection/>
    </xf>
    <xf numFmtId="168" fontId="7" fillId="0" borderId="0" xfId="59" applyNumberFormat="1" applyFont="1">
      <alignment/>
      <protection/>
    </xf>
    <xf numFmtId="167" fontId="6" fillId="0" borderId="0" xfId="59" applyNumberFormat="1">
      <alignment/>
      <protection/>
    </xf>
    <xf numFmtId="169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168" fontId="12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8" fontId="7" fillId="0" borderId="11" xfId="59" applyNumberFormat="1" applyFont="1" applyBorder="1">
      <alignment/>
      <protection/>
    </xf>
    <xf numFmtId="167" fontId="7" fillId="0" borderId="0" xfId="59" applyNumberFormat="1" applyFont="1" applyAlignment="1">
      <alignment horizontal="centerContinuous"/>
      <protection/>
    </xf>
    <xf numFmtId="167" fontId="7" fillId="0" borderId="13" xfId="59" applyNumberFormat="1" applyFont="1" applyBorder="1">
      <alignment/>
      <protection/>
    </xf>
    <xf numFmtId="167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7" fontId="9" fillId="0" borderId="0" xfId="59" applyNumberFormat="1" applyFont="1" applyBorder="1" applyAlignment="1">
      <alignment horizontal="center"/>
      <protection/>
    </xf>
    <xf numFmtId="167" fontId="9" fillId="0" borderId="0" xfId="59" applyNumberFormat="1" applyFont="1" applyBorder="1">
      <alignment/>
      <protection/>
    </xf>
    <xf numFmtId="169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7" fontId="6" fillId="0" borderId="0" xfId="59" applyNumberFormat="1" applyBorder="1">
      <alignment/>
      <protection/>
    </xf>
    <xf numFmtId="169" fontId="7" fillId="0" borderId="0" xfId="59" applyNumberFormat="1" applyFont="1" applyBorder="1">
      <alignment/>
      <protection/>
    </xf>
    <xf numFmtId="168" fontId="7" fillId="0" borderId="0" xfId="59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59" applyNumberFormat="1" applyFont="1" applyAlignment="1">
      <alignment horizontal="right"/>
      <protection/>
    </xf>
    <xf numFmtId="169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2" applyNumberFormat="1" applyFont="1" applyAlignment="1">
      <alignment/>
    </xf>
    <xf numFmtId="0" fontId="7" fillId="0" borderId="0" xfId="59" applyFont="1" applyBorder="1">
      <alignment/>
      <protection/>
    </xf>
    <xf numFmtId="44" fontId="7" fillId="0" borderId="10" xfId="44" applyFont="1" applyBorder="1" applyAlignment="1">
      <alignment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0" applyNumberFormat="1" applyFont="1" applyFill="1" applyBorder="1" applyAlignment="1">
      <alignment/>
    </xf>
    <xf numFmtId="43" fontId="0" fillId="0" borderId="0" xfId="42" applyFont="1" applyAlignment="1">
      <alignment/>
    </xf>
    <xf numFmtId="167" fontId="7" fillId="35" borderId="11" xfId="59" applyNumberFormat="1" applyFont="1" applyFill="1" applyBorder="1">
      <alignment/>
      <protection/>
    </xf>
    <xf numFmtId="44" fontId="7" fillId="34" borderId="16" xfId="44" applyNumberFormat="1" applyFont="1" applyFill="1" applyBorder="1" applyAlignment="1">
      <alignment/>
    </xf>
    <xf numFmtId="44" fontId="7" fillId="34" borderId="16" xfId="44" applyNumberFormat="1" applyFont="1" applyFill="1" applyBorder="1" applyAlignment="1">
      <alignment horizontal="center"/>
    </xf>
    <xf numFmtId="44" fontId="56" fillId="34" borderId="16" xfId="44" applyNumberFormat="1" applyFont="1" applyFill="1" applyBorder="1" applyAlignment="1">
      <alignment/>
    </xf>
    <xf numFmtId="44" fontId="56" fillId="34" borderId="16" xfId="44" applyNumberFormat="1" applyFont="1" applyFill="1" applyBorder="1" applyAlignment="1">
      <alignment horizontal="center"/>
    </xf>
    <xf numFmtId="167" fontId="7" fillId="36" borderId="0" xfId="59" applyNumberFormat="1" applyFont="1" applyFill="1">
      <alignment/>
      <protection/>
    </xf>
    <xf numFmtId="9" fontId="7" fillId="36" borderId="16" xfId="62" applyFont="1" applyFill="1" applyBorder="1" applyAlignment="1">
      <alignment/>
    </xf>
    <xf numFmtId="168" fontId="7" fillId="36" borderId="15" xfId="59" applyNumberFormat="1" applyFont="1" applyFill="1" applyBorder="1">
      <alignment/>
      <protection/>
    </xf>
    <xf numFmtId="41" fontId="12" fillId="35" borderId="0" xfId="59" applyNumberFormat="1" applyFont="1" applyFill="1" applyAlignment="1">
      <alignment horizontal="center"/>
      <protection/>
    </xf>
    <xf numFmtId="41" fontId="12" fillId="35" borderId="0" xfId="59" applyNumberFormat="1" applyFont="1" applyFill="1">
      <alignment/>
      <protection/>
    </xf>
    <xf numFmtId="165" fontId="57" fillId="37" borderId="17" xfId="62" applyNumberFormat="1" applyFont="1" applyFill="1" applyBorder="1" applyAlignment="1">
      <alignment/>
    </xf>
    <xf numFmtId="44" fontId="7" fillId="0" borderId="0" xfId="44" applyNumberFormat="1" applyFont="1" applyAlignment="1" quotePrefix="1">
      <alignment/>
    </xf>
    <xf numFmtId="41" fontId="7" fillId="0" borderId="0" xfId="42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16" fillId="0" borderId="0" xfId="59" applyFont="1" applyBorder="1" applyAlignment="1">
      <alignment horizontal="center"/>
      <protection/>
    </xf>
    <xf numFmtId="167" fontId="16" fillId="0" borderId="0" xfId="59" applyNumberFormat="1" applyFont="1" applyBorder="1" applyAlignment="1">
      <alignment horizontal="center"/>
      <protection/>
    </xf>
    <xf numFmtId="167" fontId="17" fillId="0" borderId="0" xfId="59" applyNumberFormat="1" applyFont="1" applyFill="1" applyBorder="1" applyAlignment="1">
      <alignment horizontal="center"/>
      <protection/>
    </xf>
    <xf numFmtId="41" fontId="13" fillId="0" borderId="0" xfId="59" applyNumberFormat="1" applyFont="1" applyBorder="1">
      <alignment/>
      <protection/>
    </xf>
    <xf numFmtId="168" fontId="9" fillId="0" borderId="0" xfId="59" applyNumberFormat="1" applyFont="1" applyBorder="1">
      <alignment/>
      <protection/>
    </xf>
    <xf numFmtId="1" fontId="7" fillId="0" borderId="0" xfId="59" applyNumberFormat="1" applyFont="1" applyBorder="1">
      <alignment/>
      <protection/>
    </xf>
    <xf numFmtId="165" fontId="7" fillId="0" borderId="0" xfId="62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32" borderId="16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zoomScaleSheetLayoutView="85" zoomScalePageLayoutView="0" workbookViewId="0" topLeftCell="A41">
      <selection activeCell="I65" sqref="I65"/>
    </sheetView>
  </sheetViews>
  <sheetFormatPr defaultColWidth="9.140625" defaultRowHeight="12.75" outlineLevelRow="1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8515625" style="5" customWidth="1"/>
    <col min="11" max="11" width="7.1406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72</v>
      </c>
      <c r="B1" s="2"/>
      <c r="C1" s="2"/>
      <c r="D1" s="2"/>
      <c r="E1" s="2"/>
      <c r="F1" s="2"/>
      <c r="G1" s="3"/>
      <c r="H1" s="2"/>
      <c r="I1" s="2"/>
      <c r="J1" s="1" t="s">
        <v>65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2020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123"/>
      <c r="P3" s="123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57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123"/>
      <c r="P4" s="123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43"/>
      <c r="P5" s="123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44"/>
      <c r="P6" s="90"/>
    </row>
    <row r="7" spans="1:16" s="16" customFormat="1" ht="11.25">
      <c r="A7" s="15" t="s">
        <v>3</v>
      </c>
      <c r="B7" s="12" t="s">
        <v>58</v>
      </c>
      <c r="C7" s="12"/>
      <c r="D7" s="12" t="s">
        <v>2</v>
      </c>
      <c r="E7" s="12"/>
      <c r="F7" s="12" t="s">
        <v>59</v>
      </c>
      <c r="G7" s="12"/>
      <c r="H7" s="12"/>
      <c r="I7" s="12"/>
      <c r="J7" s="12" t="s">
        <v>60</v>
      </c>
      <c r="K7" s="12"/>
      <c r="O7" s="144"/>
      <c r="P7" s="90"/>
    </row>
    <row r="8" spans="1:16" s="16" customFormat="1" ht="11.25">
      <c r="A8" s="114">
        <f>Multi_Family!$C$6</f>
        <v>43586</v>
      </c>
      <c r="B8" s="137">
        <v>493.8488</v>
      </c>
      <c r="C8" s="12"/>
      <c r="D8" s="89">
        <f>VLOOKUP(A8,Value!$A$6:$O$17,15,)</f>
        <v>52.610450310999994</v>
      </c>
      <c r="E8" s="12"/>
      <c r="F8" s="16">
        <f aca="true" t="shared" si="0" ref="F8:F18">ROUND(D8/B8,2)</f>
        <v>0.11</v>
      </c>
      <c r="G8" s="12"/>
      <c r="H8" s="12"/>
      <c r="I8" s="12"/>
      <c r="J8" s="14">
        <f>+B8</f>
        <v>493.8488</v>
      </c>
      <c r="K8" s="13">
        <f aca="true" t="shared" si="1" ref="K8:K18">YEAR(A8)</f>
        <v>2019</v>
      </c>
      <c r="O8" s="145"/>
      <c r="P8" s="90"/>
    </row>
    <row r="9" spans="1:16" s="16" customFormat="1" ht="11.25">
      <c r="A9" s="17">
        <f aca="true" t="shared" si="2" ref="A9:A18">EOMONTH(A8,1)</f>
        <v>43646</v>
      </c>
      <c r="B9" s="137">
        <v>493.8488</v>
      </c>
      <c r="C9" s="18"/>
      <c r="D9" s="89">
        <f>VLOOKUP(A9,Value!$A$6:$O$17,15,)</f>
        <v>46.725398789999986</v>
      </c>
      <c r="E9" s="14"/>
      <c r="F9" s="16">
        <f t="shared" si="0"/>
        <v>0.09</v>
      </c>
      <c r="G9" s="14"/>
      <c r="H9" s="14"/>
      <c r="I9" s="14"/>
      <c r="J9" s="14">
        <f aca="true" t="shared" si="3" ref="J9:J18">+B9</f>
        <v>493.8488</v>
      </c>
      <c r="K9" s="13">
        <f t="shared" si="1"/>
        <v>2019</v>
      </c>
      <c r="O9" s="145"/>
      <c r="P9" s="90"/>
    </row>
    <row r="10" spans="1:16" s="16" customFormat="1" ht="11.25">
      <c r="A10" s="17">
        <f t="shared" si="2"/>
        <v>43677</v>
      </c>
      <c r="B10" s="137">
        <v>493.8488</v>
      </c>
      <c r="C10" s="14"/>
      <c r="D10" s="89">
        <f>VLOOKUP(A10,Value!$A$6:$O$17,15,)</f>
        <v>43.565493274000005</v>
      </c>
      <c r="E10" s="14"/>
      <c r="F10" s="16">
        <f t="shared" si="0"/>
        <v>0.09</v>
      </c>
      <c r="G10" s="14"/>
      <c r="H10" s="14"/>
      <c r="I10" s="14"/>
      <c r="J10" s="14">
        <f t="shared" si="3"/>
        <v>493.8488</v>
      </c>
      <c r="K10" s="13">
        <f t="shared" si="1"/>
        <v>2019</v>
      </c>
      <c r="O10" s="145"/>
      <c r="P10" s="90"/>
    </row>
    <row r="11" spans="1:16" s="16" customFormat="1" ht="11.25">
      <c r="A11" s="17">
        <f>EOMONTH(A10,1)</f>
        <v>43708</v>
      </c>
      <c r="B11" s="138">
        <v>519.8290000000001</v>
      </c>
      <c r="C11" s="14"/>
      <c r="D11" s="89">
        <f>VLOOKUP(A11,Value!$A$6:$O$17,15,)</f>
        <v>26.854708172000006</v>
      </c>
      <c r="E11" s="14"/>
      <c r="F11" s="16">
        <f t="shared" si="0"/>
        <v>0.05</v>
      </c>
      <c r="G11" s="21"/>
      <c r="H11" s="14"/>
      <c r="I11" s="14"/>
      <c r="J11" s="14">
        <f t="shared" si="3"/>
        <v>519.8290000000001</v>
      </c>
      <c r="K11" s="13">
        <f t="shared" si="1"/>
        <v>2019</v>
      </c>
      <c r="O11" s="145"/>
      <c r="P11" s="90"/>
    </row>
    <row r="12" spans="1:16" s="16" customFormat="1" ht="11.25">
      <c r="A12" s="17">
        <f t="shared" si="2"/>
        <v>43738</v>
      </c>
      <c r="B12" s="138">
        <v>510.476</v>
      </c>
      <c r="C12" s="14"/>
      <c r="D12" s="89">
        <f>VLOOKUP(A12,Value!$A$6:$O$17,15,)</f>
        <v>23.014120063</v>
      </c>
      <c r="E12" s="14"/>
      <c r="F12" s="16">
        <f t="shared" si="0"/>
        <v>0.05</v>
      </c>
      <c r="G12" s="21"/>
      <c r="H12" s="14"/>
      <c r="I12" s="14"/>
      <c r="J12" s="14">
        <f t="shared" si="3"/>
        <v>510.476</v>
      </c>
      <c r="K12" s="13">
        <f t="shared" si="1"/>
        <v>2019</v>
      </c>
      <c r="O12" s="145"/>
      <c r="P12" s="90"/>
    </row>
    <row r="13" spans="1:16" s="16" customFormat="1" ht="9.75">
      <c r="A13" s="17">
        <f t="shared" si="2"/>
        <v>43769</v>
      </c>
      <c r="B13" s="138">
        <v>511.775</v>
      </c>
      <c r="C13" s="14"/>
      <c r="D13" s="89">
        <f>VLOOKUP(A13,Value!$A$6:$O$17,15,)</f>
        <v>3.4776807890000114</v>
      </c>
      <c r="E13" s="14"/>
      <c r="F13" s="16">
        <f t="shared" si="0"/>
        <v>0.01</v>
      </c>
      <c r="G13" s="21"/>
      <c r="H13" s="14"/>
      <c r="I13" s="14"/>
      <c r="J13" s="14">
        <f t="shared" si="3"/>
        <v>511.775</v>
      </c>
      <c r="K13" s="13">
        <f t="shared" si="1"/>
        <v>2019</v>
      </c>
      <c r="O13" s="145"/>
      <c r="P13" s="90"/>
    </row>
    <row r="14" spans="1:16" s="16" customFormat="1" ht="9.75">
      <c r="A14" s="17"/>
      <c r="B14" s="89"/>
      <c r="C14" s="14"/>
      <c r="D14" s="89"/>
      <c r="E14" s="14"/>
      <c r="G14" s="21"/>
      <c r="H14" s="14"/>
      <c r="I14" s="14"/>
      <c r="J14" s="14"/>
      <c r="K14" s="13"/>
      <c r="O14" s="145"/>
      <c r="P14" s="90"/>
    </row>
    <row r="15" spans="1:16" s="16" customFormat="1" ht="9.75">
      <c r="A15" s="17" t="s">
        <v>73</v>
      </c>
      <c r="B15" s="141">
        <f>SUM(B8:B13)</f>
        <v>3023.6264</v>
      </c>
      <c r="C15" s="14"/>
      <c r="D15" s="142">
        <f>SUM(D8:D13)</f>
        <v>196.247851399</v>
      </c>
      <c r="E15" s="14"/>
      <c r="G15" s="21"/>
      <c r="H15" s="14"/>
      <c r="I15" s="14"/>
      <c r="J15" s="14"/>
      <c r="K15" s="13"/>
      <c r="O15" s="145"/>
      <c r="P15" s="90"/>
    </row>
    <row r="16" spans="1:16" s="16" customFormat="1" ht="9.75">
      <c r="A16" s="17"/>
      <c r="B16" s="89"/>
      <c r="C16" s="14"/>
      <c r="D16" s="89"/>
      <c r="E16" s="14"/>
      <c r="G16" s="21"/>
      <c r="H16" s="14"/>
      <c r="I16" s="14"/>
      <c r="J16" s="14"/>
      <c r="K16" s="13"/>
      <c r="O16" s="145"/>
      <c r="P16" s="90"/>
    </row>
    <row r="17" spans="1:16" s="16" customFormat="1" ht="9.75">
      <c r="A17" s="17">
        <f>EOMONTH(A13,1)</f>
        <v>43799</v>
      </c>
      <c r="B17" s="138">
        <v>511.775</v>
      </c>
      <c r="C17" s="14"/>
      <c r="D17" s="89">
        <f>VLOOKUP(A17,Value!$A$6:$O$17,15,)</f>
        <v>22.29490326000002</v>
      </c>
      <c r="E17" s="14"/>
      <c r="F17" s="16">
        <f t="shared" si="0"/>
        <v>0.04</v>
      </c>
      <c r="G17" s="21"/>
      <c r="H17" s="14"/>
      <c r="I17" s="14"/>
      <c r="J17" s="14">
        <f t="shared" si="3"/>
        <v>511.775</v>
      </c>
      <c r="K17" s="13">
        <f t="shared" si="1"/>
        <v>2019</v>
      </c>
      <c r="O17" s="145"/>
      <c r="P17" s="90"/>
    </row>
    <row r="18" spans="1:25" s="16" customFormat="1" ht="9.75">
      <c r="A18" s="17">
        <f t="shared" si="2"/>
        <v>43830</v>
      </c>
      <c r="B18" s="138">
        <v>511.775</v>
      </c>
      <c r="C18" s="14"/>
      <c r="D18" s="89">
        <f>VLOOKUP(A18,Value!$A$6:$O$17,15,)</f>
        <v>27.287909928</v>
      </c>
      <c r="E18" s="14"/>
      <c r="F18" s="16">
        <f t="shared" si="0"/>
        <v>0.05</v>
      </c>
      <c r="G18" s="21"/>
      <c r="H18" s="14"/>
      <c r="I18" s="14"/>
      <c r="J18" s="14">
        <f t="shared" si="3"/>
        <v>511.775</v>
      </c>
      <c r="K18" s="13">
        <f t="shared" si="1"/>
        <v>2019</v>
      </c>
      <c r="O18" s="145"/>
      <c r="P18" s="90"/>
      <c r="X18" s="14"/>
      <c r="Y18" s="14"/>
    </row>
    <row r="19" spans="1:27" s="16" customFormat="1" ht="9.75">
      <c r="A19" s="17">
        <f>EOMONTH(A18,1)</f>
        <v>43861</v>
      </c>
      <c r="B19" s="138">
        <v>511.775</v>
      </c>
      <c r="C19" s="14"/>
      <c r="D19" s="89">
        <f>VLOOKUP(A19,Value!$A$6:$O$17,15,)</f>
        <v>1.7610165920000043</v>
      </c>
      <c r="E19" s="14"/>
      <c r="F19" s="16">
        <f>ROUND(D19/B19,2)</f>
        <v>0</v>
      </c>
      <c r="G19" s="21"/>
      <c r="H19" s="14"/>
      <c r="I19" s="14"/>
      <c r="J19" s="14">
        <f>+B19</f>
        <v>511.775</v>
      </c>
      <c r="K19" s="13">
        <f>YEAR(A19)</f>
        <v>2020</v>
      </c>
      <c r="L19" s="14"/>
      <c r="M19" s="14"/>
      <c r="N19" s="14"/>
      <c r="O19" s="145"/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9.75">
      <c r="A20" s="17">
        <f>EOMONTH(A19,1)</f>
        <v>43890</v>
      </c>
      <c r="B20" s="138">
        <v>511.775</v>
      </c>
      <c r="C20" s="14"/>
      <c r="D20" s="89">
        <f>VLOOKUP(A20,Value!$A$6:$O$17,15,)</f>
        <v>11.344312122000005</v>
      </c>
      <c r="E20" s="14"/>
      <c r="F20" s="16">
        <f>ROUND(D20/B20,2)</f>
        <v>0.02</v>
      </c>
      <c r="G20" s="21"/>
      <c r="H20" s="14"/>
      <c r="I20" s="14"/>
      <c r="J20" s="14">
        <f>+B20</f>
        <v>511.775</v>
      </c>
      <c r="K20" s="13">
        <f>YEAR(A20)</f>
        <v>2020</v>
      </c>
      <c r="O20" s="145"/>
      <c r="P20" s="32"/>
    </row>
    <row r="21" spans="1:16" s="16" customFormat="1" ht="9.75">
      <c r="A21" s="17">
        <f>EOMONTH(A20,1)</f>
        <v>43921</v>
      </c>
      <c r="B21" s="138">
        <v>511.775</v>
      </c>
      <c r="C21" s="14"/>
      <c r="D21" s="89">
        <f>VLOOKUP(A21,Value!$A$6:$O$17,15,)</f>
        <v>27.981663060000002</v>
      </c>
      <c r="E21" s="14"/>
      <c r="F21" s="16">
        <f>ROUND(D21/B21,2)</f>
        <v>0.05</v>
      </c>
      <c r="G21" s="21"/>
      <c r="H21" s="18"/>
      <c r="I21" s="14"/>
      <c r="J21" s="14">
        <f>+B21</f>
        <v>511.775</v>
      </c>
      <c r="K21" s="13">
        <f>YEAR(A21)</f>
        <v>2020</v>
      </c>
      <c r="O21" s="145"/>
      <c r="P21" s="90"/>
    </row>
    <row r="22" spans="1:16" s="16" customFormat="1" ht="9.75">
      <c r="A22" s="17">
        <f>EOMONTH(A21,1)</f>
        <v>43951</v>
      </c>
      <c r="B22" s="138">
        <v>511.775</v>
      </c>
      <c r="C22" s="14"/>
      <c r="D22" s="89">
        <f>VLOOKUP(A22,Value!$A$6:$O$17,15,)</f>
        <v>14.442414976000002</v>
      </c>
      <c r="E22" s="14"/>
      <c r="F22" s="16">
        <f>ROUND(D22/B22,2)</f>
        <v>0.03</v>
      </c>
      <c r="G22" s="21"/>
      <c r="H22" s="18"/>
      <c r="I22" s="14"/>
      <c r="J22" s="14">
        <f>+B22</f>
        <v>511.775</v>
      </c>
      <c r="K22" s="13">
        <f>YEAR(A22)</f>
        <v>2020</v>
      </c>
      <c r="O22" s="145"/>
      <c r="P22" s="90"/>
    </row>
    <row r="23" spans="1:16" s="16" customFormat="1" ht="9.75">
      <c r="A23" s="17"/>
      <c r="B23" s="14"/>
      <c r="C23" s="14"/>
      <c r="E23" s="14"/>
      <c r="G23" s="14"/>
      <c r="H23" s="14"/>
      <c r="I23" s="14"/>
      <c r="J23" s="14"/>
      <c r="K23" s="13"/>
      <c r="O23" s="146"/>
      <c r="P23" s="90"/>
    </row>
    <row r="24" spans="1:16" s="16" customFormat="1" ht="9.75">
      <c r="A24" s="17" t="s">
        <v>74</v>
      </c>
      <c r="B24" s="19">
        <f>SUM(B17:B22)</f>
        <v>3070.65</v>
      </c>
      <c r="D24" s="20">
        <f>SUM(D17:D22)</f>
        <v>105.11221993800004</v>
      </c>
      <c r="G24" s="14"/>
      <c r="H24" s="14"/>
      <c r="I24" s="14"/>
      <c r="J24" s="14"/>
      <c r="K24" s="13"/>
      <c r="O24" s="146"/>
      <c r="P24" s="95"/>
    </row>
    <row r="25" spans="1:16" s="16" customFormat="1" ht="12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46"/>
      <c r="P25" s="99"/>
    </row>
    <row r="26" spans="1:16" s="16" customFormat="1" ht="10.5" thickBot="1">
      <c r="A26" s="23" t="s">
        <v>75</v>
      </c>
      <c r="B26" s="24">
        <f>B15+B24</f>
        <v>6094.276400000001</v>
      </c>
      <c r="D26" s="25">
        <f>D15+D24</f>
        <v>301.360071337</v>
      </c>
      <c r="E26" s="18" t="s">
        <v>4</v>
      </c>
      <c r="F26" s="21">
        <f>ROUND(D26/B26,3)</f>
        <v>0.049</v>
      </c>
      <c r="G26" s="18" t="s">
        <v>5</v>
      </c>
      <c r="H26" s="14"/>
      <c r="I26" s="14"/>
      <c r="J26" s="24">
        <f>SUM(J8:J25)</f>
        <v>6094.276399999999</v>
      </c>
      <c r="K26" s="18" t="s">
        <v>6</v>
      </c>
      <c r="O26" s="147"/>
      <c r="P26" s="90"/>
    </row>
    <row r="27" spans="2:16" s="16" customFormat="1" ht="10.5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32"/>
      <c r="P27" s="90"/>
    </row>
    <row r="28" spans="2:16" s="16" customFormat="1" ht="9.75">
      <c r="B28" s="14"/>
      <c r="C28" s="14"/>
      <c r="D28" s="14"/>
      <c r="E28" s="14"/>
      <c r="F28" s="14"/>
      <c r="G28" s="14"/>
      <c r="H28" s="14"/>
      <c r="I28" s="14"/>
      <c r="J28" s="14"/>
      <c r="K28" s="14"/>
      <c r="O28" s="90"/>
      <c r="P28" s="90"/>
    </row>
    <row r="29" spans="2:16" s="16" customFormat="1" ht="9.75"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0.5" thickBot="1">
      <c r="B30" s="26" t="s">
        <v>7</v>
      </c>
      <c r="C30" s="27"/>
      <c r="D30" s="27"/>
      <c r="E30" s="27"/>
      <c r="F30" s="14"/>
      <c r="G30" s="14"/>
      <c r="H30" s="14"/>
      <c r="I30" s="14"/>
      <c r="J30" s="14"/>
      <c r="K30" s="14"/>
      <c r="O30" s="90"/>
      <c r="P30" s="90"/>
    </row>
    <row r="31" spans="1:25" s="16" customFormat="1" ht="10.5" thickTop="1">
      <c r="A31" s="6"/>
      <c r="B31" s="28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  <c r="X31" s="14"/>
      <c r="Y31" s="14"/>
    </row>
    <row r="32" spans="1:16" s="16" customFormat="1" ht="9.75">
      <c r="A32" s="8"/>
      <c r="B32" s="28"/>
      <c r="C32" s="14"/>
      <c r="D32" s="14"/>
      <c r="E32" s="14"/>
      <c r="F32" s="29" t="s">
        <v>8</v>
      </c>
      <c r="G32" s="14">
        <f>D26</f>
        <v>301.360071337</v>
      </c>
      <c r="H32" s="18" t="s">
        <v>4</v>
      </c>
      <c r="I32" s="14"/>
      <c r="J32" s="14"/>
      <c r="K32" s="14"/>
      <c r="O32" s="90"/>
      <c r="P32" s="90"/>
    </row>
    <row r="33" spans="1:27" s="13" customFormat="1" ht="9.75">
      <c r="A33" s="30"/>
      <c r="B33" s="28"/>
      <c r="C33" s="14"/>
      <c r="D33" s="14"/>
      <c r="E33" s="14"/>
      <c r="F33" s="14"/>
      <c r="G33" s="14"/>
      <c r="H33" s="18"/>
      <c r="I33" s="14"/>
      <c r="J33" s="14"/>
      <c r="K33" s="14"/>
      <c r="O33" s="90"/>
      <c r="P33" s="148"/>
      <c r="W33" s="14"/>
      <c r="X33" s="16"/>
      <c r="Y33" s="16"/>
      <c r="AA33" s="14"/>
    </row>
    <row r="34" spans="1:16" s="16" customFormat="1" ht="9.75" hidden="1" outlineLevel="1">
      <c r="A34" s="16" t="s">
        <v>92</v>
      </c>
      <c r="B34" s="14" t="s">
        <v>61</v>
      </c>
      <c r="C34" s="14"/>
      <c r="D34" s="14"/>
      <c r="E34" s="14"/>
      <c r="F34" s="31"/>
      <c r="G34" s="14"/>
      <c r="H34" s="14"/>
      <c r="I34" s="14"/>
      <c r="J34" s="14"/>
      <c r="K34" s="14"/>
      <c r="O34" s="90"/>
      <c r="P34" s="90"/>
    </row>
    <row r="35" spans="2:16" s="16" customFormat="1" ht="9.75" hidden="1" outlineLevel="1">
      <c r="B35" s="14"/>
      <c r="C35" s="14" t="str">
        <f>"Customers from "&amp;TEXT($A$8,"mm/yy")&amp;" - "&amp;TEXT($A$13,"mm/yy")</f>
        <v>Customers from 05/19 - 10/19</v>
      </c>
      <c r="D35" s="14"/>
      <c r="E35" s="14"/>
      <c r="F35" s="14">
        <f>SUM(B8:B13)</f>
        <v>3023.6264</v>
      </c>
      <c r="G35" s="18"/>
      <c r="H35" s="14"/>
      <c r="I35" s="14"/>
      <c r="J35" s="14"/>
      <c r="K35" s="14"/>
      <c r="O35" s="149"/>
      <c r="P35" s="90"/>
    </row>
    <row r="36" spans="2:16" s="16" customFormat="1" ht="9.75" hidden="1" outlineLevel="1">
      <c r="B36" s="14"/>
      <c r="C36" s="14" t="s">
        <v>9</v>
      </c>
      <c r="D36" s="14"/>
      <c r="E36" s="14"/>
      <c r="F36" s="19">
        <f>ROUND(F34*F35,0)</f>
        <v>0</v>
      </c>
      <c r="G36" s="18"/>
      <c r="H36" s="14"/>
      <c r="I36" s="14"/>
      <c r="J36" s="14"/>
      <c r="K36" s="14"/>
      <c r="O36" s="90"/>
      <c r="P36" s="90"/>
    </row>
    <row r="37" spans="2:11" s="16" customFormat="1" ht="9.75" hidden="1" outlineLevel="1">
      <c r="B37" s="14"/>
      <c r="C37" s="14"/>
      <c r="D37" s="14"/>
      <c r="E37" s="14"/>
      <c r="F37" s="32"/>
      <c r="G37" s="18"/>
      <c r="H37" s="14"/>
      <c r="I37" s="14"/>
      <c r="J37" s="14"/>
      <c r="K37" s="14"/>
    </row>
    <row r="38" spans="2:11" s="16" customFormat="1" ht="9.75" collapsed="1">
      <c r="B38" s="14" t="s">
        <v>61</v>
      </c>
      <c r="C38" s="14"/>
      <c r="D38" s="14"/>
      <c r="E38" s="14"/>
      <c r="F38" s="31">
        <v>0.11</v>
      </c>
      <c r="G38" s="14"/>
      <c r="H38" s="14"/>
      <c r="I38" s="14"/>
      <c r="J38" s="14"/>
      <c r="K38" s="14"/>
    </row>
    <row r="39" spans="2:11" s="16" customFormat="1" ht="9.75">
      <c r="B39" s="14"/>
      <c r="C39" s="14" t="str">
        <f>"Customers from "&amp;TEXT($A$8,"mm/yy")&amp;" - "&amp;TEXT($A$22,"mm/yy")</f>
        <v>Customers from 05/19 - 04/20</v>
      </c>
      <c r="D39" s="14"/>
      <c r="E39" s="14"/>
      <c r="F39" s="14">
        <f>B26</f>
        <v>6094.276400000001</v>
      </c>
      <c r="G39" s="18"/>
      <c r="H39" s="14"/>
      <c r="I39" s="14"/>
      <c r="J39" s="14"/>
      <c r="K39" s="14"/>
    </row>
    <row r="40" spans="2:11" s="16" customFormat="1" ht="9.75">
      <c r="B40" s="14"/>
      <c r="C40" s="14" t="s">
        <v>9</v>
      </c>
      <c r="D40" s="14"/>
      <c r="E40" s="14"/>
      <c r="F40" s="19">
        <f>ROUND(F38*F39,0)</f>
        <v>670</v>
      </c>
      <c r="G40" s="18"/>
      <c r="H40" s="14"/>
      <c r="I40" s="14"/>
      <c r="J40" s="14"/>
      <c r="K40" s="14"/>
    </row>
    <row r="41" spans="2:11" s="16" customFormat="1" ht="9.75">
      <c r="B41" s="14"/>
      <c r="C41" s="14"/>
      <c r="D41" s="14"/>
      <c r="E41" s="14"/>
      <c r="F41" s="33"/>
      <c r="G41" s="18"/>
      <c r="H41" s="14"/>
      <c r="I41" s="14"/>
      <c r="J41" s="14"/>
      <c r="K41" s="14"/>
    </row>
    <row r="42" spans="2:11" s="16" customFormat="1" ht="10.5" thickBot="1">
      <c r="B42" s="14"/>
      <c r="C42" s="14" t="s">
        <v>10</v>
      </c>
      <c r="D42" s="14"/>
      <c r="E42" s="14"/>
      <c r="F42" s="24">
        <f>+F36+F40</f>
        <v>670</v>
      </c>
      <c r="G42" s="34">
        <f>+F42</f>
        <v>670</v>
      </c>
      <c r="H42" s="14"/>
      <c r="I42" s="14"/>
      <c r="J42" s="14"/>
      <c r="K42" s="14"/>
    </row>
    <row r="43" spans="2:11" s="16" customFormat="1" ht="10.5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9.7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0.5" thickBot="1">
      <c r="B45" s="14"/>
      <c r="C45" s="14"/>
      <c r="D45" s="14"/>
      <c r="E45" s="14"/>
      <c r="F45" s="29" t="s">
        <v>63</v>
      </c>
      <c r="G45" s="35">
        <f>+G32-G42</f>
        <v>-368.639928663</v>
      </c>
      <c r="H45" s="14"/>
      <c r="I45" s="14"/>
      <c r="J45" s="14"/>
      <c r="K45" s="14"/>
    </row>
    <row r="46" spans="2:25" s="16" customFormat="1" ht="10.5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9.7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0.5" thickBot="1">
      <c r="B48" s="26" t="str">
        <f>$K$22+1&amp;" Recycle Adjustment Calculation"</f>
        <v>2021 Recycle Adjustment Calculation</v>
      </c>
      <c r="C48" s="27"/>
      <c r="D48" s="27"/>
      <c r="E48" s="27"/>
      <c r="F48" s="27"/>
      <c r="G48" s="14"/>
      <c r="H48" s="14"/>
      <c r="I48" s="14"/>
      <c r="J48" s="14"/>
      <c r="K48" s="14"/>
    </row>
    <row r="49" spans="2:27" s="16" customFormat="1" ht="10.5" thickTop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9.75">
      <c r="B50" s="14" t="s">
        <v>69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9.75">
      <c r="B51" s="14"/>
      <c r="C51" s="14"/>
      <c r="D51" s="14"/>
      <c r="E51" s="14"/>
      <c r="F51" s="29" t="s">
        <v>76</v>
      </c>
      <c r="G51" s="14">
        <f>+J26</f>
        <v>6094.276399999999</v>
      </c>
      <c r="H51" s="18" t="s">
        <v>6</v>
      </c>
      <c r="I51" s="14"/>
      <c r="J51" s="14"/>
      <c r="K51" s="14"/>
    </row>
    <row r="52" spans="2:11" s="16" customFormat="1" ht="9.75">
      <c r="B52" s="14"/>
      <c r="C52" s="14"/>
      <c r="D52" s="14"/>
      <c r="E52" s="14"/>
      <c r="F52" s="29" t="s">
        <v>11</v>
      </c>
      <c r="G52" s="14">
        <f>+G45</f>
        <v>-368.639928663</v>
      </c>
      <c r="H52" s="14"/>
      <c r="I52" s="14"/>
      <c r="J52" s="14"/>
      <c r="K52" s="14"/>
    </row>
    <row r="53" spans="2:11" s="16" customFormat="1" ht="9.75">
      <c r="B53" s="14"/>
      <c r="C53" s="14"/>
      <c r="D53" s="14"/>
      <c r="E53" s="14"/>
      <c r="F53" s="29"/>
      <c r="G53" s="14"/>
      <c r="H53" s="14"/>
      <c r="I53" s="14"/>
      <c r="J53" s="14"/>
      <c r="K53" s="14"/>
    </row>
    <row r="54" spans="2:11" s="16" customFormat="1" ht="10.5" thickBot="1">
      <c r="B54" s="14"/>
      <c r="C54" s="14"/>
      <c r="D54" s="14"/>
      <c r="E54" s="14"/>
      <c r="F54" s="29" t="str">
        <f>$K$10&amp;"/"&amp;$K$21&amp;" Monthly True-up Amount"</f>
        <v>2019/2020 Monthly True-up Amount</v>
      </c>
      <c r="G54" s="36">
        <f>ROUND(G52/G51,3)</f>
        <v>-0.06</v>
      </c>
      <c r="H54" s="14"/>
      <c r="I54" s="21">
        <f>+G54</f>
        <v>-0.06</v>
      </c>
      <c r="J54" s="14"/>
      <c r="K54" s="14"/>
    </row>
    <row r="55" spans="2:25" s="16" customFormat="1" ht="10.5" thickTop="1">
      <c r="B55" s="14"/>
      <c r="C55" s="14"/>
      <c r="D55" s="14"/>
      <c r="E55" s="14"/>
      <c r="F55" s="29"/>
      <c r="G55" s="14"/>
      <c r="H55" s="14"/>
      <c r="I55" s="21"/>
      <c r="J55" s="14"/>
      <c r="K55" s="14"/>
      <c r="Y55" s="14"/>
    </row>
    <row r="56" spans="2:11" s="16" customFormat="1" ht="9.75">
      <c r="B56" s="14" t="str">
        <f>" Projected Debit"</f>
        <v> Projected Debit</v>
      </c>
      <c r="C56" s="14"/>
      <c r="D56" s="14"/>
      <c r="E56" s="14"/>
      <c r="F56" s="29"/>
      <c r="G56" s="14"/>
      <c r="H56" s="14"/>
      <c r="I56" s="21"/>
      <c r="J56" s="14"/>
      <c r="K56" s="14"/>
    </row>
    <row r="57" spans="2:15" s="16" customFormat="1" ht="10.5" thickBot="1">
      <c r="B57" s="28"/>
      <c r="C57" s="14"/>
      <c r="D57" s="14"/>
      <c r="E57" s="14"/>
      <c r="F57" s="29" t="s">
        <v>95</v>
      </c>
      <c r="G57" s="136">
        <f>F26</f>
        <v>0.049</v>
      </c>
      <c r="H57" s="14"/>
      <c r="I57" s="21">
        <f>+G57</f>
        <v>0.049</v>
      </c>
      <c r="J57" s="18" t="s">
        <v>5</v>
      </c>
      <c r="K57" s="14"/>
      <c r="O57" s="134" t="s">
        <v>66</v>
      </c>
    </row>
    <row r="58" spans="2:25" s="14" customFormat="1" ht="10.5" thickTop="1">
      <c r="B58" s="28"/>
      <c r="I58" s="21"/>
      <c r="O58" s="135">
        <v>0.5</v>
      </c>
      <c r="X58" s="16"/>
      <c r="Y58" s="16"/>
    </row>
    <row r="59" spans="2:11" s="16" customFormat="1" ht="10.5" thickBot="1">
      <c r="B59" s="14"/>
      <c r="C59" s="14"/>
      <c r="D59" s="14"/>
      <c r="E59" s="14"/>
      <c r="F59" s="14"/>
      <c r="G59" s="29" t="s">
        <v>96</v>
      </c>
      <c r="H59" s="24"/>
      <c r="I59" s="36">
        <f>+I54+I57</f>
        <v>-0.010999999999999996</v>
      </c>
      <c r="J59" s="14"/>
      <c r="K59" s="14"/>
    </row>
    <row r="60" s="16" customFormat="1" ht="10.5" thickTop="1">
      <c r="I60" s="21"/>
    </row>
    <row r="61" spans="7:9" s="16" customFormat="1" ht="9.75">
      <c r="G61" s="113" t="s">
        <v>64</v>
      </c>
      <c r="I61" s="16">
        <f>+I59*3.5</f>
        <v>-0.038499999999999986</v>
      </c>
    </row>
    <row r="62" spans="1:7" s="16" customFormat="1" ht="9.75">
      <c r="A62" s="91"/>
      <c r="B62" s="92"/>
      <c r="C62" s="93"/>
      <c r="D62" s="93"/>
      <c r="E62" s="93"/>
      <c r="F62" s="94"/>
      <c r="G62" s="113"/>
    </row>
    <row r="63" spans="1:7" s="16" customFormat="1" ht="9.75">
      <c r="A63" s="91"/>
      <c r="B63" s="92"/>
      <c r="C63" s="93"/>
      <c r="D63" s="93"/>
      <c r="E63" s="93"/>
      <c r="F63" s="94"/>
      <c r="G63" s="113"/>
    </row>
    <row r="64" spans="1:25" s="16" customFormat="1" ht="9.75">
      <c r="A64" s="95"/>
      <c r="B64" s="113" t="s">
        <v>93</v>
      </c>
      <c r="C64" s="94"/>
      <c r="D64" s="94"/>
      <c r="E64" s="94"/>
      <c r="F64" s="94"/>
      <c r="G64" s="113" t="s">
        <v>94</v>
      </c>
      <c r="I64" s="124">
        <v>0</v>
      </c>
      <c r="J64" s="37"/>
      <c r="K64" s="37"/>
      <c r="Y64" s="14"/>
    </row>
    <row r="65" spans="1:6" s="16" customFormat="1" ht="9.75">
      <c r="A65" s="95"/>
      <c r="B65" s="94"/>
      <c r="C65" s="94"/>
      <c r="D65" s="94"/>
      <c r="E65" s="94"/>
      <c r="F65" s="94"/>
    </row>
    <row r="66" spans="1:9" s="16" customFormat="1" ht="10.5" thickBot="1">
      <c r="A66" s="96"/>
      <c r="B66" s="97"/>
      <c r="C66" s="32"/>
      <c r="D66" s="90"/>
      <c r="E66" s="32"/>
      <c r="F66" s="90"/>
      <c r="G66" s="29" t="str">
        <f>G59</f>
        <v>8/1/20 - 7/31/21 Adjusted Credit</v>
      </c>
      <c r="H66" s="24"/>
      <c r="I66" s="129">
        <f>+I59+I64</f>
        <v>-0.010999999999999996</v>
      </c>
    </row>
    <row r="67" spans="1:25" s="16" customFormat="1" ht="10.5" thickTop="1">
      <c r="A67" s="96"/>
      <c r="B67" s="97"/>
      <c r="C67" s="32"/>
      <c r="D67" s="90"/>
      <c r="E67" s="32"/>
      <c r="F67" s="90"/>
      <c r="Y67" s="14"/>
    </row>
    <row r="68" spans="1:9" s="16" customFormat="1" ht="9.75">
      <c r="A68" s="96"/>
      <c r="B68" s="97"/>
      <c r="C68" s="32"/>
      <c r="D68" s="90"/>
      <c r="E68" s="32"/>
      <c r="F68" s="90"/>
      <c r="G68" s="113" t="s">
        <v>64</v>
      </c>
      <c r="I68" s="16">
        <f>+I66*3.5</f>
        <v>-0.038499999999999986</v>
      </c>
    </row>
    <row r="69" spans="1:6" s="16" customFormat="1" ht="9.75">
      <c r="A69" s="96"/>
      <c r="B69" s="97"/>
      <c r="C69" s="32"/>
      <c r="D69" s="90"/>
      <c r="E69" s="32"/>
      <c r="F69" s="90"/>
    </row>
    <row r="70" spans="1:27" s="16" customFormat="1" ht="9.75">
      <c r="A70" s="96"/>
      <c r="B70" s="97"/>
      <c r="C70" s="32"/>
      <c r="D70" s="90"/>
      <c r="E70" s="32"/>
      <c r="F70" s="90"/>
      <c r="G70" s="14"/>
      <c r="H70" s="13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4"/>
      <c r="AA70" s="14"/>
    </row>
    <row r="71" spans="1:6" s="16" customFormat="1" ht="9.75">
      <c r="A71" s="96"/>
      <c r="B71" s="97"/>
      <c r="C71" s="32"/>
      <c r="D71" s="90"/>
      <c r="E71" s="32"/>
      <c r="F71" s="90"/>
    </row>
    <row r="72" spans="1:6" s="16" customFormat="1" ht="9.75">
      <c r="A72" s="96"/>
      <c r="B72" s="97"/>
      <c r="C72" s="32"/>
      <c r="D72" s="90"/>
      <c r="E72" s="32"/>
      <c r="F72" s="90"/>
    </row>
    <row r="73" spans="1:6" s="16" customFormat="1" ht="9.75">
      <c r="A73" s="96"/>
      <c r="B73" s="32"/>
      <c r="C73" s="32"/>
      <c r="D73" s="90"/>
      <c r="E73" s="32"/>
      <c r="F73" s="90"/>
    </row>
    <row r="74" spans="1:6" s="16" customFormat="1" ht="9.75">
      <c r="A74" s="96"/>
      <c r="B74" s="32"/>
      <c r="C74" s="98"/>
      <c r="D74" s="90"/>
      <c r="E74" s="32"/>
      <c r="F74" s="90"/>
    </row>
    <row r="75" spans="1:25" s="16" customFormat="1" ht="12">
      <c r="A75" s="99"/>
      <c r="B75" s="99"/>
      <c r="C75" s="99"/>
      <c r="D75" s="100"/>
      <c r="E75" s="99"/>
      <c r="F75" s="99"/>
      <c r="Y75" s="14"/>
    </row>
    <row r="76" spans="1:6" s="16" customFormat="1" ht="9.75">
      <c r="A76" s="101"/>
      <c r="B76" s="32"/>
      <c r="C76" s="98"/>
      <c r="D76" s="90"/>
      <c r="E76" s="98"/>
      <c r="F76" s="102"/>
    </row>
    <row r="77" s="16" customFormat="1" ht="9.75"/>
    <row r="78" s="16" customFormat="1" ht="9.75"/>
    <row r="79" s="16" customFormat="1" ht="9.75">
      <c r="B79" s="8"/>
    </row>
    <row r="80" spans="2:25" s="14" customFormat="1" ht="9.75">
      <c r="B80" s="28"/>
      <c r="X80" s="16"/>
      <c r="Y80" s="16"/>
    </row>
    <row r="81" s="16" customFormat="1" ht="9.75"/>
    <row r="82" s="16" customFormat="1" ht="9.75"/>
    <row r="83" s="16" customFormat="1" ht="9.75"/>
    <row r="84" s="16" customFormat="1" ht="9.75"/>
    <row r="85" s="16" customFormat="1" ht="9.75"/>
    <row r="86" s="16" customFormat="1" ht="9.75"/>
    <row r="87" s="16" customFormat="1" ht="9.75"/>
    <row r="88" s="16" customFormat="1" ht="9.75"/>
    <row r="89" s="16" customFormat="1" ht="9.75">
      <c r="A89" s="6"/>
    </row>
    <row r="90" s="16" customFormat="1" ht="12">
      <c r="AA90" s="5"/>
    </row>
    <row r="91" s="16" customFormat="1" ht="12">
      <c r="AA91" s="5"/>
    </row>
    <row r="92" s="16" customFormat="1" ht="12">
      <c r="AA92" s="5"/>
    </row>
    <row r="93" s="16" customFormat="1" ht="12">
      <c r="AA93" s="5"/>
    </row>
    <row r="94" spans="7:27" s="16" customFormat="1" ht="12">
      <c r="G94" s="38"/>
      <c r="I94" s="38"/>
      <c r="J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AA94" s="5"/>
    </row>
    <row r="95" s="16" customFormat="1" ht="12">
      <c r="AA95" s="5"/>
    </row>
    <row r="96" spans="7:27" s="16" customFormat="1" ht="12.75" thickBot="1">
      <c r="G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AA96" s="5"/>
    </row>
    <row r="97" ht="12.75" thickTop="1"/>
    <row r="98" spans="23:25" ht="12">
      <c r="W98" s="40"/>
      <c r="X98" s="40"/>
      <c r="Y98" s="40"/>
    </row>
    <row r="99" spans="23:27" ht="12">
      <c r="W99" s="40"/>
      <c r="AA9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95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O12" sqref="O12:O17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68</v>
      </c>
      <c r="B1" s="42"/>
    </row>
    <row r="2" spans="1:2" ht="12.75">
      <c r="A2" s="43" t="str">
        <f>'WUTC_AW of Kent (SeaTac)_MF'!A1</f>
        <v>Rabanco Ltd (dba Allied Waste of Seatac)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12</v>
      </c>
      <c r="D5" s="45" t="s">
        <v>13</v>
      </c>
      <c r="E5" s="45" t="s">
        <v>70</v>
      </c>
      <c r="F5" s="45" t="s">
        <v>29</v>
      </c>
      <c r="G5" s="45" t="s">
        <v>71</v>
      </c>
      <c r="H5" s="45" t="s">
        <v>15</v>
      </c>
      <c r="I5" s="45" t="s">
        <v>16</v>
      </c>
      <c r="J5" s="45" t="s">
        <v>17</v>
      </c>
      <c r="K5" s="45" t="s">
        <v>18</v>
      </c>
      <c r="L5" s="45" t="s">
        <v>19</v>
      </c>
      <c r="M5" s="45" t="s">
        <v>20</v>
      </c>
      <c r="O5" s="57" t="s">
        <v>20</v>
      </c>
      <c r="P5" s="45" t="s">
        <v>67</v>
      </c>
    </row>
    <row r="6" spans="1:17" ht="15.75" customHeight="1">
      <c r="A6" s="49">
        <f>+Pricing!A4</f>
        <v>43586</v>
      </c>
      <c r="B6" s="54"/>
      <c r="C6" s="55">
        <f>'Commodity Tonnages'!C6*Pricing!C4</f>
        <v>48.915576</v>
      </c>
      <c r="D6" s="59">
        <f>'Commodity Tonnages'!D6*Pricing!D4</f>
        <v>-3.27913875</v>
      </c>
      <c r="E6" s="59">
        <f>'Commodity Tonnages'!E6*Pricing!E4</f>
        <v>0</v>
      </c>
      <c r="F6" s="59">
        <f>'Commodity Tonnages'!F6*Pricing!F4</f>
        <v>7.606775400000001</v>
      </c>
      <c r="G6" s="59">
        <f>'Commodity Tonnages'!G6*Pricing!G4</f>
        <v>1.0997078400000002</v>
      </c>
      <c r="H6" s="59">
        <f>'Commodity Tonnages'!H6*Pricing!H4</f>
        <v>33.504216199999995</v>
      </c>
      <c r="I6" s="59">
        <f>'Commodity Tonnages'!I6*Pricing!I4</f>
        <v>15.567477935999996</v>
      </c>
      <c r="J6" s="59">
        <f>'Commodity Tonnages'!J6*Pricing!J4</f>
        <v>15.567477935999996</v>
      </c>
      <c r="K6" s="59">
        <f>'Commodity Tonnages'!K6*Pricing!K4</f>
        <v>47.30826492</v>
      </c>
      <c r="L6" s="59">
        <f>'Commodity Tonnages'!L6*Pricing!L4</f>
        <v>-61.06945686</v>
      </c>
      <c r="M6" s="117">
        <f>SUM(C6:L6)</f>
        <v>105.22090062199999</v>
      </c>
      <c r="O6" s="127">
        <f>M6*P6</f>
        <v>52.610450310999994</v>
      </c>
      <c r="P6" s="139">
        <v>0.5</v>
      </c>
      <c r="Q6" s="58"/>
    </row>
    <row r="7" spans="1:17" ht="15.75" customHeight="1">
      <c r="A7" s="49">
        <f>+Pricing!A5</f>
        <v>43646</v>
      </c>
      <c r="B7" s="54"/>
      <c r="C7" s="55">
        <f>'Commodity Tonnages'!C7*Pricing!C5</f>
        <v>44.06752512</v>
      </c>
      <c r="D7" s="59">
        <f>'Commodity Tonnages'!D7*Pricing!D5</f>
        <v>-3.5859375</v>
      </c>
      <c r="E7" s="59">
        <f>'Commodity Tonnages'!E7*Pricing!E5</f>
        <v>0</v>
      </c>
      <c r="F7" s="59">
        <f>'Commodity Tonnages'!F7*Pricing!F5</f>
        <v>7.085022000000001</v>
      </c>
      <c r="G7" s="59">
        <f>'Commodity Tonnages'!G7*Pricing!G5</f>
        <v>1.0255977600000001</v>
      </c>
      <c r="H7" s="59">
        <f>'Commodity Tonnages'!H7*Pricing!H5</f>
        <v>30.149261999999997</v>
      </c>
      <c r="I7" s="59">
        <f>'Commodity Tonnages'!I7*Pricing!I5</f>
        <v>13.772203199999996</v>
      </c>
      <c r="J7" s="59">
        <f>'Commodity Tonnages'!J7*Pricing!J5</f>
        <v>13.772203199999996</v>
      </c>
      <c r="K7" s="59">
        <f>'Commodity Tonnages'!K7*Pricing!K5</f>
        <v>43.6901904</v>
      </c>
      <c r="L7" s="59">
        <f>'Commodity Tonnages'!L7*Pricing!L5</f>
        <v>-56.525268600000004</v>
      </c>
      <c r="M7" s="117">
        <f aca="true" t="shared" si="0" ref="M7:M17">SUM(C7:L7)</f>
        <v>93.45079757999997</v>
      </c>
      <c r="O7" s="127">
        <f aca="true" t="shared" si="1" ref="O7:O17">M7*P7</f>
        <v>46.725398789999986</v>
      </c>
      <c r="P7" s="139">
        <v>0.5</v>
      </c>
      <c r="Q7" s="58"/>
    </row>
    <row r="8" spans="1:17" ht="15.75" customHeight="1">
      <c r="A8" s="49">
        <f>+Pricing!A6</f>
        <v>43677</v>
      </c>
      <c r="B8" s="50"/>
      <c r="C8" s="55">
        <f>'Commodity Tonnages'!C8*Pricing!C6</f>
        <v>42.35749545600001</v>
      </c>
      <c r="D8" s="59">
        <f>'Commodity Tonnages'!D8*Pricing!D6</f>
        <v>0.7303500000000002</v>
      </c>
      <c r="E8" s="59">
        <f>'Commodity Tonnages'!E8*Pricing!E6</f>
        <v>0</v>
      </c>
      <c r="F8" s="59">
        <f>'Commodity Tonnages'!F8*Pricing!F6</f>
        <v>7.319513600000001</v>
      </c>
      <c r="G8" s="59">
        <f>'Commodity Tonnages'!G8*Pricing!G6</f>
        <v>1.0881284480000002</v>
      </c>
      <c r="H8" s="59">
        <f>'Commodity Tonnages'!H8*Pricing!H6</f>
        <v>24.5761152</v>
      </c>
      <c r="I8" s="59">
        <f>'Commodity Tonnages'!I8*Pricing!I6</f>
        <v>12.309368672000005</v>
      </c>
      <c r="J8" s="59">
        <f>'Commodity Tonnages'!J8*Pricing!J6</f>
        <v>12.309368672000005</v>
      </c>
      <c r="K8" s="59">
        <f>'Commodity Tonnages'!K8*Pricing!K6</f>
        <v>46.40176476</v>
      </c>
      <c r="L8" s="59">
        <f>'Commodity Tonnages'!L8*Pricing!L6</f>
        <v>-59.961118260000006</v>
      </c>
      <c r="M8" s="117">
        <f t="shared" si="0"/>
        <v>87.13098654800001</v>
      </c>
      <c r="O8" s="127">
        <f t="shared" si="1"/>
        <v>43.565493274000005</v>
      </c>
      <c r="P8" s="139">
        <v>0.5</v>
      </c>
      <c r="Q8" s="58"/>
    </row>
    <row r="9" spans="1:17" ht="15.75" customHeight="1">
      <c r="A9" s="49">
        <f>+Pricing!A7</f>
        <v>43708</v>
      </c>
      <c r="B9" s="50"/>
      <c r="C9" s="55">
        <f>'Commodity Tonnages'!C9*Pricing!C7</f>
        <v>33.655305600000005</v>
      </c>
      <c r="D9" s="59">
        <f>'Commodity Tonnages'!D9*Pricing!D7</f>
        <v>1.4179680000000001</v>
      </c>
      <c r="E9" s="59">
        <f>'Commodity Tonnages'!E9*Pricing!E7</f>
        <v>0</v>
      </c>
      <c r="F9" s="59">
        <f>'Commodity Tonnages'!F9*Pricing!F7</f>
        <v>6.350444800000002</v>
      </c>
      <c r="G9" s="59">
        <f>'Commodity Tonnages'!G9*Pricing!G7</f>
        <v>0.9935742080000002</v>
      </c>
      <c r="H9" s="59">
        <f>'Commodity Tonnages'!H9*Pricing!H7</f>
        <v>7.9569256</v>
      </c>
      <c r="I9" s="59">
        <f>'Commodity Tonnages'!I9*Pricing!I7</f>
        <v>6.335667888</v>
      </c>
      <c r="J9" s="59">
        <f>'Commodity Tonnages'!J9*Pricing!J7</f>
        <v>6.335667888</v>
      </c>
      <c r="K9" s="59">
        <f>'Commodity Tonnages'!K9*Pricing!K7</f>
        <v>41.425770240000006</v>
      </c>
      <c r="L9" s="59">
        <f>'Commodity Tonnages'!L9*Pricing!L7</f>
        <v>-50.76190788</v>
      </c>
      <c r="M9" s="117">
        <f t="shared" si="0"/>
        <v>53.70941634400001</v>
      </c>
      <c r="O9" s="127">
        <f t="shared" si="1"/>
        <v>26.854708172000006</v>
      </c>
      <c r="P9" s="139">
        <v>0.5</v>
      </c>
      <c r="Q9" s="58"/>
    </row>
    <row r="10" spans="1:17" ht="15.75" customHeight="1">
      <c r="A10" s="49">
        <f>+Pricing!A8</f>
        <v>43738</v>
      </c>
      <c r="B10" s="50"/>
      <c r="C10" s="55">
        <f>'Commodity Tonnages'!C10*Pricing!C8</f>
        <v>37.020161376000004</v>
      </c>
      <c r="D10" s="59">
        <f>'Commodity Tonnages'!D10*Pricing!D8</f>
        <v>3.5176680000000005</v>
      </c>
      <c r="E10" s="59">
        <f>'Commodity Tonnages'!E10*Pricing!E8</f>
        <v>0</v>
      </c>
      <c r="F10" s="59">
        <f>'Commodity Tonnages'!F10*Pricing!F8</f>
        <v>6.578618200000001</v>
      </c>
      <c r="G10" s="59">
        <f>'Commodity Tonnages'!G10*Pricing!G8</f>
        <v>1.0074634240000002</v>
      </c>
      <c r="H10" s="59">
        <f>'Commodity Tonnages'!H10*Pricing!H8</f>
        <v>-1.63824375</v>
      </c>
      <c r="I10" s="59">
        <f>'Commodity Tonnages'!I10*Pricing!I8</f>
        <v>8.039651928</v>
      </c>
      <c r="J10" s="59">
        <f>'Commodity Tonnages'!J10*Pricing!J8</f>
        <v>8.039651928</v>
      </c>
      <c r="K10" s="59">
        <f>'Commodity Tonnages'!K10*Pricing!K8</f>
        <v>40.76437464</v>
      </c>
      <c r="L10" s="59">
        <f>'Commodity Tonnages'!L10*Pricing!L8</f>
        <v>-57.30110562</v>
      </c>
      <c r="M10" s="117">
        <f t="shared" si="0"/>
        <v>46.028240126</v>
      </c>
      <c r="O10" s="127">
        <f t="shared" si="1"/>
        <v>23.014120063</v>
      </c>
      <c r="P10" s="139">
        <v>0.5</v>
      </c>
      <c r="Q10" s="58"/>
    </row>
    <row r="11" spans="1:17" ht="15.75" customHeight="1">
      <c r="A11" s="49">
        <f>+Pricing!A9</f>
        <v>43769</v>
      </c>
      <c r="B11" s="50"/>
      <c r="C11" s="55">
        <f>'Commodity Tonnages'!C11*Pricing!C9</f>
        <v>46.487153664000004</v>
      </c>
      <c r="D11" s="59">
        <f>'Commodity Tonnages'!D11*Pricing!D9</f>
        <v>4.210371</v>
      </c>
      <c r="E11" s="59">
        <f>'Commodity Tonnages'!E11*Pricing!E9</f>
        <v>0</v>
      </c>
      <c r="F11" s="59">
        <f>'Commodity Tonnages'!F11*Pricing!F9</f>
        <v>6.698736800000001</v>
      </c>
      <c r="G11" s="59">
        <f>'Commodity Tonnages'!G11*Pricing!G9</f>
        <v>1.0696319040000002</v>
      </c>
      <c r="H11" s="59">
        <f>'Commodity Tonnages'!H11*Pricing!H9</f>
        <v>-37.37954675</v>
      </c>
      <c r="I11" s="59">
        <f>'Commodity Tonnages'!I11*Pricing!I9</f>
        <v>5.97799604</v>
      </c>
      <c r="J11" s="59">
        <f>'Commodity Tonnages'!J11*Pricing!J9</f>
        <v>5.97799604</v>
      </c>
      <c r="K11" s="59">
        <f>'Commodity Tonnages'!K11*Pricing!K9</f>
        <v>43.764138</v>
      </c>
      <c r="L11" s="59">
        <f>'Commodity Tonnages'!L11*Pricing!L9</f>
        <v>-69.85111511999999</v>
      </c>
      <c r="M11" s="117">
        <f t="shared" si="0"/>
        <v>6.955361578000023</v>
      </c>
      <c r="O11" s="127">
        <f t="shared" si="1"/>
        <v>3.4776807890000114</v>
      </c>
      <c r="P11" s="139">
        <v>0.5</v>
      </c>
      <c r="Q11" s="58"/>
    </row>
    <row r="12" spans="1:17" ht="15.75" customHeight="1">
      <c r="A12" s="49">
        <f>+Pricing!A10</f>
        <v>43799</v>
      </c>
      <c r="B12" s="50"/>
      <c r="C12" s="55">
        <f>'Commodity Tonnages'!C12*Pricing!C10</f>
        <v>35.32879929600001</v>
      </c>
      <c r="D12" s="59">
        <f>'Commodity Tonnages'!D12*Pricing!D10</f>
        <v>1.7561880000000003</v>
      </c>
      <c r="E12" s="59">
        <f>'Commodity Tonnages'!E12*Pricing!E10</f>
        <v>0</v>
      </c>
      <c r="F12" s="59">
        <f>'Commodity Tonnages'!F12*Pricing!F10</f>
        <v>6.3954996</v>
      </c>
      <c r="G12" s="59">
        <f>'Commodity Tonnages'!G12*Pricing!G10</f>
        <v>1.0540992</v>
      </c>
      <c r="H12" s="59">
        <f>'Commodity Tonnages'!H12*Pricing!H10</f>
        <v>8.0647476</v>
      </c>
      <c r="I12" s="59">
        <f>'Commodity Tonnages'!I12*Pricing!I10</f>
        <v>6.584064732000006</v>
      </c>
      <c r="J12" s="59">
        <f>'Commodity Tonnages'!J12*Pricing!J10</f>
        <v>6.584064732000006</v>
      </c>
      <c r="K12" s="59">
        <f>'Commodity Tonnages'!K12*Pricing!K10</f>
        <v>35.146364399999996</v>
      </c>
      <c r="L12" s="59">
        <f>'Commodity Tonnages'!L12*Pricing!L10</f>
        <v>-56.32402103999999</v>
      </c>
      <c r="M12" s="117">
        <f t="shared" si="0"/>
        <v>44.58980652000004</v>
      </c>
      <c r="O12" s="127">
        <f t="shared" si="1"/>
        <v>22.29490326000002</v>
      </c>
      <c r="P12" s="139">
        <v>0.5</v>
      </c>
      <c r="Q12" s="58"/>
    </row>
    <row r="13" spans="1:17" ht="15.75" customHeight="1">
      <c r="A13" s="49">
        <f>+Pricing!A11</f>
        <v>43830</v>
      </c>
      <c r="B13" s="50"/>
      <c r="C13" s="55">
        <f>'Commodity Tonnages'!C13*Pricing!C11</f>
        <v>39.27445488000001</v>
      </c>
      <c r="D13" s="59">
        <f>'Commodity Tonnages'!D13*Pricing!D11</f>
        <v>3.031308000000001</v>
      </c>
      <c r="E13" s="59">
        <f>'Commodity Tonnages'!E13*Pricing!E11</f>
        <v>0</v>
      </c>
      <c r="F13" s="59">
        <f>'Commodity Tonnages'!F13*Pricing!F11</f>
        <v>7.773035200000002</v>
      </c>
      <c r="G13" s="59">
        <f>'Commodity Tonnages'!G13*Pricing!G11</f>
        <v>1.3196001280000005</v>
      </c>
      <c r="H13" s="59">
        <f>'Commodity Tonnages'!H13*Pricing!H11</f>
        <v>9.793279600000002</v>
      </c>
      <c r="I13" s="59">
        <f>'Commodity Tonnages'!I13*Pricing!I11</f>
        <v>10.875077904000001</v>
      </c>
      <c r="J13" s="59">
        <f>'Commodity Tonnages'!J13*Pricing!J11</f>
        <v>10.875077904000001</v>
      </c>
      <c r="K13" s="59">
        <f>'Commodity Tonnages'!K13*Pricing!K11</f>
        <v>32.62252248</v>
      </c>
      <c r="L13" s="59">
        <f>'Commodity Tonnages'!L13*Pricing!L11</f>
        <v>-60.988536239999995</v>
      </c>
      <c r="M13" s="117">
        <f t="shared" si="0"/>
        <v>54.575819856</v>
      </c>
      <c r="O13" s="127">
        <f t="shared" si="1"/>
        <v>27.287909928</v>
      </c>
      <c r="P13" s="139">
        <v>0.5</v>
      </c>
      <c r="Q13" s="58"/>
    </row>
    <row r="14" spans="1:17" ht="15.75" customHeight="1">
      <c r="A14" s="49">
        <f>+Pricing!A12</f>
        <v>43861</v>
      </c>
      <c r="B14" s="50"/>
      <c r="C14" s="55">
        <f>'Commodity Tonnages'!C14*Pricing!C12</f>
        <v>48.44585588</v>
      </c>
      <c r="D14" s="59">
        <f>'Commodity Tonnages'!D14*Pricing!D12</f>
        <v>2.714300248</v>
      </c>
      <c r="E14" s="59">
        <f>'Commodity Tonnages'!E14*Pricing!E12</f>
        <v>0</v>
      </c>
      <c r="F14" s="59">
        <f>'Commodity Tonnages'!F14*Pricing!F12</f>
        <v>10.980600343999999</v>
      </c>
      <c r="G14" s="59">
        <f>'Commodity Tonnages'!G14*Pricing!G12</f>
        <v>1.4555072</v>
      </c>
      <c r="H14" s="59">
        <f>'Commodity Tonnages'!H14*Pricing!H12</f>
        <v>14.046237864000002</v>
      </c>
      <c r="I14" s="59">
        <f>'Commodity Tonnages'!I14*Pricing!I12</f>
        <v>19.053728202</v>
      </c>
      <c r="J14" s="59">
        <f>'Commodity Tonnages'!J14*Pricing!J12</f>
        <v>19.053728202</v>
      </c>
      <c r="K14" s="59">
        <f>'Commodity Tonnages'!K14*Pricing!K12</f>
        <v>65.830344624</v>
      </c>
      <c r="L14" s="59">
        <f>'Commodity Tonnages'!L14*Pricing!L12</f>
        <v>-178.05826938</v>
      </c>
      <c r="M14" s="117">
        <f t="shared" si="0"/>
        <v>3.5220331840000085</v>
      </c>
      <c r="O14" s="127">
        <f t="shared" si="1"/>
        <v>1.7610165920000043</v>
      </c>
      <c r="P14" s="139">
        <v>0.5</v>
      </c>
      <c r="Q14" s="58"/>
    </row>
    <row r="15" spans="1:17" ht="15.75" customHeight="1">
      <c r="A15" s="49">
        <f>+Pricing!A13</f>
        <v>43890</v>
      </c>
      <c r="B15" s="50"/>
      <c r="C15" s="55">
        <f>'Commodity Tonnages'!C15*Pricing!C13</f>
        <v>32.29705908</v>
      </c>
      <c r="D15" s="59">
        <f>'Commodity Tonnages'!D15*Pricing!D13</f>
        <v>0.7613445839999999</v>
      </c>
      <c r="E15" s="59">
        <f>'Commodity Tonnages'!E15*Pricing!E13</f>
        <v>0</v>
      </c>
      <c r="F15" s="59">
        <f>'Commodity Tonnages'!F15*Pricing!F13</f>
        <v>6.766208592000001</v>
      </c>
      <c r="G15" s="59">
        <f>'Commodity Tonnages'!G15*Pricing!G13</f>
        <v>0.9013804800000002</v>
      </c>
      <c r="H15" s="59">
        <f>'Commodity Tonnages'!H15*Pricing!H13</f>
        <v>16.774504032000003</v>
      </c>
      <c r="I15" s="59">
        <f>'Commodity Tonnages'!I15*Pricing!I13</f>
        <v>14.258649834000003</v>
      </c>
      <c r="J15" s="59">
        <f>'Commodity Tonnages'!J15*Pricing!J13</f>
        <v>14.258649834000003</v>
      </c>
      <c r="K15" s="59">
        <f>'Commodity Tonnages'!K15*Pricing!K13</f>
        <v>57.471788088000004</v>
      </c>
      <c r="L15" s="59">
        <f>'Commodity Tonnages'!L15*Pricing!L13</f>
        <v>-120.80096028</v>
      </c>
      <c r="M15" s="117">
        <f t="shared" si="0"/>
        <v>22.68862424400001</v>
      </c>
      <c r="O15" s="127">
        <f t="shared" si="1"/>
        <v>11.344312122000005</v>
      </c>
      <c r="P15" s="139">
        <v>0.5</v>
      </c>
      <c r="Q15" s="58"/>
    </row>
    <row r="16" spans="1:17" ht="15.75" customHeight="1">
      <c r="A16" s="49">
        <f>+Pricing!A14</f>
        <v>43921</v>
      </c>
      <c r="B16" s="50"/>
      <c r="C16" s="55">
        <f>'Commodity Tonnages'!C16*Pricing!C14</f>
        <v>43.27148148</v>
      </c>
      <c r="D16" s="59">
        <f>'Commodity Tonnages'!D16*Pricing!D14</f>
        <v>2.5550846640000002</v>
      </c>
      <c r="E16" s="59">
        <f>'Commodity Tonnages'!E16*Pricing!E14</f>
        <v>0</v>
      </c>
      <c r="F16" s="59">
        <f>'Commodity Tonnages'!F16*Pricing!F14</f>
        <v>8.503425072</v>
      </c>
      <c r="G16" s="59">
        <f>'Commodity Tonnages'!G16*Pricing!G14</f>
        <v>1.1466453600000002</v>
      </c>
      <c r="H16" s="59">
        <f>'Commodity Tonnages'!H16*Pricing!H14</f>
        <v>23.495545728000007</v>
      </c>
      <c r="I16" s="59">
        <f>'Commodity Tonnages'!I16*Pricing!I14</f>
        <v>13.849116156</v>
      </c>
      <c r="J16" s="59">
        <f>'Commodity Tonnages'!J16*Pricing!J14</f>
        <v>13.849116156</v>
      </c>
      <c r="K16" s="59">
        <f>'Commodity Tonnages'!K16*Pricing!K14</f>
        <v>91.38858890400002</v>
      </c>
      <c r="L16" s="59">
        <f>'Commodity Tonnages'!L16*Pricing!L14</f>
        <v>-142.0956774</v>
      </c>
      <c r="M16" s="117">
        <f t="shared" si="0"/>
        <v>55.963326120000005</v>
      </c>
      <c r="O16" s="127">
        <f t="shared" si="1"/>
        <v>27.981663060000002</v>
      </c>
      <c r="P16" s="139">
        <v>0.5</v>
      </c>
      <c r="Q16" s="58"/>
    </row>
    <row r="17" spans="1:17" ht="15.75" customHeight="1">
      <c r="A17" s="49">
        <f>+Pricing!A15</f>
        <v>43951</v>
      </c>
      <c r="B17" s="50"/>
      <c r="C17" s="55">
        <f>'Commodity Tonnages'!C17*Pricing!C15</f>
        <v>29.009283599999996</v>
      </c>
      <c r="D17" s="59">
        <f>'Commodity Tonnages'!D17*Pricing!D15</f>
        <v>1.175579856</v>
      </c>
      <c r="E17" s="59">
        <f>'Commodity Tonnages'!E17*Pricing!E15</f>
        <v>0</v>
      </c>
      <c r="F17" s="59">
        <f>'Commodity Tonnages'!F17*Pricing!F15</f>
        <v>4.41150512</v>
      </c>
      <c r="G17" s="59">
        <f>'Commodity Tonnages'!G17*Pricing!G15</f>
        <v>0.55781264</v>
      </c>
      <c r="H17" s="59">
        <f>'Commodity Tonnages'!H17*Pricing!H15</f>
        <v>4.493392992</v>
      </c>
      <c r="I17" s="59">
        <f>'Commodity Tonnages'!I17*Pricing!I15</f>
        <v>8.621556812</v>
      </c>
      <c r="J17" s="59">
        <f>'Commodity Tonnages'!J17*Pricing!J15</f>
        <v>8.621556812</v>
      </c>
      <c r="K17" s="59">
        <f>'Commodity Tonnages'!K17*Pricing!K15</f>
        <v>79.86154176000001</v>
      </c>
      <c r="L17" s="59">
        <f>'Commodity Tonnages'!L17*Pricing!L15</f>
        <v>-107.86739963999999</v>
      </c>
      <c r="M17" s="117">
        <f t="shared" si="0"/>
        <v>28.884829952000004</v>
      </c>
      <c r="O17" s="127">
        <f t="shared" si="1"/>
        <v>14.442414976000002</v>
      </c>
      <c r="P17" s="139">
        <v>0.5</v>
      </c>
      <c r="Q17" s="58"/>
    </row>
    <row r="18" spans="1:16" ht="15.75" customHeight="1">
      <c r="A18" s="53" t="s">
        <v>22</v>
      </c>
      <c r="B18" s="50"/>
      <c r="C18" s="115">
        <f aca="true" t="shared" si="2" ref="C18:L18">SUM(C6:C17)</f>
        <v>480.13015143200005</v>
      </c>
      <c r="D18" s="116">
        <f t="shared" si="2"/>
        <v>15.005086102000003</v>
      </c>
      <c r="E18" s="116">
        <f t="shared" si="2"/>
        <v>0</v>
      </c>
      <c r="F18" s="115">
        <f t="shared" si="2"/>
        <v>86.46938472800001</v>
      </c>
      <c r="G18" s="115">
        <f t="shared" si="2"/>
        <v>12.719148592000003</v>
      </c>
      <c r="H18" s="115">
        <f t="shared" si="2"/>
        <v>133.836436316</v>
      </c>
      <c r="I18" s="115">
        <f t="shared" si="2"/>
        <v>135.24455930400003</v>
      </c>
      <c r="J18" s="115">
        <f t="shared" si="2"/>
        <v>135.24455930400003</v>
      </c>
      <c r="K18" s="115">
        <f t="shared" si="2"/>
        <v>625.675653216</v>
      </c>
      <c r="L18" s="116">
        <f t="shared" si="2"/>
        <v>-1021.60483632</v>
      </c>
      <c r="M18" s="118">
        <f>SUM(C18:L18)</f>
        <v>602.720142674</v>
      </c>
      <c r="O18" s="126">
        <f>SUM(O6:O17)</f>
        <v>301.3600713370001</v>
      </c>
      <c r="P18" s="122">
        <f>+O18/M18</f>
        <v>0.5000000000000001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1" t="str">
        <f>"Multi-Family Tonnages by Commodity ("&amp;TEXT(A6,"mmmm yyyy")&amp;" through "&amp;TEXT(A17,"mmmm yyyy")&amp;")"</f>
        <v>Multi-Family Tonnages by Commodity (May 2019 through April 2020)</v>
      </c>
      <c r="B1" s="42"/>
    </row>
    <row r="2" spans="1:2" ht="12.75">
      <c r="A2" s="43" t="s">
        <v>55</v>
      </c>
      <c r="B2" s="43"/>
    </row>
    <row r="3" spans="1:14" ht="12.75">
      <c r="A3" s="42"/>
      <c r="B3" s="44"/>
      <c r="C3" s="45" t="s">
        <v>12</v>
      </c>
      <c r="D3" s="45" t="s">
        <v>13</v>
      </c>
      <c r="E3" s="45" t="s">
        <v>70</v>
      </c>
      <c r="F3" s="45" t="s">
        <v>29</v>
      </c>
      <c r="G3" s="45" t="s">
        <v>71</v>
      </c>
      <c r="H3" s="45" t="s">
        <v>15</v>
      </c>
      <c r="I3" s="45" t="s">
        <v>16</v>
      </c>
      <c r="J3" s="45" t="s">
        <v>17</v>
      </c>
      <c r="K3" s="45" t="s">
        <v>18</v>
      </c>
      <c r="L3" s="45" t="s">
        <v>19</v>
      </c>
      <c r="M3" s="45"/>
      <c r="N3" s="45" t="s">
        <v>20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21</v>
      </c>
    </row>
    <row r="6" spans="1:16" ht="12.75">
      <c r="A6" s="107">
        <f>Multi_Family!$C$6</f>
        <v>43586</v>
      </c>
      <c r="B6" s="50" t="s">
        <v>43</v>
      </c>
      <c r="C6" s="85">
        <f>Multi_Family!C32</f>
        <v>0.059508</v>
      </c>
      <c r="D6" s="86">
        <f>Multi_Family!C34</f>
        <v>0.619875</v>
      </c>
      <c r="E6" s="85">
        <f>Multi_Family!C35</f>
        <v>0.233624</v>
      </c>
      <c r="F6" s="85">
        <f>Multi_Family!C30</f>
        <v>0.09642500000000001</v>
      </c>
      <c r="G6" s="85">
        <f>Multi_Family!C33</f>
        <v>0.024244</v>
      </c>
      <c r="H6" s="85">
        <f>Multi_Family!C37</f>
        <v>2.327975</v>
      </c>
      <c r="I6" s="85">
        <f>Multi_Family!C31/2</f>
        <v>0.17081</v>
      </c>
      <c r="J6" s="85">
        <f>Multi_Family!C31/2</f>
        <v>0.17081</v>
      </c>
      <c r="K6" s="85">
        <f>Multi_Family!C28</f>
        <v>1.016595</v>
      </c>
      <c r="L6" s="85">
        <f>Multi_Family!C36</f>
        <v>0.790134</v>
      </c>
      <c r="M6" s="47"/>
      <c r="N6" s="108">
        <f aca="true" t="shared" si="0" ref="N6:N17">SUM(C6:L6)</f>
        <v>5.51</v>
      </c>
      <c r="O6" s="60"/>
      <c r="P6" s="52"/>
    </row>
    <row r="7" spans="1:16" ht="12.75">
      <c r="A7" s="49">
        <f aca="true" t="shared" si="1" ref="A7:A17">EOMONTH(A6,1)</f>
        <v>43646</v>
      </c>
      <c r="B7" s="50" t="s">
        <v>44</v>
      </c>
      <c r="C7" s="85">
        <f>Multi_Family!D32</f>
        <v>0.05508</v>
      </c>
      <c r="D7" s="86">
        <f>Multi_Family!D34</f>
        <v>0.57375</v>
      </c>
      <c r="E7" s="85">
        <f>Multi_Family!D35</f>
        <v>0.21624</v>
      </c>
      <c r="F7" s="85">
        <f>Multi_Family!D30</f>
        <v>0.08925</v>
      </c>
      <c r="G7" s="85">
        <f>Multi_Family!D33</f>
        <v>0.022439999999999998</v>
      </c>
      <c r="H7" s="85">
        <f>Multi_Family!D37</f>
        <v>2.15475</v>
      </c>
      <c r="I7" s="85">
        <f>Multi_Family!D31/2</f>
        <v>0.1581</v>
      </c>
      <c r="J7" s="85">
        <f>Multi_Family!D31/2</f>
        <v>0.1581</v>
      </c>
      <c r="K7" s="85">
        <f>Multi_Family!D28</f>
        <v>0.94095</v>
      </c>
      <c r="L7" s="85">
        <f>Multi_Family!D36</f>
        <v>0.73134</v>
      </c>
      <c r="M7" s="47"/>
      <c r="N7" s="108">
        <f t="shared" si="0"/>
        <v>5.1000000000000005</v>
      </c>
      <c r="P7" s="52"/>
    </row>
    <row r="8" spans="1:16" ht="12.75">
      <c r="A8" s="49">
        <f t="shared" si="1"/>
        <v>43677</v>
      </c>
      <c r="B8" s="50" t="s">
        <v>45</v>
      </c>
      <c r="C8" s="85">
        <f>Multi_Family!E32</f>
        <v>0.05842800000000001</v>
      </c>
      <c r="D8" s="86">
        <f>Multi_Family!E34</f>
        <v>0.6086250000000001</v>
      </c>
      <c r="E8" s="85">
        <f>Multi_Family!E35</f>
        <v>0.229384</v>
      </c>
      <c r="F8" s="85">
        <f>Multi_Family!E30</f>
        <v>0.09467500000000001</v>
      </c>
      <c r="G8" s="85">
        <f>Multi_Family!E33</f>
        <v>0.023804000000000002</v>
      </c>
      <c r="H8" s="85">
        <f>Multi_Family!E37</f>
        <v>2.285725</v>
      </c>
      <c r="I8" s="85">
        <f>Multi_Family!E31/2</f>
        <v>0.16771</v>
      </c>
      <c r="J8" s="85">
        <f>Multi_Family!E31/2</f>
        <v>0.16771</v>
      </c>
      <c r="K8" s="85">
        <f>Multi_Family!E28</f>
        <v>0.9981450000000001</v>
      </c>
      <c r="L8" s="85">
        <f>Multi_Family!E36</f>
        <v>0.775794</v>
      </c>
      <c r="M8" s="47"/>
      <c r="N8" s="108">
        <f t="shared" si="0"/>
        <v>5.41</v>
      </c>
      <c r="P8" s="52"/>
    </row>
    <row r="9" spans="1:16" ht="12.75">
      <c r="A9" s="49">
        <f t="shared" si="1"/>
        <v>43708</v>
      </c>
      <c r="B9" s="50" t="s">
        <v>46</v>
      </c>
      <c r="C9" s="85">
        <f>Multi_Family!F32</f>
        <v>0.049464</v>
      </c>
      <c r="D9" s="86">
        <f>Multi_Family!F34</f>
        <v>0.51525</v>
      </c>
      <c r="E9" s="85">
        <f>Multi_Family!F35</f>
        <v>0.194192</v>
      </c>
      <c r="F9" s="85">
        <f>Multi_Family!F30</f>
        <v>0.08015000000000001</v>
      </c>
      <c r="G9" s="85">
        <f>Multi_Family!F33</f>
        <v>0.020152000000000003</v>
      </c>
      <c r="H9" s="85">
        <f>Multi_Family!F37</f>
        <v>1.93505</v>
      </c>
      <c r="I9" s="85">
        <f>Multi_Family!F31/2</f>
        <v>0.14198</v>
      </c>
      <c r="J9" s="85">
        <f>Multi_Family!F31/2</f>
        <v>0.14198</v>
      </c>
      <c r="K9" s="85">
        <f>Multi_Family!F28</f>
        <v>0.84501</v>
      </c>
      <c r="L9" s="85">
        <f>Multi_Family!F36</f>
        <v>0.656772</v>
      </c>
      <c r="M9" s="47"/>
      <c r="N9" s="108">
        <f t="shared" si="0"/>
        <v>4.580000000000001</v>
      </c>
      <c r="P9" s="52"/>
    </row>
    <row r="10" spans="1:16" ht="12.75">
      <c r="A10" s="49">
        <f t="shared" si="1"/>
        <v>43738</v>
      </c>
      <c r="B10" s="50" t="s">
        <v>47</v>
      </c>
      <c r="C10" s="85">
        <f>Multi_Family!G32</f>
        <v>0.055836000000000004</v>
      </c>
      <c r="D10" s="86">
        <f>Multi_Family!G34</f>
        <v>0.5816250000000001</v>
      </c>
      <c r="E10" s="85">
        <f>Multi_Family!G35</f>
        <v>0.219208</v>
      </c>
      <c r="F10" s="85">
        <f>Multi_Family!G30</f>
        <v>0.09047500000000001</v>
      </c>
      <c r="G10" s="85">
        <f>Multi_Family!G33</f>
        <v>0.022748</v>
      </c>
      <c r="H10" s="85">
        <f>Multi_Family!G37</f>
        <v>2.184325</v>
      </c>
      <c r="I10" s="85">
        <f>Multi_Family!G31/2</f>
        <v>0.16027</v>
      </c>
      <c r="J10" s="85">
        <f>Multi_Family!G31/2</f>
        <v>0.16027</v>
      </c>
      <c r="K10" s="85">
        <f>Multi_Family!G28</f>
        <v>0.953865</v>
      </c>
      <c r="L10" s="85">
        <f>Multi_Family!G36</f>
        <v>0.741378</v>
      </c>
      <c r="M10" s="47"/>
      <c r="N10" s="108">
        <f t="shared" si="0"/>
        <v>5.170000000000001</v>
      </c>
      <c r="P10" s="52"/>
    </row>
    <row r="11" spans="1:16" ht="12.75">
      <c r="A11" s="49">
        <f t="shared" si="1"/>
        <v>43769</v>
      </c>
      <c r="B11" s="50" t="s">
        <v>48</v>
      </c>
      <c r="C11" s="85">
        <f>Multi_Family!H32</f>
        <v>0.064692</v>
      </c>
      <c r="D11" s="86">
        <f>Multi_Family!H34</f>
        <v>0.673875</v>
      </c>
      <c r="E11" s="85">
        <f>Multi_Family!H35</f>
        <v>0.25397600000000004</v>
      </c>
      <c r="F11" s="85">
        <f>Multi_Family!H30</f>
        <v>0.10482500000000002</v>
      </c>
      <c r="G11" s="85">
        <f>Multi_Family!H33</f>
        <v>0.026356</v>
      </c>
      <c r="H11" s="85">
        <f>Multi_Family!H37</f>
        <v>2.530775</v>
      </c>
      <c r="I11" s="85">
        <f>Multi_Family!H31/2</f>
        <v>0.18569</v>
      </c>
      <c r="J11" s="85">
        <f>Multi_Family!H31/2</f>
        <v>0.18569</v>
      </c>
      <c r="K11" s="85">
        <f>Multi_Family!H28</f>
        <v>1.105155</v>
      </c>
      <c r="L11" s="85">
        <f>Multi_Family!H36</f>
        <v>0.858966</v>
      </c>
      <c r="M11" s="47"/>
      <c r="N11" s="108">
        <f t="shared" si="0"/>
        <v>5.99</v>
      </c>
      <c r="P11" s="52"/>
    </row>
    <row r="12" spans="1:16" ht="12.75">
      <c r="A12" s="49">
        <f t="shared" si="1"/>
        <v>43799</v>
      </c>
      <c r="B12" s="50" t="s">
        <v>49</v>
      </c>
      <c r="C12" s="85">
        <f>Multi_Family!I32</f>
        <v>0.052164</v>
      </c>
      <c r="D12" s="86">
        <f>Multi_Family!I34</f>
        <v>0.543375</v>
      </c>
      <c r="E12" s="85">
        <f>Multi_Family!I35</f>
        <v>0.204792</v>
      </c>
      <c r="F12" s="85">
        <f>Multi_Family!I30</f>
        <v>0.084525</v>
      </c>
      <c r="G12" s="85">
        <f>Multi_Family!I33</f>
        <v>0.021252</v>
      </c>
      <c r="H12" s="85">
        <f>Multi_Family!I37</f>
        <v>2.040675</v>
      </c>
      <c r="I12" s="85">
        <f>Multi_Family!I31/2</f>
        <v>0.14973</v>
      </c>
      <c r="J12" s="85">
        <f>Multi_Family!I31/2</f>
        <v>0.14973</v>
      </c>
      <c r="K12" s="85">
        <f>Multi_Family!I28</f>
        <v>0.891135</v>
      </c>
      <c r="L12" s="85">
        <f>Multi_Family!I36</f>
        <v>0.692622</v>
      </c>
      <c r="M12" s="47"/>
      <c r="N12" s="108">
        <f t="shared" si="0"/>
        <v>4.83</v>
      </c>
      <c r="P12" s="52"/>
    </row>
    <row r="13" spans="1:16" ht="12.75">
      <c r="A13" s="49">
        <f t="shared" si="1"/>
        <v>43830</v>
      </c>
      <c r="B13" s="50" t="s">
        <v>50</v>
      </c>
      <c r="C13" s="85">
        <f>Multi_Family!J32</f>
        <v>0.056484000000000006</v>
      </c>
      <c r="D13" s="86">
        <f>Multi_Family!J34</f>
        <v>0.5883750000000001</v>
      </c>
      <c r="E13" s="85">
        <f>Multi_Family!J35</f>
        <v>0.22175200000000003</v>
      </c>
      <c r="F13" s="85">
        <f>Multi_Family!J30</f>
        <v>0.09152500000000002</v>
      </c>
      <c r="G13" s="85">
        <f>Multi_Family!J33</f>
        <v>0.023012000000000005</v>
      </c>
      <c r="H13" s="85">
        <f>Multi_Family!J37</f>
        <v>2.2096750000000003</v>
      </c>
      <c r="I13" s="85">
        <f>Multi_Family!J31/2</f>
        <v>0.16213000000000002</v>
      </c>
      <c r="J13" s="85">
        <f>Multi_Family!J31/2</f>
        <v>0.16213000000000002</v>
      </c>
      <c r="K13" s="85">
        <f>Multi_Family!J28</f>
        <v>0.9649350000000001</v>
      </c>
      <c r="L13" s="85">
        <f>Multi_Family!J36</f>
        <v>0.749982</v>
      </c>
      <c r="M13" s="47"/>
      <c r="N13" s="108">
        <f t="shared" si="0"/>
        <v>5.23</v>
      </c>
      <c r="P13" s="52"/>
    </row>
    <row r="14" spans="1:16" ht="12.75">
      <c r="A14" s="49">
        <f t="shared" si="1"/>
        <v>43861</v>
      </c>
      <c r="B14" s="50" t="s">
        <v>51</v>
      </c>
      <c r="C14" s="85">
        <f>Multi_Family!K32</f>
        <v>0.070495</v>
      </c>
      <c r="D14" s="86">
        <f>Multi_Family!K34</f>
        <v>0.451781</v>
      </c>
      <c r="E14" s="85">
        <f>Multi_Family!K35</f>
        <v>0.21025899999999997</v>
      </c>
      <c r="F14" s="85">
        <f>Multi_Family!K30</f>
        <v>0.10972699999999999</v>
      </c>
      <c r="G14" s="85">
        <f>Multi_Family!K33</f>
        <v>0.021455</v>
      </c>
      <c r="H14" s="85">
        <f>Multi_Family!K37</f>
        <v>2.408477</v>
      </c>
      <c r="I14" s="85">
        <f>Multi_Family!K31/2</f>
        <v>0.18298050000000002</v>
      </c>
      <c r="J14" s="85">
        <f>Multi_Family!K31/2</f>
        <v>0.18298050000000002</v>
      </c>
      <c r="K14" s="85">
        <f>Multi_Family!K28</f>
        <v>1.340631</v>
      </c>
      <c r="L14" s="85">
        <f>Multi_Family!K36</f>
        <v>1.151214</v>
      </c>
      <c r="M14" s="47"/>
      <c r="N14" s="108">
        <f t="shared" si="0"/>
        <v>6.130000000000001</v>
      </c>
      <c r="P14" s="52"/>
    </row>
    <row r="15" spans="1:16" ht="12.75">
      <c r="A15" s="49">
        <f t="shared" si="1"/>
        <v>43890</v>
      </c>
      <c r="B15" s="50" t="s">
        <v>52</v>
      </c>
      <c r="C15" s="85">
        <f>Multi_Family!L32</f>
        <v>0.049335</v>
      </c>
      <c r="D15" s="86">
        <f>Multi_Family!L34</f>
        <v>0.316173</v>
      </c>
      <c r="E15" s="85">
        <f>Multi_Family!L35</f>
        <v>0.147147</v>
      </c>
      <c r="F15" s="85">
        <f>Multi_Family!L30</f>
        <v>0.076791</v>
      </c>
      <c r="G15" s="85">
        <f>Multi_Family!L33</f>
        <v>0.015015</v>
      </c>
      <c r="H15" s="85">
        <f>Multi_Family!L37</f>
        <v>1.6855410000000002</v>
      </c>
      <c r="I15" s="85">
        <f>Multi_Family!L31/2</f>
        <v>0.12805650000000002</v>
      </c>
      <c r="J15" s="85">
        <f>Multi_Family!L31/2</f>
        <v>0.12805650000000002</v>
      </c>
      <c r="K15" s="85">
        <f>Multi_Family!L28</f>
        <v>0.938223</v>
      </c>
      <c r="L15" s="85">
        <f>Multi_Family!L36</f>
        <v>0.805662</v>
      </c>
      <c r="M15" s="47"/>
      <c r="N15" s="108">
        <f t="shared" si="0"/>
        <v>4.29</v>
      </c>
      <c r="P15" s="52"/>
    </row>
    <row r="16" spans="1:16" ht="12.75">
      <c r="A16" s="49">
        <f t="shared" si="1"/>
        <v>43921</v>
      </c>
      <c r="B16" s="50" t="s">
        <v>53</v>
      </c>
      <c r="C16" s="85">
        <f>Multi_Family!M32</f>
        <v>0.061755</v>
      </c>
      <c r="D16" s="86">
        <f>Multi_Family!M34</f>
        <v>0.39576900000000004</v>
      </c>
      <c r="E16" s="85">
        <f>Multi_Family!M35</f>
        <v>0.184191</v>
      </c>
      <c r="F16" s="85">
        <f>Multi_Family!M30</f>
        <v>0.096123</v>
      </c>
      <c r="G16" s="85">
        <f>Multi_Family!M33</f>
        <v>0.018795</v>
      </c>
      <c r="H16" s="85">
        <f>Multi_Family!M37</f>
        <v>2.1098730000000003</v>
      </c>
      <c r="I16" s="85">
        <f>Multi_Family!M31/2</f>
        <v>0.1602945</v>
      </c>
      <c r="J16" s="85">
        <f>Multi_Family!M31/2</f>
        <v>0.1602945</v>
      </c>
      <c r="K16" s="85">
        <f>Multi_Family!M28</f>
        <v>1.174419</v>
      </c>
      <c r="L16" s="85">
        <f>Multi_Family!M36</f>
        <v>1.008486</v>
      </c>
      <c r="M16" s="47"/>
      <c r="N16" s="108">
        <f t="shared" si="0"/>
        <v>5.370000000000001</v>
      </c>
      <c r="P16" s="52"/>
    </row>
    <row r="17" spans="1:16" ht="12.75">
      <c r="A17" s="49">
        <f t="shared" si="1"/>
        <v>43951</v>
      </c>
      <c r="B17" s="50" t="s">
        <v>54</v>
      </c>
      <c r="C17" s="85">
        <f>Multi_Family!N32</f>
        <v>0.048069999999999995</v>
      </c>
      <c r="D17" s="86">
        <f>Multi_Family!N34</f>
        <v>0.308066</v>
      </c>
      <c r="E17" s="85">
        <f>Multi_Family!N35</f>
        <v>0.14337399999999997</v>
      </c>
      <c r="F17" s="85">
        <f>Multi_Family!N30</f>
        <v>0.07482199999999999</v>
      </c>
      <c r="G17" s="85">
        <f>Multi_Family!N33</f>
        <v>0.014629999999999999</v>
      </c>
      <c r="H17" s="85">
        <f>Multi_Family!N37</f>
        <v>1.642322</v>
      </c>
      <c r="I17" s="85">
        <f>Multi_Family!N31/2</f>
        <v>0.124773</v>
      </c>
      <c r="J17" s="85">
        <f>Multi_Family!N31/2</f>
        <v>0.124773</v>
      </c>
      <c r="K17" s="85">
        <f>Multi_Family!N28</f>
        <v>0.9141659999999999</v>
      </c>
      <c r="L17" s="85">
        <f>Multi_Family!N36</f>
        <v>0.7850039999999999</v>
      </c>
      <c r="M17" s="47"/>
      <c r="N17" s="108">
        <f t="shared" si="0"/>
        <v>4.18</v>
      </c>
      <c r="P17" s="52"/>
    </row>
    <row r="18" spans="1:15" ht="12.75">
      <c r="A18" s="53" t="s">
        <v>22</v>
      </c>
      <c r="B18" s="50"/>
      <c r="C18" s="119">
        <f aca="true" t="shared" si="2" ref="C18:L18">SUM(C6:C17)</f>
        <v>0.6813109999999999</v>
      </c>
      <c r="D18" s="119">
        <f t="shared" si="2"/>
        <v>6.176539</v>
      </c>
      <c r="E18" s="119">
        <f t="shared" si="2"/>
        <v>2.4581390000000005</v>
      </c>
      <c r="F18" s="119">
        <f t="shared" si="2"/>
        <v>1.089313</v>
      </c>
      <c r="G18" s="119">
        <f t="shared" si="2"/>
        <v>0.253903</v>
      </c>
      <c r="H18" s="119">
        <f t="shared" si="2"/>
        <v>25.515163</v>
      </c>
      <c r="I18" s="119">
        <f t="shared" si="2"/>
        <v>1.8925245000000002</v>
      </c>
      <c r="J18" s="119">
        <f t="shared" si="2"/>
        <v>1.8925245000000002</v>
      </c>
      <c r="K18" s="119">
        <f t="shared" si="2"/>
        <v>12.083229000000001</v>
      </c>
      <c r="L18" s="119">
        <f t="shared" si="2"/>
        <v>9.747354</v>
      </c>
      <c r="M18" s="47"/>
      <c r="N18" s="120">
        <f>SUM(N6:N17)</f>
        <v>61.79000000000001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2" max="2" width="2.28125" style="112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"&amp;TEXT(A15,"mmmm yyyy")&amp;")"</f>
        <v>Commodity Pricing (May 2019 through April 2020)</v>
      </c>
      <c r="B1" s="109"/>
    </row>
    <row r="2" spans="1:2" ht="12.75">
      <c r="A2" s="43" t="s">
        <v>56</v>
      </c>
      <c r="B2" s="110"/>
    </row>
    <row r="3" spans="2:13" ht="12.75">
      <c r="B3" s="111"/>
      <c r="C3" s="45" t="s">
        <v>12</v>
      </c>
      <c r="D3" s="45" t="s">
        <v>13</v>
      </c>
      <c r="E3" s="45" t="s">
        <v>70</v>
      </c>
      <c r="F3" s="45" t="s">
        <v>29</v>
      </c>
      <c r="G3" s="45" t="s">
        <v>71</v>
      </c>
      <c r="H3" s="45" t="s">
        <v>15</v>
      </c>
      <c r="I3" s="45" t="s">
        <v>16</v>
      </c>
      <c r="J3" s="45" t="s">
        <v>17</v>
      </c>
      <c r="K3" s="45" t="s">
        <v>18</v>
      </c>
      <c r="L3" s="45" t="s">
        <v>19</v>
      </c>
      <c r="M3" s="45"/>
    </row>
    <row r="4" spans="1:13" ht="15.75" customHeight="1">
      <c r="A4" s="107">
        <f>Multi_Family!$C$6</f>
        <v>43586</v>
      </c>
      <c r="B4" s="111" t="s">
        <v>43</v>
      </c>
      <c r="C4" s="121">
        <f>Multi_Family!C74</f>
        <v>822</v>
      </c>
      <c r="D4" s="121">
        <f>Multi_Family!C76</f>
        <v>-5.29</v>
      </c>
      <c r="E4" s="121">
        <f>Multi_Family!C77</f>
        <v>0</v>
      </c>
      <c r="F4" s="121">
        <f>Multi_Family!C72</f>
        <v>78.888</v>
      </c>
      <c r="G4" s="140">
        <f>Multi_Family!C75</f>
        <v>45.36000000000001</v>
      </c>
      <c r="H4" s="121">
        <f>Multi_Family!C79</f>
        <v>14.392</v>
      </c>
      <c r="I4" s="121">
        <f>Multi_Family!C73</f>
        <v>91.13914838709675</v>
      </c>
      <c r="J4" s="121">
        <f>Multi_Family!C73</f>
        <v>91.13914838709675</v>
      </c>
      <c r="K4" s="121">
        <f>Multi_Family!C70</f>
        <v>46.536</v>
      </c>
      <c r="L4" s="121">
        <f>Multi_Family!C78</f>
        <v>-77.29</v>
      </c>
      <c r="M4" s="128"/>
    </row>
    <row r="5" spans="1:13" ht="15.75" customHeight="1">
      <c r="A5" s="49">
        <f aca="true" t="shared" si="0" ref="A5:A15">EOMONTH(A4,1)</f>
        <v>43646</v>
      </c>
      <c r="B5" s="111" t="s">
        <v>44</v>
      </c>
      <c r="C5" s="121">
        <f>Multi_Family!D74</f>
        <v>800.0640000000001</v>
      </c>
      <c r="D5" s="121">
        <f>Multi_Family!D76</f>
        <v>-6.25</v>
      </c>
      <c r="E5" s="121">
        <f>Multi_Family!D77</f>
        <v>0</v>
      </c>
      <c r="F5" s="121">
        <f>Multi_Family!D72</f>
        <v>79.38400000000001</v>
      </c>
      <c r="G5" s="140">
        <f>Multi_Family!D75</f>
        <v>45.70400000000001</v>
      </c>
      <c r="H5" s="121">
        <f>Multi_Family!D79</f>
        <v>13.991999999999999</v>
      </c>
      <c r="I5" s="121">
        <f>Multi_Family!D73</f>
        <v>87.11070967741934</v>
      </c>
      <c r="J5" s="121">
        <f>Multi_Family!D73</f>
        <v>87.11070967741934</v>
      </c>
      <c r="K5" s="121">
        <f>Multi_Family!D70</f>
        <v>46.432</v>
      </c>
      <c r="L5" s="121">
        <f>Multi_Family!D78</f>
        <v>-77.29</v>
      </c>
      <c r="M5" s="128"/>
    </row>
    <row r="6" spans="1:13" ht="15.75" customHeight="1">
      <c r="A6" s="49">
        <f t="shared" si="0"/>
        <v>43677</v>
      </c>
      <c r="B6" s="112" t="s">
        <v>45</v>
      </c>
      <c r="C6" s="121">
        <f>Multi_Family!E74</f>
        <v>724.9520000000001</v>
      </c>
      <c r="D6" s="121">
        <f>Multi_Family!E76</f>
        <v>1.2000000000000002</v>
      </c>
      <c r="E6" s="121">
        <f>Multi_Family!E77</f>
        <v>0</v>
      </c>
      <c r="F6" s="121">
        <f>Multi_Family!E72</f>
        <v>77.31200000000001</v>
      </c>
      <c r="G6" s="140">
        <f>Multi_Family!E75</f>
        <v>45.712</v>
      </c>
      <c r="H6" s="121">
        <f>Multi_Family!E79</f>
        <v>10.752</v>
      </c>
      <c r="I6" s="121">
        <f>Multi_Family!E73</f>
        <v>73.3967483870968</v>
      </c>
      <c r="J6" s="121">
        <f>Multi_Family!E73</f>
        <v>73.3967483870968</v>
      </c>
      <c r="K6" s="121">
        <f>Multi_Family!E70</f>
        <v>46.488</v>
      </c>
      <c r="L6" s="121">
        <f>Multi_Family!E78</f>
        <v>-77.29</v>
      </c>
      <c r="M6" s="128"/>
    </row>
    <row r="7" spans="1:13" ht="15.75" customHeight="1">
      <c r="A7" s="49">
        <f t="shared" si="0"/>
        <v>43708</v>
      </c>
      <c r="B7" s="112" t="s">
        <v>46</v>
      </c>
      <c r="C7" s="121">
        <f>Multi_Family!F74</f>
        <v>680.4000000000001</v>
      </c>
      <c r="D7" s="121">
        <f>Multi_Family!F76</f>
        <v>2.7520000000000002</v>
      </c>
      <c r="E7" s="121">
        <f>Multi_Family!F77</f>
        <v>0</v>
      </c>
      <c r="F7" s="121">
        <f>Multi_Family!F72</f>
        <v>79.23200000000001</v>
      </c>
      <c r="G7" s="140">
        <f>Multi_Family!F75</f>
        <v>49.304</v>
      </c>
      <c r="H7" s="121">
        <f>Multi_Family!F79</f>
        <v>4.112</v>
      </c>
      <c r="I7" s="121">
        <f>Multi_Family!F73</f>
        <v>44.62366451612903</v>
      </c>
      <c r="J7" s="121">
        <f>Multi_Family!F73</f>
        <v>44.62366451612903</v>
      </c>
      <c r="K7" s="121">
        <f>Multi_Family!F70</f>
        <v>49.024</v>
      </c>
      <c r="L7" s="121">
        <f>Multi_Family!F78</f>
        <v>-77.29</v>
      </c>
      <c r="M7" s="128"/>
    </row>
    <row r="8" spans="1:13" ht="15.75" customHeight="1">
      <c r="A8" s="49">
        <f t="shared" si="0"/>
        <v>43738</v>
      </c>
      <c r="B8" s="112" t="s">
        <v>47</v>
      </c>
      <c r="C8" s="121">
        <f>Multi_Family!G74</f>
        <v>663.0160000000001</v>
      </c>
      <c r="D8" s="121">
        <f>Multi_Family!G76</f>
        <v>6.048</v>
      </c>
      <c r="E8" s="121">
        <f>Multi_Family!G77</f>
        <v>0</v>
      </c>
      <c r="F8" s="121">
        <f>Multi_Family!G72</f>
        <v>72.712</v>
      </c>
      <c r="G8" s="140">
        <f>Multi_Family!G75</f>
        <v>44.288000000000004</v>
      </c>
      <c r="H8" s="121">
        <f>Multi_Family!G79</f>
        <v>-0.75</v>
      </c>
      <c r="I8" s="121">
        <f>Multi_Family!G73</f>
        <v>50.163174193548386</v>
      </c>
      <c r="J8" s="121">
        <f>Multi_Family!G73</f>
        <v>50.163174193548386</v>
      </c>
      <c r="K8" s="121">
        <f>Multi_Family!G70</f>
        <v>42.736000000000004</v>
      </c>
      <c r="L8" s="121">
        <f>Multi_Family!G78</f>
        <v>-77.29</v>
      </c>
      <c r="M8" s="128"/>
    </row>
    <row r="9" spans="1:13" ht="15.75" customHeight="1">
      <c r="A9" s="49">
        <f t="shared" si="0"/>
        <v>43769</v>
      </c>
      <c r="B9" s="112" t="s">
        <v>48</v>
      </c>
      <c r="C9" s="121">
        <f>Multi_Family!H74</f>
        <v>718.5920000000001</v>
      </c>
      <c r="D9" s="121">
        <f>Multi_Family!H76</f>
        <v>6.248</v>
      </c>
      <c r="E9" s="121">
        <f>Multi_Family!H77</f>
        <v>0</v>
      </c>
      <c r="F9" s="121">
        <f>Multi_Family!H72</f>
        <v>63.903999999999996</v>
      </c>
      <c r="G9" s="140">
        <f>Multi_Family!H75</f>
        <v>40.584</v>
      </c>
      <c r="H9" s="121">
        <f>Multi_Family!H79</f>
        <v>-14.77</v>
      </c>
      <c r="I9" s="121">
        <f>Multi_Family!H73</f>
        <v>32.19341935483871</v>
      </c>
      <c r="J9" s="121">
        <f>Multi_Family!H73</f>
        <v>32.19341935483871</v>
      </c>
      <c r="K9" s="121">
        <f>Multi_Family!H70</f>
        <v>39.6</v>
      </c>
      <c r="L9" s="121">
        <f>Multi_Family!H78</f>
        <v>-81.32</v>
      </c>
      <c r="M9" s="128"/>
    </row>
    <row r="10" spans="1:13" ht="15.75" customHeight="1">
      <c r="A10" s="49">
        <f t="shared" si="0"/>
        <v>43799</v>
      </c>
      <c r="B10" s="112" t="s">
        <v>49</v>
      </c>
      <c r="C10" s="121">
        <f>Multi_Family!I74</f>
        <v>677.2640000000001</v>
      </c>
      <c r="D10" s="121">
        <f>Multi_Family!I76</f>
        <v>3.232</v>
      </c>
      <c r="E10" s="121">
        <f>Multi_Family!G77</f>
        <v>0</v>
      </c>
      <c r="F10" s="121">
        <f>Multi_Family!I72</f>
        <v>75.664</v>
      </c>
      <c r="G10" s="140">
        <f>Multi_Family!I75</f>
        <v>49.6</v>
      </c>
      <c r="H10" s="121">
        <f>Multi_Family!I79</f>
        <v>3.9520000000000004</v>
      </c>
      <c r="I10" s="121">
        <f>Multi_Family!I73</f>
        <v>43.9729161290323</v>
      </c>
      <c r="J10" s="121">
        <f>Multi_Family!I73</f>
        <v>43.9729161290323</v>
      </c>
      <c r="K10" s="121">
        <f>Multi_Family!I70</f>
        <v>39.44</v>
      </c>
      <c r="L10" s="121">
        <f>Multi_Family!I78</f>
        <v>-81.32</v>
      </c>
      <c r="M10" s="128"/>
    </row>
    <row r="11" spans="1:13" ht="15.75" customHeight="1">
      <c r="A11" s="49">
        <f t="shared" si="0"/>
        <v>43830</v>
      </c>
      <c r="B11" s="112" t="s">
        <v>50</v>
      </c>
      <c r="C11" s="121">
        <f>Multi_Family!J74</f>
        <v>695.32</v>
      </c>
      <c r="D11" s="121">
        <f>Multi_Family!J76</f>
        <v>5.152000000000001</v>
      </c>
      <c r="E11" s="121">
        <f>Multi_Family!J77</f>
        <v>0</v>
      </c>
      <c r="F11" s="121">
        <f>Multi_Family!J72</f>
        <v>84.928</v>
      </c>
      <c r="G11" s="140">
        <f>Multi_Family!J75</f>
        <v>57.34400000000001</v>
      </c>
      <c r="H11" s="121">
        <f>Multi_Family!J79</f>
        <v>4.432</v>
      </c>
      <c r="I11" s="121">
        <f>Multi_Family!J73</f>
        <v>67.07628387096774</v>
      </c>
      <c r="J11" s="121">
        <f>Multi_Family!J73</f>
        <v>67.07628387096774</v>
      </c>
      <c r="K11" s="121">
        <f>Multi_Family!J70</f>
        <v>33.808</v>
      </c>
      <c r="L11" s="121">
        <f>Multi_Family!J78</f>
        <v>-81.32</v>
      </c>
      <c r="M11" s="128"/>
    </row>
    <row r="12" spans="1:13" ht="15.75" customHeight="1">
      <c r="A12" s="49">
        <f t="shared" si="0"/>
        <v>43861</v>
      </c>
      <c r="B12" s="112" t="s">
        <v>51</v>
      </c>
      <c r="C12" s="121">
        <f>Multi_Family!K74</f>
        <v>687.224</v>
      </c>
      <c r="D12" s="121">
        <f>Multi_Family!K76</f>
        <v>6.008</v>
      </c>
      <c r="E12" s="121">
        <f>Multi_Family!K77</f>
        <v>0</v>
      </c>
      <c r="F12" s="121">
        <f>Multi_Family!K72</f>
        <v>100.072</v>
      </c>
      <c r="G12" s="140">
        <f>Multi_Family!K75</f>
        <v>67.84</v>
      </c>
      <c r="H12" s="121">
        <f>Multi_Family!K79</f>
        <v>5.832000000000001</v>
      </c>
      <c r="I12" s="121">
        <f>Multi_Family!K73</f>
        <v>104.12982914572862</v>
      </c>
      <c r="J12" s="121">
        <f>Multi_Family!K73</f>
        <v>104.12982914572862</v>
      </c>
      <c r="K12" s="121">
        <f>Multi_Family!K70</f>
        <v>49.104000000000006</v>
      </c>
      <c r="L12" s="121">
        <f>Multi_Family!K78</f>
        <v>-154.67000000000002</v>
      </c>
      <c r="M12" s="128"/>
    </row>
    <row r="13" spans="1:13" ht="15.75" customHeight="1">
      <c r="A13" s="49">
        <f t="shared" si="0"/>
        <v>43890</v>
      </c>
      <c r="B13" s="112" t="s">
        <v>52</v>
      </c>
      <c r="C13" s="121">
        <f>Multi_Family!L74</f>
        <v>654.648</v>
      </c>
      <c r="D13" s="121">
        <f>Multi_Family!L76</f>
        <v>2.408</v>
      </c>
      <c r="E13" s="121">
        <f>Multi_Family!L77</f>
        <v>0</v>
      </c>
      <c r="F13" s="121">
        <f>Multi_Family!L72</f>
        <v>88.11200000000001</v>
      </c>
      <c r="G13" s="140">
        <f>Multi_Family!L75</f>
        <v>60.03200000000001</v>
      </c>
      <c r="H13" s="121">
        <f>Multi_Family!L79</f>
        <v>9.952</v>
      </c>
      <c r="I13" s="121">
        <f>Multi_Family!L73</f>
        <v>111.3465527638191</v>
      </c>
      <c r="J13" s="121">
        <f>Multi_Family!L73</f>
        <v>111.3465527638191</v>
      </c>
      <c r="K13" s="121">
        <f>Multi_Family!L70</f>
        <v>61.256</v>
      </c>
      <c r="L13" s="121">
        <f>Multi_Family!L78</f>
        <v>-149.94</v>
      </c>
      <c r="M13" s="128"/>
    </row>
    <row r="14" spans="1:13" ht="15.75" customHeight="1">
      <c r="A14" s="49">
        <f t="shared" si="0"/>
        <v>43921</v>
      </c>
      <c r="B14" s="112" t="s">
        <v>53</v>
      </c>
      <c r="C14" s="121">
        <f>Multi_Family!M74</f>
        <v>700.696</v>
      </c>
      <c r="D14" s="121">
        <f>Multi_Family!M76</f>
        <v>6.456</v>
      </c>
      <c r="E14" s="121">
        <f>Multi_Family!M77</f>
        <v>0</v>
      </c>
      <c r="F14" s="121">
        <f>Multi_Family!M72</f>
        <v>88.464</v>
      </c>
      <c r="G14" s="140">
        <f>Multi_Family!M75</f>
        <v>61.00800000000001</v>
      </c>
      <c r="H14" s="121">
        <f>Multi_Family!M79</f>
        <v>11.136000000000001</v>
      </c>
      <c r="I14" s="121">
        <f>Multi_Family!M73</f>
        <v>86.39794974874371</v>
      </c>
      <c r="J14" s="121">
        <f>Multi_Family!M73</f>
        <v>86.39794974874371</v>
      </c>
      <c r="K14" s="121">
        <f>Multi_Family!M70</f>
        <v>77.816</v>
      </c>
      <c r="L14" s="121">
        <f>Multi_Family!M78</f>
        <v>-140.9</v>
      </c>
      <c r="M14" s="128"/>
    </row>
    <row r="15" spans="1:13" ht="15.75" customHeight="1">
      <c r="A15" s="49">
        <f t="shared" si="0"/>
        <v>43951</v>
      </c>
      <c r="B15" s="112" t="s">
        <v>54</v>
      </c>
      <c r="C15" s="121">
        <f>Multi_Family!N74</f>
        <v>603.48</v>
      </c>
      <c r="D15" s="121">
        <f>Multi_Family!N76</f>
        <v>3.816</v>
      </c>
      <c r="E15" s="121">
        <f>Multi_Family!N77</f>
        <v>0</v>
      </c>
      <c r="F15" s="121">
        <f>Multi_Family!N72</f>
        <v>58.96000000000001</v>
      </c>
      <c r="G15" s="140">
        <f>Multi_Family!N75</f>
        <v>38.128</v>
      </c>
      <c r="H15" s="121">
        <f>Multi_Family!N79</f>
        <v>2.736</v>
      </c>
      <c r="I15" s="121">
        <f>Multi_Family!N73</f>
        <v>69.09793634840871</v>
      </c>
      <c r="J15" s="121">
        <f>Multi_Family!N73</f>
        <v>69.09793634840871</v>
      </c>
      <c r="K15" s="121">
        <f>Multi_Family!N70</f>
        <v>87.36000000000001</v>
      </c>
      <c r="L15" s="121">
        <f>Multi_Family!N78</f>
        <v>-137.41</v>
      </c>
      <c r="M15" s="128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21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37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49" sqref="I49"/>
    </sheetView>
  </sheetViews>
  <sheetFormatPr defaultColWidth="9.140625" defaultRowHeight="12.75"/>
  <cols>
    <col min="1" max="1" width="6.00390625" style="50" customWidth="1"/>
    <col min="2" max="2" width="17.8515625" style="50" customWidth="1"/>
    <col min="3" max="4" width="9.8515625" style="50" customWidth="1"/>
    <col min="5" max="5" width="11.28125" style="50" customWidth="1"/>
    <col min="6" max="7" width="9.57421875" style="50" customWidth="1"/>
    <col min="8" max="8" width="9.8515625" style="50" customWidth="1"/>
    <col min="9" max="9" width="10.421875" style="50" customWidth="1"/>
    <col min="10" max="10" width="10.7109375" style="50" customWidth="1"/>
    <col min="11" max="14" width="9.140625" style="50" customWidth="1"/>
    <col min="15" max="15" width="10.7109375" style="50" bestFit="1" customWidth="1"/>
    <col min="16" max="16" width="9.140625" style="50" customWidth="1"/>
    <col min="17" max="18" width="9.7109375" style="50" bestFit="1" customWidth="1"/>
    <col min="19" max="16384" width="9.140625" style="50" customWidth="1"/>
  </cols>
  <sheetData>
    <row r="1" ht="11.25"/>
    <row r="2" spans="2:3" ht="11.25">
      <c r="B2" s="125" t="str">
        <f>+'WUTC_AW of Kent (SeaTac)_MF'!A1</f>
        <v>Rabanco Ltd (dba Allied Waste of Seatac)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43586</v>
      </c>
      <c r="D6" s="68">
        <f aca="true" t="shared" si="0" ref="D6:N6">EOMONTH(C6,1)</f>
        <v>43646</v>
      </c>
      <c r="E6" s="68">
        <f t="shared" si="0"/>
        <v>43677</v>
      </c>
      <c r="F6" s="68">
        <f t="shared" si="0"/>
        <v>43708</v>
      </c>
      <c r="G6" s="68">
        <f t="shared" si="0"/>
        <v>43738</v>
      </c>
      <c r="H6" s="68">
        <f t="shared" si="0"/>
        <v>43769</v>
      </c>
      <c r="I6" s="68">
        <f t="shared" si="0"/>
        <v>43799</v>
      </c>
      <c r="J6" s="68">
        <f t="shared" si="0"/>
        <v>43830</v>
      </c>
      <c r="K6" s="68">
        <f t="shared" si="0"/>
        <v>43861</v>
      </c>
      <c r="L6" s="68">
        <f t="shared" si="0"/>
        <v>43890</v>
      </c>
      <c r="M6" s="68">
        <f t="shared" si="0"/>
        <v>43921</v>
      </c>
      <c r="N6" s="68">
        <f t="shared" si="0"/>
        <v>43951</v>
      </c>
    </row>
    <row r="7" spans="1:14" s="51" customFormat="1" ht="11.25">
      <c r="A7" s="69" t="s">
        <v>23</v>
      </c>
      <c r="C7" s="104">
        <v>5.51</v>
      </c>
      <c r="D7" s="104">
        <v>5.1</v>
      </c>
      <c r="E7" s="104">
        <v>5.41</v>
      </c>
      <c r="F7" s="104">
        <v>4.58</v>
      </c>
      <c r="G7" s="104">
        <v>5.17</v>
      </c>
      <c r="H7" s="104">
        <v>5.99</v>
      </c>
      <c r="I7" s="104">
        <v>4.83</v>
      </c>
      <c r="J7" s="104">
        <v>5.23</v>
      </c>
      <c r="K7" s="104">
        <v>6.13</v>
      </c>
      <c r="L7" s="104">
        <v>4.29</v>
      </c>
      <c r="M7" s="104">
        <v>5.37</v>
      </c>
      <c r="N7" s="104">
        <v>4.18</v>
      </c>
    </row>
    <row r="8" spans="1:14" ht="11.25">
      <c r="A8" s="50" t="s">
        <v>24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25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26</v>
      </c>
      <c r="C10" s="72">
        <f aca="true" t="shared" si="2" ref="C10:N10">+C7-C9</f>
        <v>5.51</v>
      </c>
      <c r="D10" s="72">
        <f t="shared" si="2"/>
        <v>5.1</v>
      </c>
      <c r="E10" s="72">
        <f t="shared" si="2"/>
        <v>5.41</v>
      </c>
      <c r="F10" s="72">
        <f t="shared" si="2"/>
        <v>4.58</v>
      </c>
      <c r="G10" s="72">
        <f t="shared" si="2"/>
        <v>5.17</v>
      </c>
      <c r="H10" s="72">
        <f t="shared" si="2"/>
        <v>5.99</v>
      </c>
      <c r="I10" s="72">
        <f t="shared" si="2"/>
        <v>4.83</v>
      </c>
      <c r="J10" s="72">
        <f t="shared" si="2"/>
        <v>5.23</v>
      </c>
      <c r="K10" s="72">
        <f t="shared" si="2"/>
        <v>6.13</v>
      </c>
      <c r="L10" s="72">
        <f t="shared" si="2"/>
        <v>4.29</v>
      </c>
      <c r="M10" s="72">
        <f t="shared" si="2"/>
        <v>5.37</v>
      </c>
      <c r="N10" s="72">
        <f t="shared" si="2"/>
        <v>4.18</v>
      </c>
    </row>
    <row r="11" ht="11.25"/>
    <row r="12" ht="11.25">
      <c r="A12" s="64" t="s">
        <v>27</v>
      </c>
    </row>
    <row r="13" spans="2:14" s="73" customFormat="1" ht="11.25">
      <c r="B13" s="73" t="s">
        <v>14</v>
      </c>
      <c r="C13" s="105">
        <v>0</v>
      </c>
      <c r="D13" s="105">
        <f>+C13</f>
        <v>0</v>
      </c>
      <c r="E13" s="105">
        <f aca="true" t="shared" si="3" ref="E13:M13">+D13</f>
        <v>0</v>
      </c>
      <c r="F13" s="105">
        <f t="shared" si="3"/>
        <v>0</v>
      </c>
      <c r="G13" s="105">
        <f t="shared" si="3"/>
        <v>0</v>
      </c>
      <c r="H13" s="105">
        <f t="shared" si="3"/>
        <v>0</v>
      </c>
      <c r="I13" s="105">
        <f t="shared" si="3"/>
        <v>0</v>
      </c>
      <c r="J13" s="105">
        <f t="shared" si="3"/>
        <v>0</v>
      </c>
      <c r="K13" s="105">
        <v>0</v>
      </c>
      <c r="L13" s="105">
        <f t="shared" si="3"/>
        <v>0</v>
      </c>
      <c r="M13" s="105">
        <f t="shared" si="3"/>
        <v>0</v>
      </c>
      <c r="N13" s="105">
        <v>0</v>
      </c>
    </row>
    <row r="14" spans="2:14" s="73" customFormat="1" ht="11.25">
      <c r="B14" s="73" t="s">
        <v>18</v>
      </c>
      <c r="C14" s="105">
        <v>0.1845</v>
      </c>
      <c r="D14" s="105">
        <f aca="true" t="shared" si="4" ref="D14:N23">+C14</f>
        <v>0.1845</v>
      </c>
      <c r="E14" s="105">
        <f t="shared" si="4"/>
        <v>0.1845</v>
      </c>
      <c r="F14" s="105">
        <f t="shared" si="4"/>
        <v>0.1845</v>
      </c>
      <c r="G14" s="105">
        <f t="shared" si="4"/>
        <v>0.1845</v>
      </c>
      <c r="H14" s="105">
        <f t="shared" si="4"/>
        <v>0.1845</v>
      </c>
      <c r="I14" s="105">
        <f t="shared" si="4"/>
        <v>0.1845</v>
      </c>
      <c r="J14" s="105">
        <f t="shared" si="4"/>
        <v>0.1845</v>
      </c>
      <c r="K14" s="105">
        <v>0.2187</v>
      </c>
      <c r="L14" s="105">
        <f t="shared" si="4"/>
        <v>0.2187</v>
      </c>
      <c r="M14" s="105">
        <f t="shared" si="4"/>
        <v>0.2187</v>
      </c>
      <c r="N14" s="105">
        <f t="shared" si="4"/>
        <v>0.2187</v>
      </c>
    </row>
    <row r="15" spans="2:14" s="73" customFormat="1" ht="11.25">
      <c r="B15" s="73" t="s">
        <v>28</v>
      </c>
      <c r="C15" s="105">
        <v>0</v>
      </c>
      <c r="D15" s="105">
        <f t="shared" si="4"/>
        <v>0</v>
      </c>
      <c r="E15" s="105">
        <f t="shared" si="4"/>
        <v>0</v>
      </c>
      <c r="F15" s="105">
        <f t="shared" si="4"/>
        <v>0</v>
      </c>
      <c r="G15" s="105">
        <f t="shared" si="4"/>
        <v>0</v>
      </c>
      <c r="H15" s="105">
        <f t="shared" si="4"/>
        <v>0</v>
      </c>
      <c r="I15" s="105">
        <f t="shared" si="4"/>
        <v>0</v>
      </c>
      <c r="J15" s="105">
        <f t="shared" si="4"/>
        <v>0</v>
      </c>
      <c r="K15" s="105">
        <v>0</v>
      </c>
      <c r="L15" s="105">
        <f t="shared" si="4"/>
        <v>0</v>
      </c>
      <c r="M15" s="105">
        <f t="shared" si="4"/>
        <v>0</v>
      </c>
      <c r="N15" s="105">
        <f t="shared" si="4"/>
        <v>0</v>
      </c>
    </row>
    <row r="16" spans="2:14" s="73" customFormat="1" ht="11.25">
      <c r="B16" s="73" t="s">
        <v>29</v>
      </c>
      <c r="C16" s="105">
        <v>0.0175</v>
      </c>
      <c r="D16" s="105">
        <f t="shared" si="4"/>
        <v>0.0175</v>
      </c>
      <c r="E16" s="105">
        <f t="shared" si="4"/>
        <v>0.0175</v>
      </c>
      <c r="F16" s="105">
        <f t="shared" si="4"/>
        <v>0.0175</v>
      </c>
      <c r="G16" s="105">
        <f t="shared" si="4"/>
        <v>0.0175</v>
      </c>
      <c r="H16" s="105">
        <f t="shared" si="4"/>
        <v>0.0175</v>
      </c>
      <c r="I16" s="105">
        <f t="shared" si="4"/>
        <v>0.0175</v>
      </c>
      <c r="J16" s="105">
        <f t="shared" si="4"/>
        <v>0.0175</v>
      </c>
      <c r="K16" s="105">
        <v>0.0179</v>
      </c>
      <c r="L16" s="105">
        <f t="shared" si="4"/>
        <v>0.0179</v>
      </c>
      <c r="M16" s="105">
        <f t="shared" si="4"/>
        <v>0.0179</v>
      </c>
      <c r="N16" s="105">
        <f t="shared" si="4"/>
        <v>0.0179</v>
      </c>
    </row>
    <row r="17" spans="2:14" s="73" customFormat="1" ht="9.75">
      <c r="B17" s="73" t="s">
        <v>30</v>
      </c>
      <c r="C17" s="105">
        <v>0.062</v>
      </c>
      <c r="D17" s="105">
        <f t="shared" si="4"/>
        <v>0.062</v>
      </c>
      <c r="E17" s="105">
        <f t="shared" si="4"/>
        <v>0.062</v>
      </c>
      <c r="F17" s="105">
        <f t="shared" si="4"/>
        <v>0.062</v>
      </c>
      <c r="G17" s="105">
        <f t="shared" si="4"/>
        <v>0.062</v>
      </c>
      <c r="H17" s="105">
        <f t="shared" si="4"/>
        <v>0.062</v>
      </c>
      <c r="I17" s="105">
        <f t="shared" si="4"/>
        <v>0.062</v>
      </c>
      <c r="J17" s="105">
        <f t="shared" si="4"/>
        <v>0.062</v>
      </c>
      <c r="K17" s="105">
        <v>0.0597</v>
      </c>
      <c r="L17" s="105">
        <f t="shared" si="4"/>
        <v>0.0597</v>
      </c>
      <c r="M17" s="105">
        <f t="shared" si="4"/>
        <v>0.0597</v>
      </c>
      <c r="N17" s="105">
        <f t="shared" si="4"/>
        <v>0.0597</v>
      </c>
    </row>
    <row r="18" spans="2:14" s="73" customFormat="1" ht="9.75">
      <c r="B18" s="73" t="s">
        <v>31</v>
      </c>
      <c r="C18" s="105">
        <v>0.0108</v>
      </c>
      <c r="D18" s="105">
        <f t="shared" si="4"/>
        <v>0.0108</v>
      </c>
      <c r="E18" s="105">
        <f t="shared" si="4"/>
        <v>0.0108</v>
      </c>
      <c r="F18" s="105">
        <f t="shared" si="4"/>
        <v>0.0108</v>
      </c>
      <c r="G18" s="105">
        <f t="shared" si="4"/>
        <v>0.0108</v>
      </c>
      <c r="H18" s="105">
        <f t="shared" si="4"/>
        <v>0.0108</v>
      </c>
      <c r="I18" s="105">
        <f t="shared" si="4"/>
        <v>0.0108</v>
      </c>
      <c r="J18" s="105">
        <f t="shared" si="4"/>
        <v>0.0108</v>
      </c>
      <c r="K18" s="105">
        <v>0.0115</v>
      </c>
      <c r="L18" s="105">
        <f t="shared" si="4"/>
        <v>0.0115</v>
      </c>
      <c r="M18" s="105">
        <f t="shared" si="4"/>
        <v>0.0115</v>
      </c>
      <c r="N18" s="105">
        <f t="shared" si="4"/>
        <v>0.0115</v>
      </c>
    </row>
    <row r="19" spans="2:14" s="73" customFormat="1" ht="9.75">
      <c r="B19" s="50" t="s">
        <v>32</v>
      </c>
      <c r="C19" s="105">
        <v>0.0044</v>
      </c>
      <c r="D19" s="105">
        <f t="shared" si="4"/>
        <v>0.0044</v>
      </c>
      <c r="E19" s="105">
        <f t="shared" si="4"/>
        <v>0.0044</v>
      </c>
      <c r="F19" s="105">
        <f t="shared" si="4"/>
        <v>0.0044</v>
      </c>
      <c r="G19" s="105">
        <f t="shared" si="4"/>
        <v>0.0044</v>
      </c>
      <c r="H19" s="105">
        <f t="shared" si="4"/>
        <v>0.0044</v>
      </c>
      <c r="I19" s="105">
        <f t="shared" si="4"/>
        <v>0.0044</v>
      </c>
      <c r="J19" s="105">
        <f t="shared" si="4"/>
        <v>0.0044</v>
      </c>
      <c r="K19" s="105">
        <v>0.0035</v>
      </c>
      <c r="L19" s="105">
        <f t="shared" si="4"/>
        <v>0.0035</v>
      </c>
      <c r="M19" s="105">
        <f t="shared" si="4"/>
        <v>0.0035</v>
      </c>
      <c r="N19" s="105">
        <f t="shared" si="4"/>
        <v>0.0035</v>
      </c>
    </row>
    <row r="20" spans="2:14" s="73" customFormat="1" ht="9.75">
      <c r="B20" s="50" t="s">
        <v>13</v>
      </c>
      <c r="C20" s="105">
        <v>0.1125</v>
      </c>
      <c r="D20" s="105">
        <f t="shared" si="4"/>
        <v>0.1125</v>
      </c>
      <c r="E20" s="105">
        <f t="shared" si="4"/>
        <v>0.1125</v>
      </c>
      <c r="F20" s="105">
        <f t="shared" si="4"/>
        <v>0.1125</v>
      </c>
      <c r="G20" s="105">
        <f t="shared" si="4"/>
        <v>0.1125</v>
      </c>
      <c r="H20" s="105">
        <f t="shared" si="4"/>
        <v>0.1125</v>
      </c>
      <c r="I20" s="105">
        <f t="shared" si="4"/>
        <v>0.1125</v>
      </c>
      <c r="J20" s="105">
        <f t="shared" si="4"/>
        <v>0.1125</v>
      </c>
      <c r="K20" s="105">
        <v>0.0737</v>
      </c>
      <c r="L20" s="105">
        <f t="shared" si="4"/>
        <v>0.0737</v>
      </c>
      <c r="M20" s="105">
        <f t="shared" si="4"/>
        <v>0.0737</v>
      </c>
      <c r="N20" s="105">
        <f t="shared" si="4"/>
        <v>0.0737</v>
      </c>
    </row>
    <row r="21" spans="2:14" s="73" customFormat="1" ht="9.75">
      <c r="B21" s="73" t="s">
        <v>33</v>
      </c>
      <c r="C21" s="105">
        <v>0.0424</v>
      </c>
      <c r="D21" s="105">
        <f t="shared" si="4"/>
        <v>0.0424</v>
      </c>
      <c r="E21" s="105">
        <f t="shared" si="4"/>
        <v>0.0424</v>
      </c>
      <c r="F21" s="105">
        <f t="shared" si="4"/>
        <v>0.0424</v>
      </c>
      <c r="G21" s="105">
        <f t="shared" si="4"/>
        <v>0.0424</v>
      </c>
      <c r="H21" s="105">
        <f t="shared" si="4"/>
        <v>0.0424</v>
      </c>
      <c r="I21" s="105">
        <f t="shared" si="4"/>
        <v>0.0424</v>
      </c>
      <c r="J21" s="105">
        <f t="shared" si="4"/>
        <v>0.0424</v>
      </c>
      <c r="K21" s="105">
        <v>0.0343</v>
      </c>
      <c r="L21" s="105">
        <f t="shared" si="4"/>
        <v>0.0343</v>
      </c>
      <c r="M21" s="105">
        <f t="shared" si="4"/>
        <v>0.0343</v>
      </c>
      <c r="N21" s="105">
        <f t="shared" si="4"/>
        <v>0.0343</v>
      </c>
    </row>
    <row r="22" spans="2:14" s="73" customFormat="1" ht="9.75">
      <c r="B22" s="73" t="s">
        <v>34</v>
      </c>
      <c r="C22" s="105">
        <v>0.1434</v>
      </c>
      <c r="D22" s="105">
        <f t="shared" si="4"/>
        <v>0.1434</v>
      </c>
      <c r="E22" s="105">
        <f t="shared" si="4"/>
        <v>0.1434</v>
      </c>
      <c r="F22" s="105">
        <f t="shared" si="4"/>
        <v>0.1434</v>
      </c>
      <c r="G22" s="105">
        <f t="shared" si="4"/>
        <v>0.1434</v>
      </c>
      <c r="H22" s="105">
        <f t="shared" si="4"/>
        <v>0.1434</v>
      </c>
      <c r="I22" s="105">
        <f t="shared" si="4"/>
        <v>0.1434</v>
      </c>
      <c r="J22" s="105">
        <f t="shared" si="4"/>
        <v>0.1434</v>
      </c>
      <c r="K22" s="105">
        <v>0.1878</v>
      </c>
      <c r="L22" s="105">
        <f t="shared" si="4"/>
        <v>0.1878</v>
      </c>
      <c r="M22" s="105">
        <f t="shared" si="4"/>
        <v>0.1878</v>
      </c>
      <c r="N22" s="105">
        <f t="shared" si="4"/>
        <v>0.1878</v>
      </c>
    </row>
    <row r="23" spans="2:14" s="73" customFormat="1" ht="9.75">
      <c r="B23" s="73" t="s">
        <v>35</v>
      </c>
      <c r="C23" s="106">
        <v>0.4225</v>
      </c>
      <c r="D23" s="105">
        <f t="shared" si="4"/>
        <v>0.4225</v>
      </c>
      <c r="E23" s="105">
        <f t="shared" si="4"/>
        <v>0.4225</v>
      </c>
      <c r="F23" s="105">
        <f t="shared" si="4"/>
        <v>0.4225</v>
      </c>
      <c r="G23" s="105">
        <f t="shared" si="4"/>
        <v>0.4225</v>
      </c>
      <c r="H23" s="105">
        <f t="shared" si="4"/>
        <v>0.4225</v>
      </c>
      <c r="I23" s="105">
        <f t="shared" si="4"/>
        <v>0.4225</v>
      </c>
      <c r="J23" s="105">
        <f t="shared" si="4"/>
        <v>0.4225</v>
      </c>
      <c r="K23" s="105">
        <v>0.3929</v>
      </c>
      <c r="L23" s="105">
        <f t="shared" si="4"/>
        <v>0.3929</v>
      </c>
      <c r="M23" s="105">
        <f t="shared" si="4"/>
        <v>0.3929</v>
      </c>
      <c r="N23" s="105">
        <f t="shared" si="4"/>
        <v>0.3929</v>
      </c>
    </row>
    <row r="24" spans="3:14" ht="9.7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9.75">
      <c r="A26" s="64" t="s">
        <v>36</v>
      </c>
    </row>
    <row r="27" spans="2:14" ht="9.75">
      <c r="B27" s="50" t="s">
        <v>14</v>
      </c>
      <c r="C27" s="60">
        <f aca="true" t="shared" si="5" ref="C27:C37">+C$10*C13</f>
        <v>0</v>
      </c>
      <c r="D27" s="60">
        <f aca="true" t="shared" si="6" ref="D27:N27">+D$10*D13</f>
        <v>0</v>
      </c>
      <c r="E27" s="60">
        <f t="shared" si="6"/>
        <v>0</v>
      </c>
      <c r="F27" s="60">
        <f t="shared" si="6"/>
        <v>0</v>
      </c>
      <c r="G27" s="60">
        <f t="shared" si="6"/>
        <v>0</v>
      </c>
      <c r="H27" s="60">
        <f t="shared" si="6"/>
        <v>0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0</v>
      </c>
      <c r="M27" s="60">
        <f t="shared" si="6"/>
        <v>0</v>
      </c>
      <c r="N27" s="60">
        <f t="shared" si="6"/>
        <v>0</v>
      </c>
    </row>
    <row r="28" spans="2:14" ht="9.75">
      <c r="B28" s="50" t="s">
        <v>18</v>
      </c>
      <c r="C28" s="60">
        <f t="shared" si="5"/>
        <v>1.016595</v>
      </c>
      <c r="D28" s="60">
        <f aca="true" t="shared" si="7" ref="D28:N28">+D$10*D14</f>
        <v>0.94095</v>
      </c>
      <c r="E28" s="60">
        <f t="shared" si="7"/>
        <v>0.9981450000000001</v>
      </c>
      <c r="F28" s="60">
        <f t="shared" si="7"/>
        <v>0.84501</v>
      </c>
      <c r="G28" s="60">
        <f t="shared" si="7"/>
        <v>0.953865</v>
      </c>
      <c r="H28" s="60">
        <f t="shared" si="7"/>
        <v>1.105155</v>
      </c>
      <c r="I28" s="60">
        <f t="shared" si="7"/>
        <v>0.891135</v>
      </c>
      <c r="J28" s="60">
        <f t="shared" si="7"/>
        <v>0.9649350000000001</v>
      </c>
      <c r="K28" s="60">
        <f t="shared" si="7"/>
        <v>1.340631</v>
      </c>
      <c r="L28" s="60">
        <f t="shared" si="7"/>
        <v>0.938223</v>
      </c>
      <c r="M28" s="60">
        <f t="shared" si="7"/>
        <v>1.174419</v>
      </c>
      <c r="N28" s="60">
        <f t="shared" si="7"/>
        <v>0.9141659999999999</v>
      </c>
    </row>
    <row r="29" spans="2:14" ht="9.75">
      <c r="B29" s="50" t="s">
        <v>28</v>
      </c>
      <c r="C29" s="60">
        <f t="shared" si="5"/>
        <v>0</v>
      </c>
      <c r="D29" s="60">
        <f aca="true" t="shared" si="8" ref="D29:N29">+D$10*D15</f>
        <v>0</v>
      </c>
      <c r="E29" s="60">
        <f t="shared" si="8"/>
        <v>0</v>
      </c>
      <c r="F29" s="60">
        <f t="shared" si="8"/>
        <v>0</v>
      </c>
      <c r="G29" s="60">
        <f t="shared" si="8"/>
        <v>0</v>
      </c>
      <c r="H29" s="60">
        <f t="shared" si="8"/>
        <v>0</v>
      </c>
      <c r="I29" s="60">
        <f t="shared" si="8"/>
        <v>0</v>
      </c>
      <c r="J29" s="60">
        <f t="shared" si="8"/>
        <v>0</v>
      </c>
      <c r="K29" s="60">
        <f t="shared" si="8"/>
        <v>0</v>
      </c>
      <c r="L29" s="60">
        <f t="shared" si="8"/>
        <v>0</v>
      </c>
      <c r="M29" s="60">
        <f t="shared" si="8"/>
        <v>0</v>
      </c>
      <c r="N29" s="60">
        <f t="shared" si="8"/>
        <v>0</v>
      </c>
    </row>
    <row r="30" spans="2:14" ht="9.75">
      <c r="B30" s="50" t="s">
        <v>29</v>
      </c>
      <c r="C30" s="60">
        <f t="shared" si="5"/>
        <v>0.09642500000000001</v>
      </c>
      <c r="D30" s="60">
        <f aca="true" t="shared" si="9" ref="D30:N30">+D$10*D16</f>
        <v>0.08925</v>
      </c>
      <c r="E30" s="60">
        <f t="shared" si="9"/>
        <v>0.09467500000000001</v>
      </c>
      <c r="F30" s="60">
        <f t="shared" si="9"/>
        <v>0.08015000000000001</v>
      </c>
      <c r="G30" s="60">
        <f t="shared" si="9"/>
        <v>0.09047500000000001</v>
      </c>
      <c r="H30" s="60">
        <f t="shared" si="9"/>
        <v>0.10482500000000002</v>
      </c>
      <c r="I30" s="60">
        <f t="shared" si="9"/>
        <v>0.084525</v>
      </c>
      <c r="J30" s="60">
        <f t="shared" si="9"/>
        <v>0.09152500000000002</v>
      </c>
      <c r="K30" s="60">
        <f t="shared" si="9"/>
        <v>0.10972699999999999</v>
      </c>
      <c r="L30" s="60">
        <f t="shared" si="9"/>
        <v>0.076791</v>
      </c>
      <c r="M30" s="60">
        <f t="shared" si="9"/>
        <v>0.096123</v>
      </c>
      <c r="N30" s="60">
        <f t="shared" si="9"/>
        <v>0.07482199999999999</v>
      </c>
    </row>
    <row r="31" spans="2:14" ht="9.75">
      <c r="B31" s="50" t="s">
        <v>30</v>
      </c>
      <c r="C31" s="60">
        <f t="shared" si="5"/>
        <v>0.34162</v>
      </c>
      <c r="D31" s="60">
        <f aca="true" t="shared" si="10" ref="D31:N31">+D$10*D17</f>
        <v>0.3162</v>
      </c>
      <c r="E31" s="60">
        <f t="shared" si="10"/>
        <v>0.33542</v>
      </c>
      <c r="F31" s="60">
        <f t="shared" si="10"/>
        <v>0.28396</v>
      </c>
      <c r="G31" s="60">
        <f t="shared" si="10"/>
        <v>0.32054</v>
      </c>
      <c r="H31" s="60">
        <f t="shared" si="10"/>
        <v>0.37138</v>
      </c>
      <c r="I31" s="60">
        <f t="shared" si="10"/>
        <v>0.29946</v>
      </c>
      <c r="J31" s="60">
        <f t="shared" si="10"/>
        <v>0.32426000000000005</v>
      </c>
      <c r="K31" s="60">
        <f t="shared" si="10"/>
        <v>0.36596100000000004</v>
      </c>
      <c r="L31" s="60">
        <f t="shared" si="10"/>
        <v>0.25611300000000004</v>
      </c>
      <c r="M31" s="60">
        <f t="shared" si="10"/>
        <v>0.320589</v>
      </c>
      <c r="N31" s="60">
        <f t="shared" si="10"/>
        <v>0.249546</v>
      </c>
    </row>
    <row r="32" spans="2:14" ht="9.75">
      <c r="B32" s="50" t="s">
        <v>31</v>
      </c>
      <c r="C32" s="60">
        <f t="shared" si="5"/>
        <v>0.059508</v>
      </c>
      <c r="D32" s="60">
        <f aca="true" t="shared" si="11" ref="D32:N32">+D$10*D18</f>
        <v>0.05508</v>
      </c>
      <c r="E32" s="60">
        <f t="shared" si="11"/>
        <v>0.05842800000000001</v>
      </c>
      <c r="F32" s="60">
        <f t="shared" si="11"/>
        <v>0.049464</v>
      </c>
      <c r="G32" s="60">
        <f t="shared" si="11"/>
        <v>0.055836000000000004</v>
      </c>
      <c r="H32" s="60">
        <f t="shared" si="11"/>
        <v>0.064692</v>
      </c>
      <c r="I32" s="60">
        <f t="shared" si="11"/>
        <v>0.052164</v>
      </c>
      <c r="J32" s="60">
        <f t="shared" si="11"/>
        <v>0.056484000000000006</v>
      </c>
      <c r="K32" s="60">
        <f t="shared" si="11"/>
        <v>0.070495</v>
      </c>
      <c r="L32" s="60">
        <f t="shared" si="11"/>
        <v>0.049335</v>
      </c>
      <c r="M32" s="60">
        <f t="shared" si="11"/>
        <v>0.061755</v>
      </c>
      <c r="N32" s="60">
        <f t="shared" si="11"/>
        <v>0.048069999999999995</v>
      </c>
    </row>
    <row r="33" spans="2:14" ht="9.75">
      <c r="B33" s="50" t="s">
        <v>32</v>
      </c>
      <c r="C33" s="60">
        <f t="shared" si="5"/>
        <v>0.024244</v>
      </c>
      <c r="D33" s="60">
        <f aca="true" t="shared" si="12" ref="D33:N33">+D$10*D19</f>
        <v>0.022439999999999998</v>
      </c>
      <c r="E33" s="60">
        <f t="shared" si="12"/>
        <v>0.023804000000000002</v>
      </c>
      <c r="F33" s="60">
        <f t="shared" si="12"/>
        <v>0.020152000000000003</v>
      </c>
      <c r="G33" s="60">
        <f t="shared" si="12"/>
        <v>0.022748</v>
      </c>
      <c r="H33" s="60">
        <f t="shared" si="12"/>
        <v>0.026356</v>
      </c>
      <c r="I33" s="60">
        <f t="shared" si="12"/>
        <v>0.021252</v>
      </c>
      <c r="J33" s="60">
        <f t="shared" si="12"/>
        <v>0.023012000000000005</v>
      </c>
      <c r="K33" s="60">
        <f t="shared" si="12"/>
        <v>0.021455</v>
      </c>
      <c r="L33" s="60">
        <f t="shared" si="12"/>
        <v>0.015015</v>
      </c>
      <c r="M33" s="60">
        <f t="shared" si="12"/>
        <v>0.018795</v>
      </c>
      <c r="N33" s="60">
        <f t="shared" si="12"/>
        <v>0.014629999999999999</v>
      </c>
    </row>
    <row r="34" spans="2:14" ht="9.75">
      <c r="B34" s="50" t="s">
        <v>13</v>
      </c>
      <c r="C34" s="60">
        <f t="shared" si="5"/>
        <v>0.619875</v>
      </c>
      <c r="D34" s="60">
        <f aca="true" t="shared" si="13" ref="D34:N34">+D$10*D20</f>
        <v>0.57375</v>
      </c>
      <c r="E34" s="60">
        <f t="shared" si="13"/>
        <v>0.6086250000000001</v>
      </c>
      <c r="F34" s="60">
        <f t="shared" si="13"/>
        <v>0.51525</v>
      </c>
      <c r="G34" s="60">
        <f t="shared" si="13"/>
        <v>0.5816250000000001</v>
      </c>
      <c r="H34" s="60">
        <f t="shared" si="13"/>
        <v>0.673875</v>
      </c>
      <c r="I34" s="60">
        <f t="shared" si="13"/>
        <v>0.543375</v>
      </c>
      <c r="J34" s="60">
        <f t="shared" si="13"/>
        <v>0.5883750000000001</v>
      </c>
      <c r="K34" s="60">
        <f t="shared" si="13"/>
        <v>0.451781</v>
      </c>
      <c r="L34" s="60">
        <f t="shared" si="13"/>
        <v>0.316173</v>
      </c>
      <c r="M34" s="60">
        <f t="shared" si="13"/>
        <v>0.39576900000000004</v>
      </c>
      <c r="N34" s="60">
        <f t="shared" si="13"/>
        <v>0.308066</v>
      </c>
    </row>
    <row r="35" spans="2:14" ht="9.75">
      <c r="B35" s="50" t="s">
        <v>33</v>
      </c>
      <c r="C35" s="60">
        <f t="shared" si="5"/>
        <v>0.233624</v>
      </c>
      <c r="D35" s="60">
        <f aca="true" t="shared" si="14" ref="D35:N35">+D$10*D21</f>
        <v>0.21624</v>
      </c>
      <c r="E35" s="60">
        <f t="shared" si="14"/>
        <v>0.229384</v>
      </c>
      <c r="F35" s="60">
        <f t="shared" si="14"/>
        <v>0.194192</v>
      </c>
      <c r="G35" s="60">
        <f t="shared" si="14"/>
        <v>0.219208</v>
      </c>
      <c r="H35" s="60">
        <f t="shared" si="14"/>
        <v>0.25397600000000004</v>
      </c>
      <c r="I35" s="60">
        <f t="shared" si="14"/>
        <v>0.204792</v>
      </c>
      <c r="J35" s="60">
        <f t="shared" si="14"/>
        <v>0.22175200000000003</v>
      </c>
      <c r="K35" s="60">
        <f t="shared" si="14"/>
        <v>0.21025899999999997</v>
      </c>
      <c r="L35" s="60">
        <f t="shared" si="14"/>
        <v>0.147147</v>
      </c>
      <c r="M35" s="60">
        <f t="shared" si="14"/>
        <v>0.184191</v>
      </c>
      <c r="N35" s="60">
        <f t="shared" si="14"/>
        <v>0.14337399999999997</v>
      </c>
    </row>
    <row r="36" spans="2:14" ht="9.75">
      <c r="B36" s="50" t="s">
        <v>34</v>
      </c>
      <c r="C36" s="60">
        <f t="shared" si="5"/>
        <v>0.790134</v>
      </c>
      <c r="D36" s="60">
        <f aca="true" t="shared" si="15" ref="D36:N36">+D$10*D22</f>
        <v>0.73134</v>
      </c>
      <c r="E36" s="60">
        <f t="shared" si="15"/>
        <v>0.775794</v>
      </c>
      <c r="F36" s="60">
        <f t="shared" si="15"/>
        <v>0.656772</v>
      </c>
      <c r="G36" s="60">
        <f t="shared" si="15"/>
        <v>0.741378</v>
      </c>
      <c r="H36" s="60">
        <f t="shared" si="15"/>
        <v>0.858966</v>
      </c>
      <c r="I36" s="60">
        <f t="shared" si="15"/>
        <v>0.692622</v>
      </c>
      <c r="J36" s="60">
        <f t="shared" si="15"/>
        <v>0.749982</v>
      </c>
      <c r="K36" s="60">
        <f t="shared" si="15"/>
        <v>1.151214</v>
      </c>
      <c r="L36" s="60">
        <f t="shared" si="15"/>
        <v>0.805662</v>
      </c>
      <c r="M36" s="60">
        <f t="shared" si="15"/>
        <v>1.008486</v>
      </c>
      <c r="N36" s="60">
        <f t="shared" si="15"/>
        <v>0.7850039999999999</v>
      </c>
    </row>
    <row r="37" spans="2:14" ht="9.75">
      <c r="B37" s="50" t="s">
        <v>35</v>
      </c>
      <c r="C37" s="71">
        <f t="shared" si="5"/>
        <v>2.327975</v>
      </c>
      <c r="D37" s="71">
        <f aca="true" t="shared" si="16" ref="D37:N37">+D$10*D23</f>
        <v>2.15475</v>
      </c>
      <c r="E37" s="71">
        <f t="shared" si="16"/>
        <v>2.285725</v>
      </c>
      <c r="F37" s="71">
        <f t="shared" si="16"/>
        <v>1.93505</v>
      </c>
      <c r="G37" s="71">
        <f t="shared" si="16"/>
        <v>2.184325</v>
      </c>
      <c r="H37" s="71">
        <f t="shared" si="16"/>
        <v>2.530775</v>
      </c>
      <c r="I37" s="71">
        <f t="shared" si="16"/>
        <v>2.040675</v>
      </c>
      <c r="J37" s="71">
        <f t="shared" si="16"/>
        <v>2.2096750000000003</v>
      </c>
      <c r="K37" s="71">
        <f t="shared" si="16"/>
        <v>2.408477</v>
      </c>
      <c r="L37" s="71">
        <f t="shared" si="16"/>
        <v>1.6855410000000002</v>
      </c>
      <c r="M37" s="71">
        <f t="shared" si="16"/>
        <v>2.1098730000000003</v>
      </c>
      <c r="N37" s="71">
        <f t="shared" si="16"/>
        <v>1.642322</v>
      </c>
    </row>
    <row r="38" spans="3:14" ht="9.75">
      <c r="C38" s="60">
        <f>SUM(C27:C37)</f>
        <v>5.51</v>
      </c>
      <c r="D38" s="60">
        <f aca="true" t="shared" si="17" ref="D38:N38">SUM(D27:D37)</f>
        <v>5.1</v>
      </c>
      <c r="E38" s="60">
        <f t="shared" si="17"/>
        <v>5.41</v>
      </c>
      <c r="F38" s="60">
        <f t="shared" si="17"/>
        <v>4.58</v>
      </c>
      <c r="G38" s="60">
        <f t="shared" si="17"/>
        <v>5.17</v>
      </c>
      <c r="H38" s="60">
        <f t="shared" si="17"/>
        <v>5.99</v>
      </c>
      <c r="I38" s="60">
        <f t="shared" si="17"/>
        <v>4.83</v>
      </c>
      <c r="J38" s="60">
        <f t="shared" si="17"/>
        <v>5.23</v>
      </c>
      <c r="K38" s="60">
        <f t="shared" si="17"/>
        <v>6.13</v>
      </c>
      <c r="L38" s="60">
        <f t="shared" si="17"/>
        <v>4.29</v>
      </c>
      <c r="M38" s="60">
        <f t="shared" si="17"/>
        <v>5.370000000000001</v>
      </c>
      <c r="N38" s="60">
        <f t="shared" si="17"/>
        <v>4.18</v>
      </c>
    </row>
    <row r="40" ht="9.75">
      <c r="A40" s="64" t="s">
        <v>37</v>
      </c>
    </row>
    <row r="41" spans="2:14" ht="9.75">
      <c r="B41" s="50" t="s">
        <v>14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9.75">
      <c r="B42" s="50" t="s">
        <v>18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9.75">
      <c r="B43" s="50" t="s">
        <v>28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9.75">
      <c r="B44" s="50" t="s">
        <v>29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9.75">
      <c r="B45" s="50" t="s">
        <v>30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9.75">
      <c r="B46" s="50" t="s">
        <v>31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9.75">
      <c r="B47" s="50" t="s">
        <v>32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9.75">
      <c r="B48" s="50" t="s">
        <v>13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9.75">
      <c r="B49" s="50" t="s">
        <v>33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9.75">
      <c r="B50" s="50" t="s">
        <v>34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9.75">
      <c r="A52" s="50" t="s">
        <v>35</v>
      </c>
      <c r="C52" s="74">
        <f>+C65/C37</f>
        <v>1.0000000000000002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9.75">
      <c r="L53" s="74"/>
      <c r="N53" s="76"/>
    </row>
    <row r="54" spans="1:14" ht="9.75">
      <c r="A54" s="64" t="s">
        <v>38</v>
      </c>
      <c r="L54" s="74"/>
      <c r="N54" s="76"/>
    </row>
    <row r="55" spans="2:14" ht="9.75">
      <c r="B55" s="50" t="s">
        <v>14</v>
      </c>
      <c r="C55" s="60">
        <f>+C27*C41</f>
        <v>0</v>
      </c>
      <c r="D55" s="60">
        <f aca="true" t="shared" si="18" ref="D55:N55">+D27*D41</f>
        <v>0</v>
      </c>
      <c r="E55" s="60">
        <f t="shared" si="18"/>
        <v>0</v>
      </c>
      <c r="F55" s="60">
        <f t="shared" si="18"/>
        <v>0</v>
      </c>
      <c r="G55" s="60">
        <f t="shared" si="18"/>
        <v>0</v>
      </c>
      <c r="H55" s="60">
        <f t="shared" si="18"/>
        <v>0</v>
      </c>
      <c r="I55" s="60">
        <f t="shared" si="18"/>
        <v>0</v>
      </c>
      <c r="J55" s="60">
        <f t="shared" si="18"/>
        <v>0</v>
      </c>
      <c r="K55" s="60">
        <f t="shared" si="18"/>
        <v>0</v>
      </c>
      <c r="L55" s="60">
        <f t="shared" si="18"/>
        <v>0</v>
      </c>
      <c r="M55" s="60">
        <f t="shared" si="18"/>
        <v>0</v>
      </c>
      <c r="N55" s="60">
        <f t="shared" si="18"/>
        <v>0</v>
      </c>
    </row>
    <row r="56" spans="2:14" ht="9.75">
      <c r="B56" s="50" t="s">
        <v>18</v>
      </c>
      <c r="C56" s="60">
        <f aca="true" t="shared" si="19" ref="C56:N56">+C28*C42</f>
        <v>1.016595</v>
      </c>
      <c r="D56" s="60">
        <f t="shared" si="19"/>
        <v>0.94095</v>
      </c>
      <c r="E56" s="60">
        <f t="shared" si="19"/>
        <v>0.9981450000000001</v>
      </c>
      <c r="F56" s="60">
        <f t="shared" si="19"/>
        <v>0.84501</v>
      </c>
      <c r="G56" s="60">
        <f t="shared" si="19"/>
        <v>0.953865</v>
      </c>
      <c r="H56" s="60">
        <f t="shared" si="19"/>
        <v>1.105155</v>
      </c>
      <c r="I56" s="60">
        <f t="shared" si="19"/>
        <v>0.891135</v>
      </c>
      <c r="J56" s="60">
        <f t="shared" si="19"/>
        <v>0.9649350000000001</v>
      </c>
      <c r="K56" s="60">
        <f t="shared" si="19"/>
        <v>1.340631</v>
      </c>
      <c r="L56" s="60">
        <f t="shared" si="19"/>
        <v>0.938223</v>
      </c>
      <c r="M56" s="60">
        <f t="shared" si="19"/>
        <v>1.174419</v>
      </c>
      <c r="N56" s="60">
        <f t="shared" si="19"/>
        <v>0.9141659999999999</v>
      </c>
    </row>
    <row r="57" spans="2:14" ht="9.75">
      <c r="B57" s="50" t="s">
        <v>28</v>
      </c>
      <c r="C57" s="60">
        <f aca="true" t="shared" si="20" ref="C57:N57">+C29*C43</f>
        <v>0</v>
      </c>
      <c r="D57" s="60">
        <f t="shared" si="20"/>
        <v>0</v>
      </c>
      <c r="E57" s="60">
        <f t="shared" si="20"/>
        <v>0</v>
      </c>
      <c r="F57" s="60">
        <f t="shared" si="20"/>
        <v>0</v>
      </c>
      <c r="G57" s="60">
        <f t="shared" si="20"/>
        <v>0</v>
      </c>
      <c r="H57" s="60">
        <f t="shared" si="20"/>
        <v>0</v>
      </c>
      <c r="I57" s="60">
        <f t="shared" si="20"/>
        <v>0</v>
      </c>
      <c r="J57" s="60">
        <f t="shared" si="20"/>
        <v>0</v>
      </c>
      <c r="K57" s="60">
        <f t="shared" si="20"/>
        <v>0</v>
      </c>
      <c r="L57" s="60">
        <f t="shared" si="20"/>
        <v>0</v>
      </c>
      <c r="M57" s="60">
        <f t="shared" si="20"/>
        <v>0</v>
      </c>
      <c r="N57" s="60">
        <f t="shared" si="20"/>
        <v>0</v>
      </c>
    </row>
    <row r="58" spans="2:16" ht="12.75">
      <c r="B58" s="50" t="s">
        <v>29</v>
      </c>
      <c r="C58" s="60">
        <f aca="true" t="shared" si="21" ref="C58:N58">+C30*C44</f>
        <v>0.09642500000000001</v>
      </c>
      <c r="D58" s="60">
        <f t="shared" si="21"/>
        <v>0.08925</v>
      </c>
      <c r="E58" s="60">
        <f t="shared" si="21"/>
        <v>0.09467500000000001</v>
      </c>
      <c r="F58" s="60">
        <f t="shared" si="21"/>
        <v>0.08015000000000001</v>
      </c>
      <c r="G58" s="60">
        <f t="shared" si="21"/>
        <v>0.09047500000000001</v>
      </c>
      <c r="H58" s="60">
        <f t="shared" si="21"/>
        <v>0.10482500000000002</v>
      </c>
      <c r="I58" s="60">
        <f t="shared" si="21"/>
        <v>0.084525</v>
      </c>
      <c r="J58" s="60">
        <f t="shared" si="21"/>
        <v>0.09152500000000002</v>
      </c>
      <c r="K58" s="60">
        <f t="shared" si="21"/>
        <v>0.10972699999999999</v>
      </c>
      <c r="L58" s="60">
        <f t="shared" si="21"/>
        <v>0.076791</v>
      </c>
      <c r="M58" s="60">
        <f t="shared" si="21"/>
        <v>0.096123</v>
      </c>
      <c r="N58" s="60">
        <f t="shared" si="21"/>
        <v>0.07482199999999999</v>
      </c>
      <c r="P58" s="42"/>
    </row>
    <row r="59" spans="2:16" ht="12.75">
      <c r="B59" s="50" t="s">
        <v>30</v>
      </c>
      <c r="C59" s="60">
        <f aca="true" t="shared" si="22" ref="C59:N59">+C31*C45</f>
        <v>0.34162</v>
      </c>
      <c r="D59" s="60">
        <f t="shared" si="22"/>
        <v>0.3162</v>
      </c>
      <c r="E59" s="60">
        <f t="shared" si="22"/>
        <v>0.33542</v>
      </c>
      <c r="F59" s="60">
        <f t="shared" si="22"/>
        <v>0.28396</v>
      </c>
      <c r="G59" s="60">
        <f t="shared" si="22"/>
        <v>0.32054</v>
      </c>
      <c r="H59" s="60">
        <f t="shared" si="22"/>
        <v>0.37138</v>
      </c>
      <c r="I59" s="60">
        <f t="shared" si="22"/>
        <v>0.29946</v>
      </c>
      <c r="J59" s="60">
        <f t="shared" si="22"/>
        <v>0.32426000000000005</v>
      </c>
      <c r="K59" s="60">
        <f t="shared" si="22"/>
        <v>0.36596100000000004</v>
      </c>
      <c r="L59" s="60">
        <f t="shared" si="22"/>
        <v>0.25611300000000004</v>
      </c>
      <c r="M59" s="60">
        <f t="shared" si="22"/>
        <v>0.320589</v>
      </c>
      <c r="N59" s="60">
        <f t="shared" si="22"/>
        <v>0.249546</v>
      </c>
      <c r="P59" s="42"/>
    </row>
    <row r="60" spans="2:16" ht="12.75">
      <c r="B60" s="50" t="s">
        <v>31</v>
      </c>
      <c r="C60" s="77">
        <f aca="true" t="shared" si="23" ref="C60:N60">+C32*C46</f>
        <v>0.059508</v>
      </c>
      <c r="D60" s="77">
        <f t="shared" si="23"/>
        <v>0.05508</v>
      </c>
      <c r="E60" s="77">
        <f t="shared" si="23"/>
        <v>0.05842800000000001</v>
      </c>
      <c r="F60" s="77">
        <f t="shared" si="23"/>
        <v>0.049464</v>
      </c>
      <c r="G60" s="77">
        <f t="shared" si="23"/>
        <v>0.055836000000000004</v>
      </c>
      <c r="H60" s="77">
        <f t="shared" si="23"/>
        <v>0.064692</v>
      </c>
      <c r="I60" s="77">
        <f t="shared" si="23"/>
        <v>0.052164</v>
      </c>
      <c r="J60" s="77">
        <f t="shared" si="23"/>
        <v>0.056484000000000006</v>
      </c>
      <c r="K60" s="77">
        <f t="shared" si="23"/>
        <v>0.070495</v>
      </c>
      <c r="L60" s="77">
        <f t="shared" si="23"/>
        <v>0.049335</v>
      </c>
      <c r="M60" s="77">
        <f t="shared" si="23"/>
        <v>0.061755</v>
      </c>
      <c r="N60" s="77">
        <f t="shared" si="23"/>
        <v>0.048069999999999995</v>
      </c>
      <c r="P60" s="42"/>
    </row>
    <row r="61" spans="2:16" ht="12.75">
      <c r="B61" s="50" t="s">
        <v>32</v>
      </c>
      <c r="C61" s="60">
        <f aca="true" t="shared" si="24" ref="C61:N61">+C33*C47</f>
        <v>0.024244</v>
      </c>
      <c r="D61" s="60">
        <f t="shared" si="24"/>
        <v>0.022439999999999998</v>
      </c>
      <c r="E61" s="60">
        <f t="shared" si="24"/>
        <v>0.023804000000000002</v>
      </c>
      <c r="F61" s="60">
        <f t="shared" si="24"/>
        <v>0.020152000000000003</v>
      </c>
      <c r="G61" s="60">
        <f t="shared" si="24"/>
        <v>0.022748</v>
      </c>
      <c r="H61" s="60">
        <f t="shared" si="24"/>
        <v>0.026356</v>
      </c>
      <c r="I61" s="60">
        <f t="shared" si="24"/>
        <v>0.021252</v>
      </c>
      <c r="J61" s="60">
        <f t="shared" si="24"/>
        <v>0.023012000000000005</v>
      </c>
      <c r="K61" s="60">
        <f t="shared" si="24"/>
        <v>0.021455</v>
      </c>
      <c r="L61" s="60">
        <f t="shared" si="24"/>
        <v>0.015015</v>
      </c>
      <c r="M61" s="60">
        <f t="shared" si="24"/>
        <v>0.018795</v>
      </c>
      <c r="N61" s="60">
        <f t="shared" si="24"/>
        <v>0.014629999999999999</v>
      </c>
      <c r="P61" s="42"/>
    </row>
    <row r="62" spans="2:16" ht="12.75">
      <c r="B62" s="50" t="s">
        <v>25</v>
      </c>
      <c r="C62" s="60">
        <f aca="true" t="shared" si="25" ref="C62:N62">+C34*C48</f>
        <v>0.619875</v>
      </c>
      <c r="D62" s="60">
        <f t="shared" si="25"/>
        <v>0.57375</v>
      </c>
      <c r="E62" s="60">
        <f t="shared" si="25"/>
        <v>0.6086250000000001</v>
      </c>
      <c r="F62" s="60">
        <f t="shared" si="25"/>
        <v>0.51525</v>
      </c>
      <c r="G62" s="60">
        <f t="shared" si="25"/>
        <v>0.5816250000000001</v>
      </c>
      <c r="H62" s="60">
        <f t="shared" si="25"/>
        <v>0.673875</v>
      </c>
      <c r="I62" s="60">
        <f t="shared" si="25"/>
        <v>0.543375</v>
      </c>
      <c r="J62" s="60">
        <f t="shared" si="25"/>
        <v>0.5883750000000001</v>
      </c>
      <c r="K62" s="60">
        <f t="shared" si="25"/>
        <v>0.451781</v>
      </c>
      <c r="L62" s="60">
        <f t="shared" si="25"/>
        <v>0.316173</v>
      </c>
      <c r="M62" s="60">
        <f t="shared" si="25"/>
        <v>0.39576900000000004</v>
      </c>
      <c r="N62" s="60">
        <f t="shared" si="25"/>
        <v>0.308066</v>
      </c>
      <c r="P62" s="42"/>
    </row>
    <row r="63" spans="2:16" ht="12.75">
      <c r="B63" s="50" t="s">
        <v>33</v>
      </c>
      <c r="C63" s="60">
        <f aca="true" t="shared" si="26" ref="C63:N63">+C35*C49</f>
        <v>0.233624</v>
      </c>
      <c r="D63" s="60">
        <f t="shared" si="26"/>
        <v>0.21624</v>
      </c>
      <c r="E63" s="60">
        <f t="shared" si="26"/>
        <v>0.229384</v>
      </c>
      <c r="F63" s="60">
        <f t="shared" si="26"/>
        <v>0.194192</v>
      </c>
      <c r="G63" s="60">
        <f t="shared" si="26"/>
        <v>0.219208</v>
      </c>
      <c r="H63" s="60">
        <f t="shared" si="26"/>
        <v>0.25397600000000004</v>
      </c>
      <c r="I63" s="60">
        <f t="shared" si="26"/>
        <v>0.204792</v>
      </c>
      <c r="J63" s="60">
        <f t="shared" si="26"/>
        <v>0.22175200000000003</v>
      </c>
      <c r="K63" s="60">
        <f t="shared" si="26"/>
        <v>0.21025899999999997</v>
      </c>
      <c r="L63" s="60">
        <f t="shared" si="26"/>
        <v>0.147147</v>
      </c>
      <c r="M63" s="60">
        <f t="shared" si="26"/>
        <v>0.184191</v>
      </c>
      <c r="N63" s="60">
        <f t="shared" si="26"/>
        <v>0.14337399999999997</v>
      </c>
      <c r="P63" s="42"/>
    </row>
    <row r="64" spans="2:16" ht="12.75">
      <c r="B64" s="50" t="s">
        <v>34</v>
      </c>
      <c r="C64" s="60">
        <f aca="true" t="shared" si="27" ref="C64:N64">+C36*C50</f>
        <v>0.790134</v>
      </c>
      <c r="D64" s="60">
        <f t="shared" si="27"/>
        <v>0.73134</v>
      </c>
      <c r="E64" s="60">
        <f t="shared" si="27"/>
        <v>0.775794</v>
      </c>
      <c r="F64" s="60">
        <f t="shared" si="27"/>
        <v>0.656772</v>
      </c>
      <c r="G64" s="60">
        <f t="shared" si="27"/>
        <v>0.741378</v>
      </c>
      <c r="H64" s="60">
        <f t="shared" si="27"/>
        <v>0.858966</v>
      </c>
      <c r="I64" s="60">
        <f t="shared" si="27"/>
        <v>0.692622</v>
      </c>
      <c r="J64" s="60">
        <f t="shared" si="27"/>
        <v>0.749982</v>
      </c>
      <c r="K64" s="60">
        <f t="shared" si="27"/>
        <v>1.151214</v>
      </c>
      <c r="L64" s="60">
        <f t="shared" si="27"/>
        <v>0.805662</v>
      </c>
      <c r="M64" s="60">
        <f t="shared" si="27"/>
        <v>1.008486</v>
      </c>
      <c r="N64" s="60">
        <f t="shared" si="27"/>
        <v>0.7850039999999999</v>
      </c>
      <c r="P64" s="42"/>
    </row>
    <row r="65" spans="2:16" ht="12.75">
      <c r="B65" s="50" t="s">
        <v>35</v>
      </c>
      <c r="C65" s="71">
        <f aca="true" t="shared" si="28" ref="C65:N65">+C7-SUM(C55:C64)</f>
        <v>2.3279750000000003</v>
      </c>
      <c r="D65" s="71">
        <f t="shared" si="28"/>
        <v>2.1547499999999995</v>
      </c>
      <c r="E65" s="71">
        <f t="shared" si="28"/>
        <v>2.2857250000000002</v>
      </c>
      <c r="F65" s="71">
        <f t="shared" si="28"/>
        <v>1.9350500000000004</v>
      </c>
      <c r="G65" s="71">
        <f t="shared" si="28"/>
        <v>2.1843249999999994</v>
      </c>
      <c r="H65" s="71">
        <f t="shared" si="28"/>
        <v>2.5307749999999998</v>
      </c>
      <c r="I65" s="71">
        <f t="shared" si="28"/>
        <v>2.040675</v>
      </c>
      <c r="J65" s="71">
        <f t="shared" si="28"/>
        <v>2.2096750000000003</v>
      </c>
      <c r="K65" s="71">
        <f t="shared" si="28"/>
        <v>2.408477</v>
      </c>
      <c r="L65" s="71">
        <f t="shared" si="28"/>
        <v>1.6855410000000002</v>
      </c>
      <c r="M65" s="71">
        <f t="shared" si="28"/>
        <v>2.109873</v>
      </c>
      <c r="N65" s="71">
        <f t="shared" si="28"/>
        <v>1.642322</v>
      </c>
      <c r="P65" s="42"/>
    </row>
    <row r="66" spans="3:14" ht="9.75">
      <c r="C66" s="60">
        <f aca="true" t="shared" si="29" ref="C66:N66">SUM(C55:C65)</f>
        <v>5.51</v>
      </c>
      <c r="D66" s="60">
        <f t="shared" si="29"/>
        <v>5.1</v>
      </c>
      <c r="E66" s="60">
        <f t="shared" si="29"/>
        <v>5.41</v>
      </c>
      <c r="F66" s="60">
        <f t="shared" si="29"/>
        <v>4.58</v>
      </c>
      <c r="G66" s="60">
        <f t="shared" si="29"/>
        <v>5.17</v>
      </c>
      <c r="H66" s="60">
        <f t="shared" si="29"/>
        <v>5.99</v>
      </c>
      <c r="I66" s="60">
        <f t="shared" si="29"/>
        <v>4.83</v>
      </c>
      <c r="J66" s="60">
        <f t="shared" si="29"/>
        <v>5.23</v>
      </c>
      <c r="K66" s="60">
        <f t="shared" si="29"/>
        <v>6.13</v>
      </c>
      <c r="L66" s="60">
        <f t="shared" si="29"/>
        <v>4.29</v>
      </c>
      <c r="M66" s="60">
        <f t="shared" si="29"/>
        <v>5.37</v>
      </c>
      <c r="N66" s="60">
        <f t="shared" si="29"/>
        <v>4.18</v>
      </c>
    </row>
    <row r="67" ht="7.5" customHeight="1"/>
    <row r="68" spans="1:5" ht="9.75">
      <c r="A68" s="78" t="s">
        <v>39</v>
      </c>
      <c r="E68" s="50" t="s">
        <v>62</v>
      </c>
    </row>
    <row r="69" spans="2:14" ht="9.75">
      <c r="B69" s="50" t="s">
        <v>14</v>
      </c>
      <c r="C69" s="130">
        <v>0</v>
      </c>
      <c r="D69" s="130">
        <v>0</v>
      </c>
      <c r="E69" s="130">
        <v>0</v>
      </c>
      <c r="F69" s="130">
        <v>0</v>
      </c>
      <c r="G69" s="131">
        <v>0</v>
      </c>
      <c r="H69" s="131">
        <v>0</v>
      </c>
      <c r="I69" s="130">
        <v>0</v>
      </c>
      <c r="J69" s="130">
        <v>0</v>
      </c>
      <c r="K69" s="130">
        <v>0</v>
      </c>
      <c r="L69" s="132">
        <v>0</v>
      </c>
      <c r="M69" s="132">
        <v>0</v>
      </c>
      <c r="N69" s="130">
        <v>0</v>
      </c>
    </row>
    <row r="70" spans="2:14" ht="9.75">
      <c r="B70" s="50" t="s">
        <v>18</v>
      </c>
      <c r="C70" s="130">
        <v>46.536</v>
      </c>
      <c r="D70" s="130">
        <v>46.432</v>
      </c>
      <c r="E70" s="130">
        <v>46.488</v>
      </c>
      <c r="F70" s="130">
        <v>49.024</v>
      </c>
      <c r="G70" s="131">
        <v>42.736000000000004</v>
      </c>
      <c r="H70" s="131">
        <v>39.6</v>
      </c>
      <c r="I70" s="130">
        <v>39.44</v>
      </c>
      <c r="J70" s="130">
        <v>33.808</v>
      </c>
      <c r="K70" s="130">
        <v>49.104000000000006</v>
      </c>
      <c r="L70" s="130">
        <v>61.256</v>
      </c>
      <c r="M70" s="130">
        <v>77.816</v>
      </c>
      <c r="N70" s="130">
        <v>87.36000000000001</v>
      </c>
    </row>
    <row r="71" spans="2:14" ht="9.75">
      <c r="B71" s="50" t="s">
        <v>28</v>
      </c>
      <c r="C71" s="130">
        <v>0</v>
      </c>
      <c r="D71" s="130">
        <v>0</v>
      </c>
      <c r="E71" s="130">
        <v>0</v>
      </c>
      <c r="F71" s="130">
        <v>0</v>
      </c>
      <c r="G71" s="131">
        <v>0</v>
      </c>
      <c r="H71" s="131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</row>
    <row r="72" spans="2:14" ht="9.75">
      <c r="B72" s="50" t="s">
        <v>29</v>
      </c>
      <c r="C72" s="130">
        <v>78.888</v>
      </c>
      <c r="D72" s="130">
        <v>79.38400000000001</v>
      </c>
      <c r="E72" s="130">
        <v>77.31200000000001</v>
      </c>
      <c r="F72" s="130">
        <v>79.23200000000001</v>
      </c>
      <c r="G72" s="131">
        <v>72.712</v>
      </c>
      <c r="H72" s="131">
        <v>63.903999999999996</v>
      </c>
      <c r="I72" s="130">
        <v>75.664</v>
      </c>
      <c r="J72" s="130">
        <v>84.928</v>
      </c>
      <c r="K72" s="130">
        <v>100.072</v>
      </c>
      <c r="L72" s="130">
        <v>88.11200000000001</v>
      </c>
      <c r="M72" s="130">
        <v>88.464</v>
      </c>
      <c r="N72" s="130">
        <v>58.96000000000001</v>
      </c>
    </row>
    <row r="73" spans="2:14" ht="9.75">
      <c r="B73" s="50" t="s">
        <v>30</v>
      </c>
      <c r="C73" s="130">
        <v>91.13914838709675</v>
      </c>
      <c r="D73" s="130">
        <v>87.11070967741934</v>
      </c>
      <c r="E73" s="130">
        <v>73.3967483870968</v>
      </c>
      <c r="F73" s="130">
        <v>44.62366451612903</v>
      </c>
      <c r="G73" s="131">
        <v>50.163174193548386</v>
      </c>
      <c r="H73" s="131">
        <v>32.19341935483871</v>
      </c>
      <c r="I73" s="130">
        <v>43.9729161290323</v>
      </c>
      <c r="J73" s="130">
        <v>67.07628387096774</v>
      </c>
      <c r="K73" s="130">
        <v>104.12982914572862</v>
      </c>
      <c r="L73" s="130">
        <v>111.3465527638191</v>
      </c>
      <c r="M73" s="130">
        <v>86.39794974874371</v>
      </c>
      <c r="N73" s="130">
        <v>69.09793634840871</v>
      </c>
    </row>
    <row r="74" spans="2:14" ht="9.75">
      <c r="B74" s="50" t="s">
        <v>31</v>
      </c>
      <c r="C74" s="130">
        <v>822</v>
      </c>
      <c r="D74" s="130">
        <v>800.0640000000001</v>
      </c>
      <c r="E74" s="130">
        <v>724.9520000000001</v>
      </c>
      <c r="F74" s="130">
        <v>680.4000000000001</v>
      </c>
      <c r="G74" s="131">
        <v>663.0160000000001</v>
      </c>
      <c r="H74" s="131">
        <v>718.5920000000001</v>
      </c>
      <c r="I74" s="130">
        <v>677.2640000000001</v>
      </c>
      <c r="J74" s="130">
        <v>695.32</v>
      </c>
      <c r="K74" s="130">
        <v>687.224</v>
      </c>
      <c r="L74" s="130">
        <v>654.648</v>
      </c>
      <c r="M74" s="130">
        <v>700.696</v>
      </c>
      <c r="N74" s="130">
        <v>603.48</v>
      </c>
    </row>
    <row r="75" spans="2:14" ht="9.75">
      <c r="B75" s="50" t="s">
        <v>32</v>
      </c>
      <c r="C75" s="130">
        <v>45.36000000000001</v>
      </c>
      <c r="D75" s="130">
        <v>45.70400000000001</v>
      </c>
      <c r="E75" s="130">
        <v>45.712</v>
      </c>
      <c r="F75" s="130">
        <v>49.304</v>
      </c>
      <c r="G75" s="131">
        <v>44.288000000000004</v>
      </c>
      <c r="H75" s="131">
        <v>40.584</v>
      </c>
      <c r="I75" s="130">
        <v>49.6</v>
      </c>
      <c r="J75" s="130">
        <v>57.34400000000001</v>
      </c>
      <c r="K75" s="130">
        <v>67.84</v>
      </c>
      <c r="L75" s="130">
        <v>60.03200000000001</v>
      </c>
      <c r="M75" s="130">
        <v>61.00800000000001</v>
      </c>
      <c r="N75" s="130">
        <v>38.128</v>
      </c>
    </row>
    <row r="76" spans="2:14" ht="9.75">
      <c r="B76" s="50" t="s">
        <v>25</v>
      </c>
      <c r="C76" s="130">
        <v>-5.29</v>
      </c>
      <c r="D76" s="130">
        <v>-6.25</v>
      </c>
      <c r="E76" s="130">
        <v>1.2000000000000002</v>
      </c>
      <c r="F76" s="130">
        <v>2.7520000000000002</v>
      </c>
      <c r="G76" s="131">
        <v>6.048</v>
      </c>
      <c r="H76" s="131">
        <v>6.248</v>
      </c>
      <c r="I76" s="130">
        <v>3.232</v>
      </c>
      <c r="J76" s="130">
        <v>5.152000000000001</v>
      </c>
      <c r="K76" s="130">
        <v>6.008</v>
      </c>
      <c r="L76" s="130">
        <v>2.408</v>
      </c>
      <c r="M76" s="130">
        <v>6.456</v>
      </c>
      <c r="N76" s="130">
        <v>3.816</v>
      </c>
    </row>
    <row r="77" spans="2:14" ht="9.75">
      <c r="B77" s="50" t="s">
        <v>33</v>
      </c>
      <c r="C77" s="132">
        <v>0</v>
      </c>
      <c r="D77" s="132">
        <v>0</v>
      </c>
      <c r="E77" s="132">
        <v>0</v>
      </c>
      <c r="F77" s="132">
        <v>0</v>
      </c>
      <c r="G77" s="133">
        <v>0</v>
      </c>
      <c r="H77" s="133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</row>
    <row r="78" spans="2:14" ht="9.75">
      <c r="B78" s="50" t="s">
        <v>34</v>
      </c>
      <c r="C78" s="132">
        <v>-77.29</v>
      </c>
      <c r="D78" s="132">
        <v>-77.29</v>
      </c>
      <c r="E78" s="132">
        <v>-77.29</v>
      </c>
      <c r="F78" s="132">
        <v>-77.29</v>
      </c>
      <c r="G78" s="133">
        <v>-77.29</v>
      </c>
      <c r="H78" s="133">
        <v>-81.32</v>
      </c>
      <c r="I78" s="132">
        <v>-81.32</v>
      </c>
      <c r="J78" s="132">
        <v>-81.32</v>
      </c>
      <c r="K78" s="132">
        <v>-154.67000000000002</v>
      </c>
      <c r="L78" s="132">
        <v>-149.94</v>
      </c>
      <c r="M78" s="132">
        <v>-140.9</v>
      </c>
      <c r="N78" s="132">
        <v>-137.41</v>
      </c>
    </row>
    <row r="79" spans="2:15" ht="9.75">
      <c r="B79" s="50" t="s">
        <v>35</v>
      </c>
      <c r="C79" s="130">
        <v>14.392</v>
      </c>
      <c r="D79" s="130">
        <v>13.991999999999999</v>
      </c>
      <c r="E79" s="130">
        <v>10.752</v>
      </c>
      <c r="F79" s="130">
        <v>4.112</v>
      </c>
      <c r="G79" s="131">
        <v>-0.75</v>
      </c>
      <c r="H79" s="131">
        <v>-14.77</v>
      </c>
      <c r="I79" s="130">
        <v>3.9520000000000004</v>
      </c>
      <c r="J79" s="130">
        <v>4.432</v>
      </c>
      <c r="K79" s="130">
        <v>5.832000000000001</v>
      </c>
      <c r="L79" s="130">
        <v>9.952</v>
      </c>
      <c r="M79" s="130">
        <v>11.136000000000001</v>
      </c>
      <c r="N79" s="132">
        <v>2.736</v>
      </c>
      <c r="O79" s="88">
        <f>SUM(C69:N79)</f>
        <v>10344.658332522828</v>
      </c>
    </row>
    <row r="80" ht="7.5" customHeight="1"/>
    <row r="81" ht="9.75">
      <c r="A81" s="64" t="s">
        <v>40</v>
      </c>
    </row>
    <row r="82" spans="2:15" ht="9.75">
      <c r="B82" s="50" t="s">
        <v>14</v>
      </c>
      <c r="C82" s="60">
        <f aca="true" t="shared" si="30" ref="C82:I82">C69*C55</f>
        <v>0</v>
      </c>
      <c r="D82" s="60">
        <f t="shared" si="30"/>
        <v>0</v>
      </c>
      <c r="E82" s="60">
        <f t="shared" si="30"/>
        <v>0</v>
      </c>
      <c r="F82" s="60">
        <f t="shared" si="30"/>
        <v>0</v>
      </c>
      <c r="G82" s="60">
        <f t="shared" si="30"/>
        <v>0</v>
      </c>
      <c r="H82" s="60">
        <f t="shared" si="30"/>
        <v>0</v>
      </c>
      <c r="I82" s="60">
        <f t="shared" si="30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31" ref="O82:O92">SUM(C82:N82)</f>
        <v>0</v>
      </c>
    </row>
    <row r="83" spans="2:15" ht="9.75">
      <c r="B83" s="50" t="s">
        <v>18</v>
      </c>
      <c r="C83" s="60">
        <f aca="true" t="shared" si="32" ref="C83:C92">C70*C56</f>
        <v>47.30826492</v>
      </c>
      <c r="D83" s="60">
        <f aca="true" t="shared" si="33" ref="D83:D92">D70*D56</f>
        <v>43.6901904</v>
      </c>
      <c r="E83" s="60">
        <f aca="true" t="shared" si="34" ref="E83:F92">E70*E56</f>
        <v>46.40176476</v>
      </c>
      <c r="F83" s="60">
        <f t="shared" si="34"/>
        <v>41.425770240000006</v>
      </c>
      <c r="G83" s="60">
        <f aca="true" t="shared" si="35" ref="G83:G90">G70*G56</f>
        <v>40.76437464</v>
      </c>
      <c r="H83" s="60">
        <f aca="true" t="shared" si="36" ref="H83:I92">H70*H56</f>
        <v>43.764138</v>
      </c>
      <c r="I83" s="60">
        <f aca="true" t="shared" si="37" ref="I83:I92">I70*I56</f>
        <v>35.146364399999996</v>
      </c>
      <c r="J83" s="60">
        <f aca="true" t="shared" si="38" ref="J83:N92">+J70*J56</f>
        <v>32.62252248</v>
      </c>
      <c r="K83" s="60">
        <f t="shared" si="38"/>
        <v>65.830344624</v>
      </c>
      <c r="L83" s="60">
        <f t="shared" si="38"/>
        <v>57.471788088000004</v>
      </c>
      <c r="M83" s="60">
        <f t="shared" si="38"/>
        <v>91.38858890400002</v>
      </c>
      <c r="N83" s="60">
        <f t="shared" si="38"/>
        <v>79.86154176000001</v>
      </c>
      <c r="O83" s="88">
        <f t="shared" si="31"/>
        <v>625.675653216</v>
      </c>
    </row>
    <row r="84" spans="2:15" ht="9.75">
      <c r="B84" s="50" t="s">
        <v>28</v>
      </c>
      <c r="C84" s="60">
        <f t="shared" si="32"/>
        <v>0</v>
      </c>
      <c r="D84" s="60">
        <f t="shared" si="33"/>
        <v>0</v>
      </c>
      <c r="E84" s="60">
        <f t="shared" si="34"/>
        <v>0</v>
      </c>
      <c r="F84" s="60">
        <f t="shared" si="34"/>
        <v>0</v>
      </c>
      <c r="G84" s="60">
        <f t="shared" si="35"/>
        <v>0</v>
      </c>
      <c r="H84" s="60">
        <f t="shared" si="36"/>
        <v>0</v>
      </c>
      <c r="I84" s="60"/>
      <c r="J84" s="60">
        <f t="shared" si="38"/>
        <v>0</v>
      </c>
      <c r="K84" s="60">
        <f t="shared" si="38"/>
        <v>0</v>
      </c>
      <c r="L84" s="60">
        <f t="shared" si="38"/>
        <v>0</v>
      </c>
      <c r="M84" s="60">
        <f t="shared" si="38"/>
        <v>0</v>
      </c>
      <c r="N84" s="60">
        <f t="shared" si="38"/>
        <v>0</v>
      </c>
      <c r="O84" s="88">
        <f t="shared" si="31"/>
        <v>0</v>
      </c>
    </row>
    <row r="85" spans="2:15" ht="9.75">
      <c r="B85" s="50" t="s">
        <v>29</v>
      </c>
      <c r="C85" s="60">
        <f t="shared" si="32"/>
        <v>7.606775400000001</v>
      </c>
      <c r="D85" s="60">
        <f t="shared" si="33"/>
        <v>7.085022000000001</v>
      </c>
      <c r="E85" s="60">
        <f t="shared" si="34"/>
        <v>7.319513600000001</v>
      </c>
      <c r="F85" s="60">
        <f t="shared" si="34"/>
        <v>6.350444800000002</v>
      </c>
      <c r="G85" s="60">
        <f t="shared" si="35"/>
        <v>6.578618200000001</v>
      </c>
      <c r="H85" s="60">
        <f t="shared" si="36"/>
        <v>6.698736800000001</v>
      </c>
      <c r="I85" s="60">
        <f t="shared" si="37"/>
        <v>6.3954996</v>
      </c>
      <c r="J85" s="60">
        <f t="shared" si="38"/>
        <v>7.773035200000002</v>
      </c>
      <c r="K85" s="60">
        <f t="shared" si="38"/>
        <v>10.980600343999999</v>
      </c>
      <c r="L85" s="60">
        <f t="shared" si="38"/>
        <v>6.766208592000001</v>
      </c>
      <c r="M85" s="60">
        <f t="shared" si="38"/>
        <v>8.503425072</v>
      </c>
      <c r="N85" s="60">
        <f t="shared" si="38"/>
        <v>4.41150512</v>
      </c>
      <c r="O85" s="88">
        <f t="shared" si="31"/>
        <v>86.46938472800001</v>
      </c>
    </row>
    <row r="86" spans="2:15" ht="9.75">
      <c r="B86" s="50" t="s">
        <v>30</v>
      </c>
      <c r="C86" s="60">
        <f t="shared" si="32"/>
        <v>31.134955871999992</v>
      </c>
      <c r="D86" s="60">
        <f t="shared" si="33"/>
        <v>27.544406399999993</v>
      </c>
      <c r="E86" s="60">
        <f t="shared" si="34"/>
        <v>24.61873734400001</v>
      </c>
      <c r="F86" s="60">
        <f t="shared" si="34"/>
        <v>12.671335776</v>
      </c>
      <c r="G86" s="60">
        <f t="shared" si="35"/>
        <v>16.079303856</v>
      </c>
      <c r="H86" s="60">
        <f t="shared" si="36"/>
        <v>11.95599208</v>
      </c>
      <c r="I86" s="60">
        <f t="shared" si="37"/>
        <v>13.168129464000012</v>
      </c>
      <c r="J86" s="60">
        <f t="shared" si="38"/>
        <v>21.750155808000002</v>
      </c>
      <c r="K86" s="60">
        <f t="shared" si="38"/>
        <v>38.107456404</v>
      </c>
      <c r="L86" s="60">
        <f t="shared" si="38"/>
        <v>28.517299668000007</v>
      </c>
      <c r="M86" s="60">
        <f t="shared" si="38"/>
        <v>27.698232312</v>
      </c>
      <c r="N86" s="60">
        <f t="shared" si="38"/>
        <v>17.243113624</v>
      </c>
      <c r="O86" s="88">
        <f t="shared" si="31"/>
        <v>270.48911860800007</v>
      </c>
    </row>
    <row r="87" spans="2:15" ht="9.75">
      <c r="B87" s="50" t="s">
        <v>31</v>
      </c>
      <c r="C87" s="60">
        <f t="shared" si="32"/>
        <v>48.915576</v>
      </c>
      <c r="D87" s="60">
        <f t="shared" si="33"/>
        <v>44.06752512</v>
      </c>
      <c r="E87" s="60">
        <f t="shared" si="34"/>
        <v>42.35749545600001</v>
      </c>
      <c r="F87" s="60">
        <f t="shared" si="34"/>
        <v>33.655305600000005</v>
      </c>
      <c r="G87" s="60">
        <f t="shared" si="35"/>
        <v>37.020161376000004</v>
      </c>
      <c r="H87" s="60">
        <f t="shared" si="36"/>
        <v>46.487153664000004</v>
      </c>
      <c r="I87" s="60">
        <f t="shared" si="37"/>
        <v>35.32879929600001</v>
      </c>
      <c r="J87" s="60">
        <f t="shared" si="38"/>
        <v>39.27445488000001</v>
      </c>
      <c r="K87" s="60">
        <f t="shared" si="38"/>
        <v>48.44585588</v>
      </c>
      <c r="L87" s="60">
        <f t="shared" si="38"/>
        <v>32.29705908</v>
      </c>
      <c r="M87" s="60">
        <f t="shared" si="38"/>
        <v>43.27148148</v>
      </c>
      <c r="N87" s="60">
        <f t="shared" si="38"/>
        <v>29.009283599999996</v>
      </c>
      <c r="O87" s="88">
        <f t="shared" si="31"/>
        <v>480.13015143200005</v>
      </c>
    </row>
    <row r="88" spans="2:15" ht="9.75">
      <c r="B88" s="50" t="s">
        <v>32</v>
      </c>
      <c r="C88" s="60">
        <f t="shared" si="32"/>
        <v>1.0997078400000002</v>
      </c>
      <c r="D88" s="60">
        <f t="shared" si="33"/>
        <v>1.0255977600000001</v>
      </c>
      <c r="E88" s="60">
        <f t="shared" si="34"/>
        <v>1.0881284480000002</v>
      </c>
      <c r="F88" s="60">
        <f t="shared" si="34"/>
        <v>0.9935742080000002</v>
      </c>
      <c r="G88" s="60">
        <f t="shared" si="35"/>
        <v>1.0074634240000002</v>
      </c>
      <c r="H88" s="60">
        <f t="shared" si="36"/>
        <v>1.0696319040000002</v>
      </c>
      <c r="I88" s="60">
        <f t="shared" si="36"/>
        <v>1.0540992</v>
      </c>
      <c r="J88" s="60">
        <f t="shared" si="38"/>
        <v>1.3196001280000005</v>
      </c>
      <c r="K88" s="60">
        <f t="shared" si="38"/>
        <v>1.4555072</v>
      </c>
      <c r="L88" s="60">
        <f t="shared" si="38"/>
        <v>0.9013804800000002</v>
      </c>
      <c r="M88" s="60">
        <f t="shared" si="38"/>
        <v>1.1466453600000002</v>
      </c>
      <c r="N88" s="60">
        <f t="shared" si="38"/>
        <v>0.55781264</v>
      </c>
      <c r="O88" s="88">
        <f t="shared" si="31"/>
        <v>12.719148592000003</v>
      </c>
    </row>
    <row r="89" spans="2:15" ht="9.75">
      <c r="B89" s="50" t="s">
        <v>25</v>
      </c>
      <c r="C89" s="60">
        <f t="shared" si="32"/>
        <v>-3.27913875</v>
      </c>
      <c r="D89" s="60">
        <f t="shared" si="33"/>
        <v>-3.5859375</v>
      </c>
      <c r="E89" s="60">
        <f t="shared" si="34"/>
        <v>0.7303500000000002</v>
      </c>
      <c r="F89" s="60">
        <f t="shared" si="34"/>
        <v>1.4179680000000001</v>
      </c>
      <c r="G89" s="60">
        <f t="shared" si="35"/>
        <v>3.5176680000000005</v>
      </c>
      <c r="H89" s="60">
        <f t="shared" si="36"/>
        <v>4.210371</v>
      </c>
      <c r="I89" s="60">
        <f t="shared" si="37"/>
        <v>1.7561880000000003</v>
      </c>
      <c r="J89" s="60">
        <f t="shared" si="38"/>
        <v>3.031308000000001</v>
      </c>
      <c r="K89" s="60">
        <f t="shared" si="38"/>
        <v>2.714300248</v>
      </c>
      <c r="L89" s="60">
        <f t="shared" si="38"/>
        <v>0.7613445839999999</v>
      </c>
      <c r="M89" s="60">
        <f t="shared" si="38"/>
        <v>2.5550846640000002</v>
      </c>
      <c r="N89" s="60">
        <f t="shared" si="38"/>
        <v>1.175579856</v>
      </c>
      <c r="O89" s="88">
        <f t="shared" si="31"/>
        <v>15.005086102000003</v>
      </c>
    </row>
    <row r="90" spans="2:15" ht="9.75">
      <c r="B90" s="50" t="s">
        <v>33</v>
      </c>
      <c r="C90" s="60">
        <f t="shared" si="32"/>
        <v>0</v>
      </c>
      <c r="D90" s="60">
        <f t="shared" si="33"/>
        <v>0</v>
      </c>
      <c r="E90" s="60">
        <f t="shared" si="34"/>
        <v>0</v>
      </c>
      <c r="F90" s="60">
        <f t="shared" si="34"/>
        <v>0</v>
      </c>
      <c r="G90" s="60">
        <f t="shared" si="35"/>
        <v>0</v>
      </c>
      <c r="H90" s="60">
        <f t="shared" si="36"/>
        <v>0</v>
      </c>
      <c r="I90" s="60">
        <f t="shared" si="37"/>
        <v>0</v>
      </c>
      <c r="J90" s="60">
        <f t="shared" si="38"/>
        <v>0</v>
      </c>
      <c r="K90" s="60">
        <f t="shared" si="38"/>
        <v>0</v>
      </c>
      <c r="L90" s="60">
        <f t="shared" si="38"/>
        <v>0</v>
      </c>
      <c r="M90" s="60">
        <f t="shared" si="38"/>
        <v>0</v>
      </c>
      <c r="N90" s="60">
        <f t="shared" si="38"/>
        <v>0</v>
      </c>
      <c r="O90" s="88">
        <f t="shared" si="31"/>
        <v>0</v>
      </c>
    </row>
    <row r="91" spans="2:15" ht="9.75">
      <c r="B91" s="50" t="s">
        <v>34</v>
      </c>
      <c r="C91" s="60">
        <f t="shared" si="32"/>
        <v>-61.06945686</v>
      </c>
      <c r="D91" s="60">
        <f t="shared" si="33"/>
        <v>-56.525268600000004</v>
      </c>
      <c r="E91" s="60">
        <f t="shared" si="34"/>
        <v>-59.961118260000006</v>
      </c>
      <c r="F91" s="60">
        <f t="shared" si="34"/>
        <v>-50.76190788</v>
      </c>
      <c r="G91" s="60">
        <f>+G78*G64</f>
        <v>-57.30110562</v>
      </c>
      <c r="H91" s="60">
        <f t="shared" si="36"/>
        <v>-69.85111511999999</v>
      </c>
      <c r="I91" s="60">
        <f t="shared" si="37"/>
        <v>-56.32402103999999</v>
      </c>
      <c r="J91" s="60">
        <f t="shared" si="38"/>
        <v>-60.988536239999995</v>
      </c>
      <c r="K91" s="60">
        <f t="shared" si="38"/>
        <v>-178.05826938</v>
      </c>
      <c r="L91" s="60">
        <f t="shared" si="38"/>
        <v>-120.80096028</v>
      </c>
      <c r="M91" s="60">
        <f t="shared" si="38"/>
        <v>-142.0956774</v>
      </c>
      <c r="N91" s="60">
        <f t="shared" si="38"/>
        <v>-107.86739963999999</v>
      </c>
      <c r="O91" s="88">
        <f t="shared" si="31"/>
        <v>-1021.60483632</v>
      </c>
    </row>
    <row r="92" spans="2:15" ht="9.75">
      <c r="B92" s="50" t="s">
        <v>35</v>
      </c>
      <c r="C92" s="71">
        <f t="shared" si="32"/>
        <v>33.5042162</v>
      </c>
      <c r="D92" s="71">
        <f t="shared" si="33"/>
        <v>30.14926199999999</v>
      </c>
      <c r="E92" s="71">
        <f t="shared" si="34"/>
        <v>24.576115200000004</v>
      </c>
      <c r="F92" s="71">
        <f t="shared" si="34"/>
        <v>7.956925600000002</v>
      </c>
      <c r="G92" s="71">
        <f>+G79*G65</f>
        <v>-1.6382437499999996</v>
      </c>
      <c r="H92" s="71">
        <f t="shared" si="36"/>
        <v>-37.379546749999996</v>
      </c>
      <c r="I92" s="71">
        <f t="shared" si="37"/>
        <v>8.0647476</v>
      </c>
      <c r="J92" s="71">
        <f t="shared" si="38"/>
        <v>9.793279600000002</v>
      </c>
      <c r="K92" s="60">
        <f t="shared" si="38"/>
        <v>14.046237864000002</v>
      </c>
      <c r="L92" s="60">
        <f t="shared" si="38"/>
        <v>16.774504032000003</v>
      </c>
      <c r="M92" s="60">
        <f t="shared" si="38"/>
        <v>23.495545728</v>
      </c>
      <c r="N92" s="60">
        <f t="shared" si="38"/>
        <v>4.493392992</v>
      </c>
      <c r="O92" s="88">
        <f t="shared" si="31"/>
        <v>133.836436316</v>
      </c>
    </row>
    <row r="93" spans="1:16" ht="9.75">
      <c r="A93" s="64" t="s">
        <v>41</v>
      </c>
      <c r="B93" s="64"/>
      <c r="C93" s="79">
        <f aca="true" t="shared" si="39" ref="C93:N93">SUM(C82:C92)</f>
        <v>105.22090062200002</v>
      </c>
      <c r="D93" s="80">
        <f t="shared" si="39"/>
        <v>93.45079757999999</v>
      </c>
      <c r="E93" s="80">
        <f t="shared" si="39"/>
        <v>87.13098654800002</v>
      </c>
      <c r="F93" s="80">
        <f t="shared" si="39"/>
        <v>53.709416344000005</v>
      </c>
      <c r="G93" s="80">
        <f t="shared" si="39"/>
        <v>46.028240126</v>
      </c>
      <c r="H93" s="80">
        <f>SUM(H82:H92)</f>
        <v>6.955361578000016</v>
      </c>
      <c r="I93" s="80">
        <f>SUM(I82:I92)</f>
        <v>44.58980652000001</v>
      </c>
      <c r="J93" s="80">
        <f t="shared" si="39"/>
        <v>54.575819856000024</v>
      </c>
      <c r="K93" s="87">
        <f t="shared" si="39"/>
        <v>3.522033184000005</v>
      </c>
      <c r="L93" s="87">
        <f t="shared" si="39"/>
        <v>22.688624244000017</v>
      </c>
      <c r="M93" s="87">
        <f t="shared" si="39"/>
        <v>55.963326120000005</v>
      </c>
      <c r="N93" s="87">
        <f t="shared" si="39"/>
        <v>28.884829952000036</v>
      </c>
      <c r="O93" s="88">
        <f>SUM(C93:N93)</f>
        <v>602.7201426740002</v>
      </c>
      <c r="P93" s="88">
        <f>O93/2</f>
        <v>301.3600713370001</v>
      </c>
    </row>
    <row r="94" spans="1:15" ht="9.75">
      <c r="A94" s="64" t="s">
        <v>42</v>
      </c>
      <c r="B94" s="64"/>
      <c r="C94" s="79">
        <f aca="true" t="shared" si="40" ref="C94:N94">+C93/C66</f>
        <v>19.096352200000005</v>
      </c>
      <c r="D94" s="80">
        <f t="shared" si="40"/>
        <v>18.3236858</v>
      </c>
      <c r="E94" s="80">
        <f t="shared" si="40"/>
        <v>16.105542800000006</v>
      </c>
      <c r="F94" s="80">
        <f t="shared" si="40"/>
        <v>11.7269468</v>
      </c>
      <c r="G94" s="80">
        <f t="shared" si="40"/>
        <v>8.9029478</v>
      </c>
      <c r="H94" s="80">
        <f t="shared" si="40"/>
        <v>1.1611622000000026</v>
      </c>
      <c r="I94" s="80">
        <f>+I93/I66</f>
        <v>9.231844000000002</v>
      </c>
      <c r="J94" s="80">
        <f t="shared" si="40"/>
        <v>10.435147200000003</v>
      </c>
      <c r="K94" s="108">
        <f t="shared" si="40"/>
        <v>0.5745568000000009</v>
      </c>
      <c r="L94" s="108">
        <f t="shared" si="40"/>
        <v>5.288723600000004</v>
      </c>
      <c r="M94" s="108">
        <f t="shared" si="40"/>
        <v>10.421476</v>
      </c>
      <c r="N94" s="108">
        <f t="shared" si="40"/>
        <v>6.910246400000009</v>
      </c>
      <c r="O94" s="88"/>
    </row>
    <row r="95" spans="3:14" ht="13.5" customHeight="1">
      <c r="C95" s="88">
        <f>C94/2</f>
        <v>9.548176100000003</v>
      </c>
      <c r="D95" s="88">
        <f aca="true" t="shared" si="41" ref="D95:N95">D94/2</f>
        <v>9.1618429</v>
      </c>
      <c r="E95" s="88">
        <f t="shared" si="41"/>
        <v>8.052771400000003</v>
      </c>
      <c r="F95" s="88">
        <f t="shared" si="41"/>
        <v>5.8634734</v>
      </c>
      <c r="G95" s="88">
        <f t="shared" si="41"/>
        <v>4.4514739</v>
      </c>
      <c r="H95" s="88">
        <f t="shared" si="41"/>
        <v>0.5805811000000013</v>
      </c>
      <c r="I95" s="88">
        <f t="shared" si="41"/>
        <v>4.615922000000001</v>
      </c>
      <c r="J95" s="88">
        <f t="shared" si="41"/>
        <v>5.2175736000000015</v>
      </c>
      <c r="K95" s="88">
        <f t="shared" si="41"/>
        <v>0.28727840000000043</v>
      </c>
      <c r="L95" s="88">
        <f t="shared" si="41"/>
        <v>2.644361800000002</v>
      </c>
      <c r="M95" s="88">
        <f t="shared" si="41"/>
        <v>5.210738</v>
      </c>
      <c r="N95" s="88">
        <f t="shared" si="41"/>
        <v>3.4551232000000045</v>
      </c>
    </row>
    <row r="96" spans="1:14" ht="9.75">
      <c r="A96" s="64"/>
      <c r="C96" s="88">
        <f>C94*0.7</f>
        <v>13.367446540000003</v>
      </c>
      <c r="D96" s="88">
        <f aca="true" t="shared" si="42" ref="D96:N96">D94*0.7</f>
        <v>12.82658006</v>
      </c>
      <c r="E96" s="88">
        <f t="shared" si="42"/>
        <v>11.273879960000004</v>
      </c>
      <c r="F96" s="88">
        <f t="shared" si="42"/>
        <v>8.20886276</v>
      </c>
      <c r="G96" s="88">
        <f t="shared" si="42"/>
        <v>6.232063459999999</v>
      </c>
      <c r="H96" s="88">
        <f t="shared" si="42"/>
        <v>0.8128135400000017</v>
      </c>
      <c r="I96" s="88">
        <f t="shared" si="42"/>
        <v>6.462290800000002</v>
      </c>
      <c r="J96" s="88">
        <f t="shared" si="42"/>
        <v>7.304603040000002</v>
      </c>
      <c r="K96" s="88">
        <f t="shared" si="42"/>
        <v>0.40218976000000056</v>
      </c>
      <c r="L96" s="88">
        <f t="shared" si="42"/>
        <v>3.7021065200000027</v>
      </c>
      <c r="M96" s="88">
        <f t="shared" si="42"/>
        <v>7.2950332</v>
      </c>
      <c r="N96" s="88">
        <f t="shared" si="42"/>
        <v>4.837172480000006</v>
      </c>
    </row>
    <row r="97" spans="3:14" ht="9.7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0" ht="9.75">
      <c r="A98" s="64"/>
      <c r="B98" s="64"/>
      <c r="C98" s="79"/>
      <c r="D98" s="79"/>
      <c r="E98" s="79"/>
      <c r="F98" s="79"/>
      <c r="G98" s="79"/>
      <c r="H98" s="79"/>
      <c r="I98" s="79"/>
      <c r="J98" s="83"/>
    </row>
    <row r="99" spans="3:10" ht="7.5" customHeight="1">
      <c r="C99" s="82"/>
      <c r="D99" s="82"/>
      <c r="E99" s="82"/>
      <c r="F99" s="82"/>
      <c r="G99" s="82"/>
      <c r="H99" s="82"/>
      <c r="I99" s="82"/>
      <c r="J99" s="82"/>
    </row>
    <row r="100" spans="1:10" ht="9.75">
      <c r="A100" s="64"/>
      <c r="B100" s="64"/>
      <c r="C100" s="83"/>
      <c r="D100" s="83"/>
      <c r="E100" s="83"/>
      <c r="F100" s="83"/>
      <c r="G100" s="83"/>
      <c r="H100" s="83"/>
      <c r="I100" s="83"/>
      <c r="J100" s="83"/>
    </row>
    <row r="101" spans="3:10" ht="7.5" customHeight="1">
      <c r="C101" s="82"/>
      <c r="D101" s="82"/>
      <c r="E101" s="82"/>
      <c r="F101" s="82"/>
      <c r="G101" s="82"/>
      <c r="H101" s="82"/>
      <c r="I101" s="82"/>
      <c r="J101" s="82"/>
    </row>
    <row r="102" spans="1:10" ht="9.75">
      <c r="A102" s="64"/>
      <c r="C102" s="81"/>
      <c r="D102" s="81"/>
      <c r="E102" s="81"/>
      <c r="F102" s="81"/>
      <c r="G102" s="81"/>
      <c r="H102" s="81"/>
      <c r="I102" s="81"/>
      <c r="J102" s="84"/>
    </row>
    <row r="105" ht="9.75">
      <c r="B105" s="50" t="str">
        <f ca="1">CELL("filename")</f>
        <v>Z:\Division\Accounting\WUTC\2020\Kent Meridian - Div 4176\[Kent-Meridian Tariff Pages - 6.12.2020.xls]Common Svcs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8.140625" style="0" customWidth="1"/>
    <col min="3" max="3" width="10.140625" style="0" bestFit="1" customWidth="1"/>
  </cols>
  <sheetData>
    <row r="2" ht="13.5" thickBot="1"/>
    <row r="3" spans="1:3" ht="13.5" thickBot="1">
      <c r="A3" s="150" t="s">
        <v>77</v>
      </c>
      <c r="B3" s="151"/>
      <c r="C3" s="152">
        <v>15403.51</v>
      </c>
    </row>
    <row r="4" ht="12.75">
      <c r="C4" s="153"/>
    </row>
    <row r="5" spans="1:5" ht="12.75">
      <c r="A5" s="154" t="s">
        <v>78</v>
      </c>
      <c r="D5" s="154" t="s">
        <v>79</v>
      </c>
      <c r="E5" s="154" t="s">
        <v>80</v>
      </c>
    </row>
    <row r="6" spans="1:5" ht="12.75">
      <c r="A6" s="155" t="s">
        <v>81</v>
      </c>
      <c r="B6" s="42"/>
      <c r="C6" s="156">
        <v>5501.253571428571</v>
      </c>
      <c r="D6" s="157">
        <v>5028.142837827569</v>
      </c>
      <c r="E6" s="156">
        <v>473.1107336010031</v>
      </c>
    </row>
    <row r="7" spans="1:5" ht="12.75">
      <c r="A7" s="155" t="s">
        <v>82</v>
      </c>
      <c r="B7" s="42"/>
      <c r="C7" s="156">
        <v>7701.755</v>
      </c>
      <c r="D7" s="157">
        <f>C7*D12</f>
        <v>7637.784202259333</v>
      </c>
      <c r="E7" s="156">
        <f>C7*E12</f>
        <v>63.97079774066674</v>
      </c>
    </row>
    <row r="8" spans="1:5" ht="12.75">
      <c r="A8" s="161" t="s">
        <v>83</v>
      </c>
      <c r="B8" s="162"/>
      <c r="C8" s="163">
        <v>2200.5014285714283</v>
      </c>
      <c r="D8" s="164">
        <f>C8*D13</f>
        <v>2120.3711244497795</v>
      </c>
      <c r="E8" s="165">
        <f>C8*E13</f>
        <v>80.13030412164865</v>
      </c>
    </row>
    <row r="10" spans="1:5" ht="12.75">
      <c r="A10" t="s">
        <v>84</v>
      </c>
      <c r="B10" t="s">
        <v>85</v>
      </c>
      <c r="C10" t="s">
        <v>86</v>
      </c>
      <c r="D10" t="s">
        <v>87</v>
      </c>
      <c r="E10" t="s">
        <v>88</v>
      </c>
    </row>
    <row r="11" spans="1:5" ht="12.75">
      <c r="A11">
        <v>4172</v>
      </c>
      <c r="B11">
        <v>41236</v>
      </c>
      <c r="C11">
        <v>3880</v>
      </c>
      <c r="D11" s="159">
        <v>0.9139994680379466</v>
      </c>
      <c r="E11" s="159">
        <v>0.08600053196205337</v>
      </c>
    </row>
    <row r="12" spans="1:5" ht="12.75">
      <c r="A12">
        <v>4176</v>
      </c>
      <c r="B12">
        <v>78920</v>
      </c>
      <c r="C12">
        <v>661</v>
      </c>
      <c r="D12" s="159">
        <f>B12/(B12+C12)</f>
        <v>0.9916939973109159</v>
      </c>
      <c r="E12" s="159">
        <f>C12/(C12+B12)</f>
        <v>0.008306002689084078</v>
      </c>
    </row>
    <row r="13" spans="1:5" ht="12.75">
      <c r="A13">
        <v>4183</v>
      </c>
      <c r="B13">
        <v>16512</v>
      </c>
      <c r="C13">
        <v>624</v>
      </c>
      <c r="D13" s="159">
        <f>B13/(B13+C13)</f>
        <v>0.9635854341736695</v>
      </c>
      <c r="E13" s="159">
        <f>C13/(C13+B13)</f>
        <v>0.036414565826330535</v>
      </c>
    </row>
    <row r="14" spans="4:5" ht="12.75">
      <c r="D14" s="159"/>
      <c r="E14" s="159"/>
    </row>
    <row r="19" spans="1:4" ht="12.75">
      <c r="A19" s="158" t="s">
        <v>90</v>
      </c>
      <c r="D19" s="153">
        <v>80.13</v>
      </c>
    </row>
    <row r="21" spans="1:4" ht="12.75">
      <c r="A21" s="158" t="s">
        <v>91</v>
      </c>
      <c r="D21" s="160">
        <f>'WUTC_AW of Kent (SeaTac)_MF'!B26</f>
        <v>6094.276400000001</v>
      </c>
    </row>
    <row r="23" spans="1:4" ht="12.75">
      <c r="A23" s="158" t="s">
        <v>89</v>
      </c>
      <c r="D23">
        <f>D19/D21</f>
        <v>0.0131484026553177</v>
      </c>
    </row>
    <row r="25" ht="12.75">
      <c r="D25">
        <v>0.014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Robinson, Kristen</cp:lastModifiedBy>
  <cp:lastPrinted>2019-06-14T19:24:56Z</cp:lastPrinted>
  <dcterms:created xsi:type="dcterms:W3CDTF">2008-05-23T15:47:44Z</dcterms:created>
  <dcterms:modified xsi:type="dcterms:W3CDTF">2020-06-12T21:22:07Z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200557</vt:lpwstr>
  </property>
  <property fmtid="{D5CDD505-2E9C-101B-9397-08002B2CF9AE}" pid="10" name="Dat">
    <vt:lpwstr>2020-06-16T00:00:00Z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2020-06-16T00:00:00Z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