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35" windowWidth="18960" windowHeight="844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 name="RSA" sheetId="7" r:id="rId7"/>
  </sheets>
  <externalReferences>
    <externalReference r:id="rId10"/>
    <externalReference r:id="rId11"/>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Bellevue_SF'!$A$1:$I$66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sharedStrings.xml><?xml version="1.0" encoding="utf-8"?>
<sst xmlns="http://schemas.openxmlformats.org/spreadsheetml/2006/main" count="242" uniqueCount="114">
  <si>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</si>
  <si>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</si>
  <si>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</si>
  <si>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</si>
  <si>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</si>
  <si>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</si>
  <si>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</si>
  <si>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</si>
  <si>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</si>
  <si>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</si>
  <si>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</si>
  <si>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</si>
  <si>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</si>
  <si>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</si>
  <si>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</si>
  <si>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</si>
  <si>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</si>
  <si>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</si>
  <si>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</si>
  <si>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</si>
  <si>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</si>
  <si>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</si>
  <si>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</si>
  <si>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</si>
  <si>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</si>
  <si>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</si>
  <si>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</si>
  <si>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</si>
  <si>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</si>
  <si>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</si>
  <si>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</si>
  <si>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</si>
  <si>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</si>
  <si>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</si>
  <si>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</si>
  <si>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</si>
  <si>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</si>
  <si>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</si>
  <si>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</si>
  <si>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</si>
  <si>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</si>
  <si>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</si>
  <si>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</si>
  <si>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</si>
  <si>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</si>
  <si>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</si>
  <si>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</si>
  <si>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</si>
  <si>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</si>
  <si>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</si>
  <si>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</si>
  <si>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</si>
  <si>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</si>
  <si>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</si>
  <si>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</si>
  <si>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</si>
  <si>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</si>
  <si>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</si>
  <si>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</si>
  <si>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</si>
  <si>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</si>
  <si>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</si>
  <si>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</si>
  <si>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</si>
  <si>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</si>
  <si>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</si>
  <si>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</si>
  <si>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</si>
  <si>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</si>
  <si>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</si>
  <si>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</si>
  <si>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</si>
  <si>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</si>
  <si>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</si>
  <si>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</si>
  <si>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</si>
  <si>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</si>
  <si>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</si>
  <si>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TG-12______</t>
  </si>
  <si>
    <t>% of Revenue Passed Back</t>
  </si>
  <si>
    <t>% Passed Back</t>
  </si>
  <si>
    <t>Check and change values</t>
  </si>
  <si>
    <t>Rabanco Ltd (dba Republic Services)</t>
  </si>
  <si>
    <t xml:space="preserve"> True-up Computation</t>
  </si>
  <si>
    <t xml:space="preserve"> Projected Credit</t>
  </si>
  <si>
    <t>Material Shrinkage</t>
  </si>
  <si>
    <t>Shrinkage</t>
  </si>
  <si>
    <t>Metal</t>
  </si>
  <si>
    <t>Excess Commodity Value</t>
  </si>
  <si>
    <t>Prior six months</t>
  </si>
  <si>
    <t>Current six months</t>
  </si>
  <si>
    <t>Total twelve months</t>
  </si>
  <si>
    <t xml:space="preserve">12 month running average "BASE CREDIT" </t>
  </si>
  <si>
    <t>Allocation to Divisions:</t>
  </si>
  <si>
    <t>SF portion</t>
  </si>
  <si>
    <t>MF portion</t>
  </si>
  <si>
    <t>RSA Rev breakdown:</t>
  </si>
  <si>
    <t>SF $</t>
  </si>
  <si>
    <t>MF $</t>
  </si>
  <si>
    <t>SF %</t>
  </si>
  <si>
    <t>MF %</t>
  </si>
  <si>
    <t>Bellevue</t>
  </si>
  <si>
    <t>Kent</t>
  </si>
  <si>
    <t>SeaTac</t>
  </si>
  <si>
    <t>Underspent RSA per King County report</t>
  </si>
  <si>
    <t>Bellevue SF RSA Unspent</t>
  </si>
  <si>
    <t>Credit per customer</t>
  </si>
  <si>
    <t>2019/2020 Monthly True-up Amount</t>
  </si>
  <si>
    <t>8/1/20 - 7/31/21 Adjusted Credit</t>
  </si>
  <si>
    <t>Commodity Value versus Credits</t>
  </si>
  <si>
    <t>use for 6 month calculation</t>
  </si>
  <si>
    <t>Total Passback at end of 2 year plan year 2021</t>
  </si>
  <si>
    <t>Unspent RSA dollars</t>
  </si>
  <si>
    <t>See King County letter requesting rollover into Plan Year #2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</si>
</sst>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quot;$&quot;#,##0.00"/>
  </numFmts>
  <fonts count="60">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99"/>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80">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168" fontId="9" fillId="0" borderId="17" xfId="59" applyNumberFormat="1" applyFont="1" applyBorder="1">
      <alignment/>
      <protection/>
    </xf>
    <xf numFmtId="41" fontId="7" fillId="0" borderId="18" xfId="59" applyNumberFormat="1" applyFont="1" applyBorder="1">
      <alignment/>
      <protection/>
    </xf>
    <xf numFmtId="165" fontId="7" fillId="0" borderId="0" xfId="62" applyNumberFormat="1" applyFont="1" applyAlignment="1">
      <alignment/>
    </xf>
    <xf numFmtId="167" fontId="7" fillId="35" borderId="0" xfId="59" applyNumberFormat="1" applyFont="1" applyFill="1">
      <alignment/>
      <protection/>
    </xf>
    <xf numFmtId="9" fontId="7" fillId="35" borderId="19" xfId="62" applyFont="1" applyFill="1" applyBorder="1" applyAlignment="1">
      <alignment/>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5" fontId="58" fillId="36" borderId="20" xfId="62" applyNumberFormat="1" applyFont="1" applyFill="1" applyBorder="1" applyAlignment="1">
      <alignment horizontal="center"/>
    </xf>
    <xf numFmtId="41" fontId="59" fillId="36" borderId="20" xfId="59" applyNumberFormat="1" applyFont="1" applyFill="1" applyBorder="1" applyAlignment="1">
      <alignment horizontal="center"/>
      <protection/>
    </xf>
    <xf numFmtId="41" fontId="59" fillId="36" borderId="20" xfId="59" applyNumberFormat="1" applyFont="1" applyFill="1" applyBorder="1">
      <alignment/>
      <protection/>
    </xf>
    <xf numFmtId="168" fontId="59" fillId="36" borderId="20" xfId="59" applyNumberFormat="1" applyFont="1" applyFill="1" applyBorder="1">
      <alignment/>
      <protection/>
    </xf>
    <xf numFmtId="165" fontId="7" fillId="0" borderId="0" xfId="62"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xf numFmtId="182" fontId="0" fillId="0" borderId="0" xfId="0" applyNumberFormat="1" applyAlignment="1">
      <alignment/>
    </xf>
    <xf numFmtId="10" fontId="0" fillId="0" borderId="0" xfId="0" applyNumberFormat="1" applyAlignment="1">
      <alignment/>
    </xf>
    <xf numFmtId="0" fontId="0" fillId="0" borderId="0" xfId="0" applyFont="1" applyAlignment="1">
      <alignment/>
    </xf>
    <xf numFmtId="0" fontId="1" fillId="0" borderId="21" xfId="0" applyFont="1" applyBorder="1" applyAlignment="1">
      <alignment/>
    </xf>
    <xf numFmtId="0" fontId="1" fillId="0" borderId="22" xfId="0" applyFont="1" applyBorder="1" applyAlignment="1">
      <alignment/>
    </xf>
    <xf numFmtId="182" fontId="1" fillId="0" borderId="23" xfId="0" applyNumberFormat="1" applyFont="1" applyBorder="1" applyAlignment="1">
      <alignment/>
    </xf>
    <xf numFmtId="0" fontId="1" fillId="0" borderId="0" xfId="0" applyFont="1" applyAlignment="1">
      <alignment/>
    </xf>
    <xf numFmtId="0" fontId="0" fillId="0" borderId="24" xfId="0" applyFont="1" applyBorder="1" applyAlignment="1">
      <alignment/>
    </xf>
    <xf numFmtId="0" fontId="0" fillId="0" borderId="10" xfId="0" applyBorder="1" applyAlignment="1">
      <alignment/>
    </xf>
    <xf numFmtId="182" fontId="0" fillId="0" borderId="25" xfId="0" applyNumberFormat="1" applyBorder="1" applyAlignment="1">
      <alignment/>
    </xf>
    <xf numFmtId="182" fontId="0" fillId="0" borderId="19" xfId="0" applyNumberFormat="1" applyBorder="1" applyAlignment="1">
      <alignment/>
    </xf>
    <xf numFmtId="182" fontId="0" fillId="32" borderId="19" xfId="0" applyNumberFormat="1" applyFill="1" applyBorder="1" applyAlignment="1">
      <alignment/>
    </xf>
    <xf numFmtId="41" fontId="0" fillId="0" borderId="0" xfId="0" applyNumberFormat="1" applyAlignment="1">
      <alignment/>
    </xf>
    <xf numFmtId="39" fontId="7" fillId="37" borderId="11" xfId="59" applyNumberFormat="1" applyFont="1" applyFill="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867275"/>
          <a:ext cx="514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9525</xdr:colOff>
      <xdr:row>37</xdr:row>
      <xdr:rowOff>76200</xdr:rowOff>
    </xdr:to>
    <xdr:sp>
      <xdr:nvSpPr>
        <xdr:cNvPr id="2" name="Straight Arrow Connector 4"/>
        <xdr:cNvSpPr>
          <a:spLocks/>
        </xdr:cNvSpPr>
      </xdr:nvSpPr>
      <xdr:spPr>
        <a:xfrm flipH="1">
          <a:off x="4743450" y="4867275"/>
          <a:ext cx="542925" cy="76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0"/>
  <sheetViews>
    <sheetView showGridLines="0" tabSelected="1" zoomScaleSheetLayoutView="100" zoomScalePageLayoutView="0" workbookViewId="0" topLeftCell="A1">
      <pane ySplit="4" topLeftCell="A5" activePane="bottomLeft" state="frozen"/>
      <selection pane="topLeft" activeCell="G25" sqref="G25"/>
      <selection pane="bottomLeft" activeCell="A1" sqref="A1"/>
    </sheetView>
  </sheetViews>
  <sheetFormatPr defaultColWidth="9.140625" defaultRowHeight="12.75" outlineLevelRow="1"/>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82</v>
      </c>
      <c r="B1" s="2"/>
      <c r="C1" s="2"/>
      <c r="D1" s="2"/>
      <c r="E1" s="2"/>
      <c r="F1" s="2"/>
      <c r="G1" s="3"/>
      <c r="H1" s="2"/>
      <c r="I1" s="2"/>
      <c r="J1" s="1" t="s">
        <v>78</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2020</v>
      </c>
      <c r="B3" s="2"/>
      <c r="C3" s="2"/>
      <c r="D3" s="2"/>
      <c r="E3" s="2"/>
      <c r="F3" s="3"/>
      <c r="G3" s="3"/>
      <c r="H3" s="2"/>
      <c r="I3" s="2"/>
      <c r="J3" s="2"/>
      <c r="K3" s="2"/>
      <c r="L3" s="2"/>
      <c r="M3" s="2"/>
      <c r="N3" s="2"/>
      <c r="O3" s="2"/>
      <c r="P3" s="2"/>
      <c r="Q3" s="2"/>
      <c r="R3" s="2"/>
      <c r="S3" s="2"/>
      <c r="T3" s="2"/>
      <c r="U3" s="2"/>
      <c r="V3" s="2"/>
      <c r="W3" s="3"/>
      <c r="X3" s="3"/>
      <c r="Y3" s="3"/>
      <c r="Z3" s="3"/>
      <c r="AA3" s="3"/>
    </row>
    <row r="4" spans="1:22" ht="12.75">
      <c r="A4" s="6"/>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7" s="16" customFormat="1" ht="11.25">
      <c r="A7" s="15" t="s">
        <v>5</v>
      </c>
      <c r="B7" s="12" t="s">
        <v>6</v>
      </c>
      <c r="C7" s="12"/>
      <c r="D7" s="12" t="s">
        <v>3</v>
      </c>
      <c r="E7" s="12"/>
      <c r="F7" s="12" t="s">
        <v>7</v>
      </c>
      <c r="G7" s="12"/>
      <c r="H7" s="12"/>
      <c r="I7" s="12"/>
      <c r="J7" s="12" t="s">
        <v>6</v>
      </c>
      <c r="K7" s="12"/>
      <c r="O7" s="141" t="str">
        <f>+F7</f>
        <v>per Customer</v>
      </c>
      <c r="P7" s="112"/>
      <c r="Q7" s="16">
        <v>10985</v>
      </c>
    </row>
    <row r="8" spans="1:17" s="16" customFormat="1" ht="11.25">
      <c r="A8" s="127">
        <f>'Single Family'!$C$6</f>
        <v>43586</v>
      </c>
      <c r="B8" s="160">
        <v>10995</v>
      </c>
      <c r="C8" s="113"/>
      <c r="D8" s="114">
        <f>VLOOKUP(A8,Value!$A$6:$O$17,15,)</f>
        <v>3161.305624948999</v>
      </c>
      <c r="E8" s="113"/>
      <c r="F8" s="16">
        <f aca="true" t="shared" si="0" ref="F8:F13">ROUND(D8/B8,2)</f>
        <v>0.29</v>
      </c>
      <c r="G8" s="113"/>
      <c r="H8" s="113"/>
      <c r="I8" s="113"/>
      <c r="J8" s="14">
        <f aca="true" t="shared" si="1" ref="J8:J18">+B8</f>
        <v>10995</v>
      </c>
      <c r="K8" s="13">
        <f aca="true" t="shared" si="2" ref="K8:K18">YEAR(A8)</f>
        <v>2019</v>
      </c>
      <c r="O8" s="142">
        <f>VLOOKUP(A8,Value!$A$6:$O$17,13,FALSE)</f>
        <v>6322.611249897998</v>
      </c>
      <c r="P8" s="112"/>
      <c r="Q8" s="16">
        <v>10991</v>
      </c>
    </row>
    <row r="9" spans="1:17" s="16" customFormat="1" ht="11.25">
      <c r="A9" s="17">
        <f aca="true" t="shared" si="3" ref="A9:A18">EOMONTH(A8,1)</f>
        <v>43646</v>
      </c>
      <c r="B9" s="161">
        <v>10999</v>
      </c>
      <c r="C9" s="20"/>
      <c r="D9" s="114">
        <f>VLOOKUP(A9,Value!$A$6:$O$17,15,)</f>
        <v>2954.877572108</v>
      </c>
      <c r="E9" s="14"/>
      <c r="F9" s="16">
        <f t="shared" si="0"/>
        <v>0.27</v>
      </c>
      <c r="G9" s="14"/>
      <c r="H9" s="14"/>
      <c r="I9" s="14"/>
      <c r="J9" s="14">
        <f t="shared" si="1"/>
        <v>10999</v>
      </c>
      <c r="K9" s="13">
        <f t="shared" si="2"/>
        <v>2019</v>
      </c>
      <c r="O9" s="142">
        <f>VLOOKUP(A9,Value!$A$6:$O$17,13,FALSE)</f>
        <v>5909.755144216</v>
      </c>
      <c r="P9" s="112"/>
      <c r="Q9" s="16">
        <v>10970</v>
      </c>
    </row>
    <row r="10" spans="1:17" s="16" customFormat="1" ht="11.25">
      <c r="A10" s="17">
        <f t="shared" si="3"/>
        <v>43677</v>
      </c>
      <c r="B10" s="161">
        <v>11077</v>
      </c>
      <c r="C10" s="14"/>
      <c r="D10" s="114">
        <f>VLOOKUP(A10,Value!$A$6:$O$17,15,)</f>
        <v>2816.2152140079997</v>
      </c>
      <c r="E10" s="14"/>
      <c r="F10" s="16">
        <f t="shared" si="0"/>
        <v>0.25</v>
      </c>
      <c r="G10" s="14"/>
      <c r="H10" s="14"/>
      <c r="I10" s="14"/>
      <c r="J10" s="14">
        <f t="shared" si="1"/>
        <v>11077</v>
      </c>
      <c r="K10" s="13">
        <f t="shared" si="2"/>
        <v>2019</v>
      </c>
      <c r="O10" s="142">
        <f>VLOOKUP(A10,Value!$A$6:$O$17,13,FALSE)</f>
        <v>5632.4304280159995</v>
      </c>
      <c r="P10" s="112"/>
      <c r="Q10" s="16">
        <v>10992</v>
      </c>
    </row>
    <row r="11" spans="1:16" s="16" customFormat="1" ht="11.25">
      <c r="A11" s="17">
        <f>EOMONTH(A10,1)</f>
        <v>43708</v>
      </c>
      <c r="B11" s="161">
        <v>11080</v>
      </c>
      <c r="C11" s="14"/>
      <c r="D11" s="114">
        <f>VLOOKUP(A11,Value!$A$6:$O$17,15,)</f>
        <v>1869.6271283239998</v>
      </c>
      <c r="E11" s="14"/>
      <c r="F11" s="16">
        <f t="shared" si="0"/>
        <v>0.17</v>
      </c>
      <c r="G11" s="23"/>
      <c r="H11" s="14"/>
      <c r="I11" s="14"/>
      <c r="J11" s="14">
        <f t="shared" si="1"/>
        <v>11080</v>
      </c>
      <c r="K11" s="13">
        <f t="shared" si="2"/>
        <v>2019</v>
      </c>
      <c r="O11" s="142">
        <f>VLOOKUP(A11,Value!$A$6:$O$17,13,FALSE)</f>
        <v>3739.2542566479997</v>
      </c>
      <c r="P11" s="112"/>
    </row>
    <row r="12" spans="1:16" s="16" customFormat="1" ht="11.25">
      <c r="A12" s="17">
        <f t="shared" si="3"/>
        <v>43738</v>
      </c>
      <c r="B12" s="161">
        <v>11105</v>
      </c>
      <c r="C12" s="14"/>
      <c r="D12" s="114">
        <f>VLOOKUP(A12,Value!$A$6:$O$17,15,)</f>
        <v>1414.6338906810001</v>
      </c>
      <c r="E12" s="14"/>
      <c r="F12" s="16">
        <f t="shared" si="0"/>
        <v>0.13</v>
      </c>
      <c r="G12" s="23"/>
      <c r="H12" s="14"/>
      <c r="I12" s="14"/>
      <c r="J12" s="14">
        <f t="shared" si="1"/>
        <v>11105</v>
      </c>
      <c r="K12" s="13">
        <f t="shared" si="2"/>
        <v>2019</v>
      </c>
      <c r="O12" s="142">
        <f>VLOOKUP(A12,Value!$A$6:$O$17,13,FALSE)</f>
        <v>2829.2677813620003</v>
      </c>
      <c r="P12" s="112"/>
    </row>
    <row r="13" spans="1:16" s="16" customFormat="1" ht="11.25">
      <c r="A13" s="17">
        <f t="shared" si="3"/>
        <v>43769</v>
      </c>
      <c r="B13" s="161">
        <v>11107</v>
      </c>
      <c r="C13" s="14"/>
      <c r="D13" s="114">
        <f>VLOOKUP(A13,Value!$A$6:$O$17,15,)</f>
        <v>193.35092373300017</v>
      </c>
      <c r="E13" s="14"/>
      <c r="F13" s="16">
        <f t="shared" si="0"/>
        <v>0.02</v>
      </c>
      <c r="G13" s="23"/>
      <c r="H13" s="14"/>
      <c r="I13" s="14"/>
      <c r="J13" s="14">
        <f t="shared" si="1"/>
        <v>11107</v>
      </c>
      <c r="K13" s="13">
        <f t="shared" si="2"/>
        <v>2019</v>
      </c>
      <c r="O13" s="142">
        <f>VLOOKUP(A13,Value!$A$6:$O$17,13,FALSE)</f>
        <v>386.70184746600034</v>
      </c>
      <c r="P13" s="112"/>
    </row>
    <row r="14" spans="1:16" s="16" customFormat="1" ht="11.25">
      <c r="A14" s="17"/>
      <c r="B14" s="14"/>
      <c r="C14" s="14"/>
      <c r="D14" s="114"/>
      <c r="E14" s="14"/>
      <c r="G14" s="23"/>
      <c r="H14" s="14"/>
      <c r="I14" s="14"/>
      <c r="J14" s="14"/>
      <c r="K14" s="13"/>
      <c r="O14" s="142"/>
      <c r="P14" s="112"/>
    </row>
    <row r="15" spans="1:16" s="16" customFormat="1" ht="11.25">
      <c r="A15" s="17" t="s">
        <v>89</v>
      </c>
      <c r="B15" s="14">
        <f>SUM(B8:B13)</f>
        <v>66363</v>
      </c>
      <c r="C15" s="14"/>
      <c r="D15" s="14">
        <f>SUM(D8:D13)</f>
        <v>12410.010353802998</v>
      </c>
      <c r="E15" s="14"/>
      <c r="G15" s="23"/>
      <c r="H15" s="14"/>
      <c r="I15" s="14"/>
      <c r="J15" s="14"/>
      <c r="K15" s="13"/>
      <c r="O15" s="142"/>
      <c r="P15" s="112"/>
    </row>
    <row r="16" spans="1:16" s="16" customFormat="1" ht="11.25">
      <c r="A16" s="17"/>
      <c r="B16" s="14"/>
      <c r="C16" s="14"/>
      <c r="D16" s="114"/>
      <c r="E16" s="14"/>
      <c r="G16" s="23"/>
      <c r="H16" s="14"/>
      <c r="I16" s="14"/>
      <c r="J16" s="14"/>
      <c r="K16" s="13"/>
      <c r="O16" s="142"/>
      <c r="P16" s="112"/>
    </row>
    <row r="17" spans="1:16" s="16" customFormat="1" ht="11.25">
      <c r="A17" s="17">
        <f>EOMONTH(A13,1)</f>
        <v>43799</v>
      </c>
      <c r="B17" s="161">
        <v>11058</v>
      </c>
      <c r="C17" s="14"/>
      <c r="D17" s="114">
        <f>VLOOKUP(A17,Value!$A$6:$O$17,15,)</f>
        <v>1481.8494396600006</v>
      </c>
      <c r="E17" s="14"/>
      <c r="F17" s="16">
        <f aca="true" t="shared" si="4" ref="F17:F22">ROUND(D17/B17,2)</f>
        <v>0.13</v>
      </c>
      <c r="G17" s="23"/>
      <c r="H17" s="14"/>
      <c r="I17" s="14"/>
      <c r="J17" s="14">
        <f t="shared" si="1"/>
        <v>11058</v>
      </c>
      <c r="K17" s="13">
        <f t="shared" si="2"/>
        <v>2019</v>
      </c>
      <c r="O17" s="142">
        <f>VLOOKUP(A17,Value!$A$6:$O$17,13,FALSE)</f>
        <v>2963.698879320001</v>
      </c>
      <c r="P17" s="112"/>
    </row>
    <row r="18" spans="1:16" s="16" customFormat="1" ht="11.25">
      <c r="A18" s="17">
        <f t="shared" si="3"/>
        <v>43830</v>
      </c>
      <c r="B18" s="161">
        <v>11124</v>
      </c>
      <c r="C18" s="14"/>
      <c r="D18" s="114">
        <f>VLOOKUP(A18,Value!$A$6:$O$17,15,)</f>
        <v>1970.6775487200011</v>
      </c>
      <c r="E18" s="14"/>
      <c r="F18" s="16">
        <f t="shared" si="4"/>
        <v>0.18</v>
      </c>
      <c r="G18" s="23"/>
      <c r="H18" s="14"/>
      <c r="I18" s="14"/>
      <c r="J18" s="14">
        <f t="shared" si="1"/>
        <v>11124</v>
      </c>
      <c r="K18" s="13">
        <f t="shared" si="2"/>
        <v>2019</v>
      </c>
      <c r="O18" s="142">
        <f>VLOOKUP(A18,Value!$A$6:$O$17,13,FALSE)</f>
        <v>3941.3550974400023</v>
      </c>
      <c r="P18" s="112"/>
    </row>
    <row r="19" spans="1:25" s="16" customFormat="1" ht="11.25">
      <c r="A19" s="17">
        <f>EOMONTH(A18,1)</f>
        <v>43861</v>
      </c>
      <c r="B19" s="161">
        <v>11119</v>
      </c>
      <c r="C19" s="14"/>
      <c r="D19" s="114">
        <f>VLOOKUP(A19,Value!$A$6:$O$17,15,)</f>
        <v>108.21777328000007</v>
      </c>
      <c r="E19" s="14"/>
      <c r="F19" s="16">
        <f t="shared" si="4"/>
        <v>0.01</v>
      </c>
      <c r="G19" s="23"/>
      <c r="H19" s="14"/>
      <c r="I19" s="14"/>
      <c r="J19" s="14">
        <f>+B19</f>
        <v>11119</v>
      </c>
      <c r="K19" s="13">
        <f>YEAR(A19)</f>
        <v>2020</v>
      </c>
      <c r="O19" s="142">
        <f>VLOOKUP(A19,Value!$A$6:$O$17,13,FALSE)</f>
        <v>216.43554656000015</v>
      </c>
      <c r="P19" s="112"/>
      <c r="X19" s="14"/>
      <c r="Y19" s="14"/>
    </row>
    <row r="20" spans="1:27" s="16" customFormat="1" ht="11.25">
      <c r="A20" s="17">
        <f>EOMONTH(A19,1)</f>
        <v>43890</v>
      </c>
      <c r="B20" s="161">
        <v>11088</v>
      </c>
      <c r="C20" s="14"/>
      <c r="D20" s="114">
        <f>VLOOKUP(A20,Value!$A$6:$O$17,15,)</f>
        <v>736.6398666260002</v>
      </c>
      <c r="E20" s="14"/>
      <c r="F20" s="16">
        <f t="shared" si="4"/>
        <v>0.07</v>
      </c>
      <c r="G20" s="23"/>
      <c r="H20" s="14"/>
      <c r="I20" s="14"/>
      <c r="J20" s="14">
        <f>+B20</f>
        <v>11088</v>
      </c>
      <c r="K20" s="13">
        <f>YEAR(A20)</f>
        <v>2020</v>
      </c>
      <c r="L20" s="14"/>
      <c r="M20" s="14"/>
      <c r="N20" s="14"/>
      <c r="O20" s="142">
        <f>VLOOKUP(A20,Value!$A$6:$O$17,13,FALSE)</f>
        <v>1473.2797332520004</v>
      </c>
      <c r="P20" s="35"/>
      <c r="Q20" s="14"/>
      <c r="R20" s="14"/>
      <c r="S20" s="14"/>
      <c r="T20" s="14"/>
      <c r="U20" s="14"/>
      <c r="V20" s="14"/>
      <c r="W20" s="14"/>
      <c r="Y20" s="14"/>
      <c r="AA20" s="14"/>
    </row>
    <row r="21" spans="1:16" s="16" customFormat="1" ht="11.25">
      <c r="A21" s="17">
        <f>EOMONTH(A20,1)</f>
        <v>43921</v>
      </c>
      <c r="B21" s="161">
        <v>11105</v>
      </c>
      <c r="C21" s="14"/>
      <c r="D21" s="114">
        <f>VLOOKUP(A21,Value!$A$6:$O$17,15,)</f>
        <v>1455.2028012600003</v>
      </c>
      <c r="E21" s="14"/>
      <c r="F21" s="16">
        <f t="shared" si="4"/>
        <v>0.13</v>
      </c>
      <c r="G21" s="23"/>
      <c r="H21" s="20"/>
      <c r="I21" s="14"/>
      <c r="J21" s="14">
        <f>+B21</f>
        <v>11105</v>
      </c>
      <c r="K21" s="13">
        <f>YEAR(A21)</f>
        <v>2020</v>
      </c>
      <c r="O21" s="142">
        <f>VLOOKUP(A21,Value!$A$6:$O$17,13,FALSE)</f>
        <v>2910.4056025200007</v>
      </c>
      <c r="P21" s="112"/>
    </row>
    <row r="22" spans="1:16" s="16" customFormat="1" ht="11.25">
      <c r="A22" s="17">
        <f>EOMONTH(A21,1)</f>
        <v>43951</v>
      </c>
      <c r="B22" s="161">
        <v>11114</v>
      </c>
      <c r="C22" s="14"/>
      <c r="D22" s="114">
        <f>VLOOKUP(A22,Value!$A$6:$O$17,15,)</f>
        <v>1308.4897070719999</v>
      </c>
      <c r="E22" s="14"/>
      <c r="F22" s="16">
        <f t="shared" si="4"/>
        <v>0.12</v>
      </c>
      <c r="G22" s="23"/>
      <c r="H22" s="20"/>
      <c r="I22" s="14"/>
      <c r="J22" s="14">
        <f>+B22</f>
        <v>11114</v>
      </c>
      <c r="K22" s="13">
        <f>YEAR(A22)</f>
        <v>2020</v>
      </c>
      <c r="O22" s="142">
        <f>VLOOKUP(A22,Value!$A$6:$O$17,13,FALSE)</f>
        <v>2616.9794141439997</v>
      </c>
      <c r="P22" s="112"/>
    </row>
    <row r="23" spans="1:15" s="16" customFormat="1" ht="11.25">
      <c r="A23" s="17"/>
      <c r="B23" s="14"/>
      <c r="C23" s="14"/>
      <c r="E23" s="14"/>
      <c r="G23" s="14"/>
      <c r="H23" s="14"/>
      <c r="I23" s="14"/>
      <c r="J23" s="14"/>
      <c r="K23" s="13"/>
      <c r="O23" s="143"/>
    </row>
    <row r="24" spans="1:16" s="16" customFormat="1" ht="11.25">
      <c r="A24" s="17" t="s">
        <v>90</v>
      </c>
      <c r="B24" s="21">
        <f>SUM(B17:B22)</f>
        <v>66608</v>
      </c>
      <c r="C24" s="20"/>
      <c r="D24" s="22">
        <f>SUM(D17:D22)</f>
        <v>7061.077136618002</v>
      </c>
      <c r="G24" s="14"/>
      <c r="H24" s="14"/>
      <c r="I24" s="14"/>
      <c r="J24" s="14"/>
      <c r="K24" s="13"/>
      <c r="O24" s="143"/>
      <c r="P24" s="144"/>
    </row>
    <row r="25" spans="4:16" ht="12.75">
      <c r="D25" s="25"/>
      <c r="O25" s="143">
        <f>SUM(O8:O24)</f>
        <v>38942.17498084199</v>
      </c>
      <c r="P25" s="119"/>
    </row>
    <row r="26" spans="1:16" s="16" customFormat="1" ht="12" thickBot="1">
      <c r="A26" s="26" t="s">
        <v>91</v>
      </c>
      <c r="B26" s="27">
        <f>B15+B24</f>
        <v>132971</v>
      </c>
      <c r="C26" s="20"/>
      <c r="D26" s="28">
        <f>D15+D24</f>
        <v>19471.087490421</v>
      </c>
      <c r="E26" s="20" t="s">
        <v>10</v>
      </c>
      <c r="F26" s="23">
        <f>ROUND(D26/B26,3)</f>
        <v>0.146</v>
      </c>
      <c r="G26" s="20" t="s">
        <v>11</v>
      </c>
      <c r="H26" s="14"/>
      <c r="I26" s="14"/>
      <c r="J26" s="27">
        <f>SUM(J8:J25)</f>
        <v>132971</v>
      </c>
      <c r="K26" s="20" t="s">
        <v>12</v>
      </c>
      <c r="O26" s="145">
        <f>ROUND(O25/J26,3)</f>
        <v>0.293</v>
      </c>
      <c r="P26" s="112"/>
    </row>
    <row r="27" spans="2:16" s="16" customFormat="1" ht="12" thickTop="1">
      <c r="B27" s="14"/>
      <c r="C27" s="14"/>
      <c r="D27" s="14"/>
      <c r="E27" s="14"/>
      <c r="F27" s="14"/>
      <c r="G27" s="14"/>
      <c r="H27" s="14"/>
      <c r="I27" s="14"/>
      <c r="J27" s="14"/>
      <c r="K27" s="14"/>
      <c r="O27" s="146">
        <f>+J22</f>
        <v>11114</v>
      </c>
      <c r="P27" s="112"/>
    </row>
    <row r="28" spans="2:16" s="16" customFormat="1" ht="11.25">
      <c r="B28" s="14"/>
      <c r="C28" s="14"/>
      <c r="D28" s="14"/>
      <c r="E28" s="14"/>
      <c r="F28" s="23"/>
      <c r="H28" s="14"/>
      <c r="I28" s="14"/>
      <c r="J28" s="14"/>
      <c r="K28" s="14"/>
      <c r="O28" s="112"/>
      <c r="P28" s="112"/>
    </row>
    <row r="29" spans="2:16" s="16" customFormat="1" ht="11.25">
      <c r="B29" s="14"/>
      <c r="C29" s="14"/>
      <c r="D29" s="14"/>
      <c r="E29" s="14"/>
      <c r="F29" s="14"/>
      <c r="G29" s="14"/>
      <c r="H29" s="14"/>
      <c r="I29" s="14"/>
      <c r="J29" s="14"/>
      <c r="K29" s="14"/>
      <c r="O29" s="112"/>
      <c r="P29" s="112"/>
    </row>
    <row r="30" spans="2:11" s="16" customFormat="1" ht="12" thickBot="1">
      <c r="B30" s="29" t="s">
        <v>109</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19471</v>
      </c>
      <c r="H32" s="20" t="s">
        <v>10</v>
      </c>
      <c r="I32" s="14"/>
      <c r="J32" s="14"/>
      <c r="K32" s="14"/>
    </row>
    <row r="33" spans="1:27" s="13" customFormat="1" ht="11.25">
      <c r="A33" s="33"/>
      <c r="B33" s="31"/>
      <c r="C33" s="14"/>
      <c r="D33" s="14"/>
      <c r="E33" s="14"/>
      <c r="F33" s="14"/>
      <c r="G33" s="14"/>
      <c r="H33" s="20"/>
      <c r="I33" s="14"/>
      <c r="J33" s="14"/>
      <c r="K33" s="14"/>
      <c r="O33" s="16">
        <f>12*O27*O26</f>
        <v>39076.824</v>
      </c>
      <c r="W33" s="14"/>
      <c r="X33" s="16"/>
      <c r="Y33" s="16"/>
      <c r="AA33" s="14"/>
    </row>
    <row r="34" spans="1:15" s="16" customFormat="1" ht="11.25" hidden="1" outlineLevel="1">
      <c r="A34" s="16" t="s">
        <v>110</v>
      </c>
      <c r="B34" s="14" t="s">
        <v>15</v>
      </c>
      <c r="C34" s="14"/>
      <c r="D34" s="14"/>
      <c r="E34" s="14"/>
      <c r="F34" s="162">
        <v>0</v>
      </c>
      <c r="G34" s="14"/>
      <c r="H34" s="14"/>
      <c r="I34" s="14"/>
      <c r="J34" s="14"/>
      <c r="K34" s="14"/>
      <c r="O34" s="16">
        <f>12*O27*G57</f>
        <v>19471.728000000003</v>
      </c>
    </row>
    <row r="35" spans="2:15" s="16" customFormat="1" ht="11.25" hidden="1" outlineLevel="1">
      <c r="B35" s="14"/>
      <c r="C35" s="14"/>
      <c r="D35" s="14"/>
      <c r="E35" s="14"/>
      <c r="F35" s="35"/>
      <c r="G35" s="20"/>
      <c r="H35" s="14"/>
      <c r="I35" s="14"/>
      <c r="J35" s="14"/>
      <c r="K35" s="14"/>
      <c r="O35" s="147">
        <f>+O34/O33</f>
        <v>0.49829351535836186</v>
      </c>
    </row>
    <row r="36" spans="2:11" s="16" customFormat="1" ht="11.25" hidden="1" outlineLevel="1">
      <c r="B36" s="14"/>
      <c r="C36" s="14" t="s">
        <v>16</v>
      </c>
      <c r="D36" s="14"/>
      <c r="E36" s="14"/>
      <c r="F36" s="21">
        <f>ROUND(F34*F35,0)</f>
        <v>0</v>
      </c>
      <c r="G36" s="20"/>
      <c r="H36" s="14"/>
      <c r="I36" s="14"/>
      <c r="J36" s="14"/>
      <c r="K36" s="14"/>
    </row>
    <row r="37" spans="2:11" s="16" customFormat="1" ht="11.25" hidden="1" outlineLevel="1">
      <c r="B37" s="14"/>
      <c r="C37" s="14"/>
      <c r="D37" s="14"/>
      <c r="E37" s="14"/>
      <c r="F37" s="35"/>
      <c r="G37" s="20"/>
      <c r="H37" s="14" t="s">
        <v>81</v>
      </c>
      <c r="I37" s="14"/>
      <c r="J37" s="14"/>
      <c r="K37" s="14"/>
    </row>
    <row r="38" spans="2:11" s="16" customFormat="1" ht="11.25" collapsed="1">
      <c r="B38" s="14" t="s">
        <v>15</v>
      </c>
      <c r="C38" s="14"/>
      <c r="D38" s="14"/>
      <c r="E38" s="14"/>
      <c r="F38" s="162">
        <v>0.31299999999999994</v>
      </c>
      <c r="G38" s="14"/>
      <c r="H38" s="14"/>
      <c r="I38" s="14"/>
      <c r="J38" s="14"/>
      <c r="K38" s="14"/>
    </row>
    <row r="39" spans="2:11" s="16" customFormat="1" ht="11.25">
      <c r="B39" s="14"/>
      <c r="C39" s="14" t="str">
        <f>"Customers from "&amp;TEXT($A$8,"mm/yy")&amp;" - "&amp;TEXT($A$22,"mm/yy")</f>
        <v>Customers from 05/19 - 04/20</v>
      </c>
      <c r="D39" s="14"/>
      <c r="E39" s="14"/>
      <c r="F39" s="14">
        <f>B26</f>
        <v>132971</v>
      </c>
      <c r="G39" s="20"/>
      <c r="H39" s="14"/>
      <c r="I39" s="14"/>
      <c r="J39" s="14"/>
      <c r="K39" s="14"/>
    </row>
    <row r="40" spans="2:16" s="16" customFormat="1" ht="11.25">
      <c r="B40" s="14"/>
      <c r="C40" s="14" t="s">
        <v>16</v>
      </c>
      <c r="D40" s="14"/>
      <c r="E40" s="14"/>
      <c r="F40" s="21">
        <f>ROUND(F38*F39,0)</f>
        <v>41620</v>
      </c>
      <c r="G40" s="20"/>
      <c r="H40" s="14"/>
      <c r="I40" s="14"/>
      <c r="J40" s="14"/>
      <c r="K40" s="14"/>
      <c r="L40" s="14"/>
      <c r="M40" s="14"/>
      <c r="N40" s="14"/>
      <c r="O40" s="14"/>
      <c r="P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+F40</f>
        <v>41620</v>
      </c>
      <c r="G42" s="37">
        <f>+F42</f>
        <v>41620</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88</v>
      </c>
      <c r="G45" s="38">
        <f>+G32-G42</f>
        <v>-22149</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2021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83</v>
      </c>
      <c r="C50" s="14"/>
      <c r="D50" s="14"/>
      <c r="E50" s="14"/>
      <c r="F50" s="14"/>
      <c r="G50" s="14"/>
      <c r="H50" s="14"/>
      <c r="I50" s="14"/>
      <c r="J50" s="14"/>
      <c r="K50" s="14"/>
    </row>
    <row r="51" spans="2:11" s="16" customFormat="1" ht="11.25">
      <c r="B51" s="14"/>
      <c r="C51" s="14"/>
      <c r="D51" s="14"/>
      <c r="E51" s="14"/>
      <c r="F51" s="32" t="s">
        <v>20</v>
      </c>
      <c r="G51" s="14">
        <f>+J26</f>
        <v>132971</v>
      </c>
      <c r="H51" s="20" t="s">
        <v>12</v>
      </c>
      <c r="I51" s="14"/>
      <c r="J51" s="14"/>
      <c r="K51" s="14"/>
    </row>
    <row r="52" spans="2:11" s="16" customFormat="1" ht="11.25">
      <c r="B52" s="14"/>
      <c r="C52" s="14"/>
      <c r="D52" s="14"/>
      <c r="E52" s="14"/>
      <c r="F52" s="32" t="s">
        <v>88</v>
      </c>
      <c r="G52" s="14">
        <f>+G45</f>
        <v>-22149</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107</v>
      </c>
      <c r="G54" s="39">
        <f>ROUND(G52/G51,3)</f>
        <v>-0.167</v>
      </c>
      <c r="H54" s="14"/>
      <c r="I54" s="23">
        <f>+G54</f>
        <v>-0.167</v>
      </c>
      <c r="J54" s="14"/>
      <c r="K54" s="14"/>
    </row>
    <row r="55" spans="2:25" s="16" customFormat="1" ht="12" thickTop="1">
      <c r="B55" s="14"/>
      <c r="C55" s="14"/>
      <c r="D55" s="14"/>
      <c r="E55" s="14"/>
      <c r="F55" s="32"/>
      <c r="G55" s="14"/>
      <c r="H55" s="14"/>
      <c r="I55" s="23"/>
      <c r="J55" s="14"/>
      <c r="K55" s="14"/>
      <c r="Y55" s="14"/>
    </row>
    <row r="56" spans="2:14" s="16" customFormat="1" ht="11.25">
      <c r="B56" s="14" t="s">
        <v>84</v>
      </c>
      <c r="C56" s="14"/>
      <c r="D56" s="14"/>
      <c r="E56" s="14"/>
      <c r="F56" s="32"/>
      <c r="G56" s="14"/>
      <c r="H56" s="14"/>
      <c r="I56" s="23"/>
      <c r="J56" s="14"/>
      <c r="K56" s="14"/>
      <c r="N56" s="148" t="s">
        <v>79</v>
      </c>
    </row>
    <row r="57" spans="2:14" s="16" customFormat="1" ht="12" thickBot="1">
      <c r="B57" s="31"/>
      <c r="C57" s="14"/>
      <c r="D57" s="14"/>
      <c r="E57" s="14"/>
      <c r="F57" s="32" t="s">
        <v>92</v>
      </c>
      <c r="G57" s="40">
        <f>+F26/Value!$P$18*N57</f>
        <v>0.14600000000000002</v>
      </c>
      <c r="H57" s="14"/>
      <c r="I57" s="23">
        <f>F26</f>
        <v>0.146</v>
      </c>
      <c r="J57" s="20" t="s">
        <v>11</v>
      </c>
      <c r="K57" s="14"/>
      <c r="N57" s="149">
        <f>+'[2]WUTC_AW of Kent_MF'!$O$56</f>
        <v>0.5</v>
      </c>
    </row>
    <row r="58" spans="2:25" s="14" customFormat="1" ht="12" thickTop="1">
      <c r="B58" s="31"/>
      <c r="I58" s="23"/>
      <c r="X58" s="16"/>
      <c r="Y58" s="16"/>
    </row>
    <row r="59" spans="2:11" s="16" customFormat="1" ht="12" thickBot="1">
      <c r="B59" s="14"/>
      <c r="C59" s="14"/>
      <c r="D59" s="14"/>
      <c r="E59" s="14"/>
      <c r="F59" s="14"/>
      <c r="G59" s="32" t="s">
        <v>108</v>
      </c>
      <c r="H59" s="27"/>
      <c r="I59" s="28">
        <f>+I54+I57</f>
        <v>-0.02100000000000002</v>
      </c>
      <c r="J59" s="14"/>
      <c r="K59" s="14"/>
    </row>
    <row r="60" s="16" customFormat="1" ht="12" thickTop="1"/>
    <row r="61" s="16" customFormat="1" ht="11.25"/>
    <row r="62" spans="2:12" s="16" customFormat="1" ht="11.25">
      <c r="B62" s="137" t="s">
        <v>111</v>
      </c>
      <c r="G62" s="137" t="s">
        <v>112</v>
      </c>
      <c r="I62" s="153">
        <v>0</v>
      </c>
      <c r="J62" s="16" t="s">
        <v>113</v>
      </c>
      <c r="L62" s="23"/>
    </row>
    <row r="63" spans="1:25" s="14" customFormat="1" ht="11.25">
      <c r="A63" s="115"/>
      <c r="B63" s="35"/>
      <c r="C63" s="35"/>
      <c r="D63" s="112"/>
      <c r="E63" s="35"/>
      <c r="F63" s="112"/>
      <c r="X63" s="16"/>
      <c r="Y63" s="16"/>
    </row>
    <row r="64" spans="1:9" s="16" customFormat="1" ht="12" thickBot="1">
      <c r="A64" s="115"/>
      <c r="B64" s="116"/>
      <c r="C64" s="35"/>
      <c r="D64" s="112"/>
      <c r="E64" s="112"/>
      <c r="F64" s="112"/>
      <c r="G64" s="32" t="str">
        <f>G59</f>
        <v>8/1/20 - 7/31/21 Adjusted Credit</v>
      </c>
      <c r="H64" s="27"/>
      <c r="I64" s="179">
        <f>+I59+I62</f>
        <v>-0.02100000000000002</v>
      </c>
    </row>
    <row r="65" spans="1:6" s="16" customFormat="1" ht="12" thickTop="1">
      <c r="A65" s="115"/>
      <c r="B65" s="116"/>
      <c r="C65" s="35"/>
      <c r="D65" s="112"/>
      <c r="E65" s="112"/>
      <c r="F65" s="112"/>
    </row>
    <row r="66" spans="1:6" s="16" customFormat="1" ht="11.25">
      <c r="A66" s="115"/>
      <c r="B66" s="116"/>
      <c r="C66" s="35"/>
      <c r="D66" s="112"/>
      <c r="E66" s="112"/>
      <c r="F66" s="112"/>
    </row>
    <row r="67" spans="1:25" s="16" customFormat="1" ht="11.25">
      <c r="A67" s="115"/>
      <c r="B67" s="116"/>
      <c r="C67" s="35"/>
      <c r="D67" s="112"/>
      <c r="E67" s="112"/>
      <c r="F67" s="112"/>
      <c r="Y67" s="14"/>
    </row>
    <row r="68" spans="1:6" s="16" customFormat="1" ht="11.25">
      <c r="A68" s="115"/>
      <c r="B68" s="116"/>
      <c r="C68" s="35"/>
      <c r="D68" s="112"/>
      <c r="E68" s="112"/>
      <c r="F68" s="112"/>
    </row>
    <row r="69" spans="1:6" s="16" customFormat="1" ht="11.25">
      <c r="A69" s="115"/>
      <c r="B69" s="116"/>
      <c r="C69" s="35"/>
      <c r="D69" s="112"/>
      <c r="E69" s="112"/>
      <c r="F69" s="112"/>
    </row>
    <row r="70" spans="1:6" s="16" customFormat="1" ht="11.25">
      <c r="A70" s="115"/>
      <c r="B70" s="116"/>
      <c r="C70" s="35"/>
      <c r="D70" s="112"/>
      <c r="E70" s="112"/>
      <c r="F70" s="112"/>
    </row>
    <row r="71" spans="1:27" s="16" customFormat="1" ht="11.25">
      <c r="A71" s="115"/>
      <c r="B71" s="116"/>
      <c r="C71" s="35"/>
      <c r="D71" s="112"/>
      <c r="E71" s="118"/>
      <c r="F71" s="112"/>
      <c r="G71" s="14"/>
      <c r="H71" s="13"/>
      <c r="I71" s="14"/>
      <c r="J71" s="14"/>
      <c r="K71" s="13"/>
      <c r="L71" s="14"/>
      <c r="M71" s="14"/>
      <c r="N71" s="14"/>
      <c r="O71" s="14"/>
      <c r="P71" s="14"/>
      <c r="Q71" s="14"/>
      <c r="R71" s="14"/>
      <c r="S71" s="14"/>
      <c r="T71" s="14"/>
      <c r="U71" s="14"/>
      <c r="V71" s="13"/>
      <c r="W71" s="14"/>
      <c r="AA71" s="14"/>
    </row>
    <row r="72" spans="1:6" s="16" customFormat="1" ht="11.25">
      <c r="A72" s="115"/>
      <c r="B72" s="116"/>
      <c r="C72" s="35"/>
      <c r="D72" s="112"/>
      <c r="E72" s="112"/>
      <c r="F72" s="112"/>
    </row>
    <row r="73" spans="1:6" s="16" customFormat="1" ht="11.25">
      <c r="A73" s="115"/>
      <c r="B73" s="35"/>
      <c r="C73" s="35"/>
      <c r="D73" s="112"/>
      <c r="E73" s="112"/>
      <c r="F73" s="112"/>
    </row>
    <row r="74" spans="1:6" s="16" customFormat="1" ht="11.25">
      <c r="A74" s="115"/>
      <c r="B74" s="35"/>
      <c r="C74" s="117"/>
      <c r="D74" s="112"/>
      <c r="E74" s="112"/>
      <c r="F74" s="112"/>
    </row>
    <row r="75" spans="1:6" s="16" customFormat="1" ht="12.75">
      <c r="A75" s="119"/>
      <c r="B75" s="119"/>
      <c r="C75" s="119"/>
      <c r="D75" s="120"/>
      <c r="E75" s="112"/>
      <c r="F75" s="119"/>
    </row>
    <row r="76" spans="1:25" s="16" customFormat="1" ht="11.25">
      <c r="A76" s="121"/>
      <c r="B76" s="35"/>
      <c r="C76" s="117"/>
      <c r="D76" s="112"/>
      <c r="E76" s="112"/>
      <c r="F76" s="122"/>
      <c r="Y76" s="14"/>
    </row>
    <row r="77" s="16" customFormat="1" ht="11.25"/>
    <row r="78" s="16" customFormat="1" ht="11.25"/>
    <row r="79" s="16" customFormat="1" ht="11.25"/>
    <row r="80" s="16" customFormat="1" ht="11.25">
      <c r="B80" s="8"/>
    </row>
    <row r="81" spans="2:25" s="14" customFormat="1" ht="11.25">
      <c r="B81" s="31"/>
      <c r="X81" s="16"/>
      <c r="Y81" s="16"/>
    </row>
    <row r="82" s="16" customFormat="1" ht="11.25"/>
    <row r="83" s="16" customFormat="1" ht="11.25"/>
    <row r="84" s="16" customFormat="1" ht="11.25"/>
    <row r="85" s="16" customFormat="1" ht="11.25"/>
    <row r="86" s="16" customFormat="1" ht="11.25"/>
    <row r="87" s="16" customFormat="1" ht="11.25"/>
    <row r="88" s="16" customFormat="1" ht="11.25"/>
    <row r="89" s="16" customFormat="1" ht="11.25"/>
    <row r="90" s="16" customFormat="1" ht="11.25">
      <c r="A90" s="6"/>
    </row>
    <row r="91" s="16" customFormat="1" ht="12.75">
      <c r="AA91" s="5"/>
    </row>
    <row r="92" s="16" customFormat="1" ht="12.75">
      <c r="AA92" s="5"/>
    </row>
    <row r="93" s="16" customFormat="1" ht="12.75">
      <c r="AA93" s="5"/>
    </row>
    <row r="94" s="16" customFormat="1" ht="12.75">
      <c r="AA94" s="5"/>
    </row>
    <row r="95" spans="7:27" s="16" customFormat="1" ht="12.75">
      <c r="G95" s="56"/>
      <c r="I95" s="56"/>
      <c r="J95" s="56"/>
      <c r="L95" s="56"/>
      <c r="M95" s="56"/>
      <c r="N95" s="56"/>
      <c r="O95" s="56"/>
      <c r="P95" s="56"/>
      <c r="Q95" s="56"/>
      <c r="R95" s="56"/>
      <c r="S95" s="56"/>
      <c r="T95" s="56"/>
      <c r="U95" s="56"/>
      <c r="V95" s="56"/>
      <c r="W95" s="56"/>
      <c r="X95" s="56"/>
      <c r="Y95" s="56"/>
      <c r="AA95" s="5"/>
    </row>
    <row r="96" s="16" customFormat="1" ht="12.75">
      <c r="AA96" s="5"/>
    </row>
    <row r="97" spans="7:27" s="16" customFormat="1" ht="13.5" thickBot="1">
      <c r="G97" s="57"/>
      <c r="I97" s="57"/>
      <c r="J97" s="57"/>
      <c r="L97" s="57"/>
      <c r="M97" s="57"/>
      <c r="N97" s="57"/>
      <c r="O97" s="57"/>
      <c r="P97" s="57"/>
      <c r="Q97" s="57"/>
      <c r="R97" s="57"/>
      <c r="S97" s="57"/>
      <c r="T97" s="57"/>
      <c r="U97" s="57"/>
      <c r="V97" s="57"/>
      <c r="W97" s="57"/>
      <c r="X97" s="57"/>
      <c r="Y97" s="57"/>
      <c r="AA97" s="5"/>
    </row>
    <row r="98" ht="13.5" thickTop="1"/>
    <row r="99" spans="23:25" ht="12.75">
      <c r="W99" s="58"/>
      <c r="X99" s="58"/>
      <c r="Y99" s="58"/>
    </row>
    <row r="100" spans="23:27" ht="12.75">
      <c r="W100" s="58"/>
      <c r="AA100" s="58"/>
    </row>
  </sheetData>
  <sheetProtection/>
  <printOptions horizontalCentered="1"/>
  <pageMargins left="0.25" right="0.25" top="0.25" bottom="0.25" header="0" footer="0"/>
  <pageSetup fitToHeight="1" fitToWidth="1" horizontalDpi="600" verticalDpi="600" orientation="portrait"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C6" sqref="C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44</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86</v>
      </c>
      <c r="F5" s="63" t="s">
        <v>51</v>
      </c>
      <c r="G5" s="63" t="s">
        <v>87</v>
      </c>
      <c r="H5" s="63" t="s">
        <v>24</v>
      </c>
      <c r="I5" s="63" t="s">
        <v>25</v>
      </c>
      <c r="J5" s="63" t="s">
        <v>26</v>
      </c>
      <c r="K5" s="63" t="s">
        <v>27</v>
      </c>
      <c r="L5" s="63" t="s">
        <v>28</v>
      </c>
      <c r="M5" s="63" t="s">
        <v>29</v>
      </c>
      <c r="O5" s="73" t="s">
        <v>29</v>
      </c>
      <c r="P5" s="63" t="s">
        <v>80</v>
      </c>
    </row>
    <row r="6" spans="1:17" ht="15.75" customHeight="1">
      <c r="A6" s="65">
        <f>+Pricing!A6</f>
        <v>43586</v>
      </c>
      <c r="B6" s="66"/>
      <c r="C6" s="71">
        <f>'Commodity Tonnages'!C6*Pricing!C6</f>
        <v>2939.284584</v>
      </c>
      <c r="D6" s="74">
        <f>'Commodity Tonnages'!D6*Pricing!D6</f>
        <v>-197.03993625</v>
      </c>
      <c r="E6" s="74">
        <f>'Commodity Tonnages'!E6*Pricing!E6</f>
        <v>0</v>
      </c>
      <c r="F6" s="74">
        <f>'Commodity Tonnages'!F6*Pricing!F6</f>
        <v>457.0829886000001</v>
      </c>
      <c r="G6" s="74">
        <f>'Commodity Tonnages'!G6*Pricing!G6</f>
        <v>66.08026656000001</v>
      </c>
      <c r="H6" s="74">
        <f>'Commodity Tonnages'!H6*Pricing!H6</f>
        <v>2013.2324757999995</v>
      </c>
      <c r="I6" s="74">
        <f>'Commodity Tonnages'!I6*Pricing!I6</f>
        <v>935.4330798239996</v>
      </c>
      <c r="J6" s="74">
        <f>'Commodity Tonnages'!J6*Pricing!J6</f>
        <v>935.4330798239996</v>
      </c>
      <c r="K6" s="74">
        <f>'Commodity Tonnages'!K6*Pricing!K6</f>
        <v>2842.70298228</v>
      </c>
      <c r="L6" s="74">
        <f>'Commodity Tonnages'!L6*Pricing!L6</f>
        <v>-3669.59827074</v>
      </c>
      <c r="M6" s="129">
        <f>SUM(C6:L6)</f>
        <v>6322.611249897998</v>
      </c>
      <c r="O6" s="98">
        <f>M6*P6</f>
        <v>3161.305624948999</v>
      </c>
      <c r="P6" s="159">
        <v>0.5</v>
      </c>
      <c r="Q6" s="152"/>
    </row>
    <row r="7" spans="1:17" ht="15.75" customHeight="1">
      <c r="A7" s="65">
        <f>+Pricing!A7</f>
        <v>43646</v>
      </c>
      <c r="B7" s="66"/>
      <c r="C7" s="71">
        <f>'Commodity Tonnages'!C7*Pricing!C7</f>
        <v>2786.7957258240003</v>
      </c>
      <c r="D7" s="74">
        <f>'Commodity Tonnages'!D7*Pricing!D7</f>
        <v>-226.77187499999997</v>
      </c>
      <c r="E7" s="74">
        <f>'Commodity Tonnages'!E7*Pricing!E7</f>
        <v>0</v>
      </c>
      <c r="F7" s="74">
        <f>'Commodity Tonnages'!F7*Pricing!F7</f>
        <v>448.05123440000006</v>
      </c>
      <c r="G7" s="74">
        <f>'Commodity Tonnages'!G7*Pricing!G7</f>
        <v>64.857997952</v>
      </c>
      <c r="H7" s="74">
        <f>'Commodity Tonnages'!H7*Pricing!H7</f>
        <v>1906.6156823999995</v>
      </c>
      <c r="I7" s="74">
        <f>'Commodity Tonnages'!I7*Pricing!I7</f>
        <v>870.9433286399998</v>
      </c>
      <c r="J7" s="74">
        <f>'Commodity Tonnages'!J7*Pricing!J7</f>
        <v>870.9433286399998</v>
      </c>
      <c r="K7" s="74">
        <f>'Commodity Tonnages'!K7*Pricing!K7</f>
        <v>2762.9333740800002</v>
      </c>
      <c r="L7" s="74">
        <f>'Commodity Tonnages'!L7*Pricing!L7</f>
        <v>-3574.61365272</v>
      </c>
      <c r="M7" s="129">
        <f aca="true" t="shared" si="0" ref="M7:M17">SUM(C7:L7)</f>
        <v>5909.755144216</v>
      </c>
      <c r="O7" s="98">
        <f aca="true" t="shared" si="1" ref="O7:O17">M7*P7</f>
        <v>2954.877572108</v>
      </c>
      <c r="P7" s="159">
        <v>0.5</v>
      </c>
      <c r="Q7" s="152"/>
    </row>
    <row r="8" spans="1:17" ht="15.75" customHeight="1">
      <c r="A8" s="65">
        <f>+Pricing!A8</f>
        <v>43677</v>
      </c>
      <c r="B8" s="66"/>
      <c r="C8" s="71">
        <f>'Commodity Tonnages'!C8*Pricing!C8</f>
        <v>2738.1263051520004</v>
      </c>
      <c r="D8" s="74">
        <f>'Commodity Tonnages'!D8*Pricing!D8</f>
        <v>47.21220000000002</v>
      </c>
      <c r="E8" s="74">
        <f>'Commodity Tonnages'!E8*Pricing!E8</f>
        <v>0</v>
      </c>
      <c r="F8" s="74">
        <f>'Commodity Tonnages'!F8*Pricing!F8</f>
        <v>473.1571712000001</v>
      </c>
      <c r="G8" s="74">
        <f>'Commodity Tonnages'!G8*Pricing!G8</f>
        <v>70.34016281600002</v>
      </c>
      <c r="H8" s="74">
        <f>'Commodity Tonnages'!H8*Pricing!H8</f>
        <v>1588.6800384</v>
      </c>
      <c r="I8" s="74">
        <f>'Commodity Tonnages'!I8*Pricing!I8</f>
        <v>795.7176362240001</v>
      </c>
      <c r="J8" s="74">
        <f>'Commodity Tonnages'!J8*Pricing!J8</f>
        <v>795.7176362240001</v>
      </c>
      <c r="K8" s="74">
        <f>'Commodity Tonnages'!K8*Pricing!K8</f>
        <v>2999.5610299200002</v>
      </c>
      <c r="L8" s="74">
        <f>'Commodity Tonnages'!L8*Pricing!L8</f>
        <v>-3876.081751920001</v>
      </c>
      <c r="M8" s="129">
        <f t="shared" si="0"/>
        <v>5632.4304280159995</v>
      </c>
      <c r="O8" s="98">
        <f t="shared" si="1"/>
        <v>2816.2152140079997</v>
      </c>
      <c r="P8" s="159">
        <v>0.5</v>
      </c>
      <c r="Q8" s="152"/>
    </row>
    <row r="9" spans="1:17" ht="15.75" customHeight="1">
      <c r="A9" s="65">
        <f>+Pricing!A9</f>
        <v>43708</v>
      </c>
      <c r="B9" s="66"/>
      <c r="C9" s="71">
        <f>'Commodity Tonnages'!C9*Pricing!C9</f>
        <v>2343.0853152000004</v>
      </c>
      <c r="D9" s="74">
        <f>'Commodity Tonnages'!D9*Pricing!D9</f>
        <v>98.71905600000002</v>
      </c>
      <c r="E9" s="74">
        <f>'Commodity Tonnages'!E9*Pricing!E9</f>
        <v>0</v>
      </c>
      <c r="F9" s="74">
        <f>'Commodity Tonnages'!F9*Pricing!F9</f>
        <v>442.1185216000001</v>
      </c>
      <c r="G9" s="74">
        <f>'Commodity Tonnages'!G9*Pricing!G9</f>
        <v>69.17272313600002</v>
      </c>
      <c r="H9" s="74">
        <f>'Commodity Tonnages'!H9*Pricing!H9</f>
        <v>553.9618552000001</v>
      </c>
      <c r="I9" s="74">
        <f>'Commodity Tonnages'!I9*Pricing!I9</f>
        <v>441.089751696</v>
      </c>
      <c r="J9" s="74">
        <f>'Commodity Tonnages'!J9*Pricing!J9</f>
        <v>441.089751696</v>
      </c>
      <c r="K9" s="74">
        <f>'Commodity Tonnages'!K9*Pricing!K9</f>
        <v>2884.06574208</v>
      </c>
      <c r="L9" s="74">
        <f>'Commodity Tonnages'!L9*Pricing!L9</f>
        <v>-3534.0484599600004</v>
      </c>
      <c r="M9" s="129">
        <f>SUM(C9:L9)</f>
        <v>3739.2542566479997</v>
      </c>
      <c r="O9" s="98">
        <f t="shared" si="1"/>
        <v>1869.6271283239998</v>
      </c>
      <c r="P9" s="159">
        <v>0.5</v>
      </c>
      <c r="Q9" s="152"/>
    </row>
    <row r="10" spans="1:17" ht="15.75" customHeight="1">
      <c r="A10" s="65">
        <f>+Pricing!A10</f>
        <v>43738</v>
      </c>
      <c r="B10" s="66"/>
      <c r="C10" s="71">
        <f>'Commodity Tonnages'!C10*Pricing!C10</f>
        <v>2275.558430112</v>
      </c>
      <c r="D10" s="74">
        <f>'Commodity Tonnages'!D10*Pricing!D10</f>
        <v>216.22431600000002</v>
      </c>
      <c r="E10" s="74">
        <f>'Commodity Tonnages'!E10*Pricing!E10</f>
        <v>0</v>
      </c>
      <c r="F10" s="74">
        <f>'Commodity Tonnages'!F10*Pricing!F10</f>
        <v>404.3750634000001</v>
      </c>
      <c r="G10" s="74">
        <f>'Commodity Tonnages'!G10*Pricing!G10</f>
        <v>61.92684748800001</v>
      </c>
      <c r="H10" s="74">
        <f>'Commodity Tonnages'!H10*Pricing!H10</f>
        <v>-100.69970625</v>
      </c>
      <c r="I10" s="74">
        <f>'Commodity Tonnages'!I10*Pricing!I10</f>
        <v>494.182008936</v>
      </c>
      <c r="J10" s="74">
        <f>'Commodity Tonnages'!J10*Pricing!J10</f>
        <v>494.182008936</v>
      </c>
      <c r="K10" s="74">
        <f>'Commodity Tonnages'!K10*Pricing!K10</f>
        <v>2505.7080496800004</v>
      </c>
      <c r="L10" s="74">
        <f>'Commodity Tonnages'!L10*Pricing!L10</f>
        <v>-3522.1892369400002</v>
      </c>
      <c r="M10" s="129">
        <f t="shared" si="0"/>
        <v>2829.2677813620003</v>
      </c>
      <c r="O10" s="98">
        <f t="shared" si="1"/>
        <v>1414.6338906810001</v>
      </c>
      <c r="P10" s="159">
        <v>0.5</v>
      </c>
      <c r="Q10" s="152"/>
    </row>
    <row r="11" spans="1:17" ht="15.75" customHeight="1">
      <c r="A11" s="65">
        <f>+Pricing!A11</f>
        <v>43769</v>
      </c>
      <c r="B11" s="66"/>
      <c r="C11" s="71">
        <f>'Commodity Tonnages'!C11*Pricing!C11</f>
        <v>2584.5770926080004</v>
      </c>
      <c r="D11" s="74">
        <f>'Commodity Tonnages'!D11*Pricing!D11</f>
        <v>234.086787</v>
      </c>
      <c r="E11" s="74">
        <f>'Commodity Tonnages'!E11*Pricing!E11</f>
        <v>0</v>
      </c>
      <c r="F11" s="74">
        <f>'Commodity Tonnages'!F11*Pricing!F11</f>
        <v>372.4341096</v>
      </c>
      <c r="G11" s="74">
        <f>'Commodity Tonnages'!G11*Pricing!G11</f>
        <v>59.469033888000006</v>
      </c>
      <c r="H11" s="74">
        <f>'Commodity Tonnages'!H11*Pricing!H11</f>
        <v>-2078.21543475</v>
      </c>
      <c r="I11" s="74">
        <f>'Commodity Tonnages'!I11*Pricing!I11</f>
        <v>332.36260788</v>
      </c>
      <c r="J11" s="74">
        <f>'Commodity Tonnages'!J11*Pricing!J11</f>
        <v>332.36260788</v>
      </c>
      <c r="K11" s="74">
        <f>'Commodity Tonnages'!K11*Pricing!K11</f>
        <v>2433.1837859999996</v>
      </c>
      <c r="L11" s="74">
        <f>'Commodity Tonnages'!L11*Pricing!L11</f>
        <v>-3883.5587426399993</v>
      </c>
      <c r="M11" s="129">
        <f t="shared" si="0"/>
        <v>386.70184746600034</v>
      </c>
      <c r="O11" s="98">
        <f t="shared" si="1"/>
        <v>193.35092373300017</v>
      </c>
      <c r="P11" s="159">
        <v>0.5</v>
      </c>
      <c r="Q11" s="152"/>
    </row>
    <row r="12" spans="1:17" ht="15.75" customHeight="1">
      <c r="A12" s="65">
        <f>+Pricing!A12</f>
        <v>43799</v>
      </c>
      <c r="B12" s="66"/>
      <c r="C12" s="71">
        <f>'Commodity Tonnages'!C12*Pricing!C12</f>
        <v>2348.1582687360005</v>
      </c>
      <c r="D12" s="74">
        <f>'Commodity Tonnages'!D12*Pricing!D12</f>
        <v>116.726508</v>
      </c>
      <c r="E12" s="74">
        <f>'Commodity Tonnages'!E12*Pricing!E12</f>
        <v>0</v>
      </c>
      <c r="F12" s="74">
        <f>'Commodity Tonnages'!F12*Pricing!F12</f>
        <v>425.0822436</v>
      </c>
      <c r="G12" s="74">
        <f>'Commodity Tonnages'!G12*Pricing!G12</f>
        <v>70.06158719999999</v>
      </c>
      <c r="H12" s="74">
        <f>'Commodity Tonnages'!H12*Pricing!H12</f>
        <v>536.0302115999999</v>
      </c>
      <c r="I12" s="74">
        <f>'Commodity Tonnages'!I12*Pricing!I12</f>
        <v>437.6153832120004</v>
      </c>
      <c r="J12" s="74">
        <f>'Commodity Tonnages'!J12*Pricing!J12</f>
        <v>437.6153832120004</v>
      </c>
      <c r="K12" s="74">
        <f>'Commodity Tonnages'!K12*Pricing!K12</f>
        <v>2336.0325803999995</v>
      </c>
      <c r="L12" s="74">
        <f>'Commodity Tonnages'!L12*Pricing!L12</f>
        <v>-3743.623286639999</v>
      </c>
      <c r="M12" s="129">
        <f t="shared" si="0"/>
        <v>2963.698879320001</v>
      </c>
      <c r="O12" s="98">
        <f t="shared" si="1"/>
        <v>1481.8494396600006</v>
      </c>
      <c r="P12" s="159">
        <v>0.5</v>
      </c>
      <c r="Q12" s="152"/>
    </row>
    <row r="13" spans="1:17" ht="15.75" customHeight="1">
      <c r="A13" s="65">
        <f>+Pricing!A13</f>
        <v>43830</v>
      </c>
      <c r="B13" s="66"/>
      <c r="C13" s="71">
        <f>'Commodity Tonnages'!C13*Pricing!C13</f>
        <v>2836.3215312</v>
      </c>
      <c r="D13" s="74">
        <f>'Commodity Tonnages'!D13*Pricing!D13</f>
        <v>218.91492000000005</v>
      </c>
      <c r="E13" s="74">
        <f>'Commodity Tonnages'!E13*Pricing!E13</f>
        <v>0</v>
      </c>
      <c r="F13" s="74">
        <f>'Commodity Tonnages'!F13*Pricing!F13</f>
        <v>561.352848</v>
      </c>
      <c r="G13" s="74">
        <f>'Commodity Tonnages'!G13*Pricing!G13</f>
        <v>95.29884672000001</v>
      </c>
      <c r="H13" s="74">
        <f>'Commodity Tonnages'!H13*Pricing!H13</f>
        <v>707.250804</v>
      </c>
      <c r="I13" s="74">
        <f>'Commodity Tonnages'!I13*Pricing!I13</f>
        <v>785.3760849600001</v>
      </c>
      <c r="J13" s="74">
        <f>'Commodity Tonnages'!J13*Pricing!J13</f>
        <v>785.3760849600001</v>
      </c>
      <c r="K13" s="74">
        <f>'Commodity Tonnages'!K13*Pricing!K13</f>
        <v>2355.9324552</v>
      </c>
      <c r="L13" s="74">
        <f>'Commodity Tonnages'!L13*Pricing!L13</f>
        <v>-4404.4684775999995</v>
      </c>
      <c r="M13" s="129">
        <f t="shared" si="0"/>
        <v>3941.3550974400023</v>
      </c>
      <c r="O13" s="98">
        <f t="shared" si="1"/>
        <v>1970.6775487200011</v>
      </c>
      <c r="P13" s="159">
        <v>0.5</v>
      </c>
      <c r="Q13" s="152"/>
    </row>
    <row r="14" spans="1:17" ht="15.75" customHeight="1">
      <c r="A14" s="65">
        <f>+Pricing!A14</f>
        <v>43861</v>
      </c>
      <c r="B14" s="66"/>
      <c r="C14" s="71">
        <f>'Commodity Tonnages'!C14*Pricing!C14</f>
        <v>2977.0887292</v>
      </c>
      <c r="D14" s="74">
        <f>'Commodity Tonnages'!D14*Pricing!D14</f>
        <v>166.79884232</v>
      </c>
      <c r="E14" s="74">
        <f>'Commodity Tonnages'!E14*Pricing!E14</f>
        <v>0</v>
      </c>
      <c r="F14" s="74">
        <f>'Commodity Tonnages'!F14*Pricing!F14</f>
        <v>674.77849096</v>
      </c>
      <c r="G14" s="74">
        <f>'Commodity Tonnages'!G14*Pricing!G14</f>
        <v>89.443648</v>
      </c>
      <c r="H14" s="74">
        <f>'Commodity Tonnages'!H14*Pricing!H14</f>
        <v>863.1676677600002</v>
      </c>
      <c r="I14" s="74">
        <f>'Commodity Tonnages'!I14*Pricing!I14</f>
        <v>1170.8873431799998</v>
      </c>
      <c r="J14" s="74">
        <f>'Commodity Tonnages'!J14*Pricing!J14</f>
        <v>1170.8873431799998</v>
      </c>
      <c r="K14" s="74">
        <f>'Commodity Tonnages'!K14*Pricing!K14</f>
        <v>4045.3981761600003</v>
      </c>
      <c r="L14" s="74">
        <f>'Commodity Tonnages'!L14*Pricing!L14</f>
        <v>-10942.014694200001</v>
      </c>
      <c r="M14" s="129">
        <f t="shared" si="0"/>
        <v>216.43554656000015</v>
      </c>
      <c r="O14" s="98">
        <f t="shared" si="1"/>
        <v>108.21777328000007</v>
      </c>
      <c r="P14" s="159">
        <v>0.5</v>
      </c>
      <c r="Q14" s="152"/>
    </row>
    <row r="15" spans="1:17" ht="15.75" customHeight="1">
      <c r="A15" s="65">
        <f>+Pricing!A15</f>
        <v>43890</v>
      </c>
      <c r="B15" s="66"/>
      <c r="C15" s="71">
        <f>'Commodity Tonnages'!C15*Pricing!C15</f>
        <v>2097.20087364</v>
      </c>
      <c r="D15" s="74">
        <f>'Commodity Tonnages'!D15*Pricing!D15</f>
        <v>49.437706471999995</v>
      </c>
      <c r="E15" s="74">
        <f>'Commodity Tonnages'!E15*Pricing!E15</f>
        <v>0</v>
      </c>
      <c r="F15" s="74">
        <f>'Commodity Tonnages'!F15*Pricing!F15</f>
        <v>439.361941136</v>
      </c>
      <c r="G15" s="74">
        <f>'Commodity Tonnages'!G15*Pricing!G15</f>
        <v>58.53089984000001</v>
      </c>
      <c r="H15" s="74">
        <f>'Commodity Tonnages'!H15*Pricing!H15</f>
        <v>1089.247922656</v>
      </c>
      <c r="I15" s="74">
        <f>'Commodity Tonnages'!I15*Pricing!I15</f>
        <v>925.881604722</v>
      </c>
      <c r="J15" s="74">
        <f>'Commodity Tonnages'!J15*Pricing!J15</f>
        <v>925.881604722</v>
      </c>
      <c r="K15" s="74">
        <f>'Commodity Tonnages'!K15*Pricing!K15</f>
        <v>3731.915153304</v>
      </c>
      <c r="L15" s="74">
        <f>'Commodity Tonnages'!L15*Pricing!L15</f>
        <v>-7844.177973239999</v>
      </c>
      <c r="M15" s="129">
        <f t="shared" si="0"/>
        <v>1473.2797332520004</v>
      </c>
      <c r="O15" s="98">
        <f t="shared" si="1"/>
        <v>736.6398666260002</v>
      </c>
      <c r="P15" s="159">
        <v>0.5</v>
      </c>
      <c r="Q15" s="152"/>
    </row>
    <row r="16" spans="1:17" ht="15.75" customHeight="1">
      <c r="A16" s="65">
        <f>+Pricing!A16</f>
        <v>43921</v>
      </c>
      <c r="B16" s="66"/>
      <c r="C16" s="71">
        <f>'Commodity Tonnages'!C16*Pricing!C16</f>
        <v>2250.35877708</v>
      </c>
      <c r="D16" s="74">
        <f>'Commodity Tonnages'!D16*Pricing!D16</f>
        <v>132.87867674400002</v>
      </c>
      <c r="E16" s="74">
        <f>'Commodity Tonnages'!E16*Pricing!E16</f>
        <v>0</v>
      </c>
      <c r="F16" s="74">
        <f>'Commodity Tonnages'!F16*Pricing!F16</f>
        <v>442.2256089119999</v>
      </c>
      <c r="G16" s="74">
        <f>'Commodity Tonnages'!G16*Pricing!G16</f>
        <v>59.63196456000001</v>
      </c>
      <c r="H16" s="74">
        <f>'Commodity Tonnages'!H16*Pricing!H16</f>
        <v>1221.8996378880001</v>
      </c>
      <c r="I16" s="74">
        <f>'Commodity Tonnages'!I16*Pricing!I16</f>
        <v>720.2314094760001</v>
      </c>
      <c r="J16" s="74">
        <f>'Commodity Tonnages'!J16*Pricing!J16</f>
        <v>720.2314094760001</v>
      </c>
      <c r="K16" s="74">
        <f>'Commodity Tonnages'!K16*Pricing!K16</f>
        <v>4752.717173784</v>
      </c>
      <c r="L16" s="74">
        <f>'Commodity Tonnages'!L16*Pricing!L16</f>
        <v>-7389.7690554</v>
      </c>
      <c r="M16" s="129">
        <f t="shared" si="0"/>
        <v>2910.4056025200007</v>
      </c>
      <c r="O16" s="98">
        <f t="shared" si="1"/>
        <v>1455.2028012600003</v>
      </c>
      <c r="P16" s="159">
        <v>0.5</v>
      </c>
      <c r="Q16" s="152"/>
    </row>
    <row r="17" spans="1:17" ht="15.75" customHeight="1">
      <c r="A17" s="65">
        <f>+Pricing!A17</f>
        <v>43951</v>
      </c>
      <c r="B17" s="66"/>
      <c r="C17" s="71">
        <f>'Commodity Tonnages'!C17*Pricing!C17</f>
        <v>2628.2549741999997</v>
      </c>
      <c r="D17" s="74">
        <f>'Commodity Tonnages'!D17*Pricing!D17</f>
        <v>106.50809743199999</v>
      </c>
      <c r="E17" s="74">
        <f>'Commodity Tonnages'!E17*Pricing!E17</f>
        <v>0</v>
      </c>
      <c r="F17" s="74">
        <f>'Commodity Tonnages'!F17*Pricing!F17</f>
        <v>399.68447464</v>
      </c>
      <c r="G17" s="74">
        <f>'Commodity Tonnages'!G17*Pricing!G17</f>
        <v>50.53809208</v>
      </c>
      <c r="H17" s="74">
        <f>'Commodity Tonnages'!H17*Pricing!H17</f>
        <v>407.10355502400006</v>
      </c>
      <c r="I17" s="74">
        <f>'Commodity Tonnages'!I17*Pricing!I17</f>
        <v>781.117172314</v>
      </c>
      <c r="J17" s="74">
        <f>'Commodity Tonnages'!J17*Pricing!J17</f>
        <v>781.117172314</v>
      </c>
      <c r="K17" s="74">
        <f>'Commodity Tonnages'!K17*Pricing!K17</f>
        <v>7235.493894720001</v>
      </c>
      <c r="L17" s="74">
        <f>'Commodity Tonnages'!L17*Pricing!L17</f>
        <v>-9772.83801858</v>
      </c>
      <c r="M17" s="129">
        <f t="shared" si="0"/>
        <v>2616.9794141439997</v>
      </c>
      <c r="O17" s="98">
        <f t="shared" si="1"/>
        <v>1308.4897070719999</v>
      </c>
      <c r="P17" s="159">
        <v>0.5</v>
      </c>
      <c r="Q17" s="152"/>
    </row>
    <row r="18" spans="1:16" ht="15.75" customHeight="1">
      <c r="A18" s="69" t="s">
        <v>31</v>
      </c>
      <c r="B18" s="66"/>
      <c r="C18" s="130">
        <f aca="true" t="shared" si="2" ref="C18:L18">SUM(C6:C17)</f>
        <v>30804.810606952</v>
      </c>
      <c r="D18" s="131">
        <f t="shared" si="2"/>
        <v>963.695298718</v>
      </c>
      <c r="E18" s="131">
        <f t="shared" si="2"/>
        <v>0</v>
      </c>
      <c r="F18" s="130">
        <f t="shared" si="2"/>
        <v>5539.704696048</v>
      </c>
      <c r="G18" s="130">
        <f t="shared" si="2"/>
        <v>815.35207024</v>
      </c>
      <c r="H18" s="130">
        <f t="shared" si="2"/>
        <v>8708.274709727999</v>
      </c>
      <c r="I18" s="130">
        <f t="shared" si="2"/>
        <v>8690.837411064</v>
      </c>
      <c r="J18" s="130">
        <f t="shared" si="2"/>
        <v>8690.837411064</v>
      </c>
      <c r="K18" s="130">
        <f t="shared" si="2"/>
        <v>40885.644397608</v>
      </c>
      <c r="L18" s="131">
        <f t="shared" si="2"/>
        <v>-66156.98162058</v>
      </c>
      <c r="M18" s="132">
        <f>SUM(C18:L18)</f>
        <v>38942.174980842</v>
      </c>
      <c r="O18" s="133">
        <f>SUM(O6:O17)</f>
        <v>19471.087490420996</v>
      </c>
      <c r="P18" s="138">
        <f>+O18/M18</f>
        <v>0.4999999999999999</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N6" sqref="N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2019 through April 2020)</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86</v>
      </c>
      <c r="F5" s="63" t="s">
        <v>51</v>
      </c>
      <c r="G5" s="63" t="s">
        <v>87</v>
      </c>
      <c r="H5" s="63" t="s">
        <v>24</v>
      </c>
      <c r="I5" s="63" t="s">
        <v>25</v>
      </c>
      <c r="J5" s="63" t="s">
        <v>26</v>
      </c>
      <c r="K5" s="63" t="s">
        <v>27</v>
      </c>
      <c r="L5" s="63" t="s">
        <v>28</v>
      </c>
      <c r="M5" s="63"/>
      <c r="N5" s="63" t="s">
        <v>29</v>
      </c>
    </row>
    <row r="6" spans="1:16" ht="15.75" customHeight="1">
      <c r="A6" s="128">
        <f>'Single Family'!$C$6</f>
        <v>43586</v>
      </c>
      <c r="B6" s="66" t="s">
        <v>65</v>
      </c>
      <c r="C6" s="108">
        <f>'Single Family'!C32</f>
        <v>3.5757719999999997</v>
      </c>
      <c r="D6" s="109">
        <f>'Single Family'!C34</f>
        <v>37.247625</v>
      </c>
      <c r="E6" s="108">
        <f>'Single Family'!C35</f>
        <v>14.038215999999998</v>
      </c>
      <c r="F6" s="108">
        <f>'Single Family'!C30</f>
        <v>5.794075</v>
      </c>
      <c r="G6" s="108">
        <f>'Single Family'!C33</f>
        <v>1.456796</v>
      </c>
      <c r="H6" s="108">
        <f>'Single Family'!C37</f>
        <v>139.88552499999997</v>
      </c>
      <c r="I6" s="108">
        <f>'Single Family'!C31/2</f>
        <v>10.263789999999998</v>
      </c>
      <c r="J6" s="108">
        <f>'Single Family'!C31/2</f>
        <v>10.263789999999998</v>
      </c>
      <c r="K6" s="108">
        <f>'Single Family'!C28</f>
        <v>61.086104999999996</v>
      </c>
      <c r="L6" s="108">
        <f>'Single Family'!C36</f>
        <v>47.478305999999996</v>
      </c>
      <c r="M6" s="64"/>
      <c r="N6" s="134">
        <f aca="true" t="shared" si="0" ref="N6:N17">SUM(C6:L6)</f>
        <v>331.0899999999999</v>
      </c>
      <c r="O6" s="75"/>
      <c r="P6" s="68"/>
    </row>
    <row r="7" spans="1:16" ht="15.75" customHeight="1">
      <c r="A7" s="65">
        <f aca="true" t="shared" si="1" ref="A7:A17">EOMONTH(A6,1)</f>
        <v>43646</v>
      </c>
      <c r="B7" s="66" t="s">
        <v>66</v>
      </c>
      <c r="C7" s="108">
        <f>'Single Family'!D32</f>
        <v>3.483216</v>
      </c>
      <c r="D7" s="109">
        <f>'Single Family'!D34</f>
        <v>36.2835</v>
      </c>
      <c r="E7" s="108">
        <f>'Single Family'!D35</f>
        <v>13.674847999999999</v>
      </c>
      <c r="F7" s="108">
        <f>'Single Family'!D30</f>
        <v>5.6441</v>
      </c>
      <c r="G7" s="108">
        <f>'Single Family'!D33</f>
        <v>1.419088</v>
      </c>
      <c r="H7" s="108">
        <f>'Single Family'!D37</f>
        <v>136.26469999999998</v>
      </c>
      <c r="I7" s="108">
        <f>'Single Family'!D31/2</f>
        <v>9.99812</v>
      </c>
      <c r="J7" s="108">
        <f>'Single Family'!D31/2</f>
        <v>9.99812</v>
      </c>
      <c r="K7" s="108">
        <f>'Single Family'!D28</f>
        <v>59.50494</v>
      </c>
      <c r="L7" s="108">
        <f>'Single Family'!D36</f>
        <v>46.249368</v>
      </c>
      <c r="M7" s="64"/>
      <c r="N7" s="134">
        <f t="shared" si="0"/>
        <v>322.52</v>
      </c>
      <c r="P7" s="68"/>
    </row>
    <row r="8" spans="1:16" ht="15.75" customHeight="1">
      <c r="A8" s="65">
        <f t="shared" si="1"/>
        <v>43677</v>
      </c>
      <c r="B8" s="66" t="s">
        <v>67</v>
      </c>
      <c r="C8" s="108">
        <f>'Single Family'!E32</f>
        <v>3.7769760000000003</v>
      </c>
      <c r="D8" s="109">
        <f>'Single Family'!E34</f>
        <v>39.343500000000006</v>
      </c>
      <c r="E8" s="108">
        <f>'Single Family'!E35</f>
        <v>14.828128000000001</v>
      </c>
      <c r="F8" s="108">
        <f>'Single Family'!E30</f>
        <v>6.120100000000001</v>
      </c>
      <c r="G8" s="108">
        <f>'Single Family'!E33</f>
        <v>1.5387680000000001</v>
      </c>
      <c r="H8" s="108">
        <f>'Single Family'!E37</f>
        <v>147.7567</v>
      </c>
      <c r="I8" s="108">
        <f>'Single Family'!E31/2</f>
        <v>10.841320000000001</v>
      </c>
      <c r="J8" s="108">
        <f>'Single Family'!E31/2</f>
        <v>10.841320000000001</v>
      </c>
      <c r="K8" s="108">
        <f>'Single Family'!E28</f>
        <v>64.52334</v>
      </c>
      <c r="L8" s="108">
        <f>'Single Family'!E36</f>
        <v>50.149848000000006</v>
      </c>
      <c r="M8" s="64"/>
      <c r="N8" s="134">
        <f t="shared" si="0"/>
        <v>349.72</v>
      </c>
      <c r="P8" s="68"/>
    </row>
    <row r="9" spans="1:16" ht="15.75" customHeight="1">
      <c r="A9" s="65">
        <f t="shared" si="1"/>
        <v>43708</v>
      </c>
      <c r="B9" s="66" t="s">
        <v>68</v>
      </c>
      <c r="C9" s="108">
        <f>'Single Family'!F32</f>
        <v>3.4436880000000003</v>
      </c>
      <c r="D9" s="109">
        <f>'Single Family'!F34</f>
        <v>35.871750000000006</v>
      </c>
      <c r="E9" s="108">
        <f>'Single Family'!F35</f>
        <v>13.519664</v>
      </c>
      <c r="F9" s="108">
        <f>'Single Family'!F30</f>
        <v>5.580050000000001</v>
      </c>
      <c r="G9" s="108">
        <f>'Single Family'!F33</f>
        <v>1.4029840000000002</v>
      </c>
      <c r="H9" s="108">
        <f>'Single Family'!F37</f>
        <v>134.71835000000002</v>
      </c>
      <c r="I9" s="108">
        <f>'Single Family'!F31/2</f>
        <v>9.88466</v>
      </c>
      <c r="J9" s="108">
        <f>'Single Family'!F31/2</f>
        <v>9.88466</v>
      </c>
      <c r="K9" s="108">
        <f>'Single Family'!F28</f>
        <v>58.82967</v>
      </c>
      <c r="L9" s="108">
        <f>'Single Family'!F36</f>
        <v>45.724524</v>
      </c>
      <c r="M9" s="64"/>
      <c r="N9" s="134">
        <f t="shared" si="0"/>
        <v>318.86</v>
      </c>
      <c r="P9" s="68"/>
    </row>
    <row r="10" spans="1:16" ht="15.75" customHeight="1">
      <c r="A10" s="65">
        <f t="shared" si="1"/>
        <v>43738</v>
      </c>
      <c r="B10" s="66" t="s">
        <v>69</v>
      </c>
      <c r="C10" s="108">
        <f>'Single Family'!G32</f>
        <v>3.432132</v>
      </c>
      <c r="D10" s="109">
        <f>'Single Family'!G34</f>
        <v>35.751375</v>
      </c>
      <c r="E10" s="108">
        <f>'Single Family'!G35</f>
        <v>13.474296</v>
      </c>
      <c r="F10" s="108">
        <f>'Single Family'!G30</f>
        <v>5.561325000000001</v>
      </c>
      <c r="G10" s="108">
        <f>'Single Family'!G33</f>
        <v>1.398276</v>
      </c>
      <c r="H10" s="108">
        <f>'Single Family'!G37</f>
        <v>134.266275</v>
      </c>
      <c r="I10" s="108">
        <f>'Single Family'!G31/2</f>
        <v>9.85149</v>
      </c>
      <c r="J10" s="108">
        <f>'Single Family'!G31/2</f>
        <v>9.85149</v>
      </c>
      <c r="K10" s="108">
        <f>'Single Family'!G28</f>
        <v>58.632255</v>
      </c>
      <c r="L10" s="108">
        <f>'Single Family'!G36</f>
        <v>45.571086</v>
      </c>
      <c r="M10" s="64"/>
      <c r="N10" s="134">
        <f t="shared" si="0"/>
        <v>317.79</v>
      </c>
      <c r="P10" s="68"/>
    </row>
    <row r="11" spans="1:16" ht="15.75" customHeight="1">
      <c r="A11" s="65">
        <f t="shared" si="1"/>
        <v>43769</v>
      </c>
      <c r="B11" s="66" t="s">
        <v>70</v>
      </c>
      <c r="C11" s="108">
        <f>'Single Family'!H32</f>
        <v>3.596724</v>
      </c>
      <c r="D11" s="109">
        <f>'Single Family'!H34</f>
        <v>37.465875</v>
      </c>
      <c r="E11" s="108">
        <f>'Single Family'!H35</f>
        <v>14.120472</v>
      </c>
      <c r="F11" s="108">
        <f>'Single Family'!H30</f>
        <v>5.828025</v>
      </c>
      <c r="G11" s="108">
        <f>'Single Family'!H33</f>
        <v>1.465332</v>
      </c>
      <c r="H11" s="108">
        <f>'Single Family'!H37</f>
        <v>140.705175</v>
      </c>
      <c r="I11" s="108">
        <f>'Single Family'!H31/2</f>
        <v>10.323929999999999</v>
      </c>
      <c r="J11" s="108">
        <f>'Single Family'!H31/2</f>
        <v>10.323929999999999</v>
      </c>
      <c r="K11" s="108">
        <f>'Single Family'!H28</f>
        <v>61.44403499999999</v>
      </c>
      <c r="L11" s="108">
        <f>'Single Family'!H36</f>
        <v>47.756502</v>
      </c>
      <c r="M11" s="64"/>
      <c r="N11" s="134">
        <f t="shared" si="0"/>
        <v>333.03</v>
      </c>
      <c r="P11" s="68"/>
    </row>
    <row r="12" spans="1:16" ht="15.75" customHeight="1">
      <c r="A12" s="65">
        <f t="shared" si="1"/>
        <v>43799</v>
      </c>
      <c r="B12" s="66" t="s">
        <v>71</v>
      </c>
      <c r="C12" s="108">
        <f>'Single Family'!I32</f>
        <v>3.467124</v>
      </c>
      <c r="D12" s="109">
        <f>'Single Family'!I34</f>
        <v>36.115874999999996</v>
      </c>
      <c r="E12" s="108">
        <f>'Single Family'!I35</f>
        <v>13.611671999999999</v>
      </c>
      <c r="F12" s="108">
        <f>'Single Family'!I30</f>
        <v>5.618025</v>
      </c>
      <c r="G12" s="108">
        <f>'Single Family'!I33</f>
        <v>1.412532</v>
      </c>
      <c r="H12" s="108">
        <f>'Single Family'!I37</f>
        <v>135.63517499999998</v>
      </c>
      <c r="I12" s="108">
        <f>'Single Family'!I31/2</f>
        <v>9.951929999999999</v>
      </c>
      <c r="J12" s="108">
        <f>'Single Family'!I31/2</f>
        <v>9.951929999999999</v>
      </c>
      <c r="K12" s="108">
        <f>'Single Family'!I28</f>
        <v>59.230034999999994</v>
      </c>
      <c r="L12" s="108">
        <f>'Single Family'!I36</f>
        <v>46.03570199999999</v>
      </c>
      <c r="M12" s="64"/>
      <c r="N12" s="134">
        <f t="shared" si="0"/>
        <v>321.03</v>
      </c>
      <c r="P12" s="68"/>
    </row>
    <row r="13" spans="1:16" ht="15.75" customHeight="1">
      <c r="A13" s="65">
        <f t="shared" si="1"/>
        <v>43830</v>
      </c>
      <c r="B13" s="66" t="s">
        <v>72</v>
      </c>
      <c r="C13" s="108">
        <f>'Single Family'!J32</f>
        <v>4.07916</v>
      </c>
      <c r="D13" s="109">
        <f>'Single Family'!J34</f>
        <v>42.49125</v>
      </c>
      <c r="E13" s="108">
        <f>'Single Family'!J35</f>
        <v>16.01448</v>
      </c>
      <c r="F13" s="108">
        <f>'Single Family'!J30</f>
        <v>6.60975</v>
      </c>
      <c r="G13" s="108">
        <f>'Single Family'!J33</f>
        <v>1.66188</v>
      </c>
      <c r="H13" s="108">
        <f>'Single Family'!J37</f>
        <v>159.57825</v>
      </c>
      <c r="I13" s="108">
        <f>'Single Family'!J31/2</f>
        <v>11.7087</v>
      </c>
      <c r="J13" s="108">
        <f>'Single Family'!J31/2</f>
        <v>11.7087</v>
      </c>
      <c r="K13" s="108">
        <f>'Single Family'!J28</f>
        <v>69.68565</v>
      </c>
      <c r="L13" s="108">
        <f>'Single Family'!J36</f>
        <v>54.16218</v>
      </c>
      <c r="M13" s="64"/>
      <c r="N13" s="134">
        <f t="shared" si="0"/>
        <v>377.7</v>
      </c>
      <c r="P13" s="68"/>
    </row>
    <row r="14" spans="1:16" ht="15.75" customHeight="1">
      <c r="A14" s="65">
        <f t="shared" si="1"/>
        <v>43861</v>
      </c>
      <c r="B14" s="66" t="s">
        <v>73</v>
      </c>
      <c r="C14" s="108">
        <f>'Single Family'!K32</f>
        <v>4.33205</v>
      </c>
      <c r="D14" s="109">
        <f>'Single Family'!K34</f>
        <v>27.76279</v>
      </c>
      <c r="E14" s="108">
        <f>'Single Family'!K35</f>
        <v>12.920809999999998</v>
      </c>
      <c r="F14" s="108">
        <f>'Single Family'!K30</f>
        <v>6.742929999999999</v>
      </c>
      <c r="G14" s="108">
        <f>'Single Family'!K33</f>
        <v>1.31845</v>
      </c>
      <c r="H14" s="108">
        <f>'Single Family'!K37</f>
        <v>148.00543000000002</v>
      </c>
      <c r="I14" s="108">
        <f>'Single Family'!K31/2</f>
        <v>11.244495</v>
      </c>
      <c r="J14" s="108">
        <f>'Single Family'!K31/2</f>
        <v>11.244495</v>
      </c>
      <c r="K14" s="108">
        <f>'Single Family'!K28</f>
        <v>82.38429</v>
      </c>
      <c r="L14" s="108">
        <f>'Single Family'!K36</f>
        <v>70.74426</v>
      </c>
      <c r="M14" s="64"/>
      <c r="N14" s="134">
        <f t="shared" si="0"/>
        <v>376.7</v>
      </c>
      <c r="P14" s="68"/>
    </row>
    <row r="15" spans="1:16" ht="15.75" customHeight="1">
      <c r="A15" s="65">
        <f t="shared" si="1"/>
        <v>43890</v>
      </c>
      <c r="B15" s="66" t="s">
        <v>74</v>
      </c>
      <c r="C15" s="108">
        <f>'Single Family'!L32</f>
        <v>3.2035549999999997</v>
      </c>
      <c r="D15" s="109">
        <f>'Single Family'!L34</f>
        <v>20.530609</v>
      </c>
      <c r="E15" s="108">
        <f>'Single Family'!L35</f>
        <v>9.554950999999999</v>
      </c>
      <c r="F15" s="108">
        <f>'Single Family'!L30</f>
        <v>4.986402999999999</v>
      </c>
      <c r="G15" s="108">
        <f>'Single Family'!L33</f>
        <v>0.974995</v>
      </c>
      <c r="H15" s="108">
        <f>'Single Family'!L37</f>
        <v>109.450153</v>
      </c>
      <c r="I15" s="108">
        <f>'Single Family'!L31/2</f>
        <v>8.3153145</v>
      </c>
      <c r="J15" s="108">
        <f>'Single Family'!L31/2</f>
        <v>8.3153145</v>
      </c>
      <c r="K15" s="108">
        <f>'Single Family'!L28</f>
        <v>60.923259</v>
      </c>
      <c r="L15" s="108">
        <f>'Single Family'!L36</f>
        <v>52.315445999999994</v>
      </c>
      <c r="M15" s="64"/>
      <c r="N15" s="134">
        <f t="shared" si="0"/>
        <v>278.57</v>
      </c>
      <c r="P15" s="68"/>
    </row>
    <row r="16" spans="1:16" ht="15.75" customHeight="1">
      <c r="A16" s="65">
        <f t="shared" si="1"/>
        <v>43921</v>
      </c>
      <c r="B16" s="66" t="s">
        <v>75</v>
      </c>
      <c r="C16" s="108">
        <f>'Single Family'!M32</f>
        <v>3.2116049999999996</v>
      </c>
      <c r="D16" s="109">
        <f>'Single Family'!M34</f>
        <v>20.582199</v>
      </c>
      <c r="E16" s="108">
        <f>'Single Family'!M35</f>
        <v>9.578960999999998</v>
      </c>
      <c r="F16" s="108">
        <f>'Single Family'!M30</f>
        <v>4.998932999999999</v>
      </c>
      <c r="G16" s="108">
        <f>'Single Family'!M33</f>
        <v>0.977445</v>
      </c>
      <c r="H16" s="108">
        <f>'Single Family'!M37</f>
        <v>109.725183</v>
      </c>
      <c r="I16" s="108">
        <f>'Single Family'!M31/2</f>
        <v>8.3362095</v>
      </c>
      <c r="J16" s="108">
        <f>'Single Family'!M31/2</f>
        <v>8.3362095</v>
      </c>
      <c r="K16" s="108">
        <f>'Single Family'!M28</f>
        <v>61.076349</v>
      </c>
      <c r="L16" s="108">
        <f>'Single Family'!M36</f>
        <v>52.446906</v>
      </c>
      <c r="M16" s="64"/>
      <c r="N16" s="134">
        <f t="shared" si="0"/>
        <v>279.27</v>
      </c>
      <c r="P16" s="68"/>
    </row>
    <row r="17" spans="1:16" ht="15.75" customHeight="1">
      <c r="A17" s="65">
        <f t="shared" si="1"/>
        <v>43951</v>
      </c>
      <c r="B17" s="66" t="s">
        <v>76</v>
      </c>
      <c r="C17" s="108">
        <f>'Single Family'!N32</f>
        <v>4.3551649999999995</v>
      </c>
      <c r="D17" s="109">
        <f>'Single Family'!N34</f>
        <v>27.910926999999997</v>
      </c>
      <c r="E17" s="108">
        <f>'Single Family'!N35</f>
        <v>12.989752999999999</v>
      </c>
      <c r="F17" s="108">
        <f>'Single Family'!N30</f>
        <v>6.778909</v>
      </c>
      <c r="G17" s="108">
        <f>'Single Family'!N33</f>
        <v>1.325485</v>
      </c>
      <c r="H17" s="108">
        <f>'Single Family'!N37</f>
        <v>148.795159</v>
      </c>
      <c r="I17" s="108">
        <f>'Single Family'!N31/2</f>
        <v>11.3044935</v>
      </c>
      <c r="J17" s="108">
        <f>'Single Family'!N31/2</f>
        <v>11.3044935</v>
      </c>
      <c r="K17" s="108">
        <f>'Single Family'!N28</f>
        <v>82.823877</v>
      </c>
      <c r="L17" s="108">
        <f>'Single Family'!N36</f>
        <v>71.121738</v>
      </c>
      <c r="M17" s="64"/>
      <c r="N17" s="134">
        <f t="shared" si="0"/>
        <v>378.71000000000004</v>
      </c>
      <c r="P17" s="68"/>
    </row>
    <row r="18" spans="1:15" ht="15.75" customHeight="1">
      <c r="A18" s="69" t="s">
        <v>31</v>
      </c>
      <c r="B18" s="66"/>
      <c r="C18" s="135">
        <f aca="true" t="shared" si="2" ref="C18:L18">SUM(C6:C17)</f>
        <v>43.957167000000005</v>
      </c>
      <c r="D18" s="135">
        <f t="shared" si="2"/>
        <v>397.357275</v>
      </c>
      <c r="E18" s="135">
        <f t="shared" si="2"/>
        <v>158.32625099999998</v>
      </c>
      <c r="F18" s="135">
        <f t="shared" si="2"/>
        <v>70.26262500000001</v>
      </c>
      <c r="G18" s="135">
        <f t="shared" si="2"/>
        <v>16.352031</v>
      </c>
      <c r="H18" s="135">
        <f t="shared" si="2"/>
        <v>1644.786075</v>
      </c>
      <c r="I18" s="135">
        <f t="shared" si="2"/>
        <v>122.0244525</v>
      </c>
      <c r="J18" s="135">
        <f t="shared" si="2"/>
        <v>122.0244525</v>
      </c>
      <c r="K18" s="135">
        <f t="shared" si="2"/>
        <v>780.143805</v>
      </c>
      <c r="L18" s="135">
        <f t="shared" si="2"/>
        <v>629.755866</v>
      </c>
      <c r="M18" s="64"/>
      <c r="N18" s="136">
        <f>SUM(N6:N17)</f>
        <v>3984.99</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A6" sqref="A6"/>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2019 through April 2020)</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86</v>
      </c>
      <c r="F5" s="63" t="s">
        <v>51</v>
      </c>
      <c r="G5" s="63" t="s">
        <v>87</v>
      </c>
      <c r="H5" s="63" t="s">
        <v>24</v>
      </c>
      <c r="I5" s="63" t="s">
        <v>25</v>
      </c>
      <c r="J5" s="63" t="s">
        <v>26</v>
      </c>
      <c r="K5" s="63" t="s">
        <v>27</v>
      </c>
      <c r="L5" s="63" t="s">
        <v>28</v>
      </c>
      <c r="M5" s="63"/>
    </row>
    <row r="6" spans="1:13" ht="15.75" customHeight="1">
      <c r="A6" s="128">
        <f>'Single Family'!$C$6</f>
        <v>43586</v>
      </c>
      <c r="B6" s="66" t="s">
        <v>65</v>
      </c>
      <c r="C6" s="106">
        <f>'Single Family'!C74</f>
        <v>822</v>
      </c>
      <c r="D6" s="107">
        <f>'Single Family'!C76</f>
        <v>-5.29</v>
      </c>
      <c r="E6" s="107">
        <f>'Single Family'!C77</f>
        <v>0</v>
      </c>
      <c r="F6" s="108">
        <f>'Single Family'!C72</f>
        <v>78.888</v>
      </c>
      <c r="G6" s="106">
        <f>'Single Family'!C75</f>
        <v>45.36000000000001</v>
      </c>
      <c r="H6" s="106">
        <f>'Single Family'!C79</f>
        <v>14.392</v>
      </c>
      <c r="I6" s="106">
        <f>'Single Family'!C73</f>
        <v>91.13914838709675</v>
      </c>
      <c r="J6" s="106">
        <f>'Single Family'!C73</f>
        <v>91.13914838709675</v>
      </c>
      <c r="K6" s="106">
        <f>'Single Family'!C70</f>
        <v>46.536</v>
      </c>
      <c r="L6" s="107">
        <f>'Single Family'!C78</f>
        <v>-77.29</v>
      </c>
      <c r="M6" s="70"/>
    </row>
    <row r="7" spans="1:13" ht="15.75" customHeight="1">
      <c r="A7" s="65">
        <f>+'Commodity Tonnages'!A7</f>
        <v>43646</v>
      </c>
      <c r="B7" s="66" t="s">
        <v>66</v>
      </c>
      <c r="C7" s="106">
        <f>'Single Family'!D74</f>
        <v>800.0640000000001</v>
      </c>
      <c r="D7" s="107">
        <f>'Single Family'!D76</f>
        <v>-6.25</v>
      </c>
      <c r="E7" s="107">
        <f>'Single Family'!D77</f>
        <v>0</v>
      </c>
      <c r="F7" s="108">
        <f>'Single Family'!D72</f>
        <v>79.38400000000001</v>
      </c>
      <c r="G7" s="106">
        <f>'Single Family'!D75</f>
        <v>45.70400000000001</v>
      </c>
      <c r="H7" s="106">
        <f>'Single Family'!D79</f>
        <v>13.991999999999999</v>
      </c>
      <c r="I7" s="106">
        <f>'Single Family'!D73</f>
        <v>87.11070967741934</v>
      </c>
      <c r="J7" s="106">
        <f>'Single Family'!D73</f>
        <v>87.11070967741934</v>
      </c>
      <c r="K7" s="106">
        <f>'Single Family'!D70</f>
        <v>46.432</v>
      </c>
      <c r="L7" s="107">
        <f>'Single Family'!D78</f>
        <v>-77.29</v>
      </c>
      <c r="M7" s="70"/>
    </row>
    <row r="8" spans="1:13" ht="15.75" customHeight="1">
      <c r="A8" s="65">
        <f>+'Commodity Tonnages'!A8</f>
        <v>43677</v>
      </c>
      <c r="B8" s="66" t="s">
        <v>67</v>
      </c>
      <c r="C8" s="106">
        <f>'Single Family'!E74</f>
        <v>724.9520000000001</v>
      </c>
      <c r="D8" s="107">
        <f>'Single Family'!E76</f>
        <v>1.2000000000000002</v>
      </c>
      <c r="E8" s="107">
        <f>'Single Family'!E77</f>
        <v>0</v>
      </c>
      <c r="F8" s="108">
        <f>'Single Family'!E72</f>
        <v>77.31200000000001</v>
      </c>
      <c r="G8" s="106">
        <f>'Single Family'!E75</f>
        <v>45.712</v>
      </c>
      <c r="H8" s="106">
        <f>'Single Family'!E79</f>
        <v>10.752</v>
      </c>
      <c r="I8" s="106">
        <f>'Single Family'!E73</f>
        <v>73.39674838709678</v>
      </c>
      <c r="J8" s="106">
        <f>'Single Family'!E73</f>
        <v>73.39674838709678</v>
      </c>
      <c r="K8" s="106">
        <f>'Single Family'!E70</f>
        <v>46.488</v>
      </c>
      <c r="L8" s="107">
        <f>'Single Family'!E78</f>
        <v>-77.29</v>
      </c>
      <c r="M8" s="67"/>
    </row>
    <row r="9" spans="1:13" ht="15.75" customHeight="1">
      <c r="A9" s="65">
        <f>+'Commodity Tonnages'!A9</f>
        <v>43708</v>
      </c>
      <c r="B9" s="66" t="s">
        <v>68</v>
      </c>
      <c r="C9" s="106">
        <f>'Single Family'!F74</f>
        <v>680.4000000000001</v>
      </c>
      <c r="D9" s="107">
        <f>'Single Family'!F76</f>
        <v>2.7520000000000002</v>
      </c>
      <c r="E9" s="107">
        <f>'Single Family'!F77</f>
        <v>0</v>
      </c>
      <c r="F9" s="108">
        <f>'Single Family'!F72</f>
        <v>79.23200000000001</v>
      </c>
      <c r="G9" s="106">
        <f>'Single Family'!F75</f>
        <v>49.304</v>
      </c>
      <c r="H9" s="106">
        <f>'Single Family'!F79</f>
        <v>4.112</v>
      </c>
      <c r="I9" s="106">
        <f>'Single Family'!F73</f>
        <v>44.62366451612903</v>
      </c>
      <c r="J9" s="106">
        <f>'Single Family'!F73</f>
        <v>44.62366451612903</v>
      </c>
      <c r="K9" s="106">
        <f>'Single Family'!F70</f>
        <v>49.024</v>
      </c>
      <c r="L9" s="107">
        <f>'Single Family'!F78</f>
        <v>-77.29</v>
      </c>
      <c r="M9" s="67"/>
    </row>
    <row r="10" spans="1:13" ht="15.75" customHeight="1">
      <c r="A10" s="65">
        <f>+'Commodity Tonnages'!A10</f>
        <v>43738</v>
      </c>
      <c r="B10" s="66" t="s">
        <v>69</v>
      </c>
      <c r="C10" s="106">
        <f>'Single Family'!G74</f>
        <v>663.0160000000001</v>
      </c>
      <c r="D10" s="107">
        <f>'Single Family'!G76</f>
        <v>6.048</v>
      </c>
      <c r="E10" s="107">
        <f>'Single Family'!G77</f>
        <v>0</v>
      </c>
      <c r="F10" s="108">
        <f>'Single Family'!G72</f>
        <v>72.712</v>
      </c>
      <c r="G10" s="106">
        <f>'Single Family'!G75</f>
        <v>44.288000000000004</v>
      </c>
      <c r="H10" s="106">
        <f>'Single Family'!G79</f>
        <v>-0.75</v>
      </c>
      <c r="I10" s="106">
        <f>'Single Family'!G73</f>
        <v>50.163174193548386</v>
      </c>
      <c r="J10" s="106">
        <f>'Single Family'!G73</f>
        <v>50.163174193548386</v>
      </c>
      <c r="K10" s="106">
        <f>'Single Family'!G70</f>
        <v>42.736000000000004</v>
      </c>
      <c r="L10" s="107">
        <f>'Single Family'!G78</f>
        <v>-77.29</v>
      </c>
      <c r="M10" s="67"/>
    </row>
    <row r="11" spans="1:13" ht="15.75" customHeight="1">
      <c r="A11" s="65">
        <f>+'Commodity Tonnages'!A11</f>
        <v>43769</v>
      </c>
      <c r="B11" s="66" t="s">
        <v>70</v>
      </c>
      <c r="C11" s="106">
        <f>'Single Family'!H74</f>
        <v>718.5920000000001</v>
      </c>
      <c r="D11" s="107">
        <f>'Single Family'!H76</f>
        <v>6.248</v>
      </c>
      <c r="E11" s="107">
        <f>'Single Family'!H77</f>
        <v>0</v>
      </c>
      <c r="F11" s="108">
        <f>'Single Family'!H72</f>
        <v>63.903999999999996</v>
      </c>
      <c r="G11" s="106">
        <f>'Single Family'!H75</f>
        <v>40.584</v>
      </c>
      <c r="H11" s="106">
        <f>'Single Family'!H79</f>
        <v>-14.77</v>
      </c>
      <c r="I11" s="106">
        <f>'Single Family'!H73</f>
        <v>32.19341935483871</v>
      </c>
      <c r="J11" s="106">
        <f>'Single Family'!H73</f>
        <v>32.19341935483871</v>
      </c>
      <c r="K11" s="106">
        <f>'Single Family'!H70</f>
        <v>39.6</v>
      </c>
      <c r="L11" s="107">
        <f>'Single Family'!H78</f>
        <v>-81.32</v>
      </c>
      <c r="M11" s="67"/>
    </row>
    <row r="12" spans="1:13" ht="15.75" customHeight="1">
      <c r="A12" s="65">
        <f>+'Commodity Tonnages'!A12</f>
        <v>43799</v>
      </c>
      <c r="B12" s="66" t="s">
        <v>71</v>
      </c>
      <c r="C12" s="106">
        <f>'Single Family'!I74</f>
        <v>677.2640000000001</v>
      </c>
      <c r="D12" s="107">
        <f>'Single Family'!I76</f>
        <v>3.232</v>
      </c>
      <c r="E12" s="107">
        <f>'Single Family'!I77</f>
        <v>0</v>
      </c>
      <c r="F12" s="108">
        <f>'Single Family'!I72</f>
        <v>75.664</v>
      </c>
      <c r="G12" s="106">
        <f>'Single Family'!I75</f>
        <v>49.6</v>
      </c>
      <c r="H12" s="106">
        <f>'Single Family'!I79</f>
        <v>3.9520000000000004</v>
      </c>
      <c r="I12" s="106">
        <f>'Single Family'!I73</f>
        <v>43.9729161290323</v>
      </c>
      <c r="J12" s="106">
        <f>'Single Family'!I73</f>
        <v>43.9729161290323</v>
      </c>
      <c r="K12" s="106">
        <f>'Single Family'!I70</f>
        <v>39.44</v>
      </c>
      <c r="L12" s="107">
        <f>'Single Family'!I78</f>
        <v>-81.32</v>
      </c>
      <c r="M12" s="67"/>
    </row>
    <row r="13" spans="1:13" ht="15.75" customHeight="1">
      <c r="A13" s="65">
        <f>+'Commodity Tonnages'!A13</f>
        <v>43830</v>
      </c>
      <c r="B13" s="66" t="s">
        <v>72</v>
      </c>
      <c r="C13" s="106">
        <f>'Single Family'!J74</f>
        <v>695.32</v>
      </c>
      <c r="D13" s="107">
        <f>'Single Family'!J76</f>
        <v>5.152000000000001</v>
      </c>
      <c r="E13" s="107">
        <f>'Single Family'!J77</f>
        <v>0</v>
      </c>
      <c r="F13" s="108">
        <f>'Single Family'!J72</f>
        <v>84.928</v>
      </c>
      <c r="G13" s="106">
        <f>'Single Family'!J75</f>
        <v>57.34400000000001</v>
      </c>
      <c r="H13" s="106">
        <f>'Single Family'!J79</f>
        <v>4.432</v>
      </c>
      <c r="I13" s="106">
        <f>'Single Family'!J73</f>
        <v>67.07628387096774</v>
      </c>
      <c r="J13" s="106">
        <f>'Single Family'!J73</f>
        <v>67.07628387096774</v>
      </c>
      <c r="K13" s="106">
        <f>'Single Family'!J70</f>
        <v>33.808</v>
      </c>
      <c r="L13" s="107">
        <f>'Single Family'!J78</f>
        <v>-81.32</v>
      </c>
      <c r="M13" s="67"/>
    </row>
    <row r="14" spans="1:13" ht="15.75" customHeight="1">
      <c r="A14" s="65">
        <f>+'Commodity Tonnages'!A14</f>
        <v>43861</v>
      </c>
      <c r="B14" s="66" t="s">
        <v>73</v>
      </c>
      <c r="C14" s="106">
        <f>'Single Family'!K74</f>
        <v>687.224</v>
      </c>
      <c r="D14" s="107">
        <f>'Single Family'!K76</f>
        <v>6.008</v>
      </c>
      <c r="E14" s="107">
        <f>'Single Family'!K77</f>
        <v>0</v>
      </c>
      <c r="F14" s="108">
        <f>'Single Family'!K72</f>
        <v>100.072</v>
      </c>
      <c r="G14" s="106">
        <f>'Single Family'!K75</f>
        <v>67.84</v>
      </c>
      <c r="H14" s="106">
        <f>'Single Family'!K79</f>
        <v>5.832000000000001</v>
      </c>
      <c r="I14" s="106">
        <f>'Single Family'!K73</f>
        <v>104.12982914572862</v>
      </c>
      <c r="J14" s="106">
        <f>'Single Family'!K73</f>
        <v>104.12982914572862</v>
      </c>
      <c r="K14" s="106">
        <f>'Single Family'!K70</f>
        <v>49.104000000000006</v>
      </c>
      <c r="L14" s="107">
        <f>'Single Family'!K78</f>
        <v>-154.67000000000002</v>
      </c>
      <c r="M14" s="67"/>
    </row>
    <row r="15" spans="1:13" ht="15.75" customHeight="1">
      <c r="A15" s="65">
        <f>+'Commodity Tonnages'!A15</f>
        <v>43890</v>
      </c>
      <c r="B15" s="66" t="s">
        <v>74</v>
      </c>
      <c r="C15" s="106">
        <f>'Single Family'!L74</f>
        <v>654.648</v>
      </c>
      <c r="D15" s="107">
        <f>'Single Family'!L76</f>
        <v>2.408</v>
      </c>
      <c r="E15" s="107">
        <f>'Single Family'!L77</f>
        <v>0</v>
      </c>
      <c r="F15" s="108">
        <f>'Single Family'!L72</f>
        <v>88.11200000000001</v>
      </c>
      <c r="G15" s="106">
        <f>'Single Family'!L75</f>
        <v>60.03200000000001</v>
      </c>
      <c r="H15" s="106">
        <f>'Single Family'!L79</f>
        <v>9.952</v>
      </c>
      <c r="I15" s="106">
        <f>'Single Family'!L73</f>
        <v>111.3465527638191</v>
      </c>
      <c r="J15" s="106">
        <f>'Single Family'!L73</f>
        <v>111.3465527638191</v>
      </c>
      <c r="K15" s="106">
        <f>'Single Family'!L70</f>
        <v>61.256</v>
      </c>
      <c r="L15" s="107">
        <f>'Single Family'!$L$78</f>
        <v>-149.94</v>
      </c>
      <c r="M15" s="67"/>
    </row>
    <row r="16" spans="1:13" ht="15.75" customHeight="1">
      <c r="A16" s="65">
        <f>+'Commodity Tonnages'!A16</f>
        <v>43921</v>
      </c>
      <c r="B16" s="66" t="s">
        <v>75</v>
      </c>
      <c r="C16" s="106">
        <f>'Single Family'!M74</f>
        <v>700.696</v>
      </c>
      <c r="D16" s="107">
        <f>'Single Family'!M76</f>
        <v>6.456</v>
      </c>
      <c r="E16" s="107">
        <f>'Single Family'!M77</f>
        <v>0</v>
      </c>
      <c r="F16" s="108">
        <f>'Single Family'!M72</f>
        <v>88.464</v>
      </c>
      <c r="G16" s="106">
        <f>'Single Family'!M75</f>
        <v>61.00800000000001</v>
      </c>
      <c r="H16" s="106">
        <f>'Single Family'!M79</f>
        <v>11.136000000000001</v>
      </c>
      <c r="I16" s="106">
        <f>'Single Family'!M73</f>
        <v>86.39794974874371</v>
      </c>
      <c r="J16" s="106">
        <f>'Single Family'!M73</f>
        <v>86.39794974874371</v>
      </c>
      <c r="K16" s="106">
        <f>'Single Family'!M70</f>
        <v>77.816</v>
      </c>
      <c r="L16" s="107">
        <f>'Single Family'!$M$78</f>
        <v>-140.9</v>
      </c>
      <c r="M16" s="67"/>
    </row>
    <row r="17" spans="1:13" ht="15.75" customHeight="1">
      <c r="A17" s="65">
        <f>+'Commodity Tonnages'!A17</f>
        <v>43951</v>
      </c>
      <c r="B17" s="66" t="s">
        <v>76</v>
      </c>
      <c r="C17" s="106">
        <f>'Single Family'!N74</f>
        <v>603.48</v>
      </c>
      <c r="D17" s="107">
        <f>'Single Family'!N76</f>
        <v>3.816</v>
      </c>
      <c r="E17" s="107">
        <f>'Single Family'!N77</f>
        <v>0</v>
      </c>
      <c r="F17" s="108">
        <f>'Single Family'!N72</f>
        <v>58.96000000000001</v>
      </c>
      <c r="G17" s="106">
        <f>'Single Family'!N75</f>
        <v>38.128</v>
      </c>
      <c r="H17" s="106">
        <f>'Single Family'!N79</f>
        <v>2.736</v>
      </c>
      <c r="I17" s="106">
        <f>'Single Family'!N73</f>
        <v>69.09793634840871</v>
      </c>
      <c r="J17" s="106">
        <f>'Single Family'!N73</f>
        <v>69.09793634840871</v>
      </c>
      <c r="K17" s="106">
        <f>'Single Family'!N70</f>
        <v>87.36000000000001</v>
      </c>
      <c r="L17" s="107">
        <f>'Single Family'!$N$78</f>
        <v>-137.41</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17"/>
  <sheetViews>
    <sheetView showGridLines="0" zoomScaleSheetLayoutView="10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I94" sqref="I94"/>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77</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43586</v>
      </c>
      <c r="D6" s="87">
        <f aca="true" t="shared" si="0" ref="D6:N6">EOMONTH(C6,1)</f>
        <v>43646</v>
      </c>
      <c r="E6" s="87">
        <f t="shared" si="0"/>
        <v>43677</v>
      </c>
      <c r="F6" s="87">
        <f t="shared" si="0"/>
        <v>43708</v>
      </c>
      <c r="G6" s="87">
        <f t="shared" si="0"/>
        <v>43738</v>
      </c>
      <c r="H6" s="87">
        <f t="shared" si="0"/>
        <v>43769</v>
      </c>
      <c r="I6" s="87">
        <f t="shared" si="0"/>
        <v>43799</v>
      </c>
      <c r="J6" s="87">
        <f t="shared" si="0"/>
        <v>43830</v>
      </c>
      <c r="K6" s="87">
        <f t="shared" si="0"/>
        <v>43861</v>
      </c>
      <c r="L6" s="87">
        <f t="shared" si="0"/>
        <v>43890</v>
      </c>
      <c r="M6" s="87">
        <f t="shared" si="0"/>
        <v>43921</v>
      </c>
      <c r="N6" s="87">
        <f t="shared" si="0"/>
        <v>43951</v>
      </c>
    </row>
    <row r="7" spans="1:14" s="67" customFormat="1" ht="11.25">
      <c r="A7" s="88" t="s">
        <v>45</v>
      </c>
      <c r="C7" s="126">
        <v>331.09</v>
      </c>
      <c r="D7" s="126">
        <v>322.52</v>
      </c>
      <c r="E7" s="126">
        <v>349.72</v>
      </c>
      <c r="F7" s="126">
        <v>318.86</v>
      </c>
      <c r="G7" s="126">
        <v>317.79</v>
      </c>
      <c r="H7" s="126">
        <v>333.03</v>
      </c>
      <c r="I7" s="126">
        <v>321.03</v>
      </c>
      <c r="J7" s="126">
        <v>377.7</v>
      </c>
      <c r="K7" s="126">
        <v>376.7</v>
      </c>
      <c r="L7" s="126">
        <v>278.57</v>
      </c>
      <c r="M7" s="126">
        <v>279.27</v>
      </c>
      <c r="N7" s="126">
        <v>378.71</v>
      </c>
    </row>
    <row r="8" spans="1:14" ht="11.25">
      <c r="A8" s="66" t="s">
        <v>46</v>
      </c>
      <c r="C8" s="89">
        <v>0</v>
      </c>
      <c r="D8" s="89">
        <v>0</v>
      </c>
      <c r="E8" s="89">
        <v>0</v>
      </c>
      <c r="F8" s="89">
        <v>0</v>
      </c>
      <c r="G8" s="89">
        <v>0</v>
      </c>
      <c r="H8" s="89">
        <v>0</v>
      </c>
      <c r="I8" s="89">
        <v>0</v>
      </c>
      <c r="J8" s="89">
        <v>0</v>
      </c>
      <c r="K8" s="89">
        <v>0</v>
      </c>
      <c r="L8" s="89">
        <v>0</v>
      </c>
      <c r="M8" s="89">
        <v>0</v>
      </c>
      <c r="N8" s="89">
        <v>0</v>
      </c>
    </row>
    <row r="9" spans="1:14" ht="11.25">
      <c r="A9" s="66" t="s">
        <v>47</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48</v>
      </c>
      <c r="C10" s="91">
        <f aca="true" t="shared" si="2" ref="C10:L10">+C7-C9</f>
        <v>331.09</v>
      </c>
      <c r="D10" s="91">
        <f t="shared" si="2"/>
        <v>322.52</v>
      </c>
      <c r="E10" s="91">
        <f t="shared" si="2"/>
        <v>349.72</v>
      </c>
      <c r="F10" s="91">
        <f t="shared" si="2"/>
        <v>318.86</v>
      </c>
      <c r="G10" s="91">
        <f t="shared" si="2"/>
        <v>317.79</v>
      </c>
      <c r="H10" s="91">
        <f t="shared" si="2"/>
        <v>333.03</v>
      </c>
      <c r="I10" s="91">
        <f t="shared" si="2"/>
        <v>321.03</v>
      </c>
      <c r="J10" s="91">
        <f t="shared" si="2"/>
        <v>377.7</v>
      </c>
      <c r="K10" s="91">
        <f t="shared" si="2"/>
        <v>376.7</v>
      </c>
      <c r="L10" s="91">
        <f t="shared" si="2"/>
        <v>278.57</v>
      </c>
      <c r="M10" s="91">
        <f>+M7-M9</f>
        <v>279.27</v>
      </c>
      <c r="N10" s="91">
        <f>+N7-N9</f>
        <v>378.71</v>
      </c>
    </row>
    <row r="11" ht="11.25"/>
    <row r="12" ht="11.25">
      <c r="A12" s="83" t="s">
        <v>49</v>
      </c>
    </row>
    <row r="13" spans="2:14" s="92" customFormat="1" ht="11.25">
      <c r="B13" s="92" t="s">
        <v>23</v>
      </c>
      <c r="C13" s="123">
        <v>0</v>
      </c>
      <c r="D13" s="123">
        <f>+C13</f>
        <v>0</v>
      </c>
      <c r="E13" s="123">
        <f aca="true" t="shared" si="3" ref="E13:M13">+D13</f>
        <v>0</v>
      </c>
      <c r="F13" s="123">
        <f t="shared" si="3"/>
        <v>0</v>
      </c>
      <c r="G13" s="123">
        <f t="shared" si="3"/>
        <v>0</v>
      </c>
      <c r="H13" s="123">
        <f t="shared" si="3"/>
        <v>0</v>
      </c>
      <c r="I13" s="123">
        <f t="shared" si="3"/>
        <v>0</v>
      </c>
      <c r="J13" s="123">
        <f t="shared" si="3"/>
        <v>0</v>
      </c>
      <c r="K13" s="123">
        <v>0</v>
      </c>
      <c r="L13" s="123">
        <f t="shared" si="3"/>
        <v>0</v>
      </c>
      <c r="M13" s="123">
        <f t="shared" si="3"/>
        <v>0</v>
      </c>
      <c r="N13" s="123">
        <v>0</v>
      </c>
    </row>
    <row r="14" spans="2:14" s="92" customFormat="1" ht="11.25">
      <c r="B14" s="92" t="s">
        <v>27</v>
      </c>
      <c r="C14" s="123">
        <v>0.1845</v>
      </c>
      <c r="D14" s="123">
        <f aca="true" t="shared" si="4" ref="D14:N23">+C14</f>
        <v>0.1845</v>
      </c>
      <c r="E14" s="123">
        <f t="shared" si="4"/>
        <v>0.1845</v>
      </c>
      <c r="F14" s="123">
        <f t="shared" si="4"/>
        <v>0.1845</v>
      </c>
      <c r="G14" s="123">
        <f t="shared" si="4"/>
        <v>0.1845</v>
      </c>
      <c r="H14" s="123">
        <f t="shared" si="4"/>
        <v>0.1845</v>
      </c>
      <c r="I14" s="123">
        <f t="shared" si="4"/>
        <v>0.1845</v>
      </c>
      <c r="J14" s="123">
        <f t="shared" si="4"/>
        <v>0.1845</v>
      </c>
      <c r="K14" s="123">
        <v>0.2187</v>
      </c>
      <c r="L14" s="123">
        <f t="shared" si="4"/>
        <v>0.2187</v>
      </c>
      <c r="M14" s="123">
        <f t="shared" si="4"/>
        <v>0.2187</v>
      </c>
      <c r="N14" s="123">
        <f t="shared" si="4"/>
        <v>0.2187</v>
      </c>
    </row>
    <row r="15" spans="2:14" s="92" customFormat="1" ht="11.25">
      <c r="B15" s="92" t="s">
        <v>50</v>
      </c>
      <c r="C15" s="123">
        <v>0</v>
      </c>
      <c r="D15" s="123">
        <f t="shared" si="4"/>
        <v>0</v>
      </c>
      <c r="E15" s="123">
        <f t="shared" si="4"/>
        <v>0</v>
      </c>
      <c r="F15" s="123">
        <f t="shared" si="4"/>
        <v>0</v>
      </c>
      <c r="G15" s="123">
        <f t="shared" si="4"/>
        <v>0</v>
      </c>
      <c r="H15" s="123">
        <f t="shared" si="4"/>
        <v>0</v>
      </c>
      <c r="I15" s="123">
        <f t="shared" si="4"/>
        <v>0</v>
      </c>
      <c r="J15" s="123">
        <f t="shared" si="4"/>
        <v>0</v>
      </c>
      <c r="K15" s="123">
        <v>0</v>
      </c>
      <c r="L15" s="123">
        <f t="shared" si="4"/>
        <v>0</v>
      </c>
      <c r="M15" s="123">
        <f t="shared" si="4"/>
        <v>0</v>
      </c>
      <c r="N15" s="123">
        <f t="shared" si="4"/>
        <v>0</v>
      </c>
    </row>
    <row r="16" spans="2:14" s="92" customFormat="1" ht="11.25">
      <c r="B16" s="92" t="s">
        <v>51</v>
      </c>
      <c r="C16" s="123">
        <v>0.0175</v>
      </c>
      <c r="D16" s="123">
        <f t="shared" si="4"/>
        <v>0.0175</v>
      </c>
      <c r="E16" s="123">
        <f t="shared" si="4"/>
        <v>0.0175</v>
      </c>
      <c r="F16" s="123">
        <f t="shared" si="4"/>
        <v>0.0175</v>
      </c>
      <c r="G16" s="123">
        <f t="shared" si="4"/>
        <v>0.0175</v>
      </c>
      <c r="H16" s="123">
        <f t="shared" si="4"/>
        <v>0.0175</v>
      </c>
      <c r="I16" s="123">
        <f t="shared" si="4"/>
        <v>0.0175</v>
      </c>
      <c r="J16" s="123">
        <f t="shared" si="4"/>
        <v>0.0175</v>
      </c>
      <c r="K16" s="123">
        <v>0.0179</v>
      </c>
      <c r="L16" s="123">
        <f t="shared" si="4"/>
        <v>0.0179</v>
      </c>
      <c r="M16" s="123">
        <f t="shared" si="4"/>
        <v>0.0179</v>
      </c>
      <c r="N16" s="123">
        <f t="shared" si="4"/>
        <v>0.0179</v>
      </c>
    </row>
    <row r="17" spans="2:14" s="92" customFormat="1" ht="11.25">
      <c r="B17" s="92" t="s">
        <v>52</v>
      </c>
      <c r="C17" s="123">
        <v>0.062</v>
      </c>
      <c r="D17" s="123">
        <f t="shared" si="4"/>
        <v>0.062</v>
      </c>
      <c r="E17" s="123">
        <f t="shared" si="4"/>
        <v>0.062</v>
      </c>
      <c r="F17" s="123">
        <f t="shared" si="4"/>
        <v>0.062</v>
      </c>
      <c r="G17" s="123">
        <f t="shared" si="4"/>
        <v>0.062</v>
      </c>
      <c r="H17" s="123">
        <f t="shared" si="4"/>
        <v>0.062</v>
      </c>
      <c r="I17" s="123">
        <f t="shared" si="4"/>
        <v>0.062</v>
      </c>
      <c r="J17" s="123">
        <f t="shared" si="4"/>
        <v>0.062</v>
      </c>
      <c r="K17" s="123">
        <v>0.0597</v>
      </c>
      <c r="L17" s="123">
        <f t="shared" si="4"/>
        <v>0.0597</v>
      </c>
      <c r="M17" s="123">
        <f t="shared" si="4"/>
        <v>0.0597</v>
      </c>
      <c r="N17" s="123">
        <f t="shared" si="4"/>
        <v>0.0597</v>
      </c>
    </row>
    <row r="18" spans="2:14" s="92" customFormat="1" ht="11.25">
      <c r="B18" s="92" t="s">
        <v>53</v>
      </c>
      <c r="C18" s="123">
        <v>0.0108</v>
      </c>
      <c r="D18" s="123">
        <f t="shared" si="4"/>
        <v>0.0108</v>
      </c>
      <c r="E18" s="123">
        <f t="shared" si="4"/>
        <v>0.0108</v>
      </c>
      <c r="F18" s="123">
        <f t="shared" si="4"/>
        <v>0.0108</v>
      </c>
      <c r="G18" s="123">
        <f t="shared" si="4"/>
        <v>0.0108</v>
      </c>
      <c r="H18" s="123">
        <f t="shared" si="4"/>
        <v>0.0108</v>
      </c>
      <c r="I18" s="123">
        <f t="shared" si="4"/>
        <v>0.0108</v>
      </c>
      <c r="J18" s="123">
        <f t="shared" si="4"/>
        <v>0.0108</v>
      </c>
      <c r="K18" s="123">
        <v>0.0115</v>
      </c>
      <c r="L18" s="123">
        <f t="shared" si="4"/>
        <v>0.0115</v>
      </c>
      <c r="M18" s="123">
        <f t="shared" si="4"/>
        <v>0.0115</v>
      </c>
      <c r="N18" s="123">
        <f t="shared" si="4"/>
        <v>0.0115</v>
      </c>
    </row>
    <row r="19" spans="2:14" s="92" customFormat="1" ht="11.25">
      <c r="B19" s="66" t="s">
        <v>54</v>
      </c>
      <c r="C19" s="123">
        <v>0.0044</v>
      </c>
      <c r="D19" s="123">
        <f t="shared" si="4"/>
        <v>0.0044</v>
      </c>
      <c r="E19" s="123">
        <f t="shared" si="4"/>
        <v>0.0044</v>
      </c>
      <c r="F19" s="123">
        <f t="shared" si="4"/>
        <v>0.0044</v>
      </c>
      <c r="G19" s="123">
        <f t="shared" si="4"/>
        <v>0.0044</v>
      </c>
      <c r="H19" s="123">
        <f t="shared" si="4"/>
        <v>0.0044</v>
      </c>
      <c r="I19" s="123">
        <f t="shared" si="4"/>
        <v>0.0044</v>
      </c>
      <c r="J19" s="123">
        <f t="shared" si="4"/>
        <v>0.0044</v>
      </c>
      <c r="K19" s="123">
        <v>0.0035</v>
      </c>
      <c r="L19" s="123">
        <f t="shared" si="4"/>
        <v>0.0035</v>
      </c>
      <c r="M19" s="123">
        <f t="shared" si="4"/>
        <v>0.0035</v>
      </c>
      <c r="N19" s="123">
        <f t="shared" si="4"/>
        <v>0.0035</v>
      </c>
    </row>
    <row r="20" spans="2:14" s="92" customFormat="1" ht="11.25">
      <c r="B20" s="66" t="s">
        <v>22</v>
      </c>
      <c r="C20" s="123">
        <v>0.1125</v>
      </c>
      <c r="D20" s="123">
        <f t="shared" si="4"/>
        <v>0.1125</v>
      </c>
      <c r="E20" s="123">
        <f t="shared" si="4"/>
        <v>0.1125</v>
      </c>
      <c r="F20" s="123">
        <f t="shared" si="4"/>
        <v>0.1125</v>
      </c>
      <c r="G20" s="123">
        <f t="shared" si="4"/>
        <v>0.1125</v>
      </c>
      <c r="H20" s="123">
        <f t="shared" si="4"/>
        <v>0.1125</v>
      </c>
      <c r="I20" s="123">
        <f t="shared" si="4"/>
        <v>0.1125</v>
      </c>
      <c r="J20" s="123">
        <f t="shared" si="4"/>
        <v>0.1125</v>
      </c>
      <c r="K20" s="123">
        <v>0.0737</v>
      </c>
      <c r="L20" s="123">
        <f t="shared" si="4"/>
        <v>0.0737</v>
      </c>
      <c r="M20" s="123">
        <f t="shared" si="4"/>
        <v>0.0737</v>
      </c>
      <c r="N20" s="123">
        <f t="shared" si="4"/>
        <v>0.0737</v>
      </c>
    </row>
    <row r="21" spans="2:14" s="92" customFormat="1" ht="11.25">
      <c r="B21" s="66" t="s">
        <v>85</v>
      </c>
      <c r="C21" s="123">
        <v>0.0424</v>
      </c>
      <c r="D21" s="123">
        <f t="shared" si="4"/>
        <v>0.0424</v>
      </c>
      <c r="E21" s="123">
        <f t="shared" si="4"/>
        <v>0.0424</v>
      </c>
      <c r="F21" s="123">
        <f t="shared" si="4"/>
        <v>0.0424</v>
      </c>
      <c r="G21" s="123">
        <f t="shared" si="4"/>
        <v>0.0424</v>
      </c>
      <c r="H21" s="123">
        <f t="shared" si="4"/>
        <v>0.0424</v>
      </c>
      <c r="I21" s="123">
        <f t="shared" si="4"/>
        <v>0.0424</v>
      </c>
      <c r="J21" s="123">
        <f t="shared" si="4"/>
        <v>0.0424</v>
      </c>
      <c r="K21" s="123">
        <v>0.0343</v>
      </c>
      <c r="L21" s="123">
        <f t="shared" si="4"/>
        <v>0.0343</v>
      </c>
      <c r="M21" s="123">
        <f t="shared" si="4"/>
        <v>0.0343</v>
      </c>
      <c r="N21" s="123">
        <f t="shared" si="4"/>
        <v>0.0343</v>
      </c>
    </row>
    <row r="22" spans="2:14" s="92" customFormat="1" ht="11.25">
      <c r="B22" s="92" t="s">
        <v>56</v>
      </c>
      <c r="C22" s="123">
        <v>0.1434</v>
      </c>
      <c r="D22" s="123">
        <f t="shared" si="4"/>
        <v>0.1434</v>
      </c>
      <c r="E22" s="123">
        <f t="shared" si="4"/>
        <v>0.1434</v>
      </c>
      <c r="F22" s="123">
        <f t="shared" si="4"/>
        <v>0.1434</v>
      </c>
      <c r="G22" s="123">
        <f t="shared" si="4"/>
        <v>0.1434</v>
      </c>
      <c r="H22" s="123">
        <f t="shared" si="4"/>
        <v>0.1434</v>
      </c>
      <c r="I22" s="123">
        <f t="shared" si="4"/>
        <v>0.1434</v>
      </c>
      <c r="J22" s="123">
        <f t="shared" si="4"/>
        <v>0.1434</v>
      </c>
      <c r="K22" s="123">
        <v>0.1878</v>
      </c>
      <c r="L22" s="123">
        <f t="shared" si="4"/>
        <v>0.1878</v>
      </c>
      <c r="M22" s="123">
        <f t="shared" si="4"/>
        <v>0.1878</v>
      </c>
      <c r="N22" s="123">
        <f t="shared" si="4"/>
        <v>0.1878</v>
      </c>
    </row>
    <row r="23" spans="2:14" s="92" customFormat="1" ht="11.25">
      <c r="B23" s="92" t="s">
        <v>57</v>
      </c>
      <c r="C23" s="124">
        <v>0.4225</v>
      </c>
      <c r="D23" s="123">
        <f t="shared" si="4"/>
        <v>0.4225</v>
      </c>
      <c r="E23" s="123">
        <f t="shared" si="4"/>
        <v>0.4225</v>
      </c>
      <c r="F23" s="123">
        <f t="shared" si="4"/>
        <v>0.4225</v>
      </c>
      <c r="G23" s="123">
        <f t="shared" si="4"/>
        <v>0.4225</v>
      </c>
      <c r="H23" s="123">
        <f t="shared" si="4"/>
        <v>0.4225</v>
      </c>
      <c r="I23" s="123">
        <f t="shared" si="4"/>
        <v>0.4225</v>
      </c>
      <c r="J23" s="123">
        <f t="shared" si="4"/>
        <v>0.4225</v>
      </c>
      <c r="K23" s="123">
        <v>0.3929</v>
      </c>
      <c r="L23" s="123">
        <f t="shared" si="4"/>
        <v>0.3929</v>
      </c>
      <c r="M23" s="123">
        <f t="shared" si="4"/>
        <v>0.3929</v>
      </c>
      <c r="N23" s="123">
        <f t="shared" si="4"/>
        <v>0.3929</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58</v>
      </c>
    </row>
    <row r="27" spans="2:14" ht="11.25">
      <c r="B27" s="66" t="s">
        <v>23</v>
      </c>
      <c r="C27" s="75">
        <f aca="true" t="shared" si="5" ref="C27:C37">+C$10*C13</f>
        <v>0</v>
      </c>
      <c r="D27" s="75">
        <f aca="true" t="shared" si="6" ref="D27:M27">+D$10*D13</f>
        <v>0</v>
      </c>
      <c r="E27" s="75">
        <f>+E$10*E13</f>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27</v>
      </c>
      <c r="C28" s="75">
        <f t="shared" si="5"/>
        <v>61.086104999999996</v>
      </c>
      <c r="D28" s="75">
        <f aca="true" t="shared" si="7" ref="D28:M28">+D$10*D14</f>
        <v>59.50494</v>
      </c>
      <c r="E28" s="75">
        <f>+E$10*E14</f>
        <v>64.52334</v>
      </c>
      <c r="F28" s="75">
        <f t="shared" si="7"/>
        <v>58.82967</v>
      </c>
      <c r="G28" s="75">
        <f t="shared" si="7"/>
        <v>58.632255</v>
      </c>
      <c r="H28" s="75">
        <f t="shared" si="7"/>
        <v>61.44403499999999</v>
      </c>
      <c r="I28" s="75">
        <f t="shared" si="7"/>
        <v>59.230034999999994</v>
      </c>
      <c r="J28" s="75">
        <f t="shared" si="7"/>
        <v>69.68565</v>
      </c>
      <c r="K28" s="75">
        <f t="shared" si="7"/>
        <v>82.38429</v>
      </c>
      <c r="L28" s="75">
        <f t="shared" si="7"/>
        <v>60.923259</v>
      </c>
      <c r="M28" s="75">
        <f t="shared" si="7"/>
        <v>61.076349</v>
      </c>
      <c r="N28" s="75">
        <f>+N$10*N14</f>
        <v>82.823877</v>
      </c>
    </row>
    <row r="29" spans="2:14" ht="11.25">
      <c r="B29" s="66" t="s">
        <v>50</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51</v>
      </c>
      <c r="C30" s="75">
        <f t="shared" si="5"/>
        <v>5.794075</v>
      </c>
      <c r="D30" s="75">
        <f aca="true" t="shared" si="9" ref="D30:N30">+D$10*D16</f>
        <v>5.6441</v>
      </c>
      <c r="E30" s="75">
        <f t="shared" si="9"/>
        <v>6.120100000000001</v>
      </c>
      <c r="F30" s="75">
        <f t="shared" si="9"/>
        <v>5.580050000000001</v>
      </c>
      <c r="G30" s="75">
        <f t="shared" si="9"/>
        <v>5.561325000000001</v>
      </c>
      <c r="H30" s="75">
        <f t="shared" si="9"/>
        <v>5.828025</v>
      </c>
      <c r="I30" s="75">
        <f t="shared" si="9"/>
        <v>5.618025</v>
      </c>
      <c r="J30" s="75">
        <f t="shared" si="9"/>
        <v>6.60975</v>
      </c>
      <c r="K30" s="75">
        <f t="shared" si="9"/>
        <v>6.742929999999999</v>
      </c>
      <c r="L30" s="75">
        <f t="shared" si="9"/>
        <v>4.986402999999999</v>
      </c>
      <c r="M30" s="75">
        <f t="shared" si="9"/>
        <v>4.998932999999999</v>
      </c>
      <c r="N30" s="75">
        <f t="shared" si="9"/>
        <v>6.778909</v>
      </c>
      <c r="P30" s="103"/>
    </row>
    <row r="31" spans="2:16" ht="12.75">
      <c r="B31" s="66" t="s">
        <v>52</v>
      </c>
      <c r="C31" s="75">
        <f t="shared" si="5"/>
        <v>20.527579999999997</v>
      </c>
      <c r="D31" s="75">
        <f aca="true" t="shared" si="10" ref="D31:N31">+D$10*D17</f>
        <v>19.99624</v>
      </c>
      <c r="E31" s="75">
        <f t="shared" si="10"/>
        <v>21.682640000000003</v>
      </c>
      <c r="F31" s="75">
        <f t="shared" si="10"/>
        <v>19.76932</v>
      </c>
      <c r="G31" s="75">
        <f t="shared" si="10"/>
        <v>19.70298</v>
      </c>
      <c r="H31" s="75">
        <f t="shared" si="10"/>
        <v>20.647859999999998</v>
      </c>
      <c r="I31" s="75">
        <f t="shared" si="10"/>
        <v>19.903859999999998</v>
      </c>
      <c r="J31" s="75">
        <f t="shared" si="10"/>
        <v>23.4174</v>
      </c>
      <c r="K31" s="75">
        <f t="shared" si="10"/>
        <v>22.48899</v>
      </c>
      <c r="L31" s="75">
        <f t="shared" si="10"/>
        <v>16.630629</v>
      </c>
      <c r="M31" s="75">
        <f t="shared" si="10"/>
        <v>16.672419</v>
      </c>
      <c r="N31" s="75">
        <f t="shared" si="10"/>
        <v>22.608987</v>
      </c>
      <c r="P31" s="60"/>
    </row>
    <row r="32" spans="2:16" ht="12.75">
      <c r="B32" s="66" t="s">
        <v>53</v>
      </c>
      <c r="C32" s="75">
        <f t="shared" si="5"/>
        <v>3.5757719999999997</v>
      </c>
      <c r="D32" s="75">
        <f aca="true" t="shared" si="11" ref="D32:N32">+D$10*D18</f>
        <v>3.483216</v>
      </c>
      <c r="E32" s="75">
        <f t="shared" si="11"/>
        <v>3.7769760000000003</v>
      </c>
      <c r="F32" s="75">
        <f t="shared" si="11"/>
        <v>3.4436880000000003</v>
      </c>
      <c r="G32" s="75">
        <f t="shared" si="11"/>
        <v>3.432132</v>
      </c>
      <c r="H32" s="75">
        <f t="shared" si="11"/>
        <v>3.596724</v>
      </c>
      <c r="I32" s="75">
        <f t="shared" si="11"/>
        <v>3.467124</v>
      </c>
      <c r="J32" s="75">
        <f t="shared" si="11"/>
        <v>4.07916</v>
      </c>
      <c r="K32" s="75">
        <f t="shared" si="11"/>
        <v>4.33205</v>
      </c>
      <c r="L32" s="75">
        <f t="shared" si="11"/>
        <v>3.2035549999999997</v>
      </c>
      <c r="M32" s="75">
        <f t="shared" si="11"/>
        <v>3.2116049999999996</v>
      </c>
      <c r="N32" s="75">
        <f t="shared" si="11"/>
        <v>4.3551649999999995</v>
      </c>
      <c r="P32" s="60"/>
    </row>
    <row r="33" spans="2:16" ht="12.75">
      <c r="B33" s="66" t="s">
        <v>54</v>
      </c>
      <c r="C33" s="75">
        <f t="shared" si="5"/>
        <v>1.456796</v>
      </c>
      <c r="D33" s="75">
        <f aca="true" t="shared" si="12" ref="D33:N33">+D$10*D19</f>
        <v>1.419088</v>
      </c>
      <c r="E33" s="75">
        <f t="shared" si="12"/>
        <v>1.5387680000000001</v>
      </c>
      <c r="F33" s="75">
        <f t="shared" si="12"/>
        <v>1.4029840000000002</v>
      </c>
      <c r="G33" s="75">
        <f t="shared" si="12"/>
        <v>1.398276</v>
      </c>
      <c r="H33" s="75">
        <f t="shared" si="12"/>
        <v>1.465332</v>
      </c>
      <c r="I33" s="75">
        <f t="shared" si="12"/>
        <v>1.412532</v>
      </c>
      <c r="J33" s="75">
        <f t="shared" si="12"/>
        <v>1.66188</v>
      </c>
      <c r="K33" s="75">
        <f t="shared" si="12"/>
        <v>1.31845</v>
      </c>
      <c r="L33" s="75">
        <f t="shared" si="12"/>
        <v>0.974995</v>
      </c>
      <c r="M33" s="75">
        <f t="shared" si="12"/>
        <v>0.977445</v>
      </c>
      <c r="N33" s="75">
        <f t="shared" si="12"/>
        <v>1.325485</v>
      </c>
      <c r="P33" s="60"/>
    </row>
    <row r="34" spans="2:16" ht="12.75">
      <c r="B34" s="66" t="s">
        <v>22</v>
      </c>
      <c r="C34" s="75">
        <f t="shared" si="5"/>
        <v>37.247625</v>
      </c>
      <c r="D34" s="75">
        <f aca="true" t="shared" si="13" ref="D34:N34">+D$10*D20</f>
        <v>36.2835</v>
      </c>
      <c r="E34" s="75">
        <f t="shared" si="13"/>
        <v>39.343500000000006</v>
      </c>
      <c r="F34" s="75">
        <f t="shared" si="13"/>
        <v>35.871750000000006</v>
      </c>
      <c r="G34" s="75">
        <f t="shared" si="13"/>
        <v>35.751375</v>
      </c>
      <c r="H34" s="75">
        <f t="shared" si="13"/>
        <v>37.465875</v>
      </c>
      <c r="I34" s="75">
        <f t="shared" si="13"/>
        <v>36.115874999999996</v>
      </c>
      <c r="J34" s="75">
        <f t="shared" si="13"/>
        <v>42.49125</v>
      </c>
      <c r="K34" s="75">
        <f t="shared" si="13"/>
        <v>27.76279</v>
      </c>
      <c r="L34" s="75">
        <f t="shared" si="13"/>
        <v>20.530609</v>
      </c>
      <c r="M34" s="75">
        <f t="shared" si="13"/>
        <v>20.582199</v>
      </c>
      <c r="N34" s="75">
        <f t="shared" si="13"/>
        <v>27.910926999999997</v>
      </c>
      <c r="P34" s="60"/>
    </row>
    <row r="35" spans="2:16" ht="12.75">
      <c r="B35" s="66" t="s">
        <v>85</v>
      </c>
      <c r="C35" s="75">
        <f t="shared" si="5"/>
        <v>14.038215999999998</v>
      </c>
      <c r="D35" s="75">
        <f aca="true" t="shared" si="14" ref="D35:N35">+D$10*D21</f>
        <v>13.674847999999999</v>
      </c>
      <c r="E35" s="75">
        <f t="shared" si="14"/>
        <v>14.828128000000001</v>
      </c>
      <c r="F35" s="75">
        <f t="shared" si="14"/>
        <v>13.519664</v>
      </c>
      <c r="G35" s="75">
        <f t="shared" si="14"/>
        <v>13.474296</v>
      </c>
      <c r="H35" s="75">
        <f t="shared" si="14"/>
        <v>14.120472</v>
      </c>
      <c r="I35" s="75">
        <f t="shared" si="14"/>
        <v>13.611671999999999</v>
      </c>
      <c r="J35" s="75">
        <f t="shared" si="14"/>
        <v>16.01448</v>
      </c>
      <c r="K35" s="75">
        <f t="shared" si="14"/>
        <v>12.920809999999998</v>
      </c>
      <c r="L35" s="75">
        <f t="shared" si="14"/>
        <v>9.554950999999999</v>
      </c>
      <c r="M35" s="75">
        <f t="shared" si="14"/>
        <v>9.578960999999998</v>
      </c>
      <c r="N35" s="75">
        <f t="shared" si="14"/>
        <v>12.989752999999999</v>
      </c>
      <c r="P35" s="60"/>
    </row>
    <row r="36" spans="2:16" ht="12.75">
      <c r="B36" s="66" t="s">
        <v>56</v>
      </c>
      <c r="C36" s="75">
        <f t="shared" si="5"/>
        <v>47.478305999999996</v>
      </c>
      <c r="D36" s="75">
        <f aca="true" t="shared" si="15" ref="D36:N36">+D$10*D22</f>
        <v>46.249368</v>
      </c>
      <c r="E36" s="75">
        <f t="shared" si="15"/>
        <v>50.149848000000006</v>
      </c>
      <c r="F36" s="75">
        <f t="shared" si="15"/>
        <v>45.724524</v>
      </c>
      <c r="G36" s="75">
        <f t="shared" si="15"/>
        <v>45.571086</v>
      </c>
      <c r="H36" s="75">
        <f t="shared" si="15"/>
        <v>47.756502</v>
      </c>
      <c r="I36" s="75">
        <f t="shared" si="15"/>
        <v>46.03570199999999</v>
      </c>
      <c r="J36" s="75">
        <f t="shared" si="15"/>
        <v>54.16218</v>
      </c>
      <c r="K36" s="75">
        <f t="shared" si="15"/>
        <v>70.74426</v>
      </c>
      <c r="L36" s="75">
        <f t="shared" si="15"/>
        <v>52.315445999999994</v>
      </c>
      <c r="M36" s="75">
        <f t="shared" si="15"/>
        <v>52.446906</v>
      </c>
      <c r="N36" s="75">
        <f t="shared" si="15"/>
        <v>71.121738</v>
      </c>
      <c r="P36" s="60"/>
    </row>
    <row r="37" spans="2:16" ht="12.75">
      <c r="B37" s="66" t="s">
        <v>57</v>
      </c>
      <c r="C37" s="90">
        <f t="shared" si="5"/>
        <v>139.88552499999997</v>
      </c>
      <c r="D37" s="90">
        <f aca="true" t="shared" si="16" ref="D37:N37">+D$10*D23</f>
        <v>136.26469999999998</v>
      </c>
      <c r="E37" s="90">
        <f t="shared" si="16"/>
        <v>147.7567</v>
      </c>
      <c r="F37" s="90">
        <f t="shared" si="16"/>
        <v>134.71835000000002</v>
      </c>
      <c r="G37" s="90">
        <f t="shared" si="16"/>
        <v>134.266275</v>
      </c>
      <c r="H37" s="90">
        <f t="shared" si="16"/>
        <v>140.705175</v>
      </c>
      <c r="I37" s="90">
        <f t="shared" si="16"/>
        <v>135.63517499999998</v>
      </c>
      <c r="J37" s="90">
        <f t="shared" si="16"/>
        <v>159.57825</v>
      </c>
      <c r="K37" s="90">
        <f t="shared" si="16"/>
        <v>148.00543000000002</v>
      </c>
      <c r="L37" s="90">
        <f t="shared" si="16"/>
        <v>109.450153</v>
      </c>
      <c r="M37" s="90">
        <f t="shared" si="16"/>
        <v>109.725183</v>
      </c>
      <c r="N37" s="90">
        <f t="shared" si="16"/>
        <v>148.795159</v>
      </c>
      <c r="P37" s="60"/>
    </row>
    <row r="38" spans="3:16" ht="12.75">
      <c r="C38" s="75">
        <f>SUM(C27:C37)</f>
        <v>331.09</v>
      </c>
      <c r="D38" s="75">
        <f>SUM(D27:D37)</f>
        <v>322.52</v>
      </c>
      <c r="E38" s="75">
        <f>SUM(E27:E37)</f>
        <v>349.72</v>
      </c>
      <c r="F38" s="75">
        <f aca="true" t="shared" si="17" ref="F38:N38">SUM(F27:F37)</f>
        <v>318.86</v>
      </c>
      <c r="G38" s="75">
        <f t="shared" si="17"/>
        <v>317.79</v>
      </c>
      <c r="H38" s="75">
        <f t="shared" si="17"/>
        <v>333.03</v>
      </c>
      <c r="I38" s="75">
        <f t="shared" si="17"/>
        <v>321.03</v>
      </c>
      <c r="J38" s="75">
        <f t="shared" si="17"/>
        <v>377.7</v>
      </c>
      <c r="K38" s="75">
        <f t="shared" si="17"/>
        <v>376.7</v>
      </c>
      <c r="L38" s="75">
        <f t="shared" si="17"/>
        <v>278.57</v>
      </c>
      <c r="M38" s="75">
        <f t="shared" si="17"/>
        <v>279.27000000000004</v>
      </c>
      <c r="N38" s="75">
        <f t="shared" si="17"/>
        <v>378.71000000000004</v>
      </c>
      <c r="P38" s="60"/>
    </row>
    <row r="39" ht="11.25">
      <c r="P39" s="103"/>
    </row>
    <row r="40" ht="11.25">
      <c r="A40" s="83" t="s">
        <v>59</v>
      </c>
    </row>
    <row r="41" spans="2:14" ht="11.25">
      <c r="B41" s="66" t="s">
        <v>23</v>
      </c>
      <c r="C41" s="94">
        <v>1</v>
      </c>
      <c r="D41" s="95">
        <v>1</v>
      </c>
      <c r="E41" s="95">
        <v>1</v>
      </c>
      <c r="F41" s="95">
        <v>1</v>
      </c>
      <c r="G41" s="95">
        <v>1</v>
      </c>
      <c r="H41" s="95">
        <v>1</v>
      </c>
      <c r="I41" s="95">
        <v>1</v>
      </c>
      <c r="J41" s="95">
        <v>1</v>
      </c>
      <c r="K41" s="95">
        <v>1</v>
      </c>
      <c r="L41" s="95">
        <v>1</v>
      </c>
      <c r="M41" s="95">
        <v>1</v>
      </c>
      <c r="N41" s="95">
        <v>1</v>
      </c>
    </row>
    <row r="42" spans="2:14" ht="11.25">
      <c r="B42" s="66" t="s">
        <v>27</v>
      </c>
      <c r="C42" s="94">
        <v>1</v>
      </c>
      <c r="D42" s="95">
        <v>1</v>
      </c>
      <c r="E42" s="95">
        <v>1</v>
      </c>
      <c r="F42" s="95">
        <v>1</v>
      </c>
      <c r="G42" s="95">
        <v>1</v>
      </c>
      <c r="H42" s="95">
        <v>1</v>
      </c>
      <c r="I42" s="95">
        <v>1</v>
      </c>
      <c r="J42" s="95">
        <v>1</v>
      </c>
      <c r="K42" s="95">
        <v>1</v>
      </c>
      <c r="L42" s="95">
        <v>1</v>
      </c>
      <c r="M42" s="95">
        <v>1</v>
      </c>
      <c r="N42" s="95">
        <v>1</v>
      </c>
    </row>
    <row r="43" spans="2:14" ht="11.25">
      <c r="B43" s="66" t="s">
        <v>50</v>
      </c>
      <c r="C43" s="94">
        <v>1</v>
      </c>
      <c r="D43" s="95">
        <v>1</v>
      </c>
      <c r="E43" s="95">
        <v>1</v>
      </c>
      <c r="F43" s="95">
        <v>1</v>
      </c>
      <c r="G43" s="95">
        <v>1</v>
      </c>
      <c r="H43" s="95">
        <v>1</v>
      </c>
      <c r="I43" s="95">
        <v>1</v>
      </c>
      <c r="J43" s="95">
        <v>1</v>
      </c>
      <c r="K43" s="95">
        <v>1</v>
      </c>
      <c r="L43" s="95">
        <v>1</v>
      </c>
      <c r="M43" s="95">
        <v>1</v>
      </c>
      <c r="N43" s="95">
        <v>1</v>
      </c>
    </row>
    <row r="44" spans="2:14" ht="11.25">
      <c r="B44" s="66" t="s">
        <v>51</v>
      </c>
      <c r="C44" s="94">
        <v>1</v>
      </c>
      <c r="D44" s="95">
        <v>1</v>
      </c>
      <c r="E44" s="95">
        <v>1</v>
      </c>
      <c r="F44" s="95">
        <v>1</v>
      </c>
      <c r="G44" s="95">
        <v>1</v>
      </c>
      <c r="H44" s="95">
        <v>1</v>
      </c>
      <c r="I44" s="95">
        <v>1</v>
      </c>
      <c r="J44" s="95">
        <v>1</v>
      </c>
      <c r="K44" s="95">
        <v>1</v>
      </c>
      <c r="L44" s="95">
        <v>1</v>
      </c>
      <c r="M44" s="95">
        <v>1</v>
      </c>
      <c r="N44" s="95">
        <v>1</v>
      </c>
    </row>
    <row r="45" spans="2:14" ht="11.25">
      <c r="B45" s="66" t="s">
        <v>52</v>
      </c>
      <c r="C45" s="94">
        <v>1</v>
      </c>
      <c r="D45" s="95">
        <v>1</v>
      </c>
      <c r="E45" s="95">
        <v>1</v>
      </c>
      <c r="F45" s="95">
        <v>1</v>
      </c>
      <c r="G45" s="95">
        <v>1</v>
      </c>
      <c r="H45" s="95">
        <v>1</v>
      </c>
      <c r="I45" s="95">
        <v>1</v>
      </c>
      <c r="J45" s="95">
        <v>1</v>
      </c>
      <c r="K45" s="95">
        <v>1</v>
      </c>
      <c r="L45" s="95">
        <v>1</v>
      </c>
      <c r="M45" s="95">
        <v>1</v>
      </c>
      <c r="N45" s="95">
        <v>1</v>
      </c>
    </row>
    <row r="46" spans="2:14" ht="11.25">
      <c r="B46" s="66" t="s">
        <v>53</v>
      </c>
      <c r="C46" s="94">
        <v>1</v>
      </c>
      <c r="D46" s="95">
        <v>1</v>
      </c>
      <c r="E46" s="95">
        <v>1</v>
      </c>
      <c r="F46" s="95">
        <v>1</v>
      </c>
      <c r="G46" s="95">
        <v>1</v>
      </c>
      <c r="H46" s="95">
        <v>1</v>
      </c>
      <c r="I46" s="95">
        <v>1</v>
      </c>
      <c r="J46" s="95">
        <v>1</v>
      </c>
      <c r="K46" s="95">
        <v>1</v>
      </c>
      <c r="L46" s="95">
        <v>1</v>
      </c>
      <c r="M46" s="95">
        <v>1</v>
      </c>
      <c r="N46" s="95">
        <v>1</v>
      </c>
    </row>
    <row r="47" spans="2:14" ht="11.25">
      <c r="B47" s="66" t="s">
        <v>54</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85</v>
      </c>
      <c r="C49" s="94">
        <v>1</v>
      </c>
      <c r="D49" s="95">
        <v>1</v>
      </c>
      <c r="E49" s="95">
        <v>1</v>
      </c>
      <c r="F49" s="95">
        <v>1</v>
      </c>
      <c r="G49" s="95">
        <v>1</v>
      </c>
      <c r="H49" s="95">
        <v>1</v>
      </c>
      <c r="I49" s="95">
        <v>1</v>
      </c>
      <c r="J49" s="95">
        <v>1</v>
      </c>
      <c r="K49" s="95">
        <v>1</v>
      </c>
      <c r="L49" s="95">
        <v>1</v>
      </c>
      <c r="M49" s="95">
        <v>1</v>
      </c>
      <c r="N49" s="95">
        <v>1</v>
      </c>
    </row>
    <row r="50" spans="2:14" ht="11.25">
      <c r="B50" s="66" t="s">
        <v>56</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57</v>
      </c>
      <c r="C52" s="93">
        <f>+C65/C37</f>
        <v>1</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60</v>
      </c>
      <c r="L54" s="93"/>
      <c r="N54" s="95"/>
    </row>
    <row r="55" spans="2:14" ht="11.25">
      <c r="B55" s="66" t="s">
        <v>23</v>
      </c>
      <c r="C55" s="75">
        <f aca="true" t="shared" si="18" ref="C55:N55">+C27*C41</f>
        <v>0</v>
      </c>
      <c r="D55" s="75">
        <f t="shared" si="18"/>
        <v>0</v>
      </c>
      <c r="E55" s="75">
        <f>+E27*E41</f>
        <v>0</v>
      </c>
      <c r="F55" s="75">
        <f>+F27*F41</f>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2:16" ht="12.75">
      <c r="B56" s="66" t="s">
        <v>27</v>
      </c>
      <c r="C56" s="75">
        <f aca="true" t="shared" si="19" ref="C56:N56">+C28*C42</f>
        <v>61.086104999999996</v>
      </c>
      <c r="D56" s="75">
        <f t="shared" si="19"/>
        <v>59.50494</v>
      </c>
      <c r="E56" s="75">
        <f t="shared" si="19"/>
        <v>64.52334</v>
      </c>
      <c r="F56" s="75">
        <f t="shared" si="19"/>
        <v>58.82967</v>
      </c>
      <c r="G56" s="75">
        <f t="shared" si="19"/>
        <v>58.632255</v>
      </c>
      <c r="H56" s="75">
        <f t="shared" si="19"/>
        <v>61.44403499999999</v>
      </c>
      <c r="I56" s="75">
        <f t="shared" si="19"/>
        <v>59.230034999999994</v>
      </c>
      <c r="J56" s="75">
        <f t="shared" si="19"/>
        <v>69.68565</v>
      </c>
      <c r="K56" s="75">
        <f t="shared" si="19"/>
        <v>82.38429</v>
      </c>
      <c r="L56" s="75">
        <f t="shared" si="19"/>
        <v>60.923259</v>
      </c>
      <c r="M56" s="75">
        <f t="shared" si="19"/>
        <v>61.076349</v>
      </c>
      <c r="N56" s="75">
        <f t="shared" si="19"/>
        <v>82.823877</v>
      </c>
      <c r="P56" s="150"/>
    </row>
    <row r="57" spans="2:16" ht="12.75">
      <c r="B57" s="66" t="s">
        <v>50</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0"/>
    </row>
    <row r="58" spans="2:16" ht="12.75">
      <c r="B58" s="66" t="s">
        <v>51</v>
      </c>
      <c r="C58" s="75">
        <f aca="true" t="shared" si="21" ref="C58:N58">+C30*C44</f>
        <v>5.794075</v>
      </c>
      <c r="D58" s="75">
        <f t="shared" si="21"/>
        <v>5.6441</v>
      </c>
      <c r="E58" s="75">
        <f t="shared" si="21"/>
        <v>6.120100000000001</v>
      </c>
      <c r="F58" s="75">
        <f t="shared" si="21"/>
        <v>5.580050000000001</v>
      </c>
      <c r="G58" s="75">
        <f t="shared" si="21"/>
        <v>5.561325000000001</v>
      </c>
      <c r="H58" s="75">
        <f t="shared" si="21"/>
        <v>5.828025</v>
      </c>
      <c r="I58" s="75">
        <f t="shared" si="21"/>
        <v>5.618025</v>
      </c>
      <c r="J58" s="75">
        <f t="shared" si="21"/>
        <v>6.60975</v>
      </c>
      <c r="K58" s="75">
        <f t="shared" si="21"/>
        <v>6.742929999999999</v>
      </c>
      <c r="L58" s="75">
        <f t="shared" si="21"/>
        <v>4.986402999999999</v>
      </c>
      <c r="M58" s="75">
        <f t="shared" si="21"/>
        <v>4.998932999999999</v>
      </c>
      <c r="N58" s="75">
        <f t="shared" si="21"/>
        <v>6.778909</v>
      </c>
      <c r="P58" s="150"/>
    </row>
    <row r="59" spans="2:16" ht="12.75">
      <c r="B59" s="66" t="s">
        <v>52</v>
      </c>
      <c r="C59" s="75">
        <f aca="true" t="shared" si="22" ref="C59:N59">+C31*C45</f>
        <v>20.527579999999997</v>
      </c>
      <c r="D59" s="75">
        <f t="shared" si="22"/>
        <v>19.99624</v>
      </c>
      <c r="E59" s="75">
        <f t="shared" si="22"/>
        <v>21.682640000000003</v>
      </c>
      <c r="F59" s="75">
        <f t="shared" si="22"/>
        <v>19.76932</v>
      </c>
      <c r="G59" s="75">
        <f t="shared" si="22"/>
        <v>19.70298</v>
      </c>
      <c r="H59" s="75">
        <f t="shared" si="22"/>
        <v>20.647859999999998</v>
      </c>
      <c r="I59" s="75">
        <f t="shared" si="22"/>
        <v>19.903859999999998</v>
      </c>
      <c r="J59" s="75">
        <f t="shared" si="22"/>
        <v>23.4174</v>
      </c>
      <c r="K59" s="75">
        <f t="shared" si="22"/>
        <v>22.48899</v>
      </c>
      <c r="L59" s="75">
        <f t="shared" si="22"/>
        <v>16.630629</v>
      </c>
      <c r="M59" s="75">
        <f t="shared" si="22"/>
        <v>16.672419</v>
      </c>
      <c r="N59" s="75">
        <f t="shared" si="22"/>
        <v>22.608987</v>
      </c>
      <c r="P59" s="150"/>
    </row>
    <row r="60" spans="2:16" ht="12.75">
      <c r="B60" s="66" t="s">
        <v>53</v>
      </c>
      <c r="C60" s="96">
        <f aca="true" t="shared" si="23" ref="C60:N60">+C32*C46</f>
        <v>3.5757719999999997</v>
      </c>
      <c r="D60" s="96">
        <f t="shared" si="23"/>
        <v>3.483216</v>
      </c>
      <c r="E60" s="96">
        <f t="shared" si="23"/>
        <v>3.7769760000000003</v>
      </c>
      <c r="F60" s="96">
        <f t="shared" si="23"/>
        <v>3.4436880000000003</v>
      </c>
      <c r="G60" s="96">
        <f t="shared" si="23"/>
        <v>3.432132</v>
      </c>
      <c r="H60" s="96">
        <f t="shared" si="23"/>
        <v>3.596724</v>
      </c>
      <c r="I60" s="96">
        <f t="shared" si="23"/>
        <v>3.467124</v>
      </c>
      <c r="J60" s="96">
        <f t="shared" si="23"/>
        <v>4.07916</v>
      </c>
      <c r="K60" s="96">
        <f t="shared" si="23"/>
        <v>4.33205</v>
      </c>
      <c r="L60" s="96">
        <f t="shared" si="23"/>
        <v>3.2035549999999997</v>
      </c>
      <c r="M60" s="96">
        <f t="shared" si="23"/>
        <v>3.2116049999999996</v>
      </c>
      <c r="N60" s="96">
        <f t="shared" si="23"/>
        <v>4.3551649999999995</v>
      </c>
      <c r="P60" s="150"/>
    </row>
    <row r="61" spans="2:16" ht="12.75">
      <c r="B61" s="66" t="s">
        <v>54</v>
      </c>
      <c r="C61" s="75">
        <f aca="true" t="shared" si="24" ref="C61:N61">+C33*C47</f>
        <v>1.456796</v>
      </c>
      <c r="D61" s="75">
        <f t="shared" si="24"/>
        <v>1.419088</v>
      </c>
      <c r="E61" s="75">
        <f t="shared" si="24"/>
        <v>1.5387680000000001</v>
      </c>
      <c r="F61" s="75">
        <f t="shared" si="24"/>
        <v>1.4029840000000002</v>
      </c>
      <c r="G61" s="75">
        <f t="shared" si="24"/>
        <v>1.398276</v>
      </c>
      <c r="H61" s="75">
        <f t="shared" si="24"/>
        <v>1.465332</v>
      </c>
      <c r="I61" s="75">
        <f t="shared" si="24"/>
        <v>1.412532</v>
      </c>
      <c r="J61" s="75">
        <f t="shared" si="24"/>
        <v>1.66188</v>
      </c>
      <c r="K61" s="75">
        <f t="shared" si="24"/>
        <v>1.31845</v>
      </c>
      <c r="L61" s="75">
        <f t="shared" si="24"/>
        <v>0.974995</v>
      </c>
      <c r="M61" s="75">
        <f t="shared" si="24"/>
        <v>0.977445</v>
      </c>
      <c r="N61" s="75">
        <f t="shared" si="24"/>
        <v>1.325485</v>
      </c>
      <c r="P61" s="150"/>
    </row>
    <row r="62" spans="2:20" ht="12.75">
      <c r="B62" s="66" t="s">
        <v>47</v>
      </c>
      <c r="C62" s="75">
        <f aca="true" t="shared" si="25" ref="C62:N62">+C34*C48</f>
        <v>37.247625</v>
      </c>
      <c r="D62" s="75">
        <f t="shared" si="25"/>
        <v>36.2835</v>
      </c>
      <c r="E62" s="75">
        <f>+E34*E48</f>
        <v>39.343500000000006</v>
      </c>
      <c r="F62" s="75">
        <f t="shared" si="25"/>
        <v>35.871750000000006</v>
      </c>
      <c r="G62" s="75">
        <f t="shared" si="25"/>
        <v>35.751375</v>
      </c>
      <c r="H62" s="75">
        <f t="shared" si="25"/>
        <v>37.465875</v>
      </c>
      <c r="I62" s="75">
        <f t="shared" si="25"/>
        <v>36.115874999999996</v>
      </c>
      <c r="J62" s="75">
        <f t="shared" si="25"/>
        <v>42.49125</v>
      </c>
      <c r="K62" s="75">
        <f t="shared" si="25"/>
        <v>27.76279</v>
      </c>
      <c r="L62" s="75">
        <f t="shared" si="25"/>
        <v>20.530609</v>
      </c>
      <c r="M62" s="75">
        <f t="shared" si="25"/>
        <v>20.582199</v>
      </c>
      <c r="N62" s="75">
        <f t="shared" si="25"/>
        <v>27.910926999999997</v>
      </c>
      <c r="Q62" s="154"/>
      <c r="R62" s="103"/>
      <c r="S62" s="151"/>
      <c r="T62" s="151"/>
    </row>
    <row r="63" spans="2:20" ht="12.75">
      <c r="B63" s="66" t="s">
        <v>85</v>
      </c>
      <c r="C63" s="75">
        <f aca="true" t="shared" si="26" ref="C63:N63">+C35*C49</f>
        <v>14.038215999999998</v>
      </c>
      <c r="D63" s="75">
        <f t="shared" si="26"/>
        <v>13.674847999999999</v>
      </c>
      <c r="E63" s="75">
        <f t="shared" si="26"/>
        <v>14.828128000000001</v>
      </c>
      <c r="F63" s="75">
        <f t="shared" si="26"/>
        <v>13.519664</v>
      </c>
      <c r="G63" s="75">
        <f t="shared" si="26"/>
        <v>13.474296</v>
      </c>
      <c r="H63" s="75">
        <f t="shared" si="26"/>
        <v>14.120472</v>
      </c>
      <c r="I63" s="75">
        <f t="shared" si="26"/>
        <v>13.611671999999999</v>
      </c>
      <c r="J63" s="75">
        <f t="shared" si="26"/>
        <v>16.01448</v>
      </c>
      <c r="K63" s="75">
        <f t="shared" si="26"/>
        <v>12.920809999999998</v>
      </c>
      <c r="L63" s="75">
        <f t="shared" si="26"/>
        <v>9.554950999999999</v>
      </c>
      <c r="M63" s="75">
        <f t="shared" si="26"/>
        <v>9.578960999999998</v>
      </c>
      <c r="N63" s="75">
        <f t="shared" si="26"/>
        <v>12.989752999999999</v>
      </c>
      <c r="Q63" s="154"/>
      <c r="R63" s="103"/>
      <c r="S63" s="151"/>
      <c r="T63" s="151"/>
    </row>
    <row r="64" spans="2:20" ht="12.75">
      <c r="B64" s="66" t="s">
        <v>56</v>
      </c>
      <c r="C64" s="75">
        <f aca="true" t="shared" si="27" ref="C64:N64">+C36*C50</f>
        <v>47.478305999999996</v>
      </c>
      <c r="D64" s="75">
        <f t="shared" si="27"/>
        <v>46.249368</v>
      </c>
      <c r="E64" s="75">
        <f>+E36*E50</f>
        <v>50.149848000000006</v>
      </c>
      <c r="F64" s="75">
        <f t="shared" si="27"/>
        <v>45.724524</v>
      </c>
      <c r="G64" s="75">
        <f t="shared" si="27"/>
        <v>45.571086</v>
      </c>
      <c r="H64" s="75">
        <f t="shared" si="27"/>
        <v>47.756502</v>
      </c>
      <c r="I64" s="75">
        <f t="shared" si="27"/>
        <v>46.03570199999999</v>
      </c>
      <c r="J64" s="75">
        <f t="shared" si="27"/>
        <v>54.16218</v>
      </c>
      <c r="K64" s="75">
        <f t="shared" si="27"/>
        <v>70.74426</v>
      </c>
      <c r="L64" s="75">
        <f t="shared" si="27"/>
        <v>52.315445999999994</v>
      </c>
      <c r="M64" s="75">
        <f t="shared" si="27"/>
        <v>52.446906</v>
      </c>
      <c r="N64" s="75">
        <f t="shared" si="27"/>
        <v>71.121738</v>
      </c>
      <c r="Q64" s="154"/>
      <c r="R64" s="103"/>
      <c r="S64" s="151"/>
      <c r="T64" s="151"/>
    </row>
    <row r="65" spans="2:20" ht="12.75">
      <c r="B65" s="66" t="s">
        <v>57</v>
      </c>
      <c r="C65" s="90">
        <f aca="true" t="shared" si="28" ref="C65:L65">+C7-SUM(C55:C64)</f>
        <v>139.88552499999997</v>
      </c>
      <c r="D65" s="90">
        <f t="shared" si="28"/>
        <v>136.26469999999998</v>
      </c>
      <c r="E65" s="90">
        <f t="shared" si="28"/>
        <v>147.75670000000002</v>
      </c>
      <c r="F65" s="90">
        <f t="shared" si="28"/>
        <v>134.71835</v>
      </c>
      <c r="G65" s="90">
        <f t="shared" si="28"/>
        <v>134.266275</v>
      </c>
      <c r="H65" s="90">
        <f t="shared" si="28"/>
        <v>140.705175</v>
      </c>
      <c r="I65" s="90">
        <f t="shared" si="28"/>
        <v>135.635175</v>
      </c>
      <c r="J65" s="90">
        <f t="shared" si="28"/>
        <v>159.57825</v>
      </c>
      <c r="K65" s="90">
        <f t="shared" si="28"/>
        <v>148.00543000000002</v>
      </c>
      <c r="L65" s="90">
        <f t="shared" si="28"/>
        <v>109.450153</v>
      </c>
      <c r="M65" s="90">
        <f>+M7-SUM(M55:M64)</f>
        <v>109.72518299999996</v>
      </c>
      <c r="N65" s="90">
        <f>+N7-SUM(N55:N64)</f>
        <v>148.79515899999998</v>
      </c>
      <c r="Q65" s="154"/>
      <c r="R65" s="103"/>
      <c r="S65" s="151"/>
      <c r="T65" s="151"/>
    </row>
    <row r="66" spans="3:20" ht="12.75">
      <c r="C66" s="75">
        <f aca="true" t="shared" si="29" ref="C66:N66">SUM(C55:C65)</f>
        <v>331.09</v>
      </c>
      <c r="D66" s="75">
        <f t="shared" si="29"/>
        <v>322.52</v>
      </c>
      <c r="E66" s="75">
        <f t="shared" si="29"/>
        <v>349.72</v>
      </c>
      <c r="F66" s="75">
        <f t="shared" si="29"/>
        <v>318.86</v>
      </c>
      <c r="G66" s="75">
        <f t="shared" si="29"/>
        <v>317.79</v>
      </c>
      <c r="H66" s="75">
        <f t="shared" si="29"/>
        <v>333.03</v>
      </c>
      <c r="I66" s="75">
        <f t="shared" si="29"/>
        <v>321.03</v>
      </c>
      <c r="J66" s="75">
        <f t="shared" si="29"/>
        <v>377.7</v>
      </c>
      <c r="K66" s="75">
        <f t="shared" si="29"/>
        <v>376.7</v>
      </c>
      <c r="L66" s="75">
        <f t="shared" si="29"/>
        <v>278.57</v>
      </c>
      <c r="M66" s="75">
        <f t="shared" si="29"/>
        <v>279.27</v>
      </c>
      <c r="N66" s="75">
        <f t="shared" si="29"/>
        <v>378.71</v>
      </c>
      <c r="Q66" s="154"/>
      <c r="R66" s="103"/>
      <c r="S66" s="151"/>
      <c r="T66" s="151"/>
    </row>
    <row r="67" spans="17:20" ht="7.5" customHeight="1">
      <c r="Q67" s="154"/>
      <c r="R67" s="103"/>
      <c r="S67" s="151"/>
      <c r="T67" s="151"/>
    </row>
    <row r="68" spans="1:20" ht="12.75">
      <c r="A68" s="97" t="s">
        <v>61</v>
      </c>
      <c r="Q68" s="154"/>
      <c r="R68" s="103"/>
      <c r="S68" s="151"/>
      <c r="T68" s="151"/>
    </row>
    <row r="69" spans="2:21" ht="12.75">
      <c r="B69" s="66" t="s">
        <v>23</v>
      </c>
      <c r="C69" s="155">
        <v>0</v>
      </c>
      <c r="D69" s="155">
        <v>0</v>
      </c>
      <c r="E69" s="155">
        <v>0</v>
      </c>
      <c r="F69" s="155">
        <v>0</v>
      </c>
      <c r="G69" s="156">
        <v>0</v>
      </c>
      <c r="H69" s="156">
        <v>0</v>
      </c>
      <c r="I69" s="155">
        <v>0</v>
      </c>
      <c r="J69" s="155">
        <v>0</v>
      </c>
      <c r="K69" s="155">
        <v>0</v>
      </c>
      <c r="L69" s="157">
        <v>0</v>
      </c>
      <c r="M69" s="157">
        <v>0</v>
      </c>
      <c r="N69" s="155">
        <v>0</v>
      </c>
      <c r="Q69" s="154"/>
      <c r="R69" s="103"/>
      <c r="S69" s="151"/>
      <c r="T69" s="151"/>
      <c r="U69" s="60"/>
    </row>
    <row r="70" spans="2:21" ht="12.75">
      <c r="B70" s="66" t="s">
        <v>27</v>
      </c>
      <c r="C70" s="155">
        <v>46.536</v>
      </c>
      <c r="D70" s="155">
        <v>46.432</v>
      </c>
      <c r="E70" s="155">
        <v>46.488</v>
      </c>
      <c r="F70" s="155">
        <v>49.024</v>
      </c>
      <c r="G70" s="156">
        <v>42.736000000000004</v>
      </c>
      <c r="H70" s="156">
        <v>39.6</v>
      </c>
      <c r="I70" s="155">
        <v>39.44</v>
      </c>
      <c r="J70" s="155">
        <v>33.808</v>
      </c>
      <c r="K70" s="155">
        <v>49.104000000000006</v>
      </c>
      <c r="L70" s="155">
        <v>61.256</v>
      </c>
      <c r="M70" s="155">
        <v>77.816</v>
      </c>
      <c r="N70" s="155">
        <v>87.36000000000001</v>
      </c>
      <c r="Q70" s="60"/>
      <c r="R70" s="103"/>
      <c r="S70" s="103"/>
      <c r="T70" s="151"/>
      <c r="U70" s="151"/>
    </row>
    <row r="71" spans="2:21" ht="12.75">
      <c r="B71" s="66" t="s">
        <v>50</v>
      </c>
      <c r="C71" s="155">
        <v>0</v>
      </c>
      <c r="D71" s="155">
        <v>0</v>
      </c>
      <c r="E71" s="155">
        <v>0</v>
      </c>
      <c r="F71" s="155">
        <v>0</v>
      </c>
      <c r="G71" s="156">
        <v>0</v>
      </c>
      <c r="H71" s="156">
        <v>0</v>
      </c>
      <c r="I71" s="155">
        <v>0</v>
      </c>
      <c r="J71" s="155">
        <v>0</v>
      </c>
      <c r="K71" s="155">
        <v>0</v>
      </c>
      <c r="L71" s="155">
        <v>0</v>
      </c>
      <c r="M71" s="155">
        <v>0</v>
      </c>
      <c r="N71" s="155">
        <v>0</v>
      </c>
      <c r="Q71" s="60"/>
      <c r="R71" s="103"/>
      <c r="S71" s="103"/>
      <c r="T71" s="151"/>
      <c r="U71" s="151"/>
    </row>
    <row r="72" spans="2:21" ht="12.75">
      <c r="B72" s="66" t="s">
        <v>51</v>
      </c>
      <c r="C72" s="155">
        <v>78.888</v>
      </c>
      <c r="D72" s="155">
        <v>79.38400000000001</v>
      </c>
      <c r="E72" s="155">
        <v>77.31200000000001</v>
      </c>
      <c r="F72" s="155">
        <v>79.23200000000001</v>
      </c>
      <c r="G72" s="156">
        <v>72.712</v>
      </c>
      <c r="H72" s="156">
        <v>63.903999999999996</v>
      </c>
      <c r="I72" s="155">
        <v>75.664</v>
      </c>
      <c r="J72" s="155">
        <v>84.928</v>
      </c>
      <c r="K72" s="155">
        <v>100.072</v>
      </c>
      <c r="L72" s="155">
        <v>88.11200000000001</v>
      </c>
      <c r="M72" s="155">
        <v>88.464</v>
      </c>
      <c r="N72" s="155">
        <v>58.96000000000001</v>
      </c>
      <c r="Q72" s="60"/>
      <c r="R72" s="103"/>
      <c r="T72" s="151"/>
      <c r="U72" s="151"/>
    </row>
    <row r="73" spans="2:21" ht="12.75">
      <c r="B73" s="66" t="s">
        <v>52</v>
      </c>
      <c r="C73" s="155">
        <v>91.13914838709675</v>
      </c>
      <c r="D73" s="155">
        <v>87.11070967741934</v>
      </c>
      <c r="E73" s="155">
        <v>73.39674838709678</v>
      </c>
      <c r="F73" s="155">
        <v>44.62366451612903</v>
      </c>
      <c r="G73" s="156">
        <v>50.163174193548386</v>
      </c>
      <c r="H73" s="156">
        <v>32.19341935483871</v>
      </c>
      <c r="I73" s="155">
        <v>43.9729161290323</v>
      </c>
      <c r="J73" s="155">
        <v>67.07628387096774</v>
      </c>
      <c r="K73" s="155">
        <v>104.12982914572862</v>
      </c>
      <c r="L73" s="155">
        <v>111.3465527638191</v>
      </c>
      <c r="M73" s="155">
        <v>86.39794974874371</v>
      </c>
      <c r="N73" s="155">
        <v>69.09793634840871</v>
      </c>
      <c r="Q73" s="103"/>
      <c r="R73" s="103"/>
      <c r="T73" s="151"/>
      <c r="U73" s="151"/>
    </row>
    <row r="74" spans="2:21" ht="12.75">
      <c r="B74" s="66" t="s">
        <v>53</v>
      </c>
      <c r="C74" s="155">
        <v>822</v>
      </c>
      <c r="D74" s="155">
        <v>800.0640000000001</v>
      </c>
      <c r="E74" s="155">
        <v>724.9520000000001</v>
      </c>
      <c r="F74" s="155">
        <v>680.4000000000001</v>
      </c>
      <c r="G74" s="156">
        <v>663.0160000000001</v>
      </c>
      <c r="H74" s="156">
        <v>718.5920000000001</v>
      </c>
      <c r="I74" s="155">
        <v>677.2640000000001</v>
      </c>
      <c r="J74" s="155">
        <v>695.32</v>
      </c>
      <c r="K74" s="155">
        <v>687.224</v>
      </c>
      <c r="L74" s="155">
        <v>654.648</v>
      </c>
      <c r="M74" s="155">
        <v>700.696</v>
      </c>
      <c r="N74" s="155">
        <v>603.48</v>
      </c>
      <c r="R74" s="154"/>
      <c r="S74" s="103"/>
      <c r="T74" s="151"/>
      <c r="U74" s="151"/>
    </row>
    <row r="75" spans="2:21" ht="12.75">
      <c r="B75" s="66" t="s">
        <v>54</v>
      </c>
      <c r="C75" s="155">
        <v>45.36000000000001</v>
      </c>
      <c r="D75" s="155">
        <v>45.70400000000001</v>
      </c>
      <c r="E75" s="155">
        <v>45.712</v>
      </c>
      <c r="F75" s="155">
        <v>49.304</v>
      </c>
      <c r="G75" s="156">
        <v>44.288000000000004</v>
      </c>
      <c r="H75" s="156">
        <v>40.584</v>
      </c>
      <c r="I75" s="155">
        <v>49.6</v>
      </c>
      <c r="J75" s="155">
        <v>57.34400000000001</v>
      </c>
      <c r="K75" s="155">
        <v>67.84</v>
      </c>
      <c r="L75" s="155">
        <v>60.03200000000001</v>
      </c>
      <c r="M75" s="155">
        <v>61.00800000000001</v>
      </c>
      <c r="N75" s="155">
        <v>38.128</v>
      </c>
      <c r="R75" s="154"/>
      <c r="S75" s="103"/>
      <c r="T75" s="151"/>
      <c r="U75" s="151"/>
    </row>
    <row r="76" spans="2:21" ht="12.75">
      <c r="B76" s="66" t="s">
        <v>47</v>
      </c>
      <c r="C76" s="155">
        <v>-5.29</v>
      </c>
      <c r="D76" s="155">
        <v>-6.25</v>
      </c>
      <c r="E76" s="155">
        <v>1.2000000000000002</v>
      </c>
      <c r="F76" s="155">
        <v>2.7520000000000002</v>
      </c>
      <c r="G76" s="156">
        <v>6.048</v>
      </c>
      <c r="H76" s="156">
        <v>6.248</v>
      </c>
      <c r="I76" s="155">
        <v>3.232</v>
      </c>
      <c r="J76" s="155">
        <v>5.152000000000001</v>
      </c>
      <c r="K76" s="155">
        <v>6.008</v>
      </c>
      <c r="L76" s="155">
        <v>2.408</v>
      </c>
      <c r="M76" s="155">
        <v>6.456</v>
      </c>
      <c r="N76" s="155">
        <v>3.816</v>
      </c>
      <c r="R76" s="154"/>
      <c r="S76" s="103"/>
      <c r="T76" s="151"/>
      <c r="U76" s="151"/>
    </row>
    <row r="77" spans="2:21" ht="12.75">
      <c r="B77" s="66" t="s">
        <v>85</v>
      </c>
      <c r="C77" s="157">
        <v>0</v>
      </c>
      <c r="D77" s="157">
        <v>0</v>
      </c>
      <c r="E77" s="157">
        <v>0</v>
      </c>
      <c r="F77" s="157">
        <v>0</v>
      </c>
      <c r="G77" s="158">
        <v>0</v>
      </c>
      <c r="H77" s="158">
        <v>0</v>
      </c>
      <c r="I77" s="157">
        <v>0</v>
      </c>
      <c r="J77" s="157">
        <v>0</v>
      </c>
      <c r="K77" s="157">
        <v>0</v>
      </c>
      <c r="L77" s="157">
        <v>0</v>
      </c>
      <c r="M77" s="157">
        <v>0</v>
      </c>
      <c r="N77" s="157">
        <v>0</v>
      </c>
      <c r="R77" s="154"/>
      <c r="S77" s="151"/>
      <c r="T77" s="151"/>
      <c r="U77" s="151"/>
    </row>
    <row r="78" spans="2:19" ht="12.75">
      <c r="B78" s="66" t="s">
        <v>56</v>
      </c>
      <c r="C78" s="157">
        <v>-77.29</v>
      </c>
      <c r="D78" s="157">
        <v>-77.29</v>
      </c>
      <c r="E78" s="157">
        <v>-77.29</v>
      </c>
      <c r="F78" s="157">
        <v>-77.29</v>
      </c>
      <c r="G78" s="158">
        <v>-77.29</v>
      </c>
      <c r="H78" s="158">
        <v>-81.32</v>
      </c>
      <c r="I78" s="157">
        <v>-81.32</v>
      </c>
      <c r="J78" s="157">
        <v>-81.32</v>
      </c>
      <c r="K78" s="157">
        <v>-154.67000000000002</v>
      </c>
      <c r="L78" s="157">
        <v>-149.94</v>
      </c>
      <c r="M78" s="157">
        <v>-140.9</v>
      </c>
      <c r="N78" s="157">
        <v>-137.41</v>
      </c>
      <c r="R78" s="154"/>
      <c r="S78" s="103"/>
    </row>
    <row r="79" spans="2:18" ht="12.75">
      <c r="B79" s="66" t="s">
        <v>57</v>
      </c>
      <c r="C79" s="155">
        <v>14.392</v>
      </c>
      <c r="D79" s="155">
        <v>13.991999999999999</v>
      </c>
      <c r="E79" s="155">
        <v>10.752</v>
      </c>
      <c r="F79" s="155">
        <v>4.112</v>
      </c>
      <c r="G79" s="156">
        <v>-0.75</v>
      </c>
      <c r="H79" s="156">
        <v>-14.77</v>
      </c>
      <c r="I79" s="155">
        <v>3.9520000000000004</v>
      </c>
      <c r="J79" s="155">
        <v>4.432</v>
      </c>
      <c r="K79" s="155">
        <v>5.832000000000001</v>
      </c>
      <c r="L79" s="155">
        <v>9.952</v>
      </c>
      <c r="M79" s="155">
        <v>11.136000000000001</v>
      </c>
      <c r="N79" s="157">
        <v>2.736</v>
      </c>
      <c r="O79" s="111">
        <f>SUM(C69:N79)</f>
        <v>10344.658332522828</v>
      </c>
      <c r="R79" s="154"/>
    </row>
    <row r="80" ht="7.5" customHeight="1">
      <c r="R80" s="154"/>
    </row>
    <row r="81" spans="1:18" ht="12.75">
      <c r="A81" s="83" t="s">
        <v>62</v>
      </c>
      <c r="R81" s="154"/>
    </row>
    <row r="82" spans="2:19" ht="11.25">
      <c r="B82" s="66" t="s">
        <v>23</v>
      </c>
      <c r="C82" s="98">
        <f aca="true" t="shared" si="30" ref="C82:N82">+C69*C55</f>
        <v>0</v>
      </c>
      <c r="D82" s="75">
        <f t="shared" si="30"/>
        <v>0</v>
      </c>
      <c r="E82" s="75">
        <f t="shared" si="30"/>
        <v>0</v>
      </c>
      <c r="F82" s="75">
        <f t="shared" si="30"/>
        <v>0</v>
      </c>
      <c r="G82" s="75">
        <f t="shared" si="30"/>
        <v>0</v>
      </c>
      <c r="H82" s="75">
        <f t="shared" si="30"/>
        <v>0</v>
      </c>
      <c r="I82" s="75">
        <f t="shared" si="30"/>
        <v>0</v>
      </c>
      <c r="J82" s="75">
        <f t="shared" si="30"/>
        <v>0</v>
      </c>
      <c r="K82" s="75">
        <f t="shared" si="30"/>
        <v>0</v>
      </c>
      <c r="L82" s="75">
        <f t="shared" si="30"/>
        <v>0</v>
      </c>
      <c r="M82" s="75">
        <f t="shared" si="30"/>
        <v>0</v>
      </c>
      <c r="N82" s="75">
        <f t="shared" si="30"/>
        <v>0</v>
      </c>
      <c r="P82" s="103"/>
      <c r="Q82" s="103"/>
      <c r="R82" s="103"/>
      <c r="S82" s="103"/>
    </row>
    <row r="83" spans="2:19" ht="12.75">
      <c r="B83" s="66" t="s">
        <v>27</v>
      </c>
      <c r="C83" s="98">
        <f aca="true" t="shared" si="31" ref="C83:M83">+C70*C56</f>
        <v>2842.70298228</v>
      </c>
      <c r="D83" s="75">
        <f>D70*D56</f>
        <v>2762.9333740800002</v>
      </c>
      <c r="E83" s="75">
        <f t="shared" si="31"/>
        <v>2999.5610299200002</v>
      </c>
      <c r="F83" s="75">
        <f t="shared" si="31"/>
        <v>2884.06574208</v>
      </c>
      <c r="G83" s="75">
        <f t="shared" si="31"/>
        <v>2505.7080496800004</v>
      </c>
      <c r="H83" s="75">
        <f t="shared" si="31"/>
        <v>2433.1837859999996</v>
      </c>
      <c r="I83" s="75">
        <f t="shared" si="31"/>
        <v>2336.0325803999995</v>
      </c>
      <c r="J83" s="75">
        <f t="shared" si="31"/>
        <v>2355.9324552</v>
      </c>
      <c r="K83" s="75">
        <f t="shared" si="31"/>
        <v>4045.3981761600003</v>
      </c>
      <c r="L83" s="75">
        <f t="shared" si="31"/>
        <v>3731.915153304</v>
      </c>
      <c r="M83" s="75">
        <f t="shared" si="31"/>
        <v>4752.717173784</v>
      </c>
      <c r="N83" s="75">
        <f>+N70*N56</f>
        <v>7235.493894720001</v>
      </c>
      <c r="P83" s="103"/>
      <c r="Q83" s="60"/>
      <c r="R83" s="151"/>
      <c r="S83" s="103"/>
    </row>
    <row r="84" spans="2:19" ht="12.75">
      <c r="B84" s="66" t="s">
        <v>50</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c r="P84" s="103"/>
      <c r="Q84" s="60"/>
      <c r="R84" s="151"/>
      <c r="S84" s="103"/>
    </row>
    <row r="85" spans="2:19" ht="12.75">
      <c r="B85" s="66" t="s">
        <v>51</v>
      </c>
      <c r="C85" s="98">
        <f aca="true" t="shared" si="33" ref="C85:N85">+C72*C58</f>
        <v>457.0829886000001</v>
      </c>
      <c r="D85" s="75">
        <f>+D72*D58</f>
        <v>448.05123440000006</v>
      </c>
      <c r="E85" s="75">
        <f t="shared" si="33"/>
        <v>473.1571712000001</v>
      </c>
      <c r="F85" s="75">
        <f t="shared" si="33"/>
        <v>442.1185216000001</v>
      </c>
      <c r="G85" s="75">
        <f t="shared" si="33"/>
        <v>404.3750634000001</v>
      </c>
      <c r="H85" s="75">
        <f t="shared" si="33"/>
        <v>372.4341096</v>
      </c>
      <c r="I85" s="75">
        <f t="shared" si="33"/>
        <v>425.0822436</v>
      </c>
      <c r="J85" s="75">
        <f t="shared" si="33"/>
        <v>561.352848</v>
      </c>
      <c r="K85" s="75">
        <f t="shared" si="33"/>
        <v>674.77849096</v>
      </c>
      <c r="L85" s="75">
        <f t="shared" si="33"/>
        <v>439.361941136</v>
      </c>
      <c r="M85" s="75">
        <f t="shared" si="33"/>
        <v>442.2256089119999</v>
      </c>
      <c r="N85" s="75">
        <f t="shared" si="33"/>
        <v>399.68447464</v>
      </c>
      <c r="P85" s="103"/>
      <c r="Q85" s="60"/>
      <c r="R85" s="151"/>
      <c r="S85" s="103"/>
    </row>
    <row r="86" spans="2:19" ht="12.75">
      <c r="B86" s="66" t="s">
        <v>52</v>
      </c>
      <c r="C86" s="98">
        <f aca="true" t="shared" si="34" ref="C86:M86">+C73*C59</f>
        <v>1870.8661596479992</v>
      </c>
      <c r="D86" s="75">
        <f t="shared" si="34"/>
        <v>1741.8866572799996</v>
      </c>
      <c r="E86" s="75">
        <f t="shared" si="34"/>
        <v>1591.4352724480002</v>
      </c>
      <c r="F86" s="75">
        <f t="shared" si="34"/>
        <v>882.179503392</v>
      </c>
      <c r="G86" s="75">
        <f t="shared" si="34"/>
        <v>988.364017872</v>
      </c>
      <c r="H86" s="75">
        <f t="shared" si="34"/>
        <v>664.72521576</v>
      </c>
      <c r="I86" s="75">
        <f t="shared" si="34"/>
        <v>875.2307664240008</v>
      </c>
      <c r="J86" s="75">
        <f t="shared" si="34"/>
        <v>1570.7521699200001</v>
      </c>
      <c r="K86" s="75">
        <f t="shared" si="34"/>
        <v>2341.7746863599996</v>
      </c>
      <c r="L86" s="75">
        <f t="shared" si="34"/>
        <v>1851.763209444</v>
      </c>
      <c r="M86" s="75">
        <f t="shared" si="34"/>
        <v>1440.4628189520001</v>
      </c>
      <c r="N86" s="75">
        <f>+N73*N59</f>
        <v>1562.234344628</v>
      </c>
      <c r="P86" s="103"/>
      <c r="Q86" s="60"/>
      <c r="R86" s="151"/>
      <c r="S86" s="103"/>
    </row>
    <row r="87" spans="2:19" ht="12.75">
      <c r="B87" s="66" t="s">
        <v>53</v>
      </c>
      <c r="C87" s="98">
        <f aca="true" t="shared" si="35" ref="C87:N87">+C74*C60</f>
        <v>2939.284584</v>
      </c>
      <c r="D87" s="75">
        <f t="shared" si="35"/>
        <v>2786.7957258240003</v>
      </c>
      <c r="E87" s="75">
        <f t="shared" si="35"/>
        <v>2738.1263051520004</v>
      </c>
      <c r="F87" s="75">
        <f t="shared" si="35"/>
        <v>2343.0853152000004</v>
      </c>
      <c r="G87" s="75">
        <f t="shared" si="35"/>
        <v>2275.558430112</v>
      </c>
      <c r="H87" s="75">
        <f t="shared" si="35"/>
        <v>2584.5770926080004</v>
      </c>
      <c r="I87" s="75">
        <f t="shared" si="35"/>
        <v>2348.1582687360005</v>
      </c>
      <c r="J87" s="75">
        <f>+J74*J60</f>
        <v>2836.3215312</v>
      </c>
      <c r="K87" s="75">
        <f t="shared" si="35"/>
        <v>2977.0887292</v>
      </c>
      <c r="L87" s="75">
        <f t="shared" si="35"/>
        <v>2097.20087364</v>
      </c>
      <c r="M87" s="75">
        <f t="shared" si="35"/>
        <v>2250.35877708</v>
      </c>
      <c r="N87" s="75">
        <f t="shared" si="35"/>
        <v>2628.2549741999997</v>
      </c>
      <c r="P87" s="103"/>
      <c r="Q87" s="60"/>
      <c r="R87" s="151"/>
      <c r="S87" s="103"/>
    </row>
    <row r="88" spans="2:19" ht="12.75">
      <c r="B88" s="66" t="s">
        <v>54</v>
      </c>
      <c r="C88" s="98">
        <f aca="true" t="shared" si="36" ref="C88:N88">+C75*C61</f>
        <v>66.08026656000001</v>
      </c>
      <c r="D88" s="75">
        <f t="shared" si="36"/>
        <v>64.857997952</v>
      </c>
      <c r="E88" s="75">
        <f t="shared" si="36"/>
        <v>70.34016281600002</v>
      </c>
      <c r="F88" s="75">
        <f t="shared" si="36"/>
        <v>69.17272313600002</v>
      </c>
      <c r="G88" s="75">
        <f t="shared" si="36"/>
        <v>61.92684748800001</v>
      </c>
      <c r="H88" s="75">
        <f t="shared" si="36"/>
        <v>59.469033888000006</v>
      </c>
      <c r="I88" s="75">
        <f t="shared" si="36"/>
        <v>70.06158719999999</v>
      </c>
      <c r="J88" s="75">
        <f t="shared" si="36"/>
        <v>95.29884672000001</v>
      </c>
      <c r="K88" s="75">
        <f t="shared" si="36"/>
        <v>89.443648</v>
      </c>
      <c r="L88" s="75">
        <f t="shared" si="36"/>
        <v>58.53089984000001</v>
      </c>
      <c r="M88" s="75">
        <f t="shared" si="36"/>
        <v>59.63196456000001</v>
      </c>
      <c r="N88" s="75">
        <f t="shared" si="36"/>
        <v>50.53809208</v>
      </c>
      <c r="P88" s="103"/>
      <c r="Q88" s="60"/>
      <c r="R88" s="151"/>
      <c r="S88" s="103"/>
    </row>
    <row r="89" spans="2:19" ht="12.75">
      <c r="B89" s="66" t="s">
        <v>47</v>
      </c>
      <c r="C89" s="98">
        <f aca="true" t="shared" si="37" ref="C89:N89">+C76*C62</f>
        <v>-197.03993625</v>
      </c>
      <c r="D89" s="75">
        <f t="shared" si="37"/>
        <v>-226.77187499999997</v>
      </c>
      <c r="E89" s="75">
        <f t="shared" si="37"/>
        <v>47.21220000000002</v>
      </c>
      <c r="F89" s="75">
        <f t="shared" si="37"/>
        <v>98.71905600000002</v>
      </c>
      <c r="G89" s="75">
        <f t="shared" si="37"/>
        <v>216.22431600000002</v>
      </c>
      <c r="H89" s="75">
        <f t="shared" si="37"/>
        <v>234.086787</v>
      </c>
      <c r="I89" s="75">
        <f t="shared" si="37"/>
        <v>116.726508</v>
      </c>
      <c r="J89" s="75">
        <f t="shared" si="37"/>
        <v>218.91492000000005</v>
      </c>
      <c r="K89" s="75">
        <f t="shared" si="37"/>
        <v>166.79884232</v>
      </c>
      <c r="L89" s="75">
        <f t="shared" si="37"/>
        <v>49.437706471999995</v>
      </c>
      <c r="M89" s="75">
        <f t="shared" si="37"/>
        <v>132.87867674400002</v>
      </c>
      <c r="N89" s="75">
        <f t="shared" si="37"/>
        <v>106.50809743199999</v>
      </c>
      <c r="P89" s="103"/>
      <c r="Q89" s="60"/>
      <c r="R89" s="151"/>
      <c r="S89" s="103"/>
    </row>
    <row r="90" spans="2:19" ht="12.75">
      <c r="B90" s="66" t="s">
        <v>55</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P90" s="103"/>
      <c r="Q90" s="60"/>
      <c r="R90" s="151"/>
      <c r="S90" s="103"/>
    </row>
    <row r="91" spans="2:19" ht="11.25">
      <c r="B91" s="66" t="s">
        <v>56</v>
      </c>
      <c r="C91" s="98">
        <f aca="true" t="shared" si="39" ref="C91:J91">+C78*C64</f>
        <v>-3669.59827074</v>
      </c>
      <c r="D91" s="75">
        <f t="shared" si="39"/>
        <v>-3574.61365272</v>
      </c>
      <c r="E91" s="75">
        <f t="shared" si="39"/>
        <v>-3876.081751920001</v>
      </c>
      <c r="F91" s="75">
        <f t="shared" si="39"/>
        <v>-3534.0484599600004</v>
      </c>
      <c r="G91" s="75">
        <f t="shared" si="39"/>
        <v>-3522.1892369400002</v>
      </c>
      <c r="H91" s="75">
        <f t="shared" si="39"/>
        <v>-3883.5587426399993</v>
      </c>
      <c r="I91" s="75">
        <f t="shared" si="39"/>
        <v>-3743.623286639999</v>
      </c>
      <c r="J91" s="75">
        <f t="shared" si="39"/>
        <v>-4404.4684775999995</v>
      </c>
      <c r="K91" s="75">
        <f aca="true" t="shared" si="40" ref="K91:N92">+K78*K64</f>
        <v>-10942.014694200001</v>
      </c>
      <c r="L91" s="75">
        <f t="shared" si="40"/>
        <v>-7844.177973239999</v>
      </c>
      <c r="M91" s="75">
        <f t="shared" si="40"/>
        <v>-7389.7690554</v>
      </c>
      <c r="N91" s="75">
        <f t="shared" si="40"/>
        <v>-9772.83801858</v>
      </c>
      <c r="P91" s="103"/>
      <c r="Q91" s="103"/>
      <c r="R91" s="103"/>
      <c r="S91" s="103"/>
    </row>
    <row r="92" spans="2:14" ht="11.25">
      <c r="B92" s="66" t="s">
        <v>57</v>
      </c>
      <c r="C92" s="99">
        <f aca="true" t="shared" si="41" ref="C92:J92">+C79*C65</f>
        <v>2013.2324757999995</v>
      </c>
      <c r="D92" s="90">
        <f t="shared" si="41"/>
        <v>1906.6156823999995</v>
      </c>
      <c r="E92" s="90">
        <f t="shared" si="41"/>
        <v>1588.6800384000003</v>
      </c>
      <c r="F92" s="90">
        <f t="shared" si="41"/>
        <v>553.9618552</v>
      </c>
      <c r="G92" s="90">
        <f t="shared" si="41"/>
        <v>-100.69970625</v>
      </c>
      <c r="H92" s="90">
        <f t="shared" si="41"/>
        <v>-2078.21543475</v>
      </c>
      <c r="I92" s="90">
        <f t="shared" si="41"/>
        <v>536.0302116</v>
      </c>
      <c r="J92" s="90">
        <f t="shared" si="41"/>
        <v>707.250804</v>
      </c>
      <c r="K92" s="90">
        <f t="shared" si="40"/>
        <v>863.1676677600002</v>
      </c>
      <c r="L92" s="90">
        <f t="shared" si="40"/>
        <v>1089.247922656</v>
      </c>
      <c r="M92" s="90">
        <f t="shared" si="40"/>
        <v>1221.8996378879997</v>
      </c>
      <c r="N92" s="75">
        <f t="shared" si="40"/>
        <v>407.103555024</v>
      </c>
    </row>
    <row r="93" spans="1:15" ht="11.25">
      <c r="A93" s="83" t="s">
        <v>63</v>
      </c>
      <c r="B93" s="83"/>
      <c r="C93" s="100">
        <f aca="true" t="shared" si="42" ref="C93:J93">SUM(C82:C92)</f>
        <v>6322.611249897999</v>
      </c>
      <c r="D93" s="101">
        <f t="shared" si="42"/>
        <v>5909.755144215999</v>
      </c>
      <c r="E93" s="101">
        <f t="shared" si="42"/>
        <v>5632.430428016001</v>
      </c>
      <c r="F93" s="101">
        <f t="shared" si="42"/>
        <v>3739.2542566479997</v>
      </c>
      <c r="G93" s="101">
        <f t="shared" si="42"/>
        <v>2829.2677813620007</v>
      </c>
      <c r="H93" s="101">
        <f t="shared" si="42"/>
        <v>386.70184746600125</v>
      </c>
      <c r="I93" s="101">
        <f t="shared" si="42"/>
        <v>2963.6988793200007</v>
      </c>
      <c r="J93" s="101">
        <f t="shared" si="42"/>
        <v>3941.3550974400014</v>
      </c>
      <c r="K93" s="101">
        <f>SUM(K82:K92)</f>
        <v>216.43554655999958</v>
      </c>
      <c r="L93" s="101">
        <f>SUM(L82:L92)</f>
        <v>1473.2797332519995</v>
      </c>
      <c r="M93" s="101">
        <f>SUM(M82:M92)</f>
        <v>2910.4056025199984</v>
      </c>
      <c r="N93" s="110">
        <f>SUM(N82:N92)</f>
        <v>2616.979414144</v>
      </c>
      <c r="O93" s="111">
        <f>SUM(C93:N93)/2</f>
        <v>19471.087490421</v>
      </c>
    </row>
    <row r="94" spans="1:14" ht="11.25">
      <c r="A94" s="83" t="s">
        <v>64</v>
      </c>
      <c r="B94" s="83"/>
      <c r="C94" s="100">
        <f>+C93/C66</f>
        <v>19.0963522</v>
      </c>
      <c r="D94" s="101">
        <f aca="true" t="shared" si="43" ref="D94:J94">+D93/D66</f>
        <v>18.3236858</v>
      </c>
      <c r="E94" s="101">
        <f>+E93/E66</f>
        <v>16.105542800000002</v>
      </c>
      <c r="F94" s="101">
        <f t="shared" si="43"/>
        <v>11.726946799999999</v>
      </c>
      <c r="G94" s="101">
        <f t="shared" si="43"/>
        <v>8.902947800000002</v>
      </c>
      <c r="H94" s="101">
        <f t="shared" si="43"/>
        <v>1.161162200000004</v>
      </c>
      <c r="I94" s="101">
        <f t="shared" si="43"/>
        <v>9.231844000000002</v>
      </c>
      <c r="J94" s="101">
        <f t="shared" si="43"/>
        <v>10.435147200000005</v>
      </c>
      <c r="K94" s="101">
        <f>+K93/K66</f>
        <v>0.5745567999999989</v>
      </c>
      <c r="L94" s="101">
        <f>+L93/L66</f>
        <v>5.288723599999998</v>
      </c>
      <c r="M94" s="101">
        <f>+M93/M66</f>
        <v>10.421475999999995</v>
      </c>
      <c r="N94" s="75">
        <f>+N93/N66</f>
        <v>6.910246400000001</v>
      </c>
    </row>
    <row r="95" ht="7.5" customHeight="1"/>
    <row r="96" spans="1:14" ht="11.25">
      <c r="A96" s="83"/>
      <c r="C96" s="111">
        <v>19.1</v>
      </c>
      <c r="D96" s="111">
        <v>18.32</v>
      </c>
      <c r="E96" s="111">
        <v>16.11</v>
      </c>
      <c r="F96" s="111">
        <v>11.73</v>
      </c>
      <c r="G96" s="111">
        <v>8.9</v>
      </c>
      <c r="H96" s="111">
        <v>1.16</v>
      </c>
      <c r="I96" s="111">
        <v>9.23</v>
      </c>
      <c r="J96" s="111">
        <v>10.44</v>
      </c>
      <c r="K96" s="111">
        <v>0.57</v>
      </c>
      <c r="L96" s="111">
        <v>5.29</v>
      </c>
      <c r="M96" s="111">
        <v>10.42</v>
      </c>
      <c r="N96" s="111">
        <v>6.91</v>
      </c>
    </row>
    <row r="97" spans="3:14" ht="11.25">
      <c r="C97" s="98">
        <f>C94-C96</f>
        <v>-0.0036478000000030875</v>
      </c>
      <c r="D97" s="98">
        <f aca="true" t="shared" si="44" ref="D97:N97">D94-D96</f>
        <v>0.0036857999999995172</v>
      </c>
      <c r="E97" s="98">
        <f t="shared" si="44"/>
        <v>-0.0044571999999973855</v>
      </c>
      <c r="F97" s="98">
        <f t="shared" si="44"/>
        <v>-0.0030532000000018655</v>
      </c>
      <c r="G97" s="98">
        <f t="shared" si="44"/>
        <v>0.002947800000001166</v>
      </c>
      <c r="H97" s="98">
        <f t="shared" si="44"/>
        <v>0.001162200000003999</v>
      </c>
      <c r="I97" s="98">
        <f t="shared" si="44"/>
        <v>0.0018440000000019552</v>
      </c>
      <c r="J97" s="98">
        <f t="shared" si="44"/>
        <v>-0.004852799999994772</v>
      </c>
      <c r="K97" s="98">
        <f t="shared" si="44"/>
        <v>0.004556799999998917</v>
      </c>
      <c r="L97" s="98">
        <f t="shared" si="44"/>
        <v>-0.0012764000000018427</v>
      </c>
      <c r="M97" s="98">
        <f t="shared" si="44"/>
        <v>0.0014759999999949258</v>
      </c>
      <c r="N97" s="98">
        <f t="shared" si="44"/>
        <v>0.00024640000000086815</v>
      </c>
    </row>
    <row r="98" spans="1:10" ht="11.25">
      <c r="A98" s="83"/>
      <c r="B98" s="83"/>
      <c r="C98" s="100"/>
      <c r="D98" s="100"/>
      <c r="E98" s="100"/>
      <c r="F98" s="100"/>
      <c r="G98" s="100"/>
      <c r="H98" s="100"/>
      <c r="I98" s="100"/>
      <c r="J98" s="104"/>
    </row>
    <row r="99" spans="3:10" ht="10.5" customHeight="1">
      <c r="C99" s="164"/>
      <c r="D99" s="165"/>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E102" s="102"/>
      <c r="F102" s="102"/>
      <c r="G102" s="102"/>
      <c r="H102" s="102"/>
      <c r="I102" s="102"/>
      <c r="J102" s="105"/>
    </row>
    <row r="105" ht="11.25">
      <c r="B105" s="66" t="str">
        <f ca="1">CELL("filename")</f>
        <v>Z:\Division\Accounting II\WUTC Filings\Commodity Credits\Filing June 2020\Bellevue\[EastSide Single Family Commodity Credit Template - June 2020.xls]WUTC_AW of Bellevue_SF</v>
      </c>
    </row>
    <row r="107" spans="3:4" ht="11.25">
      <c r="C107" s="111"/>
      <c r="D107" s="102"/>
    </row>
    <row r="108" spans="3:5" ht="11.25">
      <c r="C108" s="111"/>
      <c r="D108" s="147"/>
      <c r="E108" s="91"/>
    </row>
    <row r="109" spans="3:5" ht="11.25">
      <c r="C109" s="111"/>
      <c r="D109" s="163"/>
      <c r="E109" s="91"/>
    </row>
    <row r="110" spans="3:5" ht="11.25">
      <c r="C110" s="111"/>
      <c r="D110" s="147"/>
      <c r="E110" s="91"/>
    </row>
    <row r="111" spans="3:5" ht="11.25">
      <c r="C111" s="111"/>
      <c r="D111" s="163"/>
      <c r="E111" s="91"/>
    </row>
    <row r="112" spans="3:5" ht="11.25">
      <c r="C112" s="111"/>
      <c r="D112" s="147"/>
      <c r="E112" s="91"/>
    </row>
    <row r="113" spans="3:5" ht="11.25">
      <c r="C113" s="111"/>
      <c r="D113" s="163"/>
      <c r="E113" s="91"/>
    </row>
    <row r="114" spans="3:5" ht="11.25">
      <c r="C114" s="111"/>
      <c r="D114" s="147"/>
      <c r="E114" s="91"/>
    </row>
    <row r="115" spans="3:5" ht="11.25">
      <c r="C115" s="111"/>
      <c r="D115" s="163"/>
      <c r="E115" s="91"/>
    </row>
    <row r="116" spans="3:5" ht="11.25">
      <c r="C116" s="111"/>
      <c r="D116" s="147"/>
      <c r="E116" s="91"/>
    </row>
    <row r="117" spans="3:5" ht="11.25">
      <c r="C117" s="111"/>
      <c r="D117" s="163"/>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xl/worksheets/sheet7.xml><?xml version="1.0" encoding="utf-8"?>
<worksheet xmlns="http://schemas.openxmlformats.org/spreadsheetml/2006/main" xmlns:r="http://schemas.openxmlformats.org/officeDocument/2006/relationships">
  <dimension ref="A4:E26"/>
  <sheetViews>
    <sheetView zoomScalePageLayoutView="0" workbookViewId="0" topLeftCell="A1">
      <selection activeCell="B26" sqref="B26"/>
    </sheetView>
  </sheetViews>
  <sheetFormatPr defaultColWidth="9.140625" defaultRowHeight="12.75"/>
  <cols>
    <col min="1" max="1" width="28.00390625" style="0" customWidth="1"/>
    <col min="3" max="3" width="10.140625" style="0" bestFit="1" customWidth="1"/>
    <col min="4" max="4" width="10.421875" style="0" bestFit="1" customWidth="1"/>
    <col min="5" max="5" width="10.7109375" style="0" bestFit="1" customWidth="1"/>
  </cols>
  <sheetData>
    <row r="3" ht="13.5" thickBot="1"/>
    <row r="4" spans="1:3" ht="13.5" thickBot="1">
      <c r="A4" s="169" t="s">
        <v>104</v>
      </c>
      <c r="B4" s="170"/>
      <c r="C4" s="171">
        <v>15403.51</v>
      </c>
    </row>
    <row r="5" ht="12.75">
      <c r="C5" s="166"/>
    </row>
    <row r="6" spans="1:5" ht="12.75">
      <c r="A6" s="172" t="s">
        <v>93</v>
      </c>
      <c r="D6" s="172" t="s">
        <v>94</v>
      </c>
      <c r="E6" s="172" t="s">
        <v>95</v>
      </c>
    </row>
    <row r="7" spans="1:5" ht="12.75">
      <c r="A7" s="173" t="s">
        <v>101</v>
      </c>
      <c r="B7" s="174"/>
      <c r="C7" s="175">
        <v>5501.253571428571</v>
      </c>
      <c r="D7" s="177">
        <v>5028.142837827569</v>
      </c>
      <c r="E7" s="176">
        <v>473.1107336010031</v>
      </c>
    </row>
    <row r="8" spans="1:3" ht="12.75">
      <c r="A8" s="168" t="s">
        <v>102</v>
      </c>
      <c r="C8" s="166">
        <v>7701.755</v>
      </c>
    </row>
    <row r="9" spans="1:3" ht="12.75">
      <c r="A9" s="168" t="s">
        <v>103</v>
      </c>
      <c r="C9" s="166">
        <v>2200.5014285714283</v>
      </c>
    </row>
    <row r="11" spans="1:5" ht="12.75">
      <c r="A11" t="s">
        <v>96</v>
      </c>
      <c r="B11" t="s">
        <v>97</v>
      </c>
      <c r="C11" t="s">
        <v>98</v>
      </c>
      <c r="D11" t="s">
        <v>99</v>
      </c>
      <c r="E11" t="s">
        <v>100</v>
      </c>
    </row>
    <row r="12" spans="1:5" ht="12.75">
      <c r="A12">
        <v>4172</v>
      </c>
      <c r="B12">
        <v>41236</v>
      </c>
      <c r="C12">
        <v>3880</v>
      </c>
      <c r="D12" s="167">
        <v>0.9139994680379466</v>
      </c>
      <c r="E12" s="167">
        <v>0.08600053196205337</v>
      </c>
    </row>
    <row r="13" spans="1:5" ht="12.75">
      <c r="A13">
        <v>4176</v>
      </c>
      <c r="D13" s="167" t="e">
        <v>#DIV/0!</v>
      </c>
      <c r="E13" s="167" t="e">
        <v>#DIV/0!</v>
      </c>
    </row>
    <row r="14" spans="1:5" ht="12.75">
      <c r="A14">
        <v>4183</v>
      </c>
      <c r="D14" s="167" t="e">
        <v>#DIV/0!</v>
      </c>
      <c r="E14" s="167" t="e">
        <v>#DIV/0!</v>
      </c>
    </row>
    <row r="15" spans="4:5" ht="12.75">
      <c r="D15" s="167"/>
      <c r="E15" s="167"/>
    </row>
    <row r="20" spans="1:4" ht="12.75">
      <c r="A20" s="168" t="s">
        <v>105</v>
      </c>
      <c r="D20" s="166">
        <f>D7</f>
        <v>5028.142837827569</v>
      </c>
    </row>
    <row r="22" spans="1:4" ht="12.75">
      <c r="A22" s="168" t="s">
        <v>20</v>
      </c>
      <c r="D22" s="178">
        <f>'WUTC_AW of Bellevue_SF'!B26</f>
        <v>132971</v>
      </c>
    </row>
    <row r="24" spans="1:4" ht="12.75">
      <c r="A24" s="168" t="s">
        <v>106</v>
      </c>
      <c r="D24">
        <f>D20/D22</f>
        <v>0.037813830367731074</v>
      </c>
    </row>
    <row r="26" ht="12.75">
      <c r="D26">
        <v>0.038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2019-06-14T13:45:13Z</cp:lastPrinted>
  <dcterms:created xsi:type="dcterms:W3CDTF">2008-05-23T15:47:44Z</dcterms:created>
  <dcterms:modified xsi:type="dcterms:W3CDTF">2020-06-16T18:29:19Z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Commodity Credit Template</vt:lpwstr>
  </property>
  <property fmtid="{D5CDD505-2E9C-101B-9397-08002B2CF9AE}" pid="5" name="EFiling">
    <vt:lpwstr>18541.0000000000</vt:lpwstr>
  </property>
  <property fmtid="{D5CDD505-2E9C-101B-9397-08002B2CF9AE}" pid="6" name="DocumentSetTy">
    <vt:lpwstr>Initial Filing</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200555</vt:lpwstr>
  </property>
  <property fmtid="{D5CDD505-2E9C-101B-9397-08002B2CF9AE}" pid="13" name="Dat">
    <vt:lpwstr>2020-06-16T00:00:00Z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2020-06-17T00:00:00Z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