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10 Natural Gas Schedule 140 - Property Tax Tracker (UG-20xxxx) (Eff. 05-1-20)\Workpapers\"/>
    </mc:Choice>
  </mc:AlternateContent>
  <bookViews>
    <workbookView xWindow="0" yWindow="0" windowWidth="22815" windowHeight="10470" tabRatio="777"/>
  </bookViews>
  <sheets>
    <sheet name="Sch. 140 Rates" sheetId="1" r:id="rId1"/>
    <sheet name="Allocation Factors" sheetId="34" r:id="rId2"/>
    <sheet name="Rate Impacts--&gt;" sheetId="19" r:id="rId3"/>
    <sheet name="Rate Impacts Sch140" sheetId="47" r:id="rId4"/>
    <sheet name="Typical Res Bill Sch140" sheetId="48" r:id="rId5"/>
    <sheet name="Schedule 140" sheetId="49" r:id="rId6"/>
    <sheet name="Workpapers--&gt;" sheetId="33" r:id="rId7"/>
    <sheet name="2020 Rev Req Estimate" sheetId="40" r:id="rId8"/>
    <sheet name="Therm Forecast" sheetId="18" r:id="rId9"/>
    <sheet name="Rental Forecast" sheetId="37" r:id="rId10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 localSheetId="8">0</definedName>
    <definedName name="_Order1" localSheetId="4">0</definedName>
    <definedName name="_Order1">255</definedName>
    <definedName name="_Order2" localSheetId="8">0</definedName>
    <definedName name="_Order2" localSheetId="4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3">{"'Sheet1'!$A$1:$J$121"}</definedName>
    <definedName name="HTML_Control" localSheetId="9">{"'Sheet1'!$A$1:$J$121"}</definedName>
    <definedName name="HTML_Control" localSheetId="8">{"'Sheet1'!$A$1:$J$121"}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Last_Row" localSheetId="3">IF('Rate Impacts Sch140'!Values_Entered,Header_Row+'Rate Impacts Sch140'!Number_of_Payments,Header_Row)</definedName>
    <definedName name="Last_Row" localSheetId="9">IF('Rental Forecast'!Values_Entered,Header_Row+'Rental Forecast'!Number_of_Payments,Header_Row)</definedName>
    <definedName name="Last_Row" localSheetId="5">IF('Schedule 140'!Values_Entered,Header_Row+'Schedule 140'!Number_of_Payments,Header_Row)</definedName>
    <definedName name="Last_Row" localSheetId="8">IF('Therm Forecast'!Values_Entered,Header_Row+'Therm Forecast'!Number_of_Payments,Header_Row)</definedName>
    <definedName name="Last_Row" localSheetId="4">IF('Typical Res Bill Sch140'!Values_Entered,Header_Row+'Typical Res Bill Sch140'!Number_of_Payments,Header_Row)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 localSheetId="9">MATCH(0.01,End_Bal,-1)+1</definedName>
    <definedName name="Number_of_Payments" localSheetId="5">MATCH(0.01,End_Bal,-1)+1</definedName>
    <definedName name="Number_of_Payments" localSheetId="8">MATCH(0.01,End_Bal,-1)+1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'Allocation Factors'!$A$1:$E$22</definedName>
    <definedName name="_xlnm.Print_Area" localSheetId="3">'Rate Impacts Sch140'!$B$1:$U$45</definedName>
    <definedName name="_xlnm.Print_Area" localSheetId="0">'Sch. 140 Rates'!$A$1:$R$27</definedName>
    <definedName name="_xlnm.Print_Area" localSheetId="5">'Schedule 140'!$A$1:$I$25</definedName>
    <definedName name="_xlnm.Print_Area" localSheetId="8">'Therm Forecast'!$A$1:$N$24</definedName>
    <definedName name="_xlnm.Print_Area" localSheetId="4">'Typical Res Bill Sch140'!$B$1:$H$42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 localSheetId="9">Scheduled_Payment+Extra_Payment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 localSheetId="9">IF(Loan_Amount*Interest_Rate*Loan_Years*Loan_Start&gt;0,1,0)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E17" i="49" l="1"/>
  <c r="E18" i="49"/>
  <c r="G18" i="49" s="1"/>
  <c r="H18" i="49" s="1"/>
  <c r="E19" i="49"/>
  <c r="E20" i="49"/>
  <c r="G20" i="49" s="1"/>
  <c r="H20" i="49" s="1"/>
  <c r="E21" i="49"/>
  <c r="E16" i="49"/>
  <c r="E12" i="49"/>
  <c r="E13" i="49"/>
  <c r="E14" i="49"/>
  <c r="G14" i="49" s="1"/>
  <c r="E15" i="49"/>
  <c r="E11" i="49"/>
  <c r="E10" i="49"/>
  <c r="E9" i="49"/>
  <c r="C12" i="49"/>
  <c r="C13" i="49"/>
  <c r="C14" i="49"/>
  <c r="C15" i="49"/>
  <c r="C16" i="49"/>
  <c r="C17" i="49"/>
  <c r="C18" i="49"/>
  <c r="C19" i="49"/>
  <c r="F19" i="49" s="1"/>
  <c r="M21" i="47" s="1"/>
  <c r="C20" i="49"/>
  <c r="C21" i="49"/>
  <c r="C11" i="49"/>
  <c r="F11" i="49" s="1"/>
  <c r="M13" i="47" s="1"/>
  <c r="C10" i="49"/>
  <c r="C9" i="49"/>
  <c r="G14" i="47"/>
  <c r="G15" i="47"/>
  <c r="G16" i="47"/>
  <c r="G17" i="47"/>
  <c r="G18" i="47"/>
  <c r="G19" i="47"/>
  <c r="G20" i="47"/>
  <c r="G21" i="47"/>
  <c r="G22" i="47"/>
  <c r="G23" i="47"/>
  <c r="G13" i="47"/>
  <c r="G12" i="47"/>
  <c r="G11" i="47"/>
  <c r="G21" i="49"/>
  <c r="F21" i="49"/>
  <c r="M23" i="47" s="1"/>
  <c r="F20" i="49"/>
  <c r="G19" i="49"/>
  <c r="F18" i="49"/>
  <c r="M20" i="47" s="1"/>
  <c r="G17" i="49"/>
  <c r="H17" i="49" s="1"/>
  <c r="F17" i="49"/>
  <c r="G16" i="49"/>
  <c r="F16" i="49"/>
  <c r="F15" i="49"/>
  <c r="F14" i="49"/>
  <c r="H13" i="49"/>
  <c r="I13" i="49" s="1"/>
  <c r="G13" i="49"/>
  <c r="F13" i="49"/>
  <c r="G12" i="49"/>
  <c r="F12" i="49"/>
  <c r="H12" i="49" s="1"/>
  <c r="G10" i="49"/>
  <c r="F10" i="49"/>
  <c r="D40" i="48"/>
  <c r="D34" i="48"/>
  <c r="H33" i="48"/>
  <c r="G33" i="48"/>
  <c r="E33" i="48"/>
  <c r="E34" i="48" s="1"/>
  <c r="D33" i="48"/>
  <c r="G32" i="48"/>
  <c r="D32" i="48"/>
  <c r="G31" i="48"/>
  <c r="H29" i="48"/>
  <c r="G29" i="48"/>
  <c r="E29" i="48"/>
  <c r="H27" i="48"/>
  <c r="G27" i="48"/>
  <c r="E27" i="48"/>
  <c r="E25" i="48"/>
  <c r="D25" i="48"/>
  <c r="G24" i="48"/>
  <c r="G23" i="48"/>
  <c r="G22" i="48"/>
  <c r="G21" i="48"/>
  <c r="G20" i="48"/>
  <c r="G19" i="48"/>
  <c r="G25" i="48" s="1"/>
  <c r="G18" i="48"/>
  <c r="G17" i="48"/>
  <c r="G14" i="48"/>
  <c r="E14" i="48"/>
  <c r="D14" i="48"/>
  <c r="H13" i="48"/>
  <c r="H14" i="48" s="1"/>
  <c r="G13" i="48"/>
  <c r="E13" i="48"/>
  <c r="H12" i="48"/>
  <c r="G12" i="48"/>
  <c r="E12" i="48"/>
  <c r="H11" i="48"/>
  <c r="G11" i="48"/>
  <c r="E11" i="48"/>
  <c r="E40" i="47"/>
  <c r="E37" i="47"/>
  <c r="D37" i="47"/>
  <c r="D36" i="47"/>
  <c r="E35" i="47"/>
  <c r="E34" i="47"/>
  <c r="D33" i="47"/>
  <c r="E32" i="47"/>
  <c r="E31" i="47"/>
  <c r="F26" i="47"/>
  <c r="Q24" i="47"/>
  <c r="Q27" i="47" s="1"/>
  <c r="F23" i="47"/>
  <c r="H23" i="47" s="1"/>
  <c r="M22" i="47"/>
  <c r="F22" i="47"/>
  <c r="H22" i="47" s="1"/>
  <c r="D35" i="47"/>
  <c r="F20" i="47"/>
  <c r="H20" i="47" s="1"/>
  <c r="M19" i="47"/>
  <c r="E33" i="47"/>
  <c r="F18" i="47"/>
  <c r="H18" i="47" s="1"/>
  <c r="M17" i="47"/>
  <c r="I24" i="47"/>
  <c r="I27" i="47" s="1"/>
  <c r="E24" i="47"/>
  <c r="O24" i="47"/>
  <c r="O27" i="47" s="1"/>
  <c r="M16" i="47"/>
  <c r="K24" i="47"/>
  <c r="K27" i="47" s="1"/>
  <c r="G24" i="47"/>
  <c r="F16" i="47"/>
  <c r="H16" i="47" s="1"/>
  <c r="T15" i="47"/>
  <c r="M15" i="47"/>
  <c r="F15" i="47"/>
  <c r="H15" i="47" s="1"/>
  <c r="F14" i="47"/>
  <c r="H14" i="47" s="1"/>
  <c r="P24" i="47"/>
  <c r="P27" i="47" s="1"/>
  <c r="L24" i="47"/>
  <c r="L27" i="47" s="1"/>
  <c r="F13" i="47"/>
  <c r="H13" i="47" s="1"/>
  <c r="M12" i="47"/>
  <c r="D31" i="47"/>
  <c r="R24" i="47"/>
  <c r="R27" i="47" s="1"/>
  <c r="N24" i="47"/>
  <c r="N27" i="47" s="1"/>
  <c r="J24" i="47"/>
  <c r="J27" i="47" s="1"/>
  <c r="F11" i="47"/>
  <c r="H16" i="49" l="1"/>
  <c r="G15" i="49"/>
  <c r="H15" i="49" s="1"/>
  <c r="G9" i="49"/>
  <c r="I15" i="49"/>
  <c r="T17" i="47"/>
  <c r="I18" i="49"/>
  <c r="T20" i="47"/>
  <c r="T34" i="47" s="1"/>
  <c r="I20" i="49"/>
  <c r="T22" i="47"/>
  <c r="M14" i="47"/>
  <c r="S14" i="47" s="1"/>
  <c r="H21" i="49"/>
  <c r="H19" i="49"/>
  <c r="I19" i="49" s="1"/>
  <c r="S18" i="47"/>
  <c r="S20" i="47"/>
  <c r="U20" i="47" s="1"/>
  <c r="H14" i="49"/>
  <c r="I14" i="49" s="1"/>
  <c r="M18" i="47"/>
  <c r="S22" i="47"/>
  <c r="U22" i="47" s="1"/>
  <c r="G11" i="49"/>
  <c r="H11" i="49" s="1"/>
  <c r="G22" i="49"/>
  <c r="F9" i="49"/>
  <c r="M11" i="47" s="1"/>
  <c r="S11" i="47" s="1"/>
  <c r="C22" i="49"/>
  <c r="H11" i="47"/>
  <c r="I12" i="49"/>
  <c r="T14" i="47"/>
  <c r="S16" i="47"/>
  <c r="T19" i="47"/>
  <c r="I17" i="49"/>
  <c r="H31" i="47"/>
  <c r="H32" i="47"/>
  <c r="S13" i="47"/>
  <c r="S32" i="47" s="1"/>
  <c r="H34" i="47"/>
  <c r="S15" i="47"/>
  <c r="E27" i="47"/>
  <c r="E36" i="48"/>
  <c r="G34" i="48"/>
  <c r="H25" i="48"/>
  <c r="H34" i="48" s="1"/>
  <c r="H36" i="48" s="1"/>
  <c r="H37" i="48" s="1"/>
  <c r="H38" i="48" s="1"/>
  <c r="G40" i="48"/>
  <c r="T16" i="47"/>
  <c r="T21" i="47"/>
  <c r="S23" i="47"/>
  <c r="S37" i="47" s="1"/>
  <c r="H37" i="47"/>
  <c r="I21" i="49"/>
  <c r="T23" i="47"/>
  <c r="I16" i="49"/>
  <c r="T18" i="47"/>
  <c r="U18" i="47" s="1"/>
  <c r="F17" i="47"/>
  <c r="H17" i="47" s="1"/>
  <c r="F19" i="47"/>
  <c r="H19" i="47" s="1"/>
  <c r="S19" i="47" s="1"/>
  <c r="D32" i="47"/>
  <c r="D38" i="47" s="1"/>
  <c r="D41" i="47" s="1"/>
  <c r="D34" i="47"/>
  <c r="H10" i="49"/>
  <c r="F12" i="47"/>
  <c r="H12" i="47" s="1"/>
  <c r="S12" i="47" s="1"/>
  <c r="F21" i="47"/>
  <c r="H21" i="47" s="1"/>
  <c r="S21" i="47" s="1"/>
  <c r="D24" i="47"/>
  <c r="F24" i="47" s="1"/>
  <c r="E36" i="47"/>
  <c r="E38" i="47" s="1"/>
  <c r="E41" i="47" s="1"/>
  <c r="T36" i="47" l="1"/>
  <c r="T13" i="47"/>
  <c r="U13" i="47" s="1"/>
  <c r="I11" i="49"/>
  <c r="M24" i="47"/>
  <c r="H9" i="49"/>
  <c r="F22" i="49"/>
  <c r="U15" i="47"/>
  <c r="S34" i="47"/>
  <c r="U34" i="47" s="1"/>
  <c r="T32" i="47"/>
  <c r="U32" i="47" s="1"/>
  <c r="T35" i="47"/>
  <c r="U16" i="47"/>
  <c r="H24" i="47"/>
  <c r="H35" i="47"/>
  <c r="S33" i="47"/>
  <c r="S35" i="47"/>
  <c r="I10" i="49"/>
  <c r="T12" i="47"/>
  <c r="H36" i="47"/>
  <c r="H38" i="47" s="1"/>
  <c r="S17" i="47"/>
  <c r="T37" i="47"/>
  <c r="U37" i="47" s="1"/>
  <c r="U23" i="47"/>
  <c r="U21" i="47"/>
  <c r="H33" i="47"/>
  <c r="S31" i="47"/>
  <c r="U19" i="47"/>
  <c r="T33" i="47"/>
  <c r="U14" i="47"/>
  <c r="I9" i="49" l="1"/>
  <c r="T11" i="47"/>
  <c r="U11" i="47" s="1"/>
  <c r="H22" i="49"/>
  <c r="I22" i="49" s="1"/>
  <c r="U35" i="47"/>
  <c r="U33" i="47"/>
  <c r="U17" i="47"/>
  <c r="S36" i="47"/>
  <c r="U36" i="47" s="1"/>
  <c r="U12" i="47"/>
  <c r="T24" i="47"/>
  <c r="T31" i="47"/>
  <c r="S24" i="47"/>
  <c r="U24" i="47" l="1"/>
  <c r="T38" i="47"/>
  <c r="U31" i="47"/>
  <c r="S38" i="47"/>
  <c r="U38" i="47" l="1"/>
  <c r="D17" i="34" l="1"/>
  <c r="D20" i="34" s="1"/>
  <c r="E11" i="34" s="1"/>
  <c r="E14" i="34" l="1"/>
  <c r="E10" i="34"/>
  <c r="E19" i="34"/>
  <c r="E16" i="34"/>
  <c r="E13" i="34"/>
  <c r="E12" i="34"/>
  <c r="E15" i="34"/>
  <c r="D27" i="40" l="1"/>
  <c r="H23" i="1" l="1"/>
  <c r="G23" i="1"/>
  <c r="A25" i="40"/>
  <c r="A26" i="40" s="1"/>
  <c r="A27" i="40" s="1"/>
  <c r="A30" i="40" s="1"/>
  <c r="A31" i="40" s="1"/>
  <c r="A32" i="40" s="1"/>
  <c r="A33" i="40" s="1"/>
  <c r="H19" i="40"/>
  <c r="D10" i="40"/>
  <c r="H10" i="40" s="1"/>
  <c r="I9" i="40"/>
  <c r="I6" i="40"/>
  <c r="F6" i="40"/>
  <c r="I19" i="40"/>
  <c r="H25" i="40" l="1"/>
  <c r="F25" i="40"/>
  <c r="H11" i="40"/>
  <c r="J10" i="40"/>
  <c r="J19" i="40"/>
  <c r="D13" i="40"/>
  <c r="D15" i="40" s="1"/>
  <c r="H6" i="40"/>
  <c r="E10" i="40"/>
  <c r="I10" i="40" s="1"/>
  <c r="I25" i="40"/>
  <c r="F10" i="40"/>
  <c r="F19" i="40"/>
  <c r="F9" i="40"/>
  <c r="H9" i="40"/>
  <c r="F22" i="37"/>
  <c r="F21" i="37"/>
  <c r="F20" i="37"/>
  <c r="F19" i="37"/>
  <c r="E18" i="37"/>
  <c r="F18" i="37" s="1"/>
  <c r="E17" i="37"/>
  <c r="F17" i="37" s="1"/>
  <c r="E16" i="37"/>
  <c r="F16" i="37" s="1"/>
  <c r="E15" i="37"/>
  <c r="F15" i="37" s="1"/>
  <c r="E14" i="37"/>
  <c r="F14" i="37" s="1"/>
  <c r="E13" i="37"/>
  <c r="F13" i="37" s="1"/>
  <c r="E12" i="37"/>
  <c r="F12" i="37" s="1"/>
  <c r="E11" i="37"/>
  <c r="F11" i="37" s="1"/>
  <c r="E10" i="37"/>
  <c r="F10" i="37" s="1"/>
  <c r="E9" i="37"/>
  <c r="F9" i="37" s="1"/>
  <c r="E8" i="37"/>
  <c r="F8" i="37" s="1"/>
  <c r="E7" i="37"/>
  <c r="F7" i="37" s="1"/>
  <c r="E6" i="37"/>
  <c r="E23" i="37" s="1"/>
  <c r="D18" i="40" l="1"/>
  <c r="J6" i="40"/>
  <c r="I11" i="40"/>
  <c r="J11" i="40"/>
  <c r="F11" i="40"/>
  <c r="H26" i="40"/>
  <c r="H13" i="40"/>
  <c r="J9" i="40"/>
  <c r="E13" i="40"/>
  <c r="E15" i="40" s="1"/>
  <c r="E18" i="40" s="1"/>
  <c r="E21" i="40" s="1"/>
  <c r="J25" i="40"/>
  <c r="H27" i="40"/>
  <c r="F6" i="37"/>
  <c r="F23" i="37" s="1"/>
  <c r="G26" i="47" l="1"/>
  <c r="H26" i="47" s="1"/>
  <c r="C24" i="49"/>
  <c r="F24" i="49" s="1"/>
  <c r="F20" i="1"/>
  <c r="F18" i="40"/>
  <c r="D21" i="40"/>
  <c r="F21" i="40" s="1"/>
  <c r="I13" i="40"/>
  <c r="I15" i="40" s="1"/>
  <c r="I18" i="40" s="1"/>
  <c r="I21" i="40" s="1"/>
  <c r="I26" i="40"/>
  <c r="I27" i="40" s="1"/>
  <c r="E27" i="40"/>
  <c r="E28" i="40" s="1"/>
  <c r="J13" i="40"/>
  <c r="H15" i="40"/>
  <c r="F13" i="40"/>
  <c r="D28" i="40"/>
  <c r="F26" i="40"/>
  <c r="H28" i="40"/>
  <c r="H30" i="40"/>
  <c r="H31" i="40" s="1"/>
  <c r="J27" i="40"/>
  <c r="J28" i="40" s="1"/>
  <c r="F15" i="40"/>
  <c r="D13" i="1"/>
  <c r="D20" i="1"/>
  <c r="D17" i="1"/>
  <c r="D16" i="1"/>
  <c r="D15" i="1"/>
  <c r="D14" i="1"/>
  <c r="D12" i="1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D11" i="1"/>
  <c r="M26" i="47" l="1"/>
  <c r="M27" i="47" s="1"/>
  <c r="F25" i="49"/>
  <c r="H40" i="47"/>
  <c r="H41" i="47" s="1"/>
  <c r="S26" i="47"/>
  <c r="H27" i="47"/>
  <c r="E17" i="34"/>
  <c r="E20" i="34" s="1"/>
  <c r="J26" i="40"/>
  <c r="H18" i="40"/>
  <c r="J15" i="40"/>
  <c r="I28" i="40"/>
  <c r="I30" i="40"/>
  <c r="I31" i="40" s="1"/>
  <c r="F27" i="40"/>
  <c r="F28" i="40" s="1"/>
  <c r="S40" i="47" l="1"/>
  <c r="S41" i="47" s="1"/>
  <c r="S27" i="47"/>
  <c r="H21" i="40"/>
  <c r="J21" i="40" s="1"/>
  <c r="J18" i="40"/>
  <c r="H20" i="1" l="1"/>
  <c r="H12" i="1"/>
  <c r="H13" i="1"/>
  <c r="H14" i="1"/>
  <c r="H15" i="1"/>
  <c r="H16" i="1"/>
  <c r="H17" i="1"/>
  <c r="H11" i="1"/>
  <c r="H18" i="1" l="1"/>
  <c r="G20" i="1"/>
  <c r="P20" i="1" s="1"/>
  <c r="G11" i="1" l="1"/>
  <c r="M22" i="18" l="1"/>
  <c r="L22" i="18"/>
  <c r="K22" i="18"/>
  <c r="J22" i="18"/>
  <c r="I22" i="18"/>
  <c r="H22" i="18"/>
  <c r="G22" i="18"/>
  <c r="F22" i="18"/>
  <c r="E22" i="18"/>
  <c r="D22" i="18"/>
  <c r="C22" i="18"/>
  <c r="B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C7" i="18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E14" i="1" l="1"/>
  <c r="N22" i="18"/>
  <c r="E11" i="1"/>
  <c r="E15" i="1"/>
  <c r="E12" i="1"/>
  <c r="E16" i="1"/>
  <c r="E13" i="1"/>
  <c r="E17" i="1"/>
  <c r="E18" i="1" l="1"/>
  <c r="Q20" i="1"/>
  <c r="R20" i="1" s="1"/>
  <c r="E24" i="49" s="1"/>
  <c r="G24" i="49" s="1"/>
  <c r="H24" i="49" l="1"/>
  <c r="G25" i="49"/>
  <c r="H21" i="1"/>
  <c r="I24" i="49" l="1"/>
  <c r="T26" i="47"/>
  <c r="H25" i="49"/>
  <c r="I25" i="49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I11" i="1"/>
  <c r="I23" i="1"/>
  <c r="T40" i="47" l="1"/>
  <c r="U26" i="47"/>
  <c r="T27" i="47"/>
  <c r="U27" i="47" s="1"/>
  <c r="I20" i="1"/>
  <c r="G18" i="1"/>
  <c r="G21" i="1" s="1"/>
  <c r="U40" i="47" l="1"/>
  <c r="T41" i="47"/>
  <c r="U41" i="47" s="1"/>
  <c r="K12" i="1"/>
  <c r="K17" i="1"/>
  <c r="J15" i="1"/>
  <c r="K16" i="1"/>
  <c r="J16" i="1"/>
  <c r="J17" i="1" l="1"/>
  <c r="L17" i="1" s="1"/>
  <c r="K15" i="1"/>
  <c r="L15" i="1" s="1"/>
  <c r="J12" i="1"/>
  <c r="L12" i="1" s="1"/>
  <c r="L16" i="1"/>
  <c r="K13" i="1"/>
  <c r="J13" i="1"/>
  <c r="K11" i="1"/>
  <c r="N11" i="1" s="1"/>
  <c r="J11" i="1"/>
  <c r="K14" i="1"/>
  <c r="J14" i="1"/>
  <c r="L14" i="1" l="1"/>
  <c r="L13" i="1"/>
  <c r="L11" i="1"/>
  <c r="M11" i="1"/>
  <c r="O11" i="1" s="1"/>
  <c r="D18" i="1" l="1"/>
  <c r="D21" i="1" s="1"/>
  <c r="I18" i="1" l="1"/>
  <c r="I21" i="1" s="1"/>
</calcChain>
</file>

<file path=xl/comments1.xml><?xml version="1.0" encoding="utf-8"?>
<comments xmlns="http://schemas.openxmlformats.org/spreadsheetml/2006/main">
  <authors>
    <author>Paul Schmidt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 xml:space="preserve">PSE:  </t>
        </r>
        <r>
          <rPr>
            <sz val="9"/>
            <color indexed="81"/>
            <rFont val="Tahoma"/>
            <family val="2"/>
          </rPr>
          <t xml:space="preserve">Schedule 074 ending service effective 4-1-20.
</t>
        </r>
      </text>
    </comment>
  </commentList>
</comments>
</file>

<file path=xl/sharedStrings.xml><?xml version="1.0" encoding="utf-8"?>
<sst xmlns="http://schemas.openxmlformats.org/spreadsheetml/2006/main" count="444" uniqueCount="258">
  <si>
    <t>Puget Sound Energy</t>
  </si>
  <si>
    <t>Calculation of Schedule 140 Rates</t>
  </si>
  <si>
    <t>Proposed</t>
  </si>
  <si>
    <t>Property Tax</t>
  </si>
  <si>
    <t>Monthly</t>
  </si>
  <si>
    <t>Rental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</si>
  <si>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</si>
  <si>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</si>
  <si>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</si>
  <si>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</si>
  <si>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</si>
  <si>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</si>
  <si>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</si>
  <si>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</si>
  <si>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</si>
  <si>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</si>
  <si>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</si>
  <si>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</si>
  <si>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</si>
  <si>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</si>
  <si>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</si>
  <si>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</si>
  <si>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</si>
  <si>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</si>
  <si>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</si>
  <si>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</si>
  <si>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</si>
  <si>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</si>
  <si>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</si>
  <si>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Total</t>
  </si>
  <si>
    <t>Proposed Revenue Requirement</t>
  </si>
  <si>
    <t>Volume (Therms)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</si>
  <si>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</si>
  <si>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</si>
  <si>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</si>
  <si>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</si>
  <si>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</si>
  <si>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</si>
  <si>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</si>
  <si>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</si>
  <si>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</si>
  <si>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</si>
  <si>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</si>
  <si>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</si>
  <si>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</si>
  <si>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</si>
  <si>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</si>
  <si>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</si>
  <si>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</si>
  <si>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</si>
  <si>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</si>
  <si>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</si>
  <si>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</si>
  <si>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</si>
  <si>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</si>
  <si>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</si>
  <si>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</si>
  <si>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</si>
  <si>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</si>
  <si>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</si>
  <si>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</si>
  <si>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</si>
  <si>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</si>
  <si>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</si>
  <si>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</si>
  <si>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</si>
  <si>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(e)</t>
  </si>
  <si>
    <t>Line</t>
  </si>
  <si>
    <t>No.</t>
  </si>
  <si>
    <t>Forecasted Therm Volumes</t>
  </si>
  <si>
    <t>&lt;==Check Load</t>
  </si>
  <si>
    <t>Revenue Requirement Increase / (Decrease)</t>
  </si>
  <si>
    <t>UG-170034</t>
  </si>
  <si>
    <t>Residential (16,23,53)</t>
  </si>
  <si>
    <t>= 7 - 9</t>
  </si>
  <si>
    <t>2020 Gas Schedule 140 Property Tax Tracker Filing</t>
  </si>
  <si>
    <t>Proposed Effective May 1, 2020</t>
  </si>
  <si>
    <t>May 2020 - April 2021</t>
  </si>
  <si>
    <t/>
  </si>
  <si>
    <t>Billing Month</t>
  </si>
  <si>
    <t>01/2020</t>
  </si>
  <si>
    <t>Annual</t>
  </si>
  <si>
    <t>Rate Category</t>
  </si>
  <si>
    <t>Statistical Rate</t>
  </si>
  <si>
    <t>Price Amount (char)</t>
  </si>
  <si>
    <t>Total Billed Amount (Excluding Tax Charges)</t>
  </si>
  <si>
    <t>Water Heater Count</t>
  </si>
  <si>
    <t>SCH_071G</t>
  </si>
  <si>
    <t>GSU_STDWH : SCH_71G - Standard Water Heater</t>
  </si>
  <si>
    <t xml:space="preserve">      8.03000000</t>
  </si>
  <si>
    <t>GSU_CONSWH : SCH_71G - Consv. Water Heater</t>
  </si>
  <si>
    <t xml:space="preserve">     12.89000000</t>
  </si>
  <si>
    <t>GSU_DVWH : SCH_71G - Direct Vent Water Heater</t>
  </si>
  <si>
    <t xml:space="preserve">     18.10000000</t>
  </si>
  <si>
    <t>GSU_HRWH : SCH_71G - High Recovery Water Heater</t>
  </si>
  <si>
    <t xml:space="preserve">     17.72000000</t>
  </si>
  <si>
    <t>GSU_HESWH : SCH_71G - High Efficiency Standard</t>
  </si>
  <si>
    <t xml:space="preserve">      6.45000000</t>
  </si>
  <si>
    <t>GSU_HEDVWH : SCH_71G - High Efficiency Direct Vent</t>
  </si>
  <si>
    <t xml:space="preserve">     11.33000000</t>
  </si>
  <si>
    <t>SCH_072G</t>
  </si>
  <si>
    <t>GSU_50LVWH : SCH_72G - 30k - 50k BTU LVWH</t>
  </si>
  <si>
    <t xml:space="preserve">     15.78000000</t>
  </si>
  <si>
    <t>GSU_79LVWH : SCH_72G - 70k - 79k BTU LVWH</t>
  </si>
  <si>
    <t xml:space="preserve">     20.62000000</t>
  </si>
  <si>
    <t>GSU_75LVWH : SCH_72G - 51k - 75k BTU LVWH</t>
  </si>
  <si>
    <t>GSU_69LVWH : SCH_72G - 60k - 69k BTU LVWH</t>
  </si>
  <si>
    <t xml:space="preserve">     32.30000000</t>
  </si>
  <si>
    <t>GSU_129LVW : SCH_72G - 70k - 129k BTU LVWH</t>
  </si>
  <si>
    <t xml:space="preserve">     42.14000000</t>
  </si>
  <si>
    <t>GSU_169LVW : SCH_72G - 130k - 169k BTU LVWH</t>
  </si>
  <si>
    <t xml:space="preserve">     56.28000000</t>
  </si>
  <si>
    <t>GSU_200LVW : SCH_72G - 170k - 200k BTU LVWH</t>
  </si>
  <si>
    <t xml:space="preserve">     65.37000000</t>
  </si>
  <si>
    <t>SCH_074G</t>
  </si>
  <si>
    <t>GSU_45CBS : SCH_74G - 45k to 400k BTU Std Conv. Burner</t>
  </si>
  <si>
    <t xml:space="preserve">     10.91000000</t>
  </si>
  <si>
    <t>GSU_401CBS : SCH_74G - 401k to 700k BTU Conv. Burner</t>
  </si>
  <si>
    <t xml:space="preserve">     28.96000000</t>
  </si>
  <si>
    <t>GSU_701CBS : SCH_74G - 701k to 1.3M BTU Conv. Burner</t>
  </si>
  <si>
    <t xml:space="preserve">     39.12000000</t>
  </si>
  <si>
    <t>GSU_45CBC : SCH_74G - 45k to 400k BTU Cons. Conv. Burner</t>
  </si>
  <si>
    <t xml:space="preserve">     16.41000000</t>
  </si>
  <si>
    <t>Overall Result</t>
  </si>
  <si>
    <t>Result</t>
  </si>
  <si>
    <t xml:space="preserve">Source: F2019 Load Forecast Calendar Month Therms (5-23-19)  </t>
  </si>
  <si>
    <r>
      <t xml:space="preserve">Property Tax Revenue Requirement - </t>
    </r>
    <r>
      <rPr>
        <b/>
        <sz val="14"/>
        <color rgb="FFFF0000"/>
        <rFont val="Calibri"/>
        <family val="2"/>
      </rPr>
      <t>Preliminary</t>
    </r>
    <r>
      <rPr>
        <b/>
        <sz val="14"/>
        <color theme="1"/>
        <rFont val="Calibri"/>
        <family val="2"/>
        <scheme val="minor"/>
      </rPr>
      <t xml:space="preserve"> Filing - March, 2020</t>
    </r>
  </si>
  <si>
    <t>Revenue Requirement from 2019 Filing</t>
  </si>
  <si>
    <t>Cash Payment expected to be made 2020</t>
  </si>
  <si>
    <t>True-up for 2019 Load Variance</t>
  </si>
  <si>
    <t>= 12 + 13</t>
  </si>
  <si>
    <t>= 14 / 1</t>
  </si>
  <si>
    <t>(h) = (f) + (g)</t>
  </si>
  <si>
    <t>(i) = (f) / (d)</t>
  </si>
  <si>
    <t>(j) = (g) / (d)</t>
  </si>
  <si>
    <t>(k) = (i) + (j)</t>
  </si>
  <si>
    <t>(l) = (i) * 19</t>
  </si>
  <si>
    <t>(m) = (j) * 19</t>
  </si>
  <si>
    <t>(n) = (l) + (m)</t>
  </si>
  <si>
    <t xml:space="preserve">(o) = (f) / (e) </t>
  </si>
  <si>
    <t xml:space="preserve">(p) = (g) / (e) </t>
  </si>
  <si>
    <t>TOTAL</t>
  </si>
  <si>
    <t>Rate Change Impacts by Rate Schedule</t>
  </si>
  <si>
    <t>Proposed Rates Effective May 1, 2020</t>
  </si>
  <si>
    <t>12ME Apr 2021</t>
  </si>
  <si>
    <t>Total Forecasted</t>
  </si>
  <si>
    <t>Rate</t>
  </si>
  <si>
    <t>Proposed Rates</t>
  </si>
  <si>
    <t>A</t>
  </si>
  <si>
    <t>B</t>
  </si>
  <si>
    <t>C</t>
  </si>
  <si>
    <t>D</t>
  </si>
  <si>
    <t>H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</si>
  <si>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</si>
  <si>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</si>
  <si>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</si>
  <si>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</si>
  <si>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</si>
  <si>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</si>
  <si>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</si>
  <si>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</si>
  <si>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</si>
  <si>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</si>
  <si>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</si>
  <si>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</si>
  <si>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UG-180283</t>
  </si>
  <si>
    <t>Forecasted</t>
  </si>
  <si>
    <t>Sched 140</t>
  </si>
  <si>
    <t>Volume</t>
  </si>
  <si>
    <t>Margin</t>
  </si>
  <si>
    <t>Margin Rate</t>
  </si>
  <si>
    <t>Sched 101</t>
  </si>
  <si>
    <t>Sched 106</t>
  </si>
  <si>
    <t>Sched 120</t>
  </si>
  <si>
    <t>Sched 129</t>
  </si>
  <si>
    <t>Sched 141</t>
  </si>
  <si>
    <t>Sched 141X</t>
  </si>
  <si>
    <t>Sched 141Y</t>
  </si>
  <si>
    <t>Sched 142</t>
  </si>
  <si>
    <t>Sched 149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</si>
  <si>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</si>
  <si>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</si>
  <si>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</si>
  <si>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</si>
  <si>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Margin Revenue</t>
  </si>
  <si>
    <t>Change</t>
  </si>
  <si>
    <t>E=D/C</t>
  </si>
  <si>
    <t xml:space="preserve">F </t>
  </si>
  <si>
    <t xml:space="preserve">G=E*F 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</si>
  <si>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</si>
  <si>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</si>
  <si>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</si>
  <si>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</si>
  <si>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</si>
  <si>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</si>
  <si>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</si>
  <si>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</si>
  <si>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</si>
  <si>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S </t>
  </si>
  <si>
    <t>T= S/R</t>
  </si>
  <si>
    <r>
      <t>Rentals</t>
    </r>
    <r>
      <rPr>
        <vertAlign val="superscript"/>
        <sz val="11"/>
        <rFont val="Calibri"/>
        <family val="2"/>
      </rPr>
      <t>(2)</t>
    </r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</si>
  <si>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September 2016, at approved rates from UG-180283 Tax Reform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</si>
  <si>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annual rental counts calculated using actual January 2020 count.</t>
    </r>
  </si>
  <si>
    <t>Typical Residential Bill Impacts</t>
  </si>
  <si>
    <t>Current Rates</t>
  </si>
  <si>
    <t>Schedule 140 Rate Change</t>
  </si>
  <si>
    <r>
      <t>Rates</t>
    </r>
    <r>
      <rPr>
        <vertAlign val="superscript"/>
        <sz val="11"/>
        <rFont val="Calibri"/>
        <family val="2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</si>
  <si>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</si>
  <si>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</si>
  <si>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</si>
  <si>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</si>
  <si>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</si>
  <si>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r>
      <t>ERF</t>
    </r>
    <r>
      <rPr>
        <sz val="11"/>
        <rFont val="Calibri"/>
        <family val="2"/>
        <scheme val="minor"/>
      </rPr>
      <t xml:space="preserve"> adjusting charge (Schedule 141)</t>
    </r>
  </si>
  <si>
    <t>EDIT adjusting charge (Schedule 141X)</t>
  </si>
  <si>
    <t>Volumetric charges ($/therm)</t>
  </si>
  <si>
    <t>Delivery charge (Schedule 23)</t>
  </si>
  <si>
    <t>Low income charge (Schedule 129)</t>
  </si>
  <si>
    <t>Property tax charge (Schedule 140)</t>
  </si>
  <si>
    <t>Tax Reform Credit (Schedule 141Y)</t>
  </si>
  <si>
    <t>Decoupling charge (Schedule 142)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</si>
  <si>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</si>
  <si>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</si>
  <si>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</si>
  <si>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</si>
  <si>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</si>
  <si>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</si>
  <si>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</si>
  <si>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</si>
  <si>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</si>
  <si>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</si>
  <si>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140</t>
  </si>
  <si>
    <t>Property Tax Tracker</t>
  </si>
  <si>
    <r>
      <rPr>
        <vertAlign val="superscript"/>
        <sz val="11"/>
        <color theme="1"/>
        <rFont val="Calibri"/>
        <family val="2"/>
      </rPr>
      <t xml:space="preserve">(3) </t>
    </r>
    <r>
      <rPr>
        <sz val="11"/>
        <color theme="1"/>
        <rFont val="Calibri"/>
        <family val="2"/>
        <scheme val="minor"/>
      </rPr>
      <t>Forecasted revenues at current rates effective November 1, 2019.</t>
    </r>
  </si>
  <si>
    <t>R = sum(G:Q)</t>
  </si>
  <si>
    <t>2020 Gas Schedule 140 Property Tax Filing</t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</si>
  <si>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  <scheme val="minor"/>
      </rPr>
      <t>Rates for Schedule 23 customers in effect November 1, 2019.</t>
    </r>
  </si>
  <si>
    <t>May 2020 -</t>
  </si>
  <si>
    <t>Apr. 2021</t>
  </si>
  <si>
    <t>Development of Allocation Factors</t>
  </si>
  <si>
    <t>Allocation</t>
  </si>
  <si>
    <t>Factors</t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</si>
  <si>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</si>
  <si>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Allocation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</si>
  <si>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Charges </t>
    </r>
    <r>
      <rPr>
        <vertAlign val="superscript"/>
        <sz val="11"/>
        <color theme="1"/>
        <rFont val="Calibri"/>
        <family val="2"/>
        <scheme val="minor"/>
      </rPr>
      <t>(3)</t>
    </r>
  </si>
  <si>
    <t>(f) = (c) * [Ln. 13]</t>
  </si>
  <si>
    <t>(g) = (c) * [Ln. 13]</t>
  </si>
  <si>
    <r>
      <t>In Service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</si>
  <si>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Plant in service from most recent approved cost of service study (UG-170034)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</si>
  <si>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Forecased rate year rental count calculated using actual January 2020 count.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</si>
  <si>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Forecasted rate year normalized volume from F2019 Load Forecast.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</si>
  <si>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Allocation of plant in service from most recent approved cost of service study (UG-170034).</t>
    </r>
  </si>
  <si>
    <t>Therms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</si>
  <si>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(3)</t>
    </r>
  </si>
  <si>
    <t>By Customer Class:</t>
  </si>
  <si>
    <r>
      <t xml:space="preserve">(3) </t>
    </r>
    <r>
      <rPr>
        <sz val="11"/>
        <color theme="1"/>
        <rFont val="Calibri"/>
        <family val="2"/>
        <scheme val="minor"/>
      </rPr>
      <t>Forecasted revenues at current rates effective November 1, 2019.</t>
    </r>
  </si>
  <si>
    <t>May 2020 - Apr. 2021</t>
  </si>
  <si>
    <t xml:space="preserve">(q) = (o) + (p) </t>
  </si>
  <si>
    <t>71, 72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</si>
</sst>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 &quot;#,##0.00;&quot;$ -&quot;#,##0.00"/>
    <numFmt numFmtId="169" formatCode="_(&quot;$&quot;* #,##0.00000_);_(&quot;$&quot;* \(#,##0.00000\);_(&quot;$&quot;* &quot;-&quot;?????_);_(@_)"/>
    <numFmt numFmtId="170" formatCode="_(&quot;$&quot;* #,##0.00_);_(&quot;$&quot;* \(#,##0.00\);_(&quot;$&quot;* &quot;-&quot;?????_);_(@_)"/>
    <numFmt numFmtId="171" formatCode="_(&quot;$&quot;* #,##0_);_(&quot;$&quot;* \(#,##0\);_(&quot;$&quot;* &quot;-&quot;?????_);_(@_)"/>
    <numFmt numFmtId="172" formatCode="_(&quot;$&quot;* #,##0.00_);_(&quot;$&quot;* \(#,##0.0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rgb="FF7500E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vertAlign val="superscript"/>
      <sz val="11"/>
      <color theme="1"/>
      <name val="Calibri"/>
      <family val="2"/>
    </font>
    <font>
      <sz val="11"/>
      <color indexed="21"/>
      <name val="Calibri"/>
      <family val="2"/>
    </font>
    <font>
      <vertAlign val="superscript"/>
      <sz val="11"/>
      <name val="Calibri"/>
      <family val="2"/>
    </font>
    <font>
      <sz val="11"/>
      <color rgb="FF008080"/>
      <name val="Calibri"/>
      <family val="2"/>
    </font>
    <font>
      <sz val="11"/>
      <color indexed="12"/>
      <name val="Calibri"/>
      <family val="2"/>
      <scheme val="minor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/>
      <top style="medium">
        <color rgb="FFECECEC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 style="medium">
        <color rgb="FFECECEC"/>
      </right>
      <top style="thin">
        <color indexed="64"/>
      </top>
      <bottom style="double">
        <color indexed="64"/>
      </bottom>
      <diagonal/>
    </border>
    <border>
      <left style="medium">
        <color rgb="FFECECEC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1" xfId="0" applyBorder="1" applyAlignment="1">
      <alignment horizontal="center"/>
    </xf>
    <xf numFmtId="3" fontId="3" fillId="0" borderId="0" xfId="0" applyNumberFormat="1" applyFont="1"/>
    <xf numFmtId="42" fontId="0" fillId="0" borderId="0" xfId="0" applyNumberFormat="1"/>
    <xf numFmtId="164" fontId="0" fillId="0" borderId="2" xfId="0" applyNumberFormat="1" applyFont="1" applyFill="1" applyBorder="1"/>
    <xf numFmtId="164" fontId="0" fillId="0" borderId="0" xfId="0" applyNumberFormat="1" applyFont="1"/>
    <xf numFmtId="164" fontId="0" fillId="0" borderId="2" xfId="0" applyNumberFormat="1" applyFont="1" applyBorder="1"/>
    <xf numFmtId="9" fontId="0" fillId="0" borderId="0" xfId="0" applyNumberFormat="1" applyFont="1"/>
    <xf numFmtId="42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3" fontId="0" fillId="0" borderId="0" xfId="0" applyNumberFormat="1" applyFont="1" applyBorder="1"/>
    <xf numFmtId="0" fontId="0" fillId="0" borderId="0" xfId="0" applyAlignment="1">
      <alignment horizontal="left"/>
    </xf>
    <xf numFmtId="42" fontId="4" fillId="0" borderId="0" xfId="0" applyNumberFormat="1" applyFont="1"/>
    <xf numFmtId="42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0" fontId="0" fillId="0" borderId="2" xfId="0" applyFill="1" applyBorder="1"/>
    <xf numFmtId="42" fontId="0" fillId="0" borderId="4" xfId="0" applyNumberFormat="1" applyFill="1" applyBorder="1"/>
    <xf numFmtId="165" fontId="0" fillId="0" borderId="0" xfId="0" applyNumberFormat="1" applyFont="1" applyFill="1"/>
    <xf numFmtId="0" fontId="0" fillId="0" borderId="0" xfId="0" applyFont="1" applyAlignment="1">
      <alignment horizontal="left"/>
    </xf>
    <xf numFmtId="41" fontId="9" fillId="0" borderId="2" xfId="0" applyNumberFormat="1" applyFont="1" applyFill="1" applyBorder="1"/>
    <xf numFmtId="0" fontId="9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Fill="1"/>
    <xf numFmtId="0" fontId="0" fillId="0" borderId="0" xfId="0" quotePrefix="1" applyAlignment="1">
      <alignment horizontal="left"/>
    </xf>
    <xf numFmtId="0" fontId="14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14" fillId="0" borderId="0" xfId="0" applyFont="1" applyAlignment="1">
      <alignment horizontal="left"/>
    </xf>
    <xf numFmtId="41" fontId="0" fillId="0" borderId="0" xfId="0" applyNumberFormat="1"/>
    <xf numFmtId="42" fontId="0" fillId="2" borderId="4" xfId="0" applyNumberFormat="1" applyFill="1" applyBorder="1"/>
    <xf numFmtId="42" fontId="0" fillId="0" borderId="3" xfId="0" applyNumberFormat="1" applyBorder="1"/>
    <xf numFmtId="41" fontId="9" fillId="0" borderId="0" xfId="0" applyNumberFormat="1" applyFont="1"/>
    <xf numFmtId="0" fontId="9" fillId="0" borderId="0" xfId="0" applyFont="1"/>
    <xf numFmtId="166" fontId="9" fillId="0" borderId="0" xfId="0" applyNumberFormat="1" applyFont="1"/>
    <xf numFmtId="0" fontId="2" fillId="0" borderId="0" xfId="0" applyFont="1"/>
    <xf numFmtId="10" fontId="0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4" fontId="15" fillId="0" borderId="2" xfId="0" applyNumberFormat="1" applyFont="1" applyFill="1" applyBorder="1"/>
    <xf numFmtId="164" fontId="15" fillId="0" borderId="0" xfId="0" applyNumberFormat="1" applyFont="1"/>
    <xf numFmtId="164" fontId="15" fillId="0" borderId="2" xfId="0" applyNumberFormat="1" applyFont="1" applyBorder="1"/>
    <xf numFmtId="0" fontId="15" fillId="0" borderId="0" xfId="0" applyFont="1" applyFill="1"/>
    <xf numFmtId="0" fontId="13" fillId="0" borderId="0" xfId="0" applyFont="1" applyAlignment="1">
      <alignment horizontal="left" vertical="top"/>
    </xf>
    <xf numFmtId="0" fontId="16" fillId="0" borderId="0" xfId="0" applyFont="1"/>
    <xf numFmtId="0" fontId="0" fillId="0" borderId="5" xfId="0" applyBorder="1" applyAlignment="1">
      <alignment horizontal="left" vertical="top"/>
    </xf>
    <xf numFmtId="17" fontId="16" fillId="0" borderId="5" xfId="0" quotePrefix="1" applyNumberFormat="1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6" xfId="0" applyBorder="1" applyAlignment="1">
      <alignment horizontal="left" vertical="top"/>
    </xf>
    <xf numFmtId="166" fontId="16" fillId="0" borderId="0" xfId="0" applyNumberFormat="1" applyFont="1"/>
    <xf numFmtId="0" fontId="13" fillId="0" borderId="0" xfId="0" applyFont="1" applyFill="1" applyAlignment="1">
      <alignment horizontal="left" vertical="top"/>
    </xf>
    <xf numFmtId="168" fontId="13" fillId="0" borderId="10" xfId="0" applyNumberFormat="1" applyFont="1" applyFill="1" applyBorder="1" applyAlignment="1">
      <alignment horizontal="right" vertical="top"/>
    </xf>
    <xf numFmtId="166" fontId="17" fillId="0" borderId="11" xfId="0" applyNumberFormat="1" applyFont="1" applyBorder="1"/>
    <xf numFmtId="166" fontId="17" fillId="0" borderId="3" xfId="0" applyNumberFormat="1" applyFont="1" applyBorder="1"/>
    <xf numFmtId="0" fontId="17" fillId="0" borderId="0" xfId="0" applyFont="1"/>
    <xf numFmtId="166" fontId="17" fillId="0" borderId="0" xfId="0" applyNumberFormat="1" applyFont="1" applyBorder="1"/>
    <xf numFmtId="41" fontId="3" fillId="0" borderId="0" xfId="0" applyNumberFormat="1" applyFont="1" applyFill="1"/>
    <xf numFmtId="0" fontId="3" fillId="0" borderId="0" xfId="0" applyFont="1" applyFill="1"/>
    <xf numFmtId="166" fontId="0" fillId="0" borderId="0" xfId="0" applyNumberFormat="1" applyFont="1"/>
    <xf numFmtId="42" fontId="3" fillId="0" borderId="0" xfId="0" applyNumberFormat="1" applyFont="1" applyFill="1"/>
    <xf numFmtId="166" fontId="3" fillId="0" borderId="0" xfId="0" applyNumberFormat="1" applyFont="1" applyFill="1"/>
    <xf numFmtId="41" fontId="3" fillId="0" borderId="0" xfId="0" applyNumberFormat="1" applyFont="1"/>
    <xf numFmtId="0" fontId="3" fillId="0" borderId="0" xfId="0" applyFo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10" fontId="0" fillId="0" borderId="0" xfId="0" applyNumberFormat="1" applyFont="1"/>
    <xf numFmtId="165" fontId="0" fillId="0" borderId="0" xfId="0" applyNumberFormat="1"/>
    <xf numFmtId="42" fontId="5" fillId="0" borderId="0" xfId="0" applyNumberFormat="1" applyFont="1"/>
    <xf numFmtId="42" fontId="3" fillId="0" borderId="0" xfId="0" applyNumberFormat="1" applyFont="1"/>
    <xf numFmtId="42" fontId="0" fillId="0" borderId="2" xfId="0" applyNumberFormat="1" applyBorder="1"/>
    <xf numFmtId="10" fontId="0" fillId="0" borderId="2" xfId="0" applyNumberFormat="1" applyFont="1" applyBorder="1"/>
    <xf numFmtId="0" fontId="18" fillId="0" borderId="0" xfId="0" applyFont="1" applyBorder="1" applyAlignment="1">
      <alignment horizontal="left"/>
    </xf>
    <xf numFmtId="3" fontId="18" fillId="0" borderId="0" xfId="0" applyNumberFormat="1" applyFont="1" applyFill="1" applyBorder="1"/>
    <xf numFmtId="167" fontId="18" fillId="0" borderId="0" xfId="0" applyNumberFormat="1" applyFont="1" applyFill="1" applyBorder="1"/>
    <xf numFmtId="169" fontId="18" fillId="0" borderId="0" xfId="0" applyNumberFormat="1" applyFont="1" applyFill="1" applyBorder="1"/>
    <xf numFmtId="0" fontId="18" fillId="0" borderId="0" xfId="0" applyFont="1" applyBorder="1"/>
    <xf numFmtId="0" fontId="18" fillId="0" borderId="0" xfId="0" applyFont="1"/>
    <xf numFmtId="42" fontId="18" fillId="0" borderId="0" xfId="0" applyNumberFormat="1" applyFont="1" applyFill="1" applyBorder="1"/>
    <xf numFmtId="37" fontId="18" fillId="0" borderId="0" xfId="0" applyNumberFormat="1" applyFont="1"/>
    <xf numFmtId="37" fontId="18" fillId="0" borderId="0" xfId="0" applyNumberFormat="1" applyFont="1" applyFill="1"/>
    <xf numFmtId="0" fontId="18" fillId="0" borderId="0" xfId="0" applyFont="1" applyAlignment="1">
      <alignment horizontal="left"/>
    </xf>
    <xf numFmtId="0" fontId="18" fillId="0" borderId="0" xfId="0" applyFont="1" applyFill="1" applyBorder="1"/>
    <xf numFmtId="167" fontId="18" fillId="0" borderId="0" xfId="0" applyNumberFormat="1" applyFont="1" applyFill="1"/>
    <xf numFmtId="0" fontId="18" fillId="0" borderId="0" xfId="0" applyFont="1" applyFill="1" applyBorder="1" applyAlignment="1">
      <alignment horizontal="left" vertical="center" textRotation="180"/>
    </xf>
    <xf numFmtId="0" fontId="18" fillId="0" borderId="0" xfId="0" applyFont="1" applyFill="1" applyBorder="1" applyAlignment="1">
      <alignment horizontal="left"/>
    </xf>
    <xf numFmtId="167" fontId="18" fillId="0" borderId="2" xfId="0" applyNumberFormat="1" applyFont="1" applyFill="1" applyBorder="1"/>
    <xf numFmtId="0" fontId="18" fillId="0" borderId="0" xfId="0" applyFont="1" applyFill="1"/>
    <xf numFmtId="44" fontId="18" fillId="0" borderId="0" xfId="0" applyNumberFormat="1" applyFont="1"/>
    <xf numFmtId="3" fontId="0" fillId="0" borderId="0" xfId="0" applyNumberFormat="1"/>
    <xf numFmtId="167" fontId="0" fillId="0" borderId="0" xfId="0" applyNumberFormat="1"/>
    <xf numFmtId="3" fontId="5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4" fillId="0" borderId="2" xfId="0" applyNumberFormat="1" applyFont="1" applyBorder="1"/>
    <xf numFmtId="169" fontId="18" fillId="0" borderId="0" xfId="0" applyNumberFormat="1" applyFont="1" applyFill="1"/>
    <xf numFmtId="169" fontId="20" fillId="0" borderId="0" xfId="0" applyNumberFormat="1" applyFont="1"/>
    <xf numFmtId="164" fontId="18" fillId="0" borderId="0" xfId="0" applyNumberFormat="1" applyFont="1"/>
    <xf numFmtId="10" fontId="18" fillId="0" borderId="0" xfId="0" applyNumberFormat="1" applyFont="1"/>
    <xf numFmtId="3" fontId="22" fillId="0" borderId="0" xfId="0" applyNumberFormat="1" applyFont="1" applyFill="1"/>
    <xf numFmtId="171" fontId="22" fillId="0" borderId="0" xfId="0" applyNumberFormat="1" applyFont="1" applyFill="1" applyBorder="1"/>
    <xf numFmtId="3" fontId="18" fillId="0" borderId="0" xfId="0" applyNumberFormat="1" applyFont="1" applyBorder="1"/>
    <xf numFmtId="42" fontId="18" fillId="0" borderId="2" xfId="0" applyNumberFormat="1" applyFont="1" applyFill="1" applyBorder="1"/>
    <xf numFmtId="10" fontId="0" fillId="0" borderId="0" xfId="0" applyNumberFormat="1"/>
    <xf numFmtId="166" fontId="18" fillId="0" borderId="0" xfId="0" applyNumberFormat="1" applyFont="1" applyFill="1"/>
    <xf numFmtId="166" fontId="18" fillId="0" borderId="2" xfId="0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3" fillId="0" borderId="0" xfId="0" applyFont="1"/>
    <xf numFmtId="172" fontId="4" fillId="0" borderId="0" xfId="0" applyNumberFormat="1" applyFont="1"/>
    <xf numFmtId="0" fontId="23" fillId="0" borderId="0" xfId="0" applyFont="1" applyBorder="1"/>
    <xf numFmtId="44" fontId="23" fillId="0" borderId="0" xfId="0" applyNumberFormat="1" applyFont="1"/>
    <xf numFmtId="44" fontId="23" fillId="0" borderId="0" xfId="0" applyNumberFormat="1" applyFont="1" applyBorder="1"/>
    <xf numFmtId="44" fontId="4" fillId="0" borderId="0" xfId="0" applyNumberFormat="1" applyFont="1"/>
    <xf numFmtId="172" fontId="4" fillId="0" borderId="0" xfId="0" applyNumberFormat="1" applyFont="1" applyBorder="1"/>
    <xf numFmtId="44" fontId="4" fillId="0" borderId="0" xfId="0" applyNumberFormat="1" applyFont="1" applyBorder="1"/>
    <xf numFmtId="44" fontId="4" fillId="0" borderId="2" xfId="0" applyNumberFormat="1" applyFont="1" applyBorder="1"/>
    <xf numFmtId="0" fontId="4" fillId="0" borderId="0" xfId="0" applyFont="1" applyBorder="1"/>
    <xf numFmtId="169" fontId="24" fillId="0" borderId="0" xfId="0" applyNumberFormat="1" applyFont="1"/>
    <xf numFmtId="169" fontId="23" fillId="0" borderId="0" xfId="0" applyNumberFormat="1" applyFont="1" applyBorder="1"/>
    <xf numFmtId="169" fontId="4" fillId="0" borderId="0" xfId="0" applyNumberFormat="1" applyFont="1"/>
    <xf numFmtId="169" fontId="24" fillId="0" borderId="0" xfId="0" applyNumberFormat="1" applyFont="1" applyFill="1"/>
    <xf numFmtId="169" fontId="0" fillId="0" borderId="0" xfId="0" applyNumberFormat="1" applyFont="1"/>
    <xf numFmtId="169" fontId="5" fillId="0" borderId="0" xfId="0" applyNumberFormat="1" applyFont="1"/>
    <xf numFmtId="169" fontId="23" fillId="0" borderId="0" xfId="0" applyNumberFormat="1" applyFont="1" applyFill="1"/>
    <xf numFmtId="169" fontId="4" fillId="0" borderId="2" xfId="0" applyNumberFormat="1" applyFont="1" applyBorder="1"/>
    <xf numFmtId="169" fontId="25" fillId="0" borderId="0" xfId="0" applyNumberFormat="1" applyFont="1"/>
    <xf numFmtId="169" fontId="0" fillId="0" borderId="0" xfId="0" applyNumberFormat="1" applyFont="1" applyFill="1"/>
    <xf numFmtId="169" fontId="12" fillId="0" borderId="0" xfId="0" applyNumberFormat="1" applyFont="1"/>
    <xf numFmtId="172" fontId="4" fillId="0" borderId="2" xfId="0" applyNumberFormat="1" applyFont="1" applyBorder="1"/>
    <xf numFmtId="169" fontId="4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0" fontId="4" fillId="0" borderId="0" xfId="0" applyNumberFormat="1" applyFont="1"/>
    <xf numFmtId="0" fontId="4" fillId="0" borderId="0" xfId="0" applyFont="1" applyFill="1" applyAlignment="1"/>
    <xf numFmtId="165" fontId="3" fillId="0" borderId="0" xfId="0" applyNumberFormat="1" applyFont="1"/>
    <xf numFmtId="165" fontId="5" fillId="0" borderId="0" xfId="0" applyNumberFormat="1" applyFont="1"/>
    <xf numFmtId="3" fontId="5" fillId="0" borderId="0" xfId="0" applyNumberFormat="1" applyFont="1" applyFill="1"/>
    <xf numFmtId="165" fontId="3" fillId="0" borderId="1" xfId="0" applyNumberFormat="1" applyFont="1" applyBorder="1"/>
    <xf numFmtId="4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 vertical="top"/>
    </xf>
    <xf numFmtId="168" fontId="3" fillId="0" borderId="8" xfId="0" applyNumberFormat="1" applyFont="1" applyBorder="1" applyAlignment="1">
      <alignment horizontal="right" vertical="top"/>
    </xf>
    <xf numFmtId="0" fontId="3" fillId="3" borderId="0" xfId="0" applyFont="1" applyFill="1" applyAlignment="1">
      <alignment horizontal="left" vertical="top"/>
    </xf>
    <xf numFmtId="168" fontId="3" fillId="3" borderId="9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68" fontId="3" fillId="0" borderId="9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7" fontId="15" fillId="0" borderId="0" xfId="0" applyNumberFormat="1" applyFont="1"/>
    <xf numFmtId="167" fontId="15" fillId="0" borderId="2" xfId="0" applyNumberFormat="1" applyFont="1" applyBorder="1"/>
    <xf numFmtId="164" fontId="15" fillId="0" borderId="0" xfId="0" applyNumberFormat="1" applyFont="1" applyFill="1"/>
    <xf numFmtId="167" fontId="3" fillId="0" borderId="0" xfId="0" applyNumberFormat="1" applyFont="1"/>
    <xf numFmtId="164" fontId="5" fillId="0" borderId="0" xfId="0" applyNumberFormat="1" applyFont="1" applyFill="1"/>
    <xf numFmtId="164" fontId="5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0" xfId="0" applyFont="1" applyFill="1"/>
    <xf numFmtId="166" fontId="15" fillId="0" borderId="0" xfId="0" applyNumberFormat="1" applyFont="1"/>
    <xf numFmtId="42" fontId="5" fillId="0" borderId="0" xfId="0" applyNumberFormat="1" applyFont="1" applyFill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170" fontId="18" fillId="0" borderId="0" xfId="0" applyNumberFormat="1" applyFont="1" applyFill="1" applyBorder="1"/>
    <xf numFmtId="0" fontId="2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2" fontId="18" fillId="0" borderId="0" xfId="0" applyNumberFormat="1" applyFont="1" applyBorder="1"/>
    <xf numFmtId="42" fontId="18" fillId="0" borderId="0" xfId="0" applyNumberFormat="1" applyFont="1"/>
    <xf numFmtId="0" fontId="26" fillId="0" borderId="0" xfId="0" applyFont="1"/>
    <xf numFmtId="0" fontId="4" fillId="0" borderId="1" xfId="0" applyFont="1" applyBorder="1"/>
    <xf numFmtId="169" fontId="25" fillId="0" borderId="1" xfId="0" applyNumberFormat="1" applyFont="1" applyBorder="1"/>
    <xf numFmtId="172" fontId="4" fillId="0" borderId="1" xfId="0" applyNumberFormat="1" applyFont="1" applyBorder="1"/>
    <xf numFmtId="169" fontId="23" fillId="0" borderId="1" xfId="0" applyNumberFormat="1" applyFont="1" applyBorder="1"/>
    <xf numFmtId="169" fontId="0" fillId="0" borderId="1" xfId="0" applyNumberFormat="1" applyFont="1" applyBorder="1"/>
    <xf numFmtId="0" fontId="19" fillId="0" borderId="0" xfId="0" applyFont="1"/>
    <xf numFmtId="0" fontId="4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0" fillId="0" borderId="0" xfId="0" applyFont="1" applyBorder="1"/>
    <xf numFmtId="165" fontId="0" fillId="0" borderId="0" xfId="0" applyNumberFormat="1" applyFont="1"/>
    <xf numFmtId="3" fontId="4" fillId="0" borderId="0" xfId="0" applyNumberFormat="1" applyFont="1" applyFill="1" applyBorder="1"/>
    <xf numFmtId="169" fontId="4" fillId="0" borderId="0" xfId="0" applyNumberFormat="1" applyFont="1" applyFill="1"/>
    <xf numFmtId="169" fontId="4" fillId="0" borderId="0" xfId="0" applyNumberFormat="1" applyFont="1" applyFill="1" applyBorder="1"/>
    <xf numFmtId="170" fontId="3" fillId="0" borderId="0" xfId="0" applyNumberFormat="1" applyFont="1" applyFill="1" applyBorder="1"/>
    <xf numFmtId="170" fontId="5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Fill="1"/>
    <xf numFmtId="42" fontId="4" fillId="0" borderId="2" xfId="0" applyNumberFormat="1" applyFont="1" applyFill="1" applyBorder="1"/>
    <xf numFmtId="0" fontId="0" fillId="0" borderId="0" xfId="0" quotePrefix="1" applyFont="1"/>
    <xf numFmtId="0" fontId="27" fillId="0" borderId="0" xfId="0" applyFont="1"/>
    <xf numFmtId="165" fontId="0" fillId="0" borderId="2" xfId="0" applyNumberFormat="1" applyFont="1" applyBorder="1"/>
    <xf numFmtId="166" fontId="3" fillId="0" borderId="0" xfId="0" applyNumberFormat="1" applyFon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K22" sqref="K22"/>
    </sheetView>
  </sheetViews>
  <sheetFormatPr defaultColWidth="9.140625" defaultRowHeight="15" x14ac:dyDescent="0.25"/>
  <cols>
    <col min="1" max="1" width="4.42578125" style="9" customWidth="1"/>
    <col min="2" max="2" width="23.85546875" style="9" customWidth="1"/>
    <col min="3" max="3" width="9.140625" style="9" bestFit="1" customWidth="1"/>
    <col min="4" max="4" width="11.140625" style="9" bestFit="1" customWidth="1"/>
    <col min="5" max="5" width="13.5703125" style="9" bestFit="1" customWidth="1"/>
    <col min="6" max="6" width="9.42578125" style="9" bestFit="1" customWidth="1"/>
    <col min="7" max="7" width="14.85546875" style="9" bestFit="1" customWidth="1"/>
    <col min="8" max="8" width="15.140625" style="9" bestFit="1" customWidth="1"/>
    <col min="9" max="9" width="13.42578125" style="9" customWidth="1"/>
    <col min="10" max="12" width="12.42578125" style="9" customWidth="1"/>
    <col min="13" max="13" width="10.140625" style="9" bestFit="1" customWidth="1"/>
    <col min="14" max="14" width="11.28515625" style="9" bestFit="1" customWidth="1"/>
    <col min="15" max="15" width="11.5703125" style="9" bestFit="1" customWidth="1"/>
    <col min="16" max="16" width="11.42578125" style="9" bestFit="1" customWidth="1"/>
    <col min="17" max="18" width="11.7109375" style="9" bestFit="1" customWidth="1"/>
    <col min="19" max="16384" width="9.140625" style="9"/>
  </cols>
  <sheetData>
    <row r="1" spans="1:19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19" x14ac:dyDescent="0.25">
      <c r="A2" s="231" t="s">
        <v>75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19" x14ac:dyDescent="0.25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4" spans="1:19" x14ac:dyDescent="0.25">
      <c r="A4" s="231" t="s">
        <v>76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1:19" x14ac:dyDescent="0.25">
      <c r="M5" s="11"/>
      <c r="N5" s="11"/>
      <c r="O5" s="11"/>
      <c r="P5" s="11"/>
      <c r="Q5" s="11"/>
      <c r="R5" s="11"/>
    </row>
    <row r="6" spans="1:19" ht="13.5" customHeight="1" x14ac:dyDescent="0.25">
      <c r="E6" s="14" t="s">
        <v>166</v>
      </c>
      <c r="F6" s="11"/>
      <c r="G6" s="12" t="s">
        <v>3</v>
      </c>
      <c r="H6" s="12" t="s">
        <v>3</v>
      </c>
      <c r="I6" s="12" t="s">
        <v>3</v>
      </c>
      <c r="J6" s="12" t="s">
        <v>2</v>
      </c>
      <c r="K6" s="12" t="s">
        <v>2</v>
      </c>
      <c r="L6" s="12" t="s">
        <v>2</v>
      </c>
      <c r="M6" s="13" t="s">
        <v>4</v>
      </c>
      <c r="N6" s="13" t="s">
        <v>4</v>
      </c>
      <c r="O6" s="13" t="s">
        <v>4</v>
      </c>
      <c r="P6" s="13" t="s">
        <v>4</v>
      </c>
      <c r="Q6" s="13" t="s">
        <v>4</v>
      </c>
      <c r="R6" s="13" t="s">
        <v>4</v>
      </c>
    </row>
    <row r="7" spans="1:19" ht="17.25" x14ac:dyDescent="0.25">
      <c r="B7" s="12"/>
      <c r="C7" s="12"/>
      <c r="D7" s="14" t="s">
        <v>72</v>
      </c>
      <c r="E7" s="14" t="s">
        <v>241</v>
      </c>
      <c r="F7" s="12"/>
      <c r="G7" s="12" t="s">
        <v>7</v>
      </c>
      <c r="H7" s="14" t="s">
        <v>7</v>
      </c>
      <c r="I7" s="12" t="s">
        <v>7</v>
      </c>
      <c r="J7" s="12" t="s">
        <v>8</v>
      </c>
      <c r="K7" s="12" t="s">
        <v>8</v>
      </c>
      <c r="L7" s="12" t="s">
        <v>8</v>
      </c>
      <c r="M7" s="14" t="s">
        <v>8</v>
      </c>
      <c r="N7" s="14" t="s">
        <v>8</v>
      </c>
      <c r="O7" s="14" t="s">
        <v>8</v>
      </c>
      <c r="P7" s="14" t="s">
        <v>8</v>
      </c>
      <c r="Q7" s="14" t="s">
        <v>8</v>
      </c>
      <c r="R7" s="14" t="s">
        <v>8</v>
      </c>
    </row>
    <row r="8" spans="1:19" ht="13.5" customHeight="1" x14ac:dyDescent="0.25">
      <c r="A8" s="181" t="s">
        <v>67</v>
      </c>
      <c r="B8" s="12"/>
      <c r="C8" s="12"/>
      <c r="D8" s="14" t="s">
        <v>6</v>
      </c>
      <c r="E8" s="181" t="s">
        <v>236</v>
      </c>
      <c r="F8" s="12" t="s">
        <v>5</v>
      </c>
      <c r="G8" s="12" t="s">
        <v>11</v>
      </c>
      <c r="H8" s="14" t="s">
        <v>11</v>
      </c>
      <c r="I8" s="12" t="s">
        <v>11</v>
      </c>
      <c r="J8" s="12" t="s">
        <v>38</v>
      </c>
      <c r="K8" s="12" t="s">
        <v>12</v>
      </c>
      <c r="L8" s="12" t="s">
        <v>12</v>
      </c>
      <c r="M8" s="14" t="s">
        <v>13</v>
      </c>
      <c r="N8" s="14" t="s">
        <v>13</v>
      </c>
      <c r="O8" s="14" t="s">
        <v>13</v>
      </c>
      <c r="P8" s="14" t="s">
        <v>5</v>
      </c>
      <c r="Q8" s="14" t="s">
        <v>5</v>
      </c>
      <c r="R8" s="14" t="s">
        <v>5</v>
      </c>
    </row>
    <row r="9" spans="1:19" ht="17.25" x14ac:dyDescent="0.25">
      <c r="A9" s="15" t="s">
        <v>68</v>
      </c>
      <c r="B9" s="15" t="s">
        <v>9</v>
      </c>
      <c r="C9" s="15" t="s">
        <v>10</v>
      </c>
      <c r="D9" s="16" t="s">
        <v>242</v>
      </c>
      <c r="E9" s="16" t="s">
        <v>237</v>
      </c>
      <c r="F9" s="15" t="s">
        <v>243</v>
      </c>
      <c r="G9" s="16" t="s">
        <v>32</v>
      </c>
      <c r="H9" s="15" t="s">
        <v>39</v>
      </c>
      <c r="I9" s="15" t="s">
        <v>141</v>
      </c>
      <c r="J9" s="15" t="s">
        <v>32</v>
      </c>
      <c r="K9" s="15" t="s">
        <v>37</v>
      </c>
      <c r="L9" s="15" t="s">
        <v>141</v>
      </c>
      <c r="M9" s="16" t="s">
        <v>32</v>
      </c>
      <c r="N9" s="16" t="s">
        <v>37</v>
      </c>
      <c r="O9" s="15" t="s">
        <v>141</v>
      </c>
      <c r="P9" s="16" t="s">
        <v>32</v>
      </c>
      <c r="Q9" s="16" t="s">
        <v>37</v>
      </c>
      <c r="R9" s="15" t="s">
        <v>141</v>
      </c>
    </row>
    <row r="10" spans="1:19" x14ac:dyDescent="0.25">
      <c r="B10" s="181" t="s">
        <v>62</v>
      </c>
      <c r="C10" s="181" t="s">
        <v>63</v>
      </c>
      <c r="D10" s="13" t="s">
        <v>64</v>
      </c>
      <c r="E10" s="14" t="s">
        <v>65</v>
      </c>
      <c r="F10" s="13" t="s">
        <v>66</v>
      </c>
      <c r="G10" s="14" t="s">
        <v>244</v>
      </c>
      <c r="H10" s="14" t="s">
        <v>245</v>
      </c>
      <c r="I10" s="14" t="s">
        <v>132</v>
      </c>
      <c r="J10" s="14" t="s">
        <v>133</v>
      </c>
      <c r="K10" s="14" t="s">
        <v>134</v>
      </c>
      <c r="L10" s="14" t="s">
        <v>135</v>
      </c>
      <c r="M10" s="14" t="s">
        <v>136</v>
      </c>
      <c r="N10" s="14" t="s">
        <v>137</v>
      </c>
      <c r="O10" s="14" t="s">
        <v>138</v>
      </c>
      <c r="P10" s="14" t="s">
        <v>139</v>
      </c>
      <c r="Q10" s="14" t="s">
        <v>140</v>
      </c>
      <c r="R10" s="14" t="s">
        <v>256</v>
      </c>
      <c r="S10" s="14"/>
    </row>
    <row r="11" spans="1:19" x14ac:dyDescent="0.25">
      <c r="A11" s="181">
        <v>1</v>
      </c>
      <c r="B11" s="9" t="s">
        <v>14</v>
      </c>
      <c r="C11" s="9" t="s">
        <v>15</v>
      </c>
      <c r="D11" s="187">
        <f>'Allocation Factors'!E10</f>
        <v>0.64039693758693517</v>
      </c>
      <c r="E11" s="169">
        <f>SUM('Therm Forecast'!N8:N10)</f>
        <v>614005939</v>
      </c>
      <c r="F11" s="2"/>
      <c r="G11" s="17">
        <f>G$23*D11</f>
        <v>11595550.589491993</v>
      </c>
      <c r="H11" s="25">
        <f>$H$23*D11</f>
        <v>464444.02191467513</v>
      </c>
      <c r="I11" s="17">
        <f t="shared" ref="I11:I17" si="0">SUM(G11:H11)</f>
        <v>12059994.611406669</v>
      </c>
      <c r="J11" s="31">
        <f t="shared" ref="J11:J17" si="1">ROUND(G11/$E11,5)</f>
        <v>1.8890000000000001E-2</v>
      </c>
      <c r="K11" s="31">
        <f>ROUND((+H11)/$E11,5)</f>
        <v>7.6000000000000004E-4</v>
      </c>
      <c r="L11" s="31">
        <f>SUM(J11:K11)</f>
        <v>1.9650000000000001E-2</v>
      </c>
      <c r="M11" s="18">
        <f>ROUND(J11*19,2)</f>
        <v>0.36</v>
      </c>
      <c r="N11" s="18">
        <f>ROUND(K11*19,2)</f>
        <v>0.01</v>
      </c>
      <c r="O11" s="18">
        <f>SUM(M11:N11)</f>
        <v>0.37</v>
      </c>
      <c r="P11" s="31"/>
      <c r="Q11" s="31"/>
      <c r="R11" s="11"/>
    </row>
    <row r="12" spans="1:19" x14ac:dyDescent="0.25">
      <c r="A12" s="181">
        <f>A11+1</f>
        <v>2</v>
      </c>
      <c r="B12" s="9" t="s">
        <v>16</v>
      </c>
      <c r="C12" s="9" t="s">
        <v>17</v>
      </c>
      <c r="D12" s="187">
        <f>'Allocation Factors'!E11</f>
        <v>0.27010693445647405</v>
      </c>
      <c r="E12" s="169">
        <f>SUM('Therm Forecast'!N11,'Therm Forecast'!N16)</f>
        <v>240242876</v>
      </c>
      <c r="F12" s="2"/>
      <c r="G12" s="17">
        <f t="shared" ref="G12:G17" si="2">G$23*D12</f>
        <v>4890777.015368632</v>
      </c>
      <c r="H12" s="25">
        <f t="shared" ref="H12:H17" si="3">$H$23*D12</f>
        <v>195893.42737757601</v>
      </c>
      <c r="I12" s="17">
        <f t="shared" si="0"/>
        <v>5086670.442746208</v>
      </c>
      <c r="J12" s="31">
        <f t="shared" si="1"/>
        <v>2.036E-2</v>
      </c>
      <c r="K12" s="31">
        <f t="shared" ref="K12:K17" si="4">ROUND((+H12)/$E12,5)</f>
        <v>8.1999999999999998E-4</v>
      </c>
      <c r="L12" s="31">
        <f t="shared" ref="L12:L17" si="5">SUM(J12:K12)</f>
        <v>2.1180000000000001E-2</v>
      </c>
      <c r="M12" s="31"/>
      <c r="N12" s="31"/>
      <c r="O12" s="11"/>
      <c r="P12" s="31"/>
      <c r="Q12" s="31"/>
      <c r="R12" s="11"/>
    </row>
    <row r="13" spans="1:19" x14ac:dyDescent="0.25">
      <c r="A13" s="181">
        <f t="shared" ref="A13:A23" si="6">A12+1</f>
        <v>3</v>
      </c>
      <c r="B13" s="9" t="s">
        <v>18</v>
      </c>
      <c r="C13" s="9" t="s">
        <v>19</v>
      </c>
      <c r="D13" s="187">
        <f>'Allocation Factors'!E12</f>
        <v>3.6349996225221462E-2</v>
      </c>
      <c r="E13" s="169">
        <f>SUM('Therm Forecast'!N12,'Therm Forecast'!N17)</f>
        <v>90938115</v>
      </c>
      <c r="F13" s="2"/>
      <c r="G13" s="17">
        <f t="shared" si="2"/>
        <v>658182.75419247965</v>
      </c>
      <c r="H13" s="25">
        <f t="shared" si="3"/>
        <v>26362.615828613762</v>
      </c>
      <c r="I13" s="17">
        <f t="shared" si="0"/>
        <v>684545.3700210934</v>
      </c>
      <c r="J13" s="31">
        <f t="shared" si="1"/>
        <v>7.2399999999999999E-3</v>
      </c>
      <c r="K13" s="31">
        <f t="shared" si="4"/>
        <v>2.9E-4</v>
      </c>
      <c r="L13" s="31">
        <f t="shared" si="5"/>
        <v>7.5300000000000002E-3</v>
      </c>
      <c r="M13" s="31"/>
      <c r="N13" s="31"/>
      <c r="O13" s="11"/>
      <c r="P13" s="31"/>
      <c r="Q13" s="31"/>
      <c r="R13" s="11"/>
    </row>
    <row r="14" spans="1:19" x14ac:dyDescent="0.25">
      <c r="A14" s="181">
        <f t="shared" si="6"/>
        <v>4</v>
      </c>
      <c r="B14" s="9" t="s">
        <v>20</v>
      </c>
      <c r="C14" s="9" t="s">
        <v>21</v>
      </c>
      <c r="D14" s="187">
        <f>'Allocation Factors'!E13</f>
        <v>2.1521899240408555E-2</v>
      </c>
      <c r="E14" s="169">
        <f>SUM('Therm Forecast'!N13,'Therm Forecast'!N18)</f>
        <v>92882689</v>
      </c>
      <c r="F14" s="2"/>
      <c r="G14" s="17">
        <f t="shared" si="2"/>
        <v>389693.105598633</v>
      </c>
      <c r="H14" s="25">
        <f t="shared" si="3"/>
        <v>15608.627799068452</v>
      </c>
      <c r="I14" s="17">
        <f t="shared" si="0"/>
        <v>405301.73339770146</v>
      </c>
      <c r="J14" s="31">
        <f t="shared" si="1"/>
        <v>4.1999999999999997E-3</v>
      </c>
      <c r="K14" s="31">
        <f t="shared" si="4"/>
        <v>1.7000000000000001E-4</v>
      </c>
      <c r="L14" s="31">
        <f t="shared" si="5"/>
        <v>4.3699999999999998E-3</v>
      </c>
      <c r="M14" s="31"/>
      <c r="N14" s="31"/>
      <c r="O14" s="11"/>
      <c r="P14" s="31"/>
      <c r="Q14" s="31"/>
      <c r="R14" s="11"/>
    </row>
    <row r="15" spans="1:19" x14ac:dyDescent="0.25">
      <c r="A15" s="181">
        <f t="shared" si="6"/>
        <v>5</v>
      </c>
      <c r="B15" s="9" t="s">
        <v>22</v>
      </c>
      <c r="C15" s="9" t="s">
        <v>23</v>
      </c>
      <c r="D15" s="187">
        <f>'Allocation Factors'!E14</f>
        <v>3.1708483832259358E-3</v>
      </c>
      <c r="E15" s="169">
        <f>SUM('Therm Forecast'!N14,'Therm Forecast'!N19)</f>
        <v>7589526</v>
      </c>
      <c r="F15" s="2"/>
      <c r="G15" s="17">
        <f t="shared" si="2"/>
        <v>57413.973554978067</v>
      </c>
      <c r="H15" s="25">
        <f t="shared" si="3"/>
        <v>2299.6386921153558</v>
      </c>
      <c r="I15" s="17">
        <f t="shared" si="0"/>
        <v>59713.612247093421</v>
      </c>
      <c r="J15" s="31">
        <f t="shared" si="1"/>
        <v>7.5599999999999999E-3</v>
      </c>
      <c r="K15" s="31">
        <f t="shared" si="4"/>
        <v>2.9999999999999997E-4</v>
      </c>
      <c r="L15" s="31">
        <f t="shared" si="5"/>
        <v>7.8600000000000007E-3</v>
      </c>
      <c r="M15" s="31"/>
      <c r="N15" s="31"/>
      <c r="O15" s="11"/>
      <c r="P15" s="31"/>
      <c r="Q15" s="31"/>
      <c r="R15" s="11"/>
    </row>
    <row r="16" spans="1:19" x14ac:dyDescent="0.25">
      <c r="A16" s="181">
        <f t="shared" si="6"/>
        <v>6</v>
      </c>
      <c r="B16" s="9" t="s">
        <v>24</v>
      </c>
      <c r="C16" s="9" t="s">
        <v>25</v>
      </c>
      <c r="D16" s="187">
        <f>'Allocation Factors'!E15</f>
        <v>1.4994779333537878E-2</v>
      </c>
      <c r="E16" s="169">
        <f>SUM('Therm Forecast'!N15,'Therm Forecast'!N20)</f>
        <v>122984648</v>
      </c>
      <c r="F16" s="2"/>
      <c r="G16" s="17">
        <f t="shared" si="2"/>
        <v>271507.73549210472</v>
      </c>
      <c r="H16" s="25">
        <f t="shared" si="3"/>
        <v>10874.873399040849</v>
      </c>
      <c r="I16" s="17">
        <f t="shared" si="0"/>
        <v>282382.60889114556</v>
      </c>
      <c r="J16" s="31">
        <f t="shared" si="1"/>
        <v>2.2100000000000002E-3</v>
      </c>
      <c r="K16" s="31">
        <f t="shared" si="4"/>
        <v>9.0000000000000006E-5</v>
      </c>
      <c r="L16" s="31">
        <f t="shared" si="5"/>
        <v>2.3E-3</v>
      </c>
      <c r="M16" s="31"/>
      <c r="N16" s="31"/>
      <c r="O16" s="11"/>
      <c r="P16" s="31"/>
      <c r="Q16" s="31"/>
      <c r="R16" s="11"/>
    </row>
    <row r="17" spans="1:18" x14ac:dyDescent="0.25">
      <c r="A17" s="181">
        <f t="shared" si="6"/>
        <v>7</v>
      </c>
      <c r="B17" s="9" t="s">
        <v>26</v>
      </c>
      <c r="D17" s="187">
        <f>'Allocation Factors'!E16</f>
        <v>5.5609610416970309E-3</v>
      </c>
      <c r="E17" s="169">
        <f>'Therm Forecast'!N21</f>
        <v>36131830</v>
      </c>
      <c r="F17" s="2"/>
      <c r="G17" s="17">
        <f t="shared" si="2"/>
        <v>100691.30768827014</v>
      </c>
      <c r="H17" s="25">
        <f t="shared" si="3"/>
        <v>4033.0535021741516</v>
      </c>
      <c r="I17" s="17">
        <f t="shared" si="0"/>
        <v>104724.3611904443</v>
      </c>
      <c r="J17" s="31">
        <f t="shared" si="1"/>
        <v>2.7899999999999999E-3</v>
      </c>
      <c r="K17" s="31">
        <f t="shared" si="4"/>
        <v>1.1E-4</v>
      </c>
      <c r="L17" s="31">
        <f t="shared" si="5"/>
        <v>2.8999999999999998E-3</v>
      </c>
      <c r="M17" s="31"/>
      <c r="N17" s="31"/>
      <c r="O17" s="11"/>
      <c r="P17" s="31"/>
      <c r="Q17" s="31"/>
      <c r="R17" s="11"/>
    </row>
    <row r="18" spans="1:18" x14ac:dyDescent="0.25">
      <c r="A18" s="181">
        <f t="shared" si="6"/>
        <v>8</v>
      </c>
      <c r="B18" s="9" t="s">
        <v>27</v>
      </c>
      <c r="D18" s="4">
        <f>SUM(D11:D17)</f>
        <v>0.9921023562675001</v>
      </c>
      <c r="E18" s="19">
        <f>SUM(E11:E17)</f>
        <v>1204775623</v>
      </c>
      <c r="F18" s="19"/>
      <c r="G18" s="20">
        <f t="shared" ref="G18" si="7">SUM(G11:G17)</f>
        <v>17963816.48138709</v>
      </c>
      <c r="H18" s="20">
        <f>SUM(H11:H17)</f>
        <v>719516.25851326366</v>
      </c>
      <c r="I18" s="20">
        <f>SUM(I11:I17)</f>
        <v>18683332.739900354</v>
      </c>
      <c r="J18" s="21"/>
      <c r="K18" s="21"/>
      <c r="L18" s="11"/>
      <c r="M18" s="11"/>
      <c r="N18" s="11"/>
      <c r="O18" s="11"/>
      <c r="P18" s="11"/>
      <c r="Q18" s="11"/>
      <c r="R18" s="11"/>
    </row>
    <row r="19" spans="1:18" x14ac:dyDescent="0.25">
      <c r="A19" s="181">
        <f t="shared" si="6"/>
        <v>9</v>
      </c>
      <c r="D19" s="5"/>
      <c r="E19" s="22"/>
      <c r="L19" s="11"/>
      <c r="M19" s="11"/>
      <c r="N19" s="11"/>
      <c r="O19" s="11"/>
      <c r="P19" s="11"/>
      <c r="Q19" s="11"/>
      <c r="R19" s="11"/>
    </row>
    <row r="20" spans="1:18" x14ac:dyDescent="0.25">
      <c r="A20" s="181">
        <f t="shared" si="6"/>
        <v>10</v>
      </c>
      <c r="B20" s="9" t="s">
        <v>28</v>
      </c>
      <c r="C20" s="9" t="s">
        <v>257</v>
      </c>
      <c r="D20" s="188">
        <f>'Allocation Factors'!E19</f>
        <v>7.8976437324998067E-3</v>
      </c>
      <c r="E20" s="2"/>
      <c r="F20" s="169">
        <f>'Rental Forecast'!F23</f>
        <v>291954</v>
      </c>
      <c r="G20" s="17">
        <f>G$23*D20</f>
        <v>143001.19513852929</v>
      </c>
      <c r="H20" s="25">
        <f>$H$23*D20</f>
        <v>5727.7185499868147</v>
      </c>
      <c r="I20" s="17">
        <f>SUM(G20:H20)</f>
        <v>148728.9136885161</v>
      </c>
      <c r="J20" s="17"/>
      <c r="K20" s="17"/>
      <c r="L20" s="11"/>
      <c r="M20" s="11"/>
      <c r="N20" s="11"/>
      <c r="O20" s="11"/>
      <c r="P20" s="18">
        <f>ROUND(G20/$F$20,2)</f>
        <v>0.49</v>
      </c>
      <c r="Q20" s="18">
        <f>ROUND((+H20)/$F$20,2)</f>
        <v>0.02</v>
      </c>
      <c r="R20" s="18">
        <f>SUM(P20:Q20)</f>
        <v>0.51</v>
      </c>
    </row>
    <row r="21" spans="1:18" x14ac:dyDescent="0.25">
      <c r="A21" s="181">
        <f t="shared" si="6"/>
        <v>11</v>
      </c>
      <c r="B21" s="9" t="s">
        <v>29</v>
      </c>
      <c r="D21" s="6">
        <f>D18+D20</f>
        <v>0.99999999999999989</v>
      </c>
      <c r="E21" s="23"/>
      <c r="F21" s="23"/>
      <c r="G21" s="20">
        <f>G18+G20</f>
        <v>18106817.676525619</v>
      </c>
      <c r="H21" s="20">
        <f>H18+H20</f>
        <v>725243.9770632505</v>
      </c>
      <c r="I21" s="20">
        <f>I18+I20</f>
        <v>18832061.653588869</v>
      </c>
      <c r="J21" s="21"/>
      <c r="K21" s="21"/>
    </row>
    <row r="22" spans="1:18" x14ac:dyDescent="0.25">
      <c r="A22" s="181">
        <f t="shared" si="6"/>
        <v>12</v>
      </c>
      <c r="D22" s="7"/>
    </row>
    <row r="23" spans="1:18" x14ac:dyDescent="0.25">
      <c r="A23" s="181">
        <f t="shared" si="6"/>
        <v>13</v>
      </c>
      <c r="B23" s="9" t="s">
        <v>30</v>
      </c>
      <c r="G23" s="192">
        <f>'2020 Rev Req Estimate'!I18</f>
        <v>18106817.676525623</v>
      </c>
      <c r="H23" s="192">
        <f>'2020 Rev Req Estimate'!I19</f>
        <v>725243.97706325061</v>
      </c>
      <c r="I23" s="8">
        <f>SUM(G23:H23)</f>
        <v>18832061.653588872</v>
      </c>
      <c r="J23" s="8"/>
      <c r="K23" s="8"/>
    </row>
    <row r="25" spans="1:18" ht="17.25" x14ac:dyDescent="0.25">
      <c r="B25" s="9" t="s">
        <v>250</v>
      </c>
      <c r="D25" s="11"/>
    </row>
    <row r="26" spans="1:18" ht="17.25" x14ac:dyDescent="0.25">
      <c r="B26" s="9" t="s">
        <v>249</v>
      </c>
      <c r="D26" s="11"/>
    </row>
    <row r="27" spans="1:18" ht="17.25" x14ac:dyDescent="0.25">
      <c r="B27" s="9" t="s">
        <v>248</v>
      </c>
      <c r="D27" s="11"/>
      <c r="I27" s="17"/>
    </row>
    <row r="28" spans="1:18" x14ac:dyDescent="0.25">
      <c r="D28" s="11"/>
    </row>
    <row r="29" spans="1:18" x14ac:dyDescent="0.25">
      <c r="D29" s="11"/>
    </row>
    <row r="30" spans="1:18" x14ac:dyDescent="0.25">
      <c r="D30" s="11"/>
    </row>
  </sheetData>
  <mergeCells count="4">
    <mergeCell ref="A1:R1"/>
    <mergeCell ref="A2:R2"/>
    <mergeCell ref="A3:R3"/>
    <mergeCell ref="A4:R4"/>
  </mergeCells>
  <printOptions horizontalCentered="1"/>
  <pageMargins left="0.45" right="0.45" top="0.75" bottom="0.75" header="0.3" footer="0.3"/>
  <pageSetup scale="58" orientation="landscape" blackAndWhite="1" r:id="rId1"/>
  <headerFooter>
    <oddFooter>&amp;L&amp;F 
&amp;A&amp;C&amp;P&amp;R&amp;D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activeCell="E21" sqref="E21"/>
    </sheetView>
  </sheetViews>
  <sheetFormatPr defaultColWidth="13.7109375" defaultRowHeight="15" x14ac:dyDescent="0.25"/>
  <cols>
    <col min="1" max="1" width="16" style="67" customWidth="1"/>
    <col min="2" max="2" width="51.7109375" style="67" bestFit="1" customWidth="1"/>
    <col min="3" max="3" width="16.42578125" style="67" customWidth="1"/>
    <col min="4" max="4" width="21.140625" style="67" customWidth="1"/>
    <col min="5" max="16384" width="13.7109375" style="67"/>
  </cols>
  <sheetData>
    <row r="1" spans="1:6" x14ac:dyDescent="0.25">
      <c r="A1" s="66"/>
      <c r="B1" s="66" t="s">
        <v>78</v>
      </c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 s="66" t="s">
        <v>79</v>
      </c>
    </row>
    <row r="4" spans="1:6" x14ac:dyDescent="0.25">
      <c r="A4"/>
      <c r="B4"/>
      <c r="C4"/>
      <c r="D4" s="68" t="s">
        <v>80</v>
      </c>
      <c r="E4" s="69" t="s">
        <v>80</v>
      </c>
      <c r="F4" s="70" t="s">
        <v>81</v>
      </c>
    </row>
    <row r="5" spans="1:6" s="74" customFormat="1" ht="45.75" thickBot="1" x14ac:dyDescent="0.3">
      <c r="A5" s="71" t="s">
        <v>82</v>
      </c>
      <c r="B5" s="71" t="s">
        <v>83</v>
      </c>
      <c r="C5" s="71" t="s">
        <v>84</v>
      </c>
      <c r="D5" s="72" t="s">
        <v>85</v>
      </c>
      <c r="E5" s="73" t="s">
        <v>86</v>
      </c>
      <c r="F5" s="73" t="s">
        <v>86</v>
      </c>
    </row>
    <row r="6" spans="1:6" ht="15.75" thickBot="1" x14ac:dyDescent="0.3">
      <c r="A6" s="237" t="s">
        <v>87</v>
      </c>
      <c r="B6" s="75" t="s">
        <v>88</v>
      </c>
      <c r="C6" s="173" t="s">
        <v>89</v>
      </c>
      <c r="D6" s="174">
        <v>7527.32</v>
      </c>
      <c r="E6" s="191">
        <f>D6/C6</f>
        <v>937.39975093399755</v>
      </c>
      <c r="F6" s="76">
        <f>ROUND(E6*12,0)</f>
        <v>11249</v>
      </c>
    </row>
    <row r="7" spans="1:6" ht="15.75" thickBot="1" x14ac:dyDescent="0.3">
      <c r="A7" s="237" t="s">
        <v>87</v>
      </c>
      <c r="B7" s="75" t="s">
        <v>90</v>
      </c>
      <c r="C7" s="175" t="s">
        <v>91</v>
      </c>
      <c r="D7" s="176">
        <v>187378.12</v>
      </c>
      <c r="E7" s="191">
        <f t="shared" ref="E7:E18" si="0">D7/C7</f>
        <v>14536.704422032582</v>
      </c>
      <c r="F7" s="76">
        <f t="shared" ref="F7:F22" si="1">ROUND(E7*12,0)</f>
        <v>174440</v>
      </c>
    </row>
    <row r="8" spans="1:6" ht="15.75" thickBot="1" x14ac:dyDescent="0.3">
      <c r="A8" s="237" t="s">
        <v>87</v>
      </c>
      <c r="B8" s="75" t="s">
        <v>92</v>
      </c>
      <c r="C8" s="177" t="s">
        <v>93</v>
      </c>
      <c r="D8" s="178">
        <v>50276.98</v>
      </c>
      <c r="E8" s="191">
        <f t="shared" si="0"/>
        <v>2777.7337016574584</v>
      </c>
      <c r="F8" s="76">
        <f t="shared" si="1"/>
        <v>33333</v>
      </c>
    </row>
    <row r="9" spans="1:6" ht="15.75" thickBot="1" x14ac:dyDescent="0.3">
      <c r="A9" s="237" t="s">
        <v>87</v>
      </c>
      <c r="B9" s="75" t="s">
        <v>94</v>
      </c>
      <c r="C9" s="175" t="s">
        <v>95</v>
      </c>
      <c r="D9" s="176">
        <v>10565.85</v>
      </c>
      <c r="E9" s="191">
        <f t="shared" si="0"/>
        <v>596.26693002257343</v>
      </c>
      <c r="F9" s="76">
        <f t="shared" si="1"/>
        <v>7155</v>
      </c>
    </row>
    <row r="10" spans="1:6" ht="15.75" thickBot="1" x14ac:dyDescent="0.3">
      <c r="A10" s="237" t="s">
        <v>87</v>
      </c>
      <c r="B10" s="75" t="s">
        <v>96</v>
      </c>
      <c r="C10" s="177" t="s">
        <v>97</v>
      </c>
      <c r="D10" s="178">
        <v>19639.02</v>
      </c>
      <c r="E10" s="191">
        <f t="shared" si="0"/>
        <v>3044.8093023255815</v>
      </c>
      <c r="F10" s="76">
        <f t="shared" si="1"/>
        <v>36538</v>
      </c>
    </row>
    <row r="11" spans="1:6" ht="15.75" thickBot="1" x14ac:dyDescent="0.3">
      <c r="A11" s="237" t="s">
        <v>87</v>
      </c>
      <c r="B11" s="75" t="s">
        <v>98</v>
      </c>
      <c r="C11" s="175" t="s">
        <v>99</v>
      </c>
      <c r="D11" s="176">
        <v>2086.9899999999998</v>
      </c>
      <c r="E11" s="191">
        <f t="shared" si="0"/>
        <v>184.20035304501323</v>
      </c>
      <c r="F11" s="76">
        <f t="shared" si="1"/>
        <v>2210</v>
      </c>
    </row>
    <row r="12" spans="1:6" ht="15.75" thickBot="1" x14ac:dyDescent="0.3">
      <c r="A12" s="237" t="s">
        <v>100</v>
      </c>
      <c r="B12" s="75" t="s">
        <v>101</v>
      </c>
      <c r="C12" s="177" t="s">
        <v>102</v>
      </c>
      <c r="D12" s="178">
        <v>1572.74</v>
      </c>
      <c r="E12" s="191">
        <f t="shared" si="0"/>
        <v>99.666666666666671</v>
      </c>
      <c r="F12" s="76">
        <f t="shared" si="1"/>
        <v>1196</v>
      </c>
    </row>
    <row r="13" spans="1:6" ht="15.75" thickBot="1" x14ac:dyDescent="0.3">
      <c r="A13" s="237" t="s">
        <v>100</v>
      </c>
      <c r="B13" s="75" t="s">
        <v>103</v>
      </c>
      <c r="C13" s="175" t="s">
        <v>104</v>
      </c>
      <c r="D13" s="176">
        <v>1546.5</v>
      </c>
      <c r="E13" s="191">
        <f t="shared" si="0"/>
        <v>75</v>
      </c>
      <c r="F13" s="76">
        <f t="shared" si="1"/>
        <v>900</v>
      </c>
    </row>
    <row r="14" spans="1:6" ht="15.75" thickBot="1" x14ac:dyDescent="0.3">
      <c r="A14" s="237" t="s">
        <v>100</v>
      </c>
      <c r="B14" s="75" t="s">
        <v>105</v>
      </c>
      <c r="C14" s="177" t="s">
        <v>104</v>
      </c>
      <c r="D14" s="178">
        <v>4106.12</v>
      </c>
      <c r="E14" s="191">
        <f t="shared" si="0"/>
        <v>199.1328806983511</v>
      </c>
      <c r="F14" s="76">
        <f t="shared" si="1"/>
        <v>2390</v>
      </c>
    </row>
    <row r="15" spans="1:6" ht="15.75" thickBot="1" x14ac:dyDescent="0.3">
      <c r="A15" s="237" t="s">
        <v>100</v>
      </c>
      <c r="B15" s="75" t="s">
        <v>106</v>
      </c>
      <c r="C15" s="175" t="s">
        <v>107</v>
      </c>
      <c r="D15" s="176">
        <v>419.9</v>
      </c>
      <c r="E15" s="191">
        <f t="shared" si="0"/>
        <v>13</v>
      </c>
      <c r="F15" s="76">
        <f t="shared" si="1"/>
        <v>156</v>
      </c>
    </row>
    <row r="16" spans="1:6" ht="15.75" thickBot="1" x14ac:dyDescent="0.3">
      <c r="A16" s="237" t="s">
        <v>100</v>
      </c>
      <c r="B16" s="75" t="s">
        <v>108</v>
      </c>
      <c r="C16" s="177" t="s">
        <v>109</v>
      </c>
      <c r="D16" s="178">
        <v>21224.52</v>
      </c>
      <c r="E16" s="191">
        <f t="shared" si="0"/>
        <v>503.6668248694827</v>
      </c>
      <c r="F16" s="76">
        <f t="shared" si="1"/>
        <v>6044</v>
      </c>
    </row>
    <row r="17" spans="1:6" ht="15.75" thickBot="1" x14ac:dyDescent="0.3">
      <c r="A17" s="237" t="s">
        <v>100</v>
      </c>
      <c r="B17" s="75" t="s">
        <v>110</v>
      </c>
      <c r="C17" s="175" t="s">
        <v>111</v>
      </c>
      <c r="D17" s="176">
        <v>19656.72</v>
      </c>
      <c r="E17" s="191">
        <f t="shared" si="0"/>
        <v>349.26652452025587</v>
      </c>
      <c r="F17" s="76">
        <f t="shared" si="1"/>
        <v>4191</v>
      </c>
    </row>
    <row r="18" spans="1:6" ht="15.75" thickBot="1" x14ac:dyDescent="0.3">
      <c r="A18" s="237" t="s">
        <v>100</v>
      </c>
      <c r="B18" s="75" t="s">
        <v>112</v>
      </c>
      <c r="C18" s="177" t="s">
        <v>113</v>
      </c>
      <c r="D18" s="178">
        <v>66195.850000000006</v>
      </c>
      <c r="E18" s="191">
        <f t="shared" si="0"/>
        <v>1012.6334710111672</v>
      </c>
      <c r="F18" s="76">
        <f t="shared" si="1"/>
        <v>12152</v>
      </c>
    </row>
    <row r="19" spans="1:6" ht="15.75" thickBot="1" x14ac:dyDescent="0.3">
      <c r="A19" s="237" t="s">
        <v>114</v>
      </c>
      <c r="B19" s="75" t="s">
        <v>115</v>
      </c>
      <c r="C19" s="175" t="s">
        <v>116</v>
      </c>
      <c r="D19" s="176">
        <v>8826.18</v>
      </c>
      <c r="E19" s="230">
        <v>0</v>
      </c>
      <c r="F19" s="76">
        <f t="shared" si="1"/>
        <v>0</v>
      </c>
    </row>
    <row r="20" spans="1:6" ht="15.75" thickBot="1" x14ac:dyDescent="0.3">
      <c r="A20" s="237" t="s">
        <v>114</v>
      </c>
      <c r="B20" s="75" t="s">
        <v>117</v>
      </c>
      <c r="C20" s="177" t="s">
        <v>118</v>
      </c>
      <c r="D20" s="178">
        <v>1689.33</v>
      </c>
      <c r="E20" s="230">
        <v>0</v>
      </c>
      <c r="F20" s="76">
        <f t="shared" si="1"/>
        <v>0</v>
      </c>
    </row>
    <row r="21" spans="1:6" ht="15.75" thickBot="1" x14ac:dyDescent="0.3">
      <c r="A21" s="237" t="s">
        <v>114</v>
      </c>
      <c r="B21" s="75" t="s">
        <v>119</v>
      </c>
      <c r="C21" s="175" t="s">
        <v>120</v>
      </c>
      <c r="D21" s="176">
        <v>1564.8</v>
      </c>
      <c r="E21" s="230">
        <v>0</v>
      </c>
      <c r="F21" s="76">
        <f t="shared" si="1"/>
        <v>0</v>
      </c>
    </row>
    <row r="22" spans="1:6" ht="15.75" thickBot="1" x14ac:dyDescent="0.3">
      <c r="A22" s="237" t="s">
        <v>114</v>
      </c>
      <c r="B22" s="75" t="s">
        <v>121</v>
      </c>
      <c r="C22" s="177" t="s">
        <v>122</v>
      </c>
      <c r="D22" s="178">
        <v>22137.65</v>
      </c>
      <c r="E22" s="230">
        <v>0</v>
      </c>
      <c r="F22" s="76">
        <f t="shared" si="1"/>
        <v>0</v>
      </c>
    </row>
    <row r="23" spans="1:6" ht="15.75" thickBot="1" x14ac:dyDescent="0.3">
      <c r="A23" s="75" t="s">
        <v>123</v>
      </c>
      <c r="B23" s="75" t="s">
        <v>124</v>
      </c>
      <c r="C23" s="77" t="s">
        <v>124</v>
      </c>
      <c r="D23" s="78">
        <v>426414.59</v>
      </c>
      <c r="E23" s="79">
        <f>SUM(E6:E22)</f>
        <v>24329.480827783129</v>
      </c>
      <c r="F23" s="80">
        <f>SUM(F6:F22)</f>
        <v>291954</v>
      </c>
    </row>
    <row r="24" spans="1:6" ht="15.75" thickTop="1" x14ac:dyDescent="0.25"/>
    <row r="25" spans="1:6" x14ac:dyDescent="0.25">
      <c r="D25" s="81"/>
      <c r="E25" s="82"/>
    </row>
  </sheetData>
  <mergeCells count="3">
    <mergeCell ref="A6:A11"/>
    <mergeCell ref="A12:A18"/>
    <mergeCell ref="A19:A22"/>
  </mergeCells>
  <pageMargins left="0.7" right="0.7" top="0.75" bottom="0.75" header="0.3" footer="0.3"/>
  <pageSetup scale="92" orientation="landscape" r:id="rId1"/>
  <headerFooter>
    <oddFooter>&amp;L&amp;F
&amp;A&amp;C&amp;P&amp;R&amp;D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workbookViewId="0">
      <selection activeCell="G12" sqref="G12"/>
    </sheetView>
  </sheetViews>
  <sheetFormatPr defaultColWidth="9.140625" defaultRowHeight="15" x14ac:dyDescent="0.25"/>
  <cols>
    <col min="1" max="1" width="4.42578125" style="56" customWidth="1"/>
    <col min="2" max="2" width="31.5703125" style="56" customWidth="1"/>
    <col min="3" max="3" width="10.42578125" style="56" customWidth="1"/>
    <col min="4" max="4" width="17.140625" style="56" bestFit="1" customWidth="1"/>
    <col min="5" max="5" width="12.85546875" style="56" bestFit="1" customWidth="1"/>
    <col min="6" max="16384" width="9.140625" style="56"/>
  </cols>
  <sheetData>
    <row r="1" spans="1:5" x14ac:dyDescent="0.25">
      <c r="A1" s="232" t="s">
        <v>0</v>
      </c>
      <c r="B1" s="232"/>
      <c r="C1" s="232"/>
      <c r="D1" s="232"/>
      <c r="E1" s="232"/>
    </row>
    <row r="2" spans="1:5" x14ac:dyDescent="0.25">
      <c r="A2" s="231" t="s">
        <v>75</v>
      </c>
      <c r="B2" s="232"/>
      <c r="C2" s="232"/>
      <c r="D2" s="232"/>
      <c r="E2" s="232"/>
    </row>
    <row r="3" spans="1:5" x14ac:dyDescent="0.25">
      <c r="A3" s="232" t="s">
        <v>238</v>
      </c>
      <c r="B3" s="232"/>
      <c r="C3" s="232"/>
      <c r="D3" s="232"/>
      <c r="E3" s="232"/>
    </row>
    <row r="4" spans="1:5" x14ac:dyDescent="0.25">
      <c r="A4" s="232" t="s">
        <v>76</v>
      </c>
      <c r="B4" s="232"/>
      <c r="C4" s="232"/>
      <c r="D4" s="232"/>
      <c r="E4" s="232"/>
    </row>
    <row r="5" spans="1:5" x14ac:dyDescent="0.25">
      <c r="A5" s="182"/>
      <c r="B5" s="182"/>
      <c r="C5" s="182"/>
      <c r="D5" s="182"/>
      <c r="E5" s="182"/>
    </row>
    <row r="6" spans="1:5" x14ac:dyDescent="0.25">
      <c r="B6" s="57"/>
      <c r="C6" s="57"/>
      <c r="D6" s="57"/>
      <c r="E6" s="58" t="s">
        <v>6</v>
      </c>
    </row>
    <row r="7" spans="1:5" x14ac:dyDescent="0.25">
      <c r="A7" s="182" t="s">
        <v>67</v>
      </c>
      <c r="B7" s="57"/>
      <c r="C7" s="57"/>
      <c r="D7" s="57" t="s">
        <v>6</v>
      </c>
      <c r="E7" s="58" t="s">
        <v>239</v>
      </c>
    </row>
    <row r="8" spans="1:5" ht="17.25" x14ac:dyDescent="0.25">
      <c r="A8" s="59" t="s">
        <v>68</v>
      </c>
      <c r="B8" s="59" t="s">
        <v>9</v>
      </c>
      <c r="C8" s="59" t="s">
        <v>10</v>
      </c>
      <c r="D8" s="189" t="s">
        <v>246</v>
      </c>
      <c r="E8" s="60" t="s">
        <v>240</v>
      </c>
    </row>
    <row r="9" spans="1:5" x14ac:dyDescent="0.25">
      <c r="B9" s="182" t="s">
        <v>62</v>
      </c>
      <c r="C9" s="182" t="s">
        <v>63</v>
      </c>
      <c r="D9" s="61" t="s">
        <v>64</v>
      </c>
      <c r="E9" s="182" t="s">
        <v>65</v>
      </c>
    </row>
    <row r="10" spans="1:5" x14ac:dyDescent="0.25">
      <c r="A10" s="182">
        <v>1</v>
      </c>
      <c r="B10" s="56" t="s">
        <v>14</v>
      </c>
      <c r="C10" s="56" t="s">
        <v>15</v>
      </c>
      <c r="D10" s="186">
        <v>2297879803.3395319</v>
      </c>
      <c r="E10" s="185">
        <f t="shared" ref="E10:E16" si="0">D10/$D$20</f>
        <v>0.64039693758693517</v>
      </c>
    </row>
    <row r="11" spans="1:5" x14ac:dyDescent="0.25">
      <c r="A11" s="182">
        <f>A10+1</f>
        <v>2</v>
      </c>
      <c r="B11" s="56" t="s">
        <v>16</v>
      </c>
      <c r="C11" s="56" t="s">
        <v>17</v>
      </c>
      <c r="D11" s="186">
        <v>969200870.58540738</v>
      </c>
      <c r="E11" s="185">
        <f t="shared" si="0"/>
        <v>0.27010693445647405</v>
      </c>
    </row>
    <row r="12" spans="1:5" x14ac:dyDescent="0.25">
      <c r="A12" s="182">
        <f t="shared" ref="A12:A20" si="1">A11+1</f>
        <v>3</v>
      </c>
      <c r="B12" s="56" t="s">
        <v>18</v>
      </c>
      <c r="C12" s="56" t="s">
        <v>19</v>
      </c>
      <c r="D12" s="186">
        <v>130431482.84272602</v>
      </c>
      <c r="E12" s="185">
        <f t="shared" si="0"/>
        <v>3.6349996225221462E-2</v>
      </c>
    </row>
    <row r="13" spans="1:5" x14ac:dyDescent="0.25">
      <c r="A13" s="182">
        <f t="shared" si="1"/>
        <v>4</v>
      </c>
      <c r="B13" s="56" t="s">
        <v>20</v>
      </c>
      <c r="C13" s="56" t="s">
        <v>21</v>
      </c>
      <c r="D13" s="186">
        <v>77225131.307455152</v>
      </c>
      <c r="E13" s="185">
        <f t="shared" si="0"/>
        <v>2.1521899240408555E-2</v>
      </c>
    </row>
    <row r="14" spans="1:5" x14ac:dyDescent="0.25">
      <c r="A14" s="182">
        <f t="shared" si="1"/>
        <v>5</v>
      </c>
      <c r="B14" s="56" t="s">
        <v>22</v>
      </c>
      <c r="C14" s="56" t="s">
        <v>23</v>
      </c>
      <c r="D14" s="186">
        <v>11377675.36291125</v>
      </c>
      <c r="E14" s="185">
        <f t="shared" si="0"/>
        <v>3.1708483832259358E-3</v>
      </c>
    </row>
    <row r="15" spans="1:5" x14ac:dyDescent="0.25">
      <c r="A15" s="182">
        <f t="shared" si="1"/>
        <v>6</v>
      </c>
      <c r="B15" s="56" t="s">
        <v>24</v>
      </c>
      <c r="C15" s="56" t="s">
        <v>25</v>
      </c>
      <c r="D15" s="186">
        <v>53804443.094158605</v>
      </c>
      <c r="E15" s="185">
        <f t="shared" si="0"/>
        <v>1.4994779333537878E-2</v>
      </c>
    </row>
    <row r="16" spans="1:5" x14ac:dyDescent="0.25">
      <c r="A16" s="182">
        <f t="shared" si="1"/>
        <v>7</v>
      </c>
      <c r="B16" s="56" t="s">
        <v>26</v>
      </c>
      <c r="D16" s="186">
        <v>19953905.640185662</v>
      </c>
      <c r="E16" s="185">
        <f t="shared" si="0"/>
        <v>5.5609610416970309E-3</v>
      </c>
    </row>
    <row r="17" spans="1:5" x14ac:dyDescent="0.25">
      <c r="A17" s="182">
        <f t="shared" si="1"/>
        <v>8</v>
      </c>
      <c r="B17" s="56" t="s">
        <v>27</v>
      </c>
      <c r="D17" s="184">
        <f>SUM(D10:D16)</f>
        <v>3559873312.1723762</v>
      </c>
      <c r="E17" s="62">
        <f>SUM(E10:E16)</f>
        <v>0.9921023562675001</v>
      </c>
    </row>
    <row r="18" spans="1:5" x14ac:dyDescent="0.25">
      <c r="A18" s="182">
        <f t="shared" si="1"/>
        <v>9</v>
      </c>
      <c r="D18" s="183"/>
      <c r="E18" s="63"/>
    </row>
    <row r="19" spans="1:5" x14ac:dyDescent="0.25">
      <c r="A19" s="182">
        <f t="shared" si="1"/>
        <v>10</v>
      </c>
      <c r="B19" s="56" t="s">
        <v>28</v>
      </c>
      <c r="C19" s="9" t="s">
        <v>257</v>
      </c>
      <c r="D19" s="186">
        <v>28338417.88073625</v>
      </c>
      <c r="E19" s="185">
        <f>D19/$D$20</f>
        <v>7.8976437324998067E-3</v>
      </c>
    </row>
    <row r="20" spans="1:5" x14ac:dyDescent="0.25">
      <c r="A20" s="182">
        <f t="shared" si="1"/>
        <v>11</v>
      </c>
      <c r="B20" s="56" t="s">
        <v>29</v>
      </c>
      <c r="D20" s="184">
        <f>D17+D19</f>
        <v>3588211730.0531125</v>
      </c>
      <c r="E20" s="64">
        <f>E17+E19</f>
        <v>0.99999999999999989</v>
      </c>
    </row>
    <row r="22" spans="1:5" ht="17.25" x14ac:dyDescent="0.25">
      <c r="B22" s="190" t="s">
        <v>247</v>
      </c>
      <c r="E22" s="65"/>
    </row>
    <row r="23" spans="1:5" x14ac:dyDescent="0.25">
      <c r="E23" s="65"/>
    </row>
    <row r="24" spans="1:5" x14ac:dyDescent="0.25">
      <c r="E24" s="65"/>
    </row>
    <row r="25" spans="1:5" x14ac:dyDescent="0.25">
      <c r="E25" s="65"/>
    </row>
    <row r="26" spans="1:5" x14ac:dyDescent="0.25">
      <c r="E26" s="65"/>
    </row>
  </sheetData>
  <mergeCells count="4">
    <mergeCell ref="A4:E4"/>
    <mergeCell ref="A1:E1"/>
    <mergeCell ref="A2:E2"/>
    <mergeCell ref="A3:E3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5"/>
  <sheetViews>
    <sheetView zoomScale="90" zoomScaleNormal="90" workbookViewId="0">
      <pane xSplit="3" ySplit="9" topLeftCell="E10" activePane="bottomRight" state="frozenSplit"/>
      <selection activeCell="T18" sqref="T18"/>
      <selection pane="topRight" activeCell="T18" sqref="T18"/>
      <selection pane="bottomLeft" activeCell="T18" sqref="T18"/>
      <selection pane="bottomRight" activeCell="U30" sqref="U30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4.7109375" customWidth="1"/>
    <col min="5" max="5" width="14.5703125" customWidth="1"/>
    <col min="6" max="6" width="11.7109375" bestFit="1" customWidth="1"/>
    <col min="7" max="7" width="13.5703125" bestFit="1" customWidth="1"/>
    <col min="8" max="8" width="15.5703125" bestFit="1" customWidth="1"/>
    <col min="9" max="9" width="14.5703125" bestFit="1" customWidth="1"/>
    <col min="10" max="10" width="13.5703125" customWidth="1"/>
    <col min="11" max="11" width="13.28515625" bestFit="1" customWidth="1"/>
    <col min="12" max="12" width="12.140625" customWidth="1"/>
    <col min="13" max="14" width="13.28515625" bestFit="1" customWidth="1"/>
    <col min="15" max="15" width="12.85546875" bestFit="1" customWidth="1"/>
    <col min="16" max="16" width="14" bestFit="1" customWidth="1"/>
    <col min="17" max="18" width="13.28515625" bestFit="1" customWidth="1"/>
    <col min="19" max="19" width="15.7109375" bestFit="1" customWidth="1"/>
    <col min="20" max="20" width="13.5703125" customWidth="1"/>
    <col min="21" max="21" width="7.85546875" customWidth="1"/>
    <col min="22" max="22" width="13.7109375" bestFit="1" customWidth="1"/>
  </cols>
  <sheetData>
    <row r="1" spans="2:21" x14ac:dyDescent="0.25">
      <c r="B1" s="233" t="s">
        <v>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</row>
    <row r="2" spans="2:21" x14ac:dyDescent="0.25">
      <c r="B2" s="233" t="s">
        <v>234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2:21" x14ac:dyDescent="0.25">
      <c r="B3" s="234" t="s">
        <v>142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</row>
    <row r="4" spans="2:21" x14ac:dyDescent="0.25">
      <c r="B4" s="234" t="s">
        <v>143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</row>
    <row r="5" spans="2:21" x14ac:dyDescent="0.25">
      <c r="F5" s="195"/>
      <c r="N5" s="195"/>
      <c r="R5" s="195"/>
    </row>
    <row r="6" spans="2:21" x14ac:dyDescent="0.25">
      <c r="F6" s="195"/>
      <c r="G6" s="92" t="s">
        <v>166</v>
      </c>
      <c r="N6" s="195"/>
      <c r="R6" s="195"/>
    </row>
    <row r="7" spans="2:21" x14ac:dyDescent="0.25">
      <c r="B7" s="92"/>
      <c r="C7" s="92"/>
      <c r="D7" s="92" t="s">
        <v>165</v>
      </c>
      <c r="E7" s="92" t="s">
        <v>165</v>
      </c>
      <c r="F7" s="92"/>
      <c r="G7" s="92" t="s">
        <v>251</v>
      </c>
      <c r="H7" s="195"/>
      <c r="I7" s="92"/>
      <c r="J7" s="92"/>
      <c r="K7" s="92"/>
      <c r="L7" s="92"/>
      <c r="M7" s="92"/>
      <c r="N7" s="92"/>
      <c r="O7" s="92"/>
      <c r="P7" s="92"/>
      <c r="Q7" s="92"/>
      <c r="R7" s="92"/>
      <c r="S7" s="91" t="s">
        <v>144</v>
      </c>
      <c r="T7" s="91" t="s">
        <v>167</v>
      </c>
      <c r="U7" s="92"/>
    </row>
    <row r="8" spans="2:21" x14ac:dyDescent="0.25">
      <c r="B8" s="92"/>
      <c r="C8" s="92" t="s">
        <v>146</v>
      </c>
      <c r="D8" s="92" t="s">
        <v>168</v>
      </c>
      <c r="E8" s="92" t="s">
        <v>169</v>
      </c>
      <c r="F8" s="92" t="s">
        <v>170</v>
      </c>
      <c r="G8" s="91" t="s">
        <v>236</v>
      </c>
      <c r="H8" s="195" t="s">
        <v>166</v>
      </c>
      <c r="I8" s="92" t="s">
        <v>171</v>
      </c>
      <c r="J8" s="92" t="s">
        <v>172</v>
      </c>
      <c r="K8" s="92" t="s">
        <v>173</v>
      </c>
      <c r="L8" s="92" t="s">
        <v>174</v>
      </c>
      <c r="M8" s="92" t="s">
        <v>167</v>
      </c>
      <c r="N8" s="92" t="s">
        <v>175</v>
      </c>
      <c r="O8" s="92" t="s">
        <v>176</v>
      </c>
      <c r="P8" s="92" t="s">
        <v>177</v>
      </c>
      <c r="Q8" s="92" t="s">
        <v>178</v>
      </c>
      <c r="R8" s="92" t="s">
        <v>179</v>
      </c>
      <c r="S8" s="92" t="s">
        <v>145</v>
      </c>
      <c r="T8" s="92" t="s">
        <v>7</v>
      </c>
      <c r="U8" s="92" t="s">
        <v>180</v>
      </c>
    </row>
    <row r="9" spans="2:21" ht="17.25" x14ac:dyDescent="0.25">
      <c r="B9" s="1" t="s">
        <v>9</v>
      </c>
      <c r="C9" s="1" t="s">
        <v>33</v>
      </c>
      <c r="D9" s="1" t="s">
        <v>181</v>
      </c>
      <c r="E9" s="1" t="s">
        <v>182</v>
      </c>
      <c r="F9" s="1" t="s">
        <v>183</v>
      </c>
      <c r="G9" s="199" t="s">
        <v>237</v>
      </c>
      <c r="H9" s="1" t="s">
        <v>184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7</v>
      </c>
      <c r="S9" s="15" t="s">
        <v>252</v>
      </c>
      <c r="T9" s="1" t="s">
        <v>185</v>
      </c>
      <c r="U9" s="1" t="s">
        <v>185</v>
      </c>
    </row>
    <row r="10" spans="2:21" x14ac:dyDescent="0.25">
      <c r="B10" s="92" t="s">
        <v>148</v>
      </c>
      <c r="C10" s="92" t="s">
        <v>149</v>
      </c>
      <c r="D10" s="93" t="s">
        <v>150</v>
      </c>
      <c r="E10" s="94" t="s">
        <v>151</v>
      </c>
      <c r="F10" s="92" t="s">
        <v>186</v>
      </c>
      <c r="G10" s="92" t="s">
        <v>187</v>
      </c>
      <c r="H10" s="92" t="s">
        <v>188</v>
      </c>
      <c r="I10" s="92" t="s">
        <v>152</v>
      </c>
      <c r="J10" s="92" t="s">
        <v>189</v>
      </c>
      <c r="K10" s="92" t="s">
        <v>190</v>
      </c>
      <c r="L10" s="94" t="s">
        <v>191</v>
      </c>
      <c r="M10" s="92" t="s">
        <v>192</v>
      </c>
      <c r="N10" s="94" t="s">
        <v>193</v>
      </c>
      <c r="O10" s="94" t="s">
        <v>194</v>
      </c>
      <c r="P10" s="92" t="s">
        <v>195</v>
      </c>
      <c r="Q10" s="94" t="s">
        <v>196</v>
      </c>
      <c r="R10" s="92" t="s">
        <v>197</v>
      </c>
      <c r="S10" s="200" t="s">
        <v>233</v>
      </c>
      <c r="T10" s="92" t="s">
        <v>198</v>
      </c>
      <c r="U10" s="92" t="s">
        <v>199</v>
      </c>
    </row>
    <row r="11" spans="2:21" x14ac:dyDescent="0.25">
      <c r="B11" t="s">
        <v>14</v>
      </c>
      <c r="C11" s="24" t="s">
        <v>153</v>
      </c>
      <c r="D11" s="2">
        <v>577531400.48799992</v>
      </c>
      <c r="E11" s="98">
        <v>299349526.67167699</v>
      </c>
      <c r="F11" s="96">
        <f t="shared" ref="F11:F16" si="0">(E11)/D11</f>
        <v>0.51832597572830497</v>
      </c>
      <c r="G11" s="120">
        <f>SUM('Therm Forecast'!N9:N10)</f>
        <v>613997001</v>
      </c>
      <c r="H11" s="3">
        <f>F11*G11</f>
        <v>318250594.63757801</v>
      </c>
      <c r="I11" s="98">
        <v>212528921.93000001</v>
      </c>
      <c r="J11" s="98">
        <v>61553199.350000001</v>
      </c>
      <c r="K11" s="98">
        <v>11144045.568149999</v>
      </c>
      <c r="L11" s="98">
        <v>3800641.4361900003</v>
      </c>
      <c r="M11" s="97">
        <f>'Schedule 140'!F9</f>
        <v>13722832.972350001</v>
      </c>
      <c r="N11" s="98">
        <v>19286044.309999999</v>
      </c>
      <c r="O11" s="98">
        <v>-4340498.1599999992</v>
      </c>
      <c r="P11" s="98">
        <v>-6496088.2705800002</v>
      </c>
      <c r="Q11" s="98">
        <v>12003641.369999999</v>
      </c>
      <c r="R11" s="98">
        <v>11543143.618800001</v>
      </c>
      <c r="S11" s="25">
        <f>SUM(H11:R11)</f>
        <v>652996478.76248801</v>
      </c>
      <c r="T11" s="97">
        <f>'Schedule 140'!H9</f>
        <v>-1657791.9027000014</v>
      </c>
      <c r="U11" s="95">
        <f>T11/S11</f>
        <v>-2.538745547053683E-3</v>
      </c>
    </row>
    <row r="12" spans="2:21" x14ac:dyDescent="0.25">
      <c r="B12" t="s">
        <v>154</v>
      </c>
      <c r="C12" s="24">
        <v>16</v>
      </c>
      <c r="D12" s="2">
        <v>9689.9889999999996</v>
      </c>
      <c r="E12" s="98">
        <v>4941.8900000000003</v>
      </c>
      <c r="F12" s="96">
        <f t="shared" si="0"/>
        <v>0.50999954695511007</v>
      </c>
      <c r="G12" s="120">
        <f>'Therm Forecast'!N8</f>
        <v>8938</v>
      </c>
      <c r="H12" s="3">
        <f t="shared" ref="H12:H23" si="1">F12*G12</f>
        <v>4558.3759506847737</v>
      </c>
      <c r="I12" s="98">
        <v>3093.8</v>
      </c>
      <c r="J12" s="98">
        <v>896.03</v>
      </c>
      <c r="K12" s="98">
        <v>162.22469999999998</v>
      </c>
      <c r="L12" s="98"/>
      <c r="M12" s="97">
        <f>'Schedule 140'!F10</f>
        <v>199.76430000000002</v>
      </c>
      <c r="N12" s="98">
        <v>277.55</v>
      </c>
      <c r="O12" s="98">
        <v>-61.15</v>
      </c>
      <c r="P12" s="98">
        <v>-94.564040000000006</v>
      </c>
      <c r="Q12" s="98"/>
      <c r="R12" s="98">
        <v>168.03440000000001</v>
      </c>
      <c r="S12" s="25">
        <f t="shared" ref="S12:S23" si="2">SUM(H12:R12)</f>
        <v>9200.0653106847767</v>
      </c>
      <c r="T12" s="97">
        <f>'Schedule 140'!H10</f>
        <v>-24.132600000000025</v>
      </c>
      <c r="U12" s="95">
        <f t="shared" ref="U12:U24" si="3">T12/S12</f>
        <v>-2.6230900743685909E-3</v>
      </c>
    </row>
    <row r="13" spans="2:21" x14ac:dyDescent="0.25">
      <c r="B13" t="s">
        <v>16</v>
      </c>
      <c r="C13" s="24">
        <v>31</v>
      </c>
      <c r="D13" s="2">
        <v>214564223.29299998</v>
      </c>
      <c r="E13" s="98">
        <v>86991648.090000004</v>
      </c>
      <c r="F13" s="96">
        <f t="shared" si="0"/>
        <v>0.40543407822098948</v>
      </c>
      <c r="G13" s="120">
        <f>'Therm Forecast'!N11</f>
        <v>240219450</v>
      </c>
      <c r="H13" s="3">
        <f t="shared" si="1"/>
        <v>97393151.281503066</v>
      </c>
      <c r="I13" s="98">
        <v>80987585.370000005</v>
      </c>
      <c r="J13" s="98">
        <v>24081999.859999999</v>
      </c>
      <c r="K13" s="98">
        <v>4359983.0175000001</v>
      </c>
      <c r="L13" s="98">
        <v>1184281.8885000001</v>
      </c>
      <c r="M13" s="97">
        <f>'Schedule 140'!F11</f>
        <v>6072747.6960000005</v>
      </c>
      <c r="N13" s="98">
        <v>6264148.5800000001</v>
      </c>
      <c r="O13" s="98">
        <v>-1307584.8400000001</v>
      </c>
      <c r="P13" s="98">
        <v>-2817774.1485000001</v>
      </c>
      <c r="Q13" s="98">
        <v>-2498282.29</v>
      </c>
      <c r="R13" s="98">
        <v>4107752.5950000002</v>
      </c>
      <c r="S13" s="25">
        <f t="shared" si="2"/>
        <v>217828009.01000315</v>
      </c>
      <c r="T13" s="97">
        <f>'Schedule 140'!H11</f>
        <v>-984899.74500000011</v>
      </c>
      <c r="U13" s="95">
        <f t="shared" si="3"/>
        <v>-4.5214559389135829E-3</v>
      </c>
    </row>
    <row r="14" spans="2:21" x14ac:dyDescent="0.25">
      <c r="B14" t="s">
        <v>18</v>
      </c>
      <c r="C14" s="24">
        <v>41</v>
      </c>
      <c r="D14" s="2">
        <v>65990650.213</v>
      </c>
      <c r="E14" s="98">
        <v>14627826.099797169</v>
      </c>
      <c r="F14" s="96">
        <f t="shared" si="0"/>
        <v>0.22166513062960427</v>
      </c>
      <c r="G14" s="120">
        <f>'Therm Forecast'!N12</f>
        <v>66815894</v>
      </c>
      <c r="H14" s="3">
        <f t="shared" si="1"/>
        <v>14810753.871643793</v>
      </c>
      <c r="I14" s="98">
        <v>20093942.34</v>
      </c>
      <c r="J14" s="98">
        <v>6700297.8499999996</v>
      </c>
      <c r="K14" s="98">
        <v>1212708.4760999999</v>
      </c>
      <c r="L14" s="98">
        <v>179734.75486000002</v>
      </c>
      <c r="M14" s="97">
        <f>'Schedule 140'!F12</f>
        <v>597334.09236000001</v>
      </c>
      <c r="N14" s="98">
        <v>1181460.18</v>
      </c>
      <c r="O14" s="98">
        <v>-202375.00999999998</v>
      </c>
      <c r="P14" s="98">
        <v>-311362.06604000001</v>
      </c>
      <c r="Q14" s="98">
        <v>-78636.76999999999</v>
      </c>
      <c r="R14" s="98">
        <v>684194.75456000003</v>
      </c>
      <c r="S14" s="25">
        <f t="shared" si="2"/>
        <v>44868052.473483786</v>
      </c>
      <c r="T14" s="97">
        <f>'Schedule 140'!H12</f>
        <v>-94210.410540000012</v>
      </c>
      <c r="U14" s="95">
        <f t="shared" si="3"/>
        <v>-2.0997214130405299E-3</v>
      </c>
    </row>
    <row r="15" spans="2:21" x14ac:dyDescent="0.25">
      <c r="B15" t="s">
        <v>20</v>
      </c>
      <c r="C15" s="24">
        <v>85</v>
      </c>
      <c r="D15" s="2">
        <v>17139795.438999999</v>
      </c>
      <c r="E15" s="98">
        <v>1690709.47</v>
      </c>
      <c r="F15" s="96">
        <f t="shared" si="0"/>
        <v>9.864233654463278E-2</v>
      </c>
      <c r="G15" s="120">
        <f>'Therm Forecast'!N13</f>
        <v>14838965</v>
      </c>
      <c r="H15" s="3">
        <f t="shared" si="1"/>
        <v>1463750.1795040267</v>
      </c>
      <c r="I15" s="98">
        <v>4292791.3299999991</v>
      </c>
      <c r="J15" s="98">
        <v>1488199.8</v>
      </c>
      <c r="K15" s="98">
        <v>228965.22994999998</v>
      </c>
      <c r="L15" s="98">
        <v>18680.048112303961</v>
      </c>
      <c r="M15" s="97">
        <f>'Schedule 140'!F13</f>
        <v>74936.773249999998</v>
      </c>
      <c r="N15" s="98">
        <v>144903.98000000001</v>
      </c>
      <c r="O15" s="98">
        <v>-20289.149999999998</v>
      </c>
      <c r="P15" s="98">
        <v>-37987.750400000004</v>
      </c>
      <c r="Q15" s="98"/>
      <c r="R15" s="98">
        <v>82356.255749999997</v>
      </c>
      <c r="S15" s="25">
        <f t="shared" si="2"/>
        <v>7736306.6961663282</v>
      </c>
      <c r="T15" s="97">
        <f>'Schedule 140'!H13</f>
        <v>-10090.496200000001</v>
      </c>
      <c r="U15" s="95">
        <f t="shared" si="3"/>
        <v>-1.3043040557066171E-3</v>
      </c>
    </row>
    <row r="16" spans="2:21" x14ac:dyDescent="0.25">
      <c r="B16" t="s">
        <v>22</v>
      </c>
      <c r="C16" s="24">
        <v>86</v>
      </c>
      <c r="D16" s="2">
        <v>9926029.5299999993</v>
      </c>
      <c r="E16" s="98">
        <v>2102083.46</v>
      </c>
      <c r="F16" s="96">
        <f t="shared" si="0"/>
        <v>0.21177485455254333</v>
      </c>
      <c r="G16" s="120">
        <f>'Therm Forecast'!N14</f>
        <v>7366111</v>
      </c>
      <c r="H16" s="3">
        <f t="shared" si="1"/>
        <v>1559957.0856428896</v>
      </c>
      <c r="I16" s="98">
        <v>2149002.11</v>
      </c>
      <c r="J16" s="98">
        <v>738747.27</v>
      </c>
      <c r="K16" s="98">
        <v>113659.09272999999</v>
      </c>
      <c r="L16" s="98">
        <v>19078.227489999997</v>
      </c>
      <c r="M16" s="97">
        <f>'Schedule 140'!F14</f>
        <v>56498.071369999998</v>
      </c>
      <c r="N16" s="98">
        <v>134051.32</v>
      </c>
      <c r="O16" s="98">
        <v>-22947.15</v>
      </c>
      <c r="P16" s="98">
        <v>-30716.682870000001</v>
      </c>
      <c r="Q16" s="98">
        <v>-7706.42</v>
      </c>
      <c r="R16" s="98">
        <v>59739.160210000009</v>
      </c>
      <c r="S16" s="25">
        <f t="shared" si="2"/>
        <v>4769362.0845728908</v>
      </c>
      <c r="T16" s="97">
        <f>'Schedule 140'!H14</f>
        <v>1399.5610900000102</v>
      </c>
      <c r="U16" s="95">
        <f t="shared" si="3"/>
        <v>2.9344827781624481E-4</v>
      </c>
    </row>
    <row r="17" spans="2:24" x14ac:dyDescent="0.25">
      <c r="B17" t="s">
        <v>24</v>
      </c>
      <c r="C17" s="24">
        <v>87</v>
      </c>
      <c r="D17" s="2">
        <v>23311381.287999999</v>
      </c>
      <c r="E17" s="98">
        <v>1129405.5499999998</v>
      </c>
      <c r="F17" s="96">
        <f>(E17)/D17</f>
        <v>4.8448675608140992E-2</v>
      </c>
      <c r="G17" s="120">
        <f>'Therm Forecast'!N15</f>
        <v>22292121</v>
      </c>
      <c r="H17" s="3">
        <f t="shared" si="1"/>
        <v>1080023.7389464276</v>
      </c>
      <c r="I17" s="98">
        <v>6293065.7599999998</v>
      </c>
      <c r="J17" s="98">
        <v>2235676.8199999998</v>
      </c>
      <c r="K17" s="98">
        <v>343967.42702999996</v>
      </c>
      <c r="L17" s="98">
        <v>11442.677168390746</v>
      </c>
      <c r="M17" s="97">
        <f>'Schedule 140'!F15</f>
        <v>60857.490329999993</v>
      </c>
      <c r="N17" s="98">
        <v>103284.69</v>
      </c>
      <c r="O17" s="98">
        <v>-14510.9</v>
      </c>
      <c r="P17" s="98">
        <v>-30763.126979999997</v>
      </c>
      <c r="Q17" s="98"/>
      <c r="R17" s="98">
        <v>74455.684139999998</v>
      </c>
      <c r="S17" s="25">
        <f t="shared" si="2"/>
        <v>10157500.260634819</v>
      </c>
      <c r="T17" s="97">
        <f>'Schedule 140'!H15</f>
        <v>-9585.6120299999966</v>
      </c>
      <c r="U17" s="95">
        <f t="shared" si="3"/>
        <v>-9.436979359133109E-4</v>
      </c>
    </row>
    <row r="18" spans="2:24" x14ac:dyDescent="0.25">
      <c r="B18" t="s">
        <v>155</v>
      </c>
      <c r="C18" s="24" t="s">
        <v>56</v>
      </c>
      <c r="D18" s="2">
        <v>22880.93</v>
      </c>
      <c r="E18" s="98">
        <v>14880.86</v>
      </c>
      <c r="F18" s="96">
        <f>(E18)/D18</f>
        <v>0.65036080264220031</v>
      </c>
      <c r="G18" s="120">
        <f>'Therm Forecast'!N16</f>
        <v>23426</v>
      </c>
      <c r="H18" s="3">
        <f t="shared" si="1"/>
        <v>15235.352162696185</v>
      </c>
      <c r="I18" s="98"/>
      <c r="J18" s="98"/>
      <c r="K18" s="98"/>
      <c r="L18" s="98">
        <v>115.49018000000001</v>
      </c>
      <c r="M18" s="97">
        <f>'Schedule 140'!F16</f>
        <v>592.20928000000004</v>
      </c>
      <c r="N18" s="98">
        <v>855.57999999999993</v>
      </c>
      <c r="O18" s="98">
        <v>-275.07</v>
      </c>
      <c r="P18" s="98">
        <v>-274.78698000000003</v>
      </c>
      <c r="Q18" s="98">
        <v>-231.45</v>
      </c>
      <c r="R18" s="98">
        <v>400.58460000000002</v>
      </c>
      <c r="S18" s="25">
        <f t="shared" si="2"/>
        <v>16417.909242696183</v>
      </c>
      <c r="T18" s="97">
        <f>'Schedule 140'!H16</f>
        <v>-96.046600000000012</v>
      </c>
      <c r="U18" s="95">
        <f t="shared" si="3"/>
        <v>-5.8501115203038511E-3</v>
      </c>
    </row>
    <row r="19" spans="2:24" x14ac:dyDescent="0.25">
      <c r="B19" t="s">
        <v>156</v>
      </c>
      <c r="C19" t="s">
        <v>34</v>
      </c>
      <c r="D19" s="2">
        <v>17702125.890000001</v>
      </c>
      <c r="E19" s="98">
        <v>3565479.9526575999</v>
      </c>
      <c r="F19" s="96">
        <f t="shared" ref="F19:F24" si="4">(E19)/D19</f>
        <v>0.20141535399834398</v>
      </c>
      <c r="G19" s="120">
        <f>'Therm Forecast'!N17</f>
        <v>24122221</v>
      </c>
      <c r="H19" s="3">
        <f>F19*G19</f>
        <v>4858585.6819412876</v>
      </c>
      <c r="I19" s="98"/>
      <c r="J19" s="98"/>
      <c r="K19" s="98"/>
      <c r="L19" s="98">
        <v>64888.774490000003</v>
      </c>
      <c r="M19" s="97">
        <f>'Schedule 140'!F17</f>
        <v>215652.65573999999</v>
      </c>
      <c r="N19" s="98">
        <v>189841.8</v>
      </c>
      <c r="O19" s="98">
        <v>-60882.729999999996</v>
      </c>
      <c r="P19" s="98">
        <v>-112409.54986</v>
      </c>
      <c r="Q19" s="98">
        <v>-25899.629999999997</v>
      </c>
      <c r="R19" s="98">
        <v>247011.54304000002</v>
      </c>
      <c r="S19" s="25">
        <f>SUM(H19:R19)</f>
        <v>5376788.5453512874</v>
      </c>
      <c r="T19" s="97">
        <f>'Schedule 140'!H17</f>
        <v>-34012.331609999994</v>
      </c>
      <c r="U19" s="95">
        <f t="shared" si="3"/>
        <v>-6.3257707315655335E-3</v>
      </c>
    </row>
    <row r="20" spans="2:24" x14ac:dyDescent="0.25">
      <c r="B20" t="s">
        <v>157</v>
      </c>
      <c r="C20" t="s">
        <v>35</v>
      </c>
      <c r="D20" s="2">
        <v>79480065.260000005</v>
      </c>
      <c r="E20" s="98">
        <v>7330425.0899999999</v>
      </c>
      <c r="F20" s="96">
        <f t="shared" si="4"/>
        <v>9.2229731644284246E-2</v>
      </c>
      <c r="G20" s="120">
        <f>'Therm Forecast'!N18</f>
        <v>78043724</v>
      </c>
      <c r="H20" s="3">
        <f t="shared" si="1"/>
        <v>7197951.721040586</v>
      </c>
      <c r="I20" s="98"/>
      <c r="J20" s="98"/>
      <c r="K20" s="98"/>
      <c r="L20" s="98">
        <v>88221.664729179101</v>
      </c>
      <c r="M20" s="97">
        <f>'Schedule 140'!F18</f>
        <v>394120.80619999999</v>
      </c>
      <c r="N20" s="98">
        <v>306720.3</v>
      </c>
      <c r="O20" s="98">
        <v>-98044.709999999992</v>
      </c>
      <c r="P20" s="98">
        <v>-199791.93344000002</v>
      </c>
      <c r="Q20" s="98"/>
      <c r="R20" s="98">
        <v>433142.66820000001</v>
      </c>
      <c r="S20" s="25">
        <f t="shared" si="2"/>
        <v>8122320.5167297656</v>
      </c>
      <c r="T20" s="97">
        <f>'Schedule 140'!H18</f>
        <v>-53069.73232000001</v>
      </c>
      <c r="U20" s="95">
        <f t="shared" si="3"/>
        <v>-6.5338141003781899E-3</v>
      </c>
    </row>
    <row r="21" spans="2:24" x14ac:dyDescent="0.25">
      <c r="B21" t="s">
        <v>158</v>
      </c>
      <c r="C21" t="s">
        <v>57</v>
      </c>
      <c r="D21" s="2">
        <v>372634.3</v>
      </c>
      <c r="E21" s="98">
        <v>84449.41</v>
      </c>
      <c r="F21" s="96">
        <f t="shared" si="4"/>
        <v>0.22662811770145691</v>
      </c>
      <c r="G21" s="120">
        <f>'Therm Forecast'!N19</f>
        <v>223415</v>
      </c>
      <c r="H21" s="3">
        <f t="shared" si="1"/>
        <v>50632.120916270993</v>
      </c>
      <c r="I21" s="98"/>
      <c r="J21" s="98"/>
      <c r="K21" s="98"/>
      <c r="L21" s="98">
        <v>578.64485000000002</v>
      </c>
      <c r="M21" s="97">
        <f>'Schedule 140'!F19</f>
        <v>1713.5930499999999</v>
      </c>
      <c r="N21" s="98">
        <v>2743.39</v>
      </c>
      <c r="O21" s="98">
        <v>-882.45</v>
      </c>
      <c r="P21" s="98">
        <v>-931.64055000000008</v>
      </c>
      <c r="Q21" s="98">
        <v>-276.73</v>
      </c>
      <c r="R21" s="98">
        <v>1811.8956500000002</v>
      </c>
      <c r="S21" s="25">
        <f t="shared" si="2"/>
        <v>55388.823916270994</v>
      </c>
      <c r="T21" s="97">
        <f>'Schedule 140'!H19</f>
        <v>42.44885000000022</v>
      </c>
      <c r="U21" s="95">
        <f t="shared" si="3"/>
        <v>7.6637933428896053E-4</v>
      </c>
    </row>
    <row r="22" spans="2:24" x14ac:dyDescent="0.25">
      <c r="B22" t="s">
        <v>159</v>
      </c>
      <c r="C22" t="s">
        <v>36</v>
      </c>
      <c r="D22" s="2">
        <v>99276638.950000003</v>
      </c>
      <c r="E22" s="98">
        <v>3590033.5100000002</v>
      </c>
      <c r="F22" s="96">
        <f t="shared" si="4"/>
        <v>3.6161916317574934E-2</v>
      </c>
      <c r="G22" s="120">
        <f>'Therm Forecast'!N20</f>
        <v>100692527</v>
      </c>
      <c r="H22" s="3">
        <f t="shared" si="1"/>
        <v>3641234.7351791547</v>
      </c>
      <c r="I22" s="98"/>
      <c r="J22" s="98"/>
      <c r="K22" s="98"/>
      <c r="L22" s="98">
        <v>41818.657770489328</v>
      </c>
      <c r="M22" s="97">
        <f>'Schedule 140'!F20</f>
        <v>274890.59870999999</v>
      </c>
      <c r="N22" s="98">
        <v>150223.56</v>
      </c>
      <c r="O22" s="98">
        <v>-47763.570000000007</v>
      </c>
      <c r="P22" s="98">
        <v>-138955.68726000001</v>
      </c>
      <c r="Q22" s="98"/>
      <c r="R22" s="98">
        <v>336313.04018000001</v>
      </c>
      <c r="S22" s="25">
        <f t="shared" si="2"/>
        <v>4257761.3345796447</v>
      </c>
      <c r="T22" s="97">
        <f>'Schedule 140'!H20</f>
        <v>-43297.786609999981</v>
      </c>
      <c r="U22" s="95">
        <f t="shared" si="3"/>
        <v>-1.0169143643246184E-2</v>
      </c>
    </row>
    <row r="23" spans="2:24" x14ac:dyDescent="0.25">
      <c r="B23" t="s">
        <v>26</v>
      </c>
      <c r="D23" s="2">
        <v>37223237.460000001</v>
      </c>
      <c r="E23" s="98">
        <v>1465941.3557558353</v>
      </c>
      <c r="F23" s="121">
        <f t="shared" si="4"/>
        <v>3.9382424952454288E-2</v>
      </c>
      <c r="G23" s="120">
        <f>'Therm Forecast'!N21</f>
        <v>36131830</v>
      </c>
      <c r="H23" s="3">
        <f t="shared" si="1"/>
        <v>1422959.0833698364</v>
      </c>
      <c r="I23" s="98"/>
      <c r="J23" s="98"/>
      <c r="K23" s="98"/>
      <c r="L23" s="98"/>
      <c r="M23" s="97">
        <f>'Schedule 140'!F21</f>
        <v>123932.17689999999</v>
      </c>
      <c r="N23" s="98">
        <v>35274.722042470239</v>
      </c>
      <c r="O23" s="98">
        <v>-11662.625379653648</v>
      </c>
      <c r="P23" s="98">
        <v>-62869.3842</v>
      </c>
      <c r="Q23" s="98"/>
      <c r="R23" s="98">
        <v>146695.2298</v>
      </c>
      <c r="S23" s="25">
        <f t="shared" si="2"/>
        <v>1654329.2025326532</v>
      </c>
      <c r="T23" s="97">
        <f>'Schedule 140'!H21</f>
        <v>-19149.869900000005</v>
      </c>
      <c r="U23" s="95">
        <f t="shared" si="3"/>
        <v>-1.1575610144995929E-2</v>
      </c>
    </row>
    <row r="24" spans="2:24" x14ac:dyDescent="0.25">
      <c r="B24" t="s">
        <v>29</v>
      </c>
      <c r="D24" s="122">
        <f>SUM(D11:D23)</f>
        <v>1142550753.0299997</v>
      </c>
      <c r="E24" s="99">
        <f>SUM(E11:E23)</f>
        <v>421947351.40988761</v>
      </c>
      <c r="F24" s="96">
        <f t="shared" si="4"/>
        <v>0.36930293931442415</v>
      </c>
      <c r="G24" s="122">
        <f>SUM(G11:G23)</f>
        <v>1204775623</v>
      </c>
      <c r="H24" s="99">
        <f>SUM(H11:H23)</f>
        <v>451749387.86537874</v>
      </c>
      <c r="I24" s="99">
        <f t="shared" ref="I24:K24" si="5">SUM(I11:I23)</f>
        <v>326348402.63999999</v>
      </c>
      <c r="J24" s="99">
        <f t="shared" si="5"/>
        <v>96799016.979999989</v>
      </c>
      <c r="K24" s="99">
        <f t="shared" si="5"/>
        <v>17403491.03616</v>
      </c>
      <c r="L24" s="99">
        <f>SUM(L11:L23)</f>
        <v>5409482.2643403625</v>
      </c>
      <c r="M24" s="99">
        <f>SUM(M11:M23)</f>
        <v>21596308.899839997</v>
      </c>
      <c r="N24" s="99">
        <f>SUM(N11:N23)</f>
        <v>27799829.96204247</v>
      </c>
      <c r="O24" s="99">
        <f>SUM(O11:O23)</f>
        <v>-6127777.5153796552</v>
      </c>
      <c r="P24" s="99">
        <f>SUM(P11:P23)</f>
        <v>-10240019.591699999</v>
      </c>
      <c r="Q24" s="99">
        <f t="shared" ref="Q24:S24" si="6">SUM(Q11:Q23)</f>
        <v>9392608.0799999982</v>
      </c>
      <c r="R24" s="99">
        <f t="shared" si="6"/>
        <v>17717185.064330004</v>
      </c>
      <c r="S24" s="123">
        <f t="shared" si="6"/>
        <v>957847915.68501198</v>
      </c>
      <c r="T24" s="99">
        <f>SUM(T11:T23)</f>
        <v>-2904786.0561700012</v>
      </c>
      <c r="U24" s="100">
        <f t="shared" si="3"/>
        <v>-3.0326171917309254E-3</v>
      </c>
      <c r="V24" s="3"/>
    </row>
    <row r="25" spans="2:24" s="106" customFormat="1" x14ac:dyDescent="0.25">
      <c r="B25" s="101"/>
      <c r="C25" s="102"/>
      <c r="D25" s="107"/>
      <c r="E25" s="104"/>
      <c r="F25" s="104"/>
      <c r="G25" s="124"/>
      <c r="H25" s="125"/>
      <c r="I25" s="124"/>
      <c r="J25" s="124"/>
      <c r="K25" s="124"/>
      <c r="L25" s="104"/>
      <c r="M25" s="104"/>
      <c r="N25" s="104"/>
      <c r="O25" s="104"/>
      <c r="P25" s="124"/>
      <c r="Q25" s="104"/>
      <c r="R25" s="104"/>
      <c r="S25" s="104"/>
      <c r="T25" s="126"/>
      <c r="U25" s="127"/>
    </row>
    <row r="26" spans="2:24" s="106" customFormat="1" ht="17.25" x14ac:dyDescent="0.25">
      <c r="B26" s="101" t="s">
        <v>200</v>
      </c>
      <c r="C26" s="101"/>
      <c r="D26" s="2">
        <v>397262</v>
      </c>
      <c r="E26" s="98">
        <v>5943249.8599999994</v>
      </c>
      <c r="F26" s="201">
        <f>E26/D26</f>
        <v>14.960529474251249</v>
      </c>
      <c r="G26" s="128">
        <f>'Rental Forecast'!F23</f>
        <v>291954</v>
      </c>
      <c r="H26" s="3">
        <f>F26*G26</f>
        <v>4367786.4221255491</v>
      </c>
      <c r="I26" s="107"/>
      <c r="J26" s="124"/>
      <c r="K26" s="124"/>
      <c r="L26" s="97"/>
      <c r="M26" s="97">
        <f>'Schedule 140'!F24</f>
        <v>151816.08000000002</v>
      </c>
      <c r="N26" s="98">
        <v>190400.8</v>
      </c>
      <c r="O26" s="98">
        <v>-61393.66</v>
      </c>
      <c r="P26" s="98">
        <v>-20436.780000000002</v>
      </c>
      <c r="Q26" s="97"/>
      <c r="R26" s="129"/>
      <c r="S26" s="25">
        <f>SUM(H26:R26)</f>
        <v>4628172.8621255485</v>
      </c>
      <c r="T26" s="97">
        <f>'Schedule 140'!H24</f>
        <v>-2919.5400000000081</v>
      </c>
      <c r="U26" s="95">
        <f>T26/S26</f>
        <v>-6.308191346723319E-4</v>
      </c>
      <c r="V26" s="127"/>
      <c r="W26" s="108"/>
      <c r="X26" s="109"/>
    </row>
    <row r="27" spans="2:24" s="106" customFormat="1" x14ac:dyDescent="0.25">
      <c r="B27" s="110" t="s">
        <v>29</v>
      </c>
      <c r="C27" s="110"/>
      <c r="D27" s="130"/>
      <c r="E27" s="131">
        <f>E24+E26</f>
        <v>427890601.26988763</v>
      </c>
      <c r="F27" s="116"/>
      <c r="G27" s="116"/>
      <c r="H27" s="131">
        <f>H24+H26</f>
        <v>456117174.28750432</v>
      </c>
      <c r="I27" s="131">
        <f t="shared" ref="I27:K27" si="7">I24+I26</f>
        <v>326348402.63999999</v>
      </c>
      <c r="J27" s="131">
        <f t="shared" si="7"/>
        <v>96799016.979999989</v>
      </c>
      <c r="K27" s="131">
        <f t="shared" si="7"/>
        <v>17403491.03616</v>
      </c>
      <c r="L27" s="131">
        <f>L24+L26</f>
        <v>5409482.2643403625</v>
      </c>
      <c r="M27" s="131">
        <f>M24+M26</f>
        <v>21748124.979839996</v>
      </c>
      <c r="N27" s="131">
        <f>N24+N26</f>
        <v>27990230.76204247</v>
      </c>
      <c r="O27" s="131">
        <f>O24+O26</f>
        <v>-6189171.1753796553</v>
      </c>
      <c r="P27" s="131">
        <f>P24+P26</f>
        <v>-10260456.371699998</v>
      </c>
      <c r="Q27" s="131">
        <f t="shared" ref="Q27:T27" si="8">Q24+Q26</f>
        <v>9392608.0799999982</v>
      </c>
      <c r="R27" s="131">
        <f t="shared" si="8"/>
        <v>17717185.064330004</v>
      </c>
      <c r="S27" s="131">
        <f t="shared" si="8"/>
        <v>962476088.5471375</v>
      </c>
      <c r="T27" s="131">
        <f t="shared" si="8"/>
        <v>-2907705.5961700012</v>
      </c>
      <c r="U27" s="100">
        <f>T27/S27</f>
        <v>-3.0210678797841072E-3</v>
      </c>
      <c r="V27" s="127"/>
    </row>
    <row r="28" spans="2:24" x14ac:dyDescent="0.25">
      <c r="D28" s="118"/>
      <c r="E28" s="3"/>
      <c r="L28" s="3"/>
      <c r="O28" s="3"/>
      <c r="P28" s="3"/>
      <c r="Q28" s="3"/>
      <c r="S28" s="3"/>
      <c r="U28" s="132"/>
    </row>
    <row r="29" spans="2:24" x14ac:dyDescent="0.25">
      <c r="D29" s="118"/>
      <c r="E29" s="3"/>
      <c r="G29" s="118"/>
      <c r="L29" s="3"/>
      <c r="P29" s="3"/>
      <c r="Q29" s="3"/>
      <c r="S29" s="3"/>
      <c r="U29" s="132"/>
    </row>
    <row r="30" spans="2:24" s="106" customFormat="1" x14ac:dyDescent="0.25">
      <c r="B30" s="202" t="s">
        <v>253</v>
      </c>
      <c r="C30" s="203"/>
      <c r="D30" s="130"/>
      <c r="E30" s="204"/>
      <c r="F30" s="105"/>
      <c r="G30" s="105"/>
      <c r="H30" s="105"/>
      <c r="T30" s="205"/>
      <c r="U30" s="127"/>
    </row>
    <row r="31" spans="2:24" s="106" customFormat="1" x14ac:dyDescent="0.25">
      <c r="B31" s="110" t="s">
        <v>73</v>
      </c>
      <c r="C31" s="110"/>
      <c r="D31" s="133">
        <f>D11+D12</f>
        <v>577541090.47699988</v>
      </c>
      <c r="E31" s="112">
        <f>E11+E12</f>
        <v>299354468.56167698</v>
      </c>
      <c r="F31" s="111"/>
      <c r="G31" s="105"/>
      <c r="H31" s="112">
        <f>H11+H12</f>
        <v>318255153.0135287</v>
      </c>
      <c r="L31" s="112"/>
      <c r="P31" s="112"/>
      <c r="Q31" s="112"/>
      <c r="S31" s="112">
        <f>S11+S12</f>
        <v>653005678.82779872</v>
      </c>
      <c r="T31" s="3">
        <f>SUM(T11:T12)</f>
        <v>-1657816.0353000013</v>
      </c>
      <c r="U31" s="95">
        <f t="shared" ref="U31:U38" si="9">T31/S31</f>
        <v>-2.5387467353667173E-3</v>
      </c>
      <c r="V31" s="113"/>
    </row>
    <row r="32" spans="2:24" s="106" customFormat="1" x14ac:dyDescent="0.25">
      <c r="B32" s="114" t="s">
        <v>160</v>
      </c>
      <c r="C32" s="114"/>
      <c r="D32" s="133">
        <f>D13+D18</f>
        <v>214587104.22299999</v>
      </c>
      <c r="E32" s="112">
        <f>E13+E18</f>
        <v>87006528.950000003</v>
      </c>
      <c r="F32" s="111"/>
      <c r="H32" s="112">
        <f>H13+H18</f>
        <v>97408386.633665755</v>
      </c>
      <c r="I32" s="105"/>
      <c r="J32" s="105"/>
      <c r="K32" s="105"/>
      <c r="L32" s="112"/>
      <c r="N32" s="105"/>
      <c r="P32" s="112"/>
      <c r="Q32" s="112"/>
      <c r="R32" s="105"/>
      <c r="S32" s="112">
        <f>S13+S18</f>
        <v>217844426.91924584</v>
      </c>
      <c r="T32" s="3">
        <f>SUM(T13,T18)</f>
        <v>-984995.79160000011</v>
      </c>
      <c r="U32" s="95">
        <f t="shared" si="9"/>
        <v>-4.5215560734318651E-3</v>
      </c>
    </row>
    <row r="33" spans="2:21" s="106" customFormat="1" x14ac:dyDescent="0.25">
      <c r="B33" s="110" t="s">
        <v>161</v>
      </c>
      <c r="C33" s="110"/>
      <c r="D33" s="133">
        <f t="shared" ref="D33:E36" si="10">D14+D19</f>
        <v>83692776.103</v>
      </c>
      <c r="E33" s="112">
        <f t="shared" si="10"/>
        <v>18193306.05245477</v>
      </c>
      <c r="F33" s="111"/>
      <c r="H33" s="112">
        <f>H14+H19</f>
        <v>19669339.553585082</v>
      </c>
      <c r="I33" s="105"/>
      <c r="J33" s="105"/>
      <c r="K33" s="105"/>
      <c r="L33" s="112"/>
      <c r="N33" s="105"/>
      <c r="P33" s="112"/>
      <c r="Q33" s="112"/>
      <c r="R33" s="105"/>
      <c r="S33" s="112">
        <f>S14+S19</f>
        <v>50244841.018835075</v>
      </c>
      <c r="T33" s="3">
        <f>SUM(T14,T19)</f>
        <v>-128222.74215000001</v>
      </c>
      <c r="U33" s="95">
        <f t="shared" si="9"/>
        <v>-2.5519583612959125E-3</v>
      </c>
    </row>
    <row r="34" spans="2:21" s="106" customFormat="1" x14ac:dyDescent="0.25">
      <c r="B34" s="110" t="s">
        <v>162</v>
      </c>
      <c r="C34" s="110"/>
      <c r="D34" s="133">
        <f t="shared" si="10"/>
        <v>96619860.699000001</v>
      </c>
      <c r="E34" s="112">
        <f t="shared" si="10"/>
        <v>9021134.5600000005</v>
      </c>
      <c r="F34" s="111"/>
      <c r="H34" s="112">
        <f>H15+H20</f>
        <v>8661701.9005446136</v>
      </c>
      <c r="I34" s="105"/>
      <c r="J34" s="105"/>
      <c r="K34" s="105"/>
      <c r="L34" s="112"/>
      <c r="N34" s="105"/>
      <c r="P34" s="112"/>
      <c r="Q34" s="112"/>
      <c r="R34" s="105"/>
      <c r="S34" s="112">
        <f>S15+S20</f>
        <v>15858627.212896094</v>
      </c>
      <c r="T34" s="3">
        <f>SUM(T15,T20)</f>
        <v>-63160.228520000011</v>
      </c>
      <c r="U34" s="95">
        <f t="shared" si="9"/>
        <v>-3.982704661134772E-3</v>
      </c>
    </row>
    <row r="35" spans="2:21" s="106" customFormat="1" x14ac:dyDescent="0.25">
      <c r="B35" s="110" t="s">
        <v>163</v>
      </c>
      <c r="C35" s="110"/>
      <c r="D35" s="133">
        <f t="shared" si="10"/>
        <v>10298663.83</v>
      </c>
      <c r="E35" s="112">
        <f t="shared" si="10"/>
        <v>2186532.87</v>
      </c>
      <c r="F35" s="111"/>
      <c r="H35" s="112">
        <f>H16+H21</f>
        <v>1610589.2065591605</v>
      </c>
      <c r="I35" s="105"/>
      <c r="J35" s="105"/>
      <c r="K35" s="105"/>
      <c r="L35" s="103"/>
      <c r="N35" s="105"/>
      <c r="P35" s="103"/>
      <c r="Q35" s="103"/>
      <c r="R35" s="105"/>
      <c r="S35" s="112">
        <f>S16+S21</f>
        <v>4824750.9084891621</v>
      </c>
      <c r="T35" s="3">
        <f>SUM(T16,T21)</f>
        <v>1442.0099400000104</v>
      </c>
      <c r="U35" s="95">
        <f t="shared" si="9"/>
        <v>2.988775933412003E-4</v>
      </c>
    </row>
    <row r="36" spans="2:21" s="106" customFormat="1" x14ac:dyDescent="0.25">
      <c r="B36" s="101" t="s">
        <v>164</v>
      </c>
      <c r="C36" s="101"/>
      <c r="D36" s="133">
        <f t="shared" si="10"/>
        <v>122588020.23800001</v>
      </c>
      <c r="E36" s="112">
        <f t="shared" si="10"/>
        <v>4719439.0600000005</v>
      </c>
      <c r="F36" s="111"/>
      <c r="G36" s="116"/>
      <c r="H36" s="112">
        <f>H17+H22</f>
        <v>4721258.4741255827</v>
      </c>
      <c r="I36" s="111"/>
      <c r="J36" s="111"/>
      <c r="K36" s="111"/>
      <c r="L36" s="103"/>
      <c r="N36" s="111"/>
      <c r="P36" s="103"/>
      <c r="Q36" s="103"/>
      <c r="R36" s="111"/>
      <c r="S36" s="112">
        <f>S17+S22</f>
        <v>14415261.595214464</v>
      </c>
      <c r="T36" s="3">
        <f>SUM(T17,T22)</f>
        <v>-52883.398639999978</v>
      </c>
      <c r="U36" s="95">
        <f t="shared" si="9"/>
        <v>-3.6685701671592317E-3</v>
      </c>
    </row>
    <row r="37" spans="2:21" s="106" customFormat="1" x14ac:dyDescent="0.25">
      <c r="B37" s="101" t="s">
        <v>26</v>
      </c>
      <c r="C37" s="101"/>
      <c r="D37" s="133">
        <f>D23</f>
        <v>37223237.460000001</v>
      </c>
      <c r="E37" s="112">
        <f>E23</f>
        <v>1465941.3557558353</v>
      </c>
      <c r="F37" s="111"/>
      <c r="G37" s="116"/>
      <c r="H37" s="112">
        <f>H23</f>
        <v>1422959.0833698364</v>
      </c>
      <c r="I37" s="111"/>
      <c r="J37" s="111"/>
      <c r="K37" s="111"/>
      <c r="L37" s="103"/>
      <c r="N37" s="111"/>
      <c r="P37" s="103"/>
      <c r="Q37" s="103"/>
      <c r="R37" s="111"/>
      <c r="S37" s="112">
        <f>S23</f>
        <v>1654329.2025326532</v>
      </c>
      <c r="T37" s="3">
        <f>T23</f>
        <v>-19149.869900000005</v>
      </c>
      <c r="U37" s="95">
        <f t="shared" si="9"/>
        <v>-1.1575610144995929E-2</v>
      </c>
    </row>
    <row r="38" spans="2:21" s="106" customFormat="1" x14ac:dyDescent="0.25">
      <c r="B38" s="101" t="s">
        <v>27</v>
      </c>
      <c r="C38" s="101"/>
      <c r="D38" s="134">
        <f>SUM(D31:D37)</f>
        <v>1142550753.03</v>
      </c>
      <c r="E38" s="115">
        <f>SUM(E31:E37)</f>
        <v>421947351.40988755</v>
      </c>
      <c r="F38" s="116"/>
      <c r="G38" s="116"/>
      <c r="H38" s="115">
        <f>SUM(H31:H37)</f>
        <v>451749387.8653788</v>
      </c>
      <c r="I38" s="116"/>
      <c r="J38" s="116"/>
      <c r="K38" s="111"/>
      <c r="L38" s="103"/>
      <c r="N38" s="111"/>
      <c r="P38" s="103"/>
      <c r="Q38" s="103"/>
      <c r="R38" s="111"/>
      <c r="S38" s="115">
        <f>SUM(S31:S37)</f>
        <v>957847915.68501198</v>
      </c>
      <c r="T38" s="115">
        <f>SUM(T31:T37)</f>
        <v>-2904786.0561700012</v>
      </c>
      <c r="U38" s="100">
        <f t="shared" si="9"/>
        <v>-3.0326171917309254E-3</v>
      </c>
    </row>
    <row r="39" spans="2:21" s="106" customFormat="1" x14ac:dyDescent="0.25">
      <c r="B39" s="101"/>
      <c r="C39" s="101"/>
      <c r="D39" s="133"/>
      <c r="E39" s="112"/>
      <c r="F39" s="116"/>
      <c r="G39" s="116"/>
      <c r="H39" s="112"/>
      <c r="I39" s="116"/>
      <c r="J39" s="116"/>
      <c r="K39" s="111"/>
      <c r="L39" s="103"/>
      <c r="N39" s="111"/>
      <c r="P39" s="103"/>
      <c r="Q39" s="103"/>
      <c r="R39" s="111"/>
      <c r="S39" s="112"/>
      <c r="T39" s="112"/>
      <c r="U39" s="95"/>
    </row>
    <row r="40" spans="2:21" s="106" customFormat="1" x14ac:dyDescent="0.25">
      <c r="B40" s="101" t="s">
        <v>28</v>
      </c>
      <c r="C40" s="101"/>
      <c r="D40" s="133"/>
      <c r="E40" s="112">
        <f>E26</f>
        <v>5943249.8599999994</v>
      </c>
      <c r="F40" s="116"/>
      <c r="G40" s="116"/>
      <c r="H40" s="112">
        <f>H26</f>
        <v>4367786.4221255491</v>
      </c>
      <c r="I40" s="116"/>
      <c r="J40" s="116"/>
      <c r="K40" s="111"/>
      <c r="L40" s="103"/>
      <c r="N40" s="111"/>
      <c r="P40" s="103"/>
      <c r="Q40" s="103"/>
      <c r="R40" s="111"/>
      <c r="S40" s="112">
        <f>S26</f>
        <v>4628172.8621255485</v>
      </c>
      <c r="T40" s="3">
        <f>T26</f>
        <v>-2919.5400000000081</v>
      </c>
      <c r="U40" s="95">
        <f>T40/S40</f>
        <v>-6.308191346723319E-4</v>
      </c>
    </row>
    <row r="41" spans="2:21" s="116" customFormat="1" x14ac:dyDescent="0.25">
      <c r="B41" s="110" t="s">
        <v>29</v>
      </c>
      <c r="C41" s="110"/>
      <c r="D41" s="134">
        <f>D40+D38</f>
        <v>1142550753.03</v>
      </c>
      <c r="E41" s="115">
        <f>E40+E38</f>
        <v>427890601.26988757</v>
      </c>
      <c r="G41" s="106"/>
      <c r="H41" s="115">
        <f>H40+H38</f>
        <v>456117174.28750437</v>
      </c>
      <c r="L41" s="103"/>
      <c r="P41" s="103"/>
      <c r="Q41" s="103"/>
      <c r="S41" s="115">
        <f>S40+S38</f>
        <v>962476088.5471375</v>
      </c>
      <c r="T41" s="115">
        <f>T40+T38</f>
        <v>-2907705.5961700012</v>
      </c>
      <c r="U41" s="100">
        <f>T41/S41</f>
        <v>-3.0210678797841072E-3</v>
      </c>
    </row>
    <row r="42" spans="2:21" s="106" customFormat="1" x14ac:dyDescent="0.25">
      <c r="B42" s="116"/>
      <c r="C42" s="116"/>
      <c r="D42" s="116"/>
      <c r="E42" s="116"/>
      <c r="F42" s="116"/>
      <c r="I42" s="105"/>
      <c r="L42" s="116"/>
      <c r="N42" s="116"/>
      <c r="P42" s="116"/>
      <c r="Q42" s="116"/>
      <c r="R42" s="116"/>
      <c r="S42" s="116"/>
      <c r="T42" s="117"/>
    </row>
    <row r="43" spans="2:21" ht="17.25" x14ac:dyDescent="0.25">
      <c r="B43" t="s">
        <v>201</v>
      </c>
      <c r="D43" s="118"/>
      <c r="E43" s="118"/>
      <c r="H43" s="119"/>
      <c r="L43" s="118"/>
      <c r="P43" s="118"/>
      <c r="Q43" s="118"/>
      <c r="S43" s="118"/>
    </row>
    <row r="44" spans="2:21" ht="17.25" x14ac:dyDescent="0.25">
      <c r="B44" t="s">
        <v>202</v>
      </c>
      <c r="D44" s="118"/>
      <c r="E44" s="118"/>
      <c r="L44" s="118"/>
      <c r="P44" s="118"/>
      <c r="Q44" s="118"/>
      <c r="S44" s="118"/>
    </row>
    <row r="45" spans="2:21" ht="17.25" x14ac:dyDescent="0.25">
      <c r="B45" t="s">
        <v>232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zoomScale="90" zoomScaleNormal="90" workbookViewId="0">
      <selection activeCell="J28" sqref="J28"/>
    </sheetView>
  </sheetViews>
  <sheetFormatPr defaultColWidth="9.140625" defaultRowHeight="15" x14ac:dyDescent="0.25"/>
  <cols>
    <col min="1" max="1" width="2.140625" style="135" customWidth="1"/>
    <col min="2" max="2" width="2.42578125" style="135" customWidth="1"/>
    <col min="3" max="3" width="34.5703125" style="135" customWidth="1"/>
    <col min="4" max="5" width="11.85546875" style="135" customWidth="1"/>
    <col min="6" max="6" width="2.7109375" style="149" customWidth="1"/>
    <col min="7" max="8" width="11.85546875" style="135" customWidth="1"/>
    <col min="9" max="16384" width="9.140625" style="135"/>
  </cols>
  <sheetData>
    <row r="1" spans="2:21" x14ac:dyDescent="0.25">
      <c r="B1" s="235" t="s">
        <v>0</v>
      </c>
      <c r="C1" s="235"/>
      <c r="D1" s="235"/>
      <c r="E1" s="235"/>
      <c r="F1" s="235"/>
      <c r="G1" s="235"/>
      <c r="H1" s="235"/>
    </row>
    <row r="2" spans="2:21" x14ac:dyDescent="0.25">
      <c r="B2" s="235" t="s">
        <v>234</v>
      </c>
      <c r="C2" s="235"/>
      <c r="D2" s="235"/>
      <c r="E2" s="235"/>
      <c r="F2" s="235"/>
      <c r="G2" s="235"/>
      <c r="H2" s="235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2:21" x14ac:dyDescent="0.25">
      <c r="B3" s="233" t="s">
        <v>203</v>
      </c>
      <c r="C3" s="233"/>
      <c r="D3" s="233"/>
      <c r="E3" s="233"/>
      <c r="F3" s="233"/>
      <c r="G3" s="233"/>
      <c r="H3" s="233"/>
    </row>
    <row r="4" spans="2:21" x14ac:dyDescent="0.25">
      <c r="B4" s="233" t="s">
        <v>143</v>
      </c>
      <c r="C4" s="233"/>
      <c r="D4" s="233"/>
      <c r="E4" s="233"/>
      <c r="F4" s="233"/>
      <c r="G4" s="233"/>
      <c r="H4" s="233"/>
    </row>
    <row r="6" spans="2:21" x14ac:dyDescent="0.25">
      <c r="D6" s="136" t="s">
        <v>204</v>
      </c>
      <c r="E6" s="136"/>
      <c r="F6" s="137"/>
      <c r="G6" s="136" t="s">
        <v>205</v>
      </c>
      <c r="H6" s="136"/>
    </row>
    <row r="7" spans="2:21" ht="17.25" x14ac:dyDescent="0.25">
      <c r="D7" s="138" t="s">
        <v>206</v>
      </c>
      <c r="E7" s="138" t="s">
        <v>207</v>
      </c>
      <c r="F7" s="139"/>
      <c r="G7" s="138" t="s">
        <v>208</v>
      </c>
      <c r="H7" s="138" t="s">
        <v>207</v>
      </c>
      <c r="R7" s="149"/>
      <c r="S7" s="149"/>
      <c r="T7" s="149"/>
    </row>
    <row r="8" spans="2:21" x14ac:dyDescent="0.25">
      <c r="B8" s="135" t="s">
        <v>209</v>
      </c>
      <c r="D8" s="140">
        <v>64</v>
      </c>
      <c r="E8" s="141"/>
      <c r="F8" s="142"/>
      <c r="G8" s="140">
        <v>64</v>
      </c>
      <c r="H8" s="141"/>
      <c r="R8" s="149"/>
      <c r="S8" s="172"/>
      <c r="T8" s="149"/>
    </row>
    <row r="9" spans="2:21" x14ac:dyDescent="0.25">
      <c r="D9" s="140"/>
      <c r="E9" s="141"/>
      <c r="F9" s="142"/>
      <c r="G9" s="140"/>
      <c r="H9" s="141"/>
      <c r="R9" s="149"/>
      <c r="S9" s="171"/>
      <c r="T9" s="149"/>
    </row>
    <row r="10" spans="2:21" x14ac:dyDescent="0.25">
      <c r="B10" s="135" t="s">
        <v>210</v>
      </c>
      <c r="D10" s="140"/>
      <c r="E10" s="141"/>
      <c r="F10" s="142"/>
      <c r="G10" s="140"/>
      <c r="H10" s="141"/>
      <c r="R10" s="149"/>
      <c r="S10" s="149"/>
      <c r="T10" s="149"/>
    </row>
    <row r="11" spans="2:21" x14ac:dyDescent="0.25">
      <c r="C11" s="135" t="s">
        <v>211</v>
      </c>
      <c r="D11" s="143">
        <v>11</v>
      </c>
      <c r="E11" s="141">
        <f>D11</f>
        <v>11</v>
      </c>
      <c r="F11" s="144"/>
      <c r="G11" s="145">
        <f>$D$11</f>
        <v>11</v>
      </c>
      <c r="H11" s="141">
        <f>G11</f>
        <v>11</v>
      </c>
    </row>
    <row r="12" spans="2:21" x14ac:dyDescent="0.25">
      <c r="C12" s="135" t="s">
        <v>212</v>
      </c>
      <c r="D12" s="144">
        <v>0.67</v>
      </c>
      <c r="E12" s="146">
        <f>D12</f>
        <v>0.67</v>
      </c>
      <c r="F12" s="144"/>
      <c r="G12" s="147">
        <f>$D$12</f>
        <v>0.67</v>
      </c>
      <c r="H12" s="146">
        <f>G12</f>
        <v>0.67</v>
      </c>
    </row>
    <row r="13" spans="2:21" x14ac:dyDescent="0.25">
      <c r="C13" s="135" t="s">
        <v>213</v>
      </c>
      <c r="D13" s="144">
        <v>-0.15</v>
      </c>
      <c r="E13" s="146">
        <f>D13</f>
        <v>-0.15</v>
      </c>
      <c r="F13" s="144"/>
      <c r="G13" s="147">
        <f>$D$13</f>
        <v>-0.15</v>
      </c>
      <c r="H13" s="146">
        <f>G13</f>
        <v>-0.15</v>
      </c>
    </row>
    <row r="14" spans="2:21" x14ac:dyDescent="0.25">
      <c r="C14" s="135" t="s">
        <v>27</v>
      </c>
      <c r="D14" s="148">
        <f>SUM(D11:D13)</f>
        <v>11.52</v>
      </c>
      <c r="E14" s="148">
        <f>SUM(E11:E13)</f>
        <v>11.52</v>
      </c>
      <c r="F14" s="144"/>
      <c r="G14" s="148">
        <f>SUM(G11:G13)</f>
        <v>11.52</v>
      </c>
      <c r="H14" s="148">
        <f>SUM(H11:H13)</f>
        <v>11.52</v>
      </c>
    </row>
    <row r="15" spans="2:21" x14ac:dyDescent="0.25">
      <c r="D15" s="143"/>
      <c r="E15" s="141"/>
      <c r="F15" s="144"/>
      <c r="G15" s="145"/>
      <c r="H15" s="141"/>
    </row>
    <row r="16" spans="2:21" x14ac:dyDescent="0.25">
      <c r="B16" s="135" t="s">
        <v>214</v>
      </c>
      <c r="E16" s="141"/>
      <c r="H16" s="141"/>
    </row>
    <row r="17" spans="2:8" x14ac:dyDescent="0.25">
      <c r="C17" s="135" t="s">
        <v>215</v>
      </c>
      <c r="D17" s="150">
        <v>0.34603</v>
      </c>
      <c r="E17" s="141"/>
      <c r="F17" s="151"/>
      <c r="G17" s="152">
        <f>$D$17</f>
        <v>0.34603</v>
      </c>
      <c r="H17" s="141"/>
    </row>
    <row r="18" spans="2:8" x14ac:dyDescent="0.25">
      <c r="C18" s="135" t="s">
        <v>216</v>
      </c>
      <c r="D18" s="153">
        <v>6.1900000000000002E-3</v>
      </c>
      <c r="E18" s="141"/>
      <c r="F18" s="151"/>
      <c r="G18" s="154">
        <f>D18</f>
        <v>6.1900000000000002E-3</v>
      </c>
      <c r="H18" s="141"/>
    </row>
    <row r="19" spans="2:8" x14ac:dyDescent="0.25">
      <c r="C19" s="135" t="s">
        <v>217</v>
      </c>
      <c r="D19" s="150">
        <v>2.2349999999999998E-2</v>
      </c>
      <c r="E19" s="141"/>
      <c r="F19" s="151"/>
      <c r="G19" s="155">
        <f>'Schedule 140'!E9</f>
        <v>1.9650000000000001E-2</v>
      </c>
      <c r="H19" s="141"/>
    </row>
    <row r="20" spans="2:8" x14ac:dyDescent="0.25">
      <c r="C20" s="135" t="s">
        <v>212</v>
      </c>
      <c r="D20" s="150">
        <v>2.1229999999999999E-2</v>
      </c>
      <c r="E20" s="141"/>
      <c r="F20" s="151"/>
      <c r="G20" s="152">
        <f>$D$20</f>
        <v>2.1229999999999999E-2</v>
      </c>
      <c r="H20" s="141"/>
    </row>
    <row r="21" spans="2:8" x14ac:dyDescent="0.25">
      <c r="C21" s="135" t="s">
        <v>213</v>
      </c>
      <c r="D21" s="150">
        <v>-4.79E-3</v>
      </c>
      <c r="E21" s="141"/>
      <c r="F21" s="151"/>
      <c r="G21" s="152">
        <f>$D$21</f>
        <v>-4.79E-3</v>
      </c>
      <c r="H21" s="141"/>
    </row>
    <row r="22" spans="2:8" x14ac:dyDescent="0.25">
      <c r="C22" s="135" t="s">
        <v>218</v>
      </c>
      <c r="D22" s="150">
        <v>-1.0580000000000001E-2</v>
      </c>
      <c r="E22" s="141"/>
      <c r="F22" s="151"/>
      <c r="G22" s="154">
        <f>$D$22</f>
        <v>-1.0580000000000001E-2</v>
      </c>
      <c r="H22" s="141"/>
    </row>
    <row r="23" spans="2:8" x14ac:dyDescent="0.25">
      <c r="C23" s="135" t="s">
        <v>219</v>
      </c>
      <c r="D23" s="150">
        <v>1.9550000000000001E-2</v>
      </c>
      <c r="E23" s="141"/>
      <c r="F23" s="151"/>
      <c r="G23" s="154">
        <f>$D$23</f>
        <v>1.9550000000000001E-2</v>
      </c>
      <c r="H23" s="141"/>
    </row>
    <row r="24" spans="2:8" x14ac:dyDescent="0.25">
      <c r="C24" s="135" t="s">
        <v>220</v>
      </c>
      <c r="D24" s="156">
        <v>1.8800000000000001E-2</v>
      </c>
      <c r="E24" s="141"/>
      <c r="F24" s="151"/>
      <c r="G24" s="154">
        <f>$D$24</f>
        <v>1.8800000000000001E-2</v>
      </c>
      <c r="H24" s="141"/>
    </row>
    <row r="25" spans="2:8" x14ac:dyDescent="0.25">
      <c r="C25" s="135" t="s">
        <v>27</v>
      </c>
      <c r="D25" s="157">
        <f>SUM(D17:D24)</f>
        <v>0.41877999999999993</v>
      </c>
      <c r="E25" s="141">
        <f>ROUND(D25*D$8,2)</f>
        <v>26.8</v>
      </c>
      <c r="F25" s="151"/>
      <c r="G25" s="157">
        <f>SUM(G17:G24)</f>
        <v>0.41608000000000001</v>
      </c>
      <c r="H25" s="141">
        <f>ROUND(G25*G$8,2)</f>
        <v>26.63</v>
      </c>
    </row>
    <row r="27" spans="2:8" x14ac:dyDescent="0.25">
      <c r="C27" s="135" t="s">
        <v>221</v>
      </c>
      <c r="D27" s="158">
        <v>1.8149999999999999E-2</v>
      </c>
      <c r="E27" s="141">
        <f>ROUND(D27*D$8,2)</f>
        <v>1.1599999999999999</v>
      </c>
      <c r="F27" s="151"/>
      <c r="G27" s="159">
        <f>$D$27</f>
        <v>1.8149999999999999E-2</v>
      </c>
      <c r="H27" s="141">
        <f>ROUND(G27*G$8,2)</f>
        <v>1.1599999999999999</v>
      </c>
    </row>
    <row r="28" spans="2:8" x14ac:dyDescent="0.25">
      <c r="D28" s="160"/>
      <c r="E28" s="141"/>
      <c r="F28" s="151"/>
      <c r="G28" s="152"/>
      <c r="H28" s="141"/>
    </row>
    <row r="29" spans="2:8" x14ac:dyDescent="0.25">
      <c r="B29" s="207"/>
      <c r="C29" s="207" t="s">
        <v>222</v>
      </c>
      <c r="D29" s="208">
        <v>0</v>
      </c>
      <c r="E29" s="209">
        <f>ROUND(D29*D$8,2)</f>
        <v>0</v>
      </c>
      <c r="F29" s="210"/>
      <c r="G29" s="211">
        <f>$D$29</f>
        <v>0</v>
      </c>
      <c r="H29" s="209">
        <f>ROUND(G29*G$8,2)</f>
        <v>0</v>
      </c>
    </row>
    <row r="30" spans="2:8" x14ac:dyDescent="0.25">
      <c r="D30" s="160"/>
      <c r="E30" s="141"/>
      <c r="F30" s="151"/>
      <c r="G30" s="152"/>
      <c r="H30" s="141"/>
    </row>
    <row r="31" spans="2:8" x14ac:dyDescent="0.25">
      <c r="C31" s="135" t="s">
        <v>223</v>
      </c>
      <c r="D31" s="158">
        <v>0.34614</v>
      </c>
      <c r="E31" s="141"/>
      <c r="F31" s="151"/>
      <c r="G31" s="152">
        <f>$D$31</f>
        <v>0.34614</v>
      </c>
      <c r="H31" s="141"/>
    </row>
    <row r="32" spans="2:8" x14ac:dyDescent="0.25">
      <c r="C32" s="135" t="s">
        <v>224</v>
      </c>
      <c r="D32" s="158">
        <f>-0.01615+0.05443+0.06197</f>
        <v>0.10024999999999999</v>
      </c>
      <c r="E32" s="141"/>
      <c r="F32" s="151"/>
      <c r="G32" s="154">
        <f>$D$32</f>
        <v>0.10024999999999999</v>
      </c>
      <c r="H32" s="141"/>
    </row>
    <row r="33" spans="2:8" x14ac:dyDescent="0.25">
      <c r="C33" s="135" t="s">
        <v>27</v>
      </c>
      <c r="D33" s="157">
        <f>SUM(D31:D32)</f>
        <v>0.44639000000000001</v>
      </c>
      <c r="E33" s="141">
        <f>ROUND(D33*D$8,2)</f>
        <v>28.57</v>
      </c>
      <c r="F33" s="151"/>
      <c r="G33" s="157">
        <f>SUM(G31:G32)</f>
        <v>0.44639000000000001</v>
      </c>
      <c r="H33" s="141">
        <f>ROUND(G33*G$8,2)</f>
        <v>28.57</v>
      </c>
    </row>
    <row r="34" spans="2:8" x14ac:dyDescent="0.25">
      <c r="C34" s="135" t="s">
        <v>225</v>
      </c>
      <c r="D34" s="157">
        <f>D25+D27+D29+D33</f>
        <v>0.88331999999999988</v>
      </c>
      <c r="E34" s="161">
        <f>SUM(E25,E27,E29,E33)</f>
        <v>56.53</v>
      </c>
      <c r="F34" s="162"/>
      <c r="G34" s="157">
        <f>G25+G27+G29+G33</f>
        <v>0.88061999999999996</v>
      </c>
      <c r="H34" s="161">
        <f>SUM(H25,H27,H29,H33)</f>
        <v>56.36</v>
      </c>
    </row>
    <row r="35" spans="2:8" x14ac:dyDescent="0.25">
      <c r="E35" s="141"/>
      <c r="H35" s="141"/>
    </row>
    <row r="36" spans="2:8" x14ac:dyDescent="0.25">
      <c r="B36" s="135" t="s">
        <v>226</v>
      </c>
      <c r="D36" s="145"/>
      <c r="E36" s="141">
        <f>E14+E34</f>
        <v>68.05</v>
      </c>
      <c r="F36" s="147"/>
      <c r="G36" s="145"/>
      <c r="H36" s="141">
        <f>H14+H34</f>
        <v>67.88</v>
      </c>
    </row>
    <row r="37" spans="2:8" x14ac:dyDescent="0.25">
      <c r="B37" s="135" t="s">
        <v>227</v>
      </c>
      <c r="D37" s="145"/>
      <c r="E37" s="141"/>
      <c r="F37" s="147"/>
      <c r="G37" s="145"/>
      <c r="H37" s="141">
        <f>H36-$E36</f>
        <v>-0.17000000000000171</v>
      </c>
    </row>
    <row r="38" spans="2:8" x14ac:dyDescent="0.25">
      <c r="B38" s="135" t="s">
        <v>228</v>
      </c>
      <c r="D38" s="163"/>
      <c r="E38" s="163"/>
      <c r="F38" s="164"/>
      <c r="G38" s="163"/>
      <c r="H38" s="165">
        <f>H37/$E36</f>
        <v>-2.498163115356381E-3</v>
      </c>
    </row>
    <row r="39" spans="2:8" x14ac:dyDescent="0.25">
      <c r="E39" s="141"/>
    </row>
    <row r="40" spans="2:8" x14ac:dyDescent="0.25">
      <c r="B40" s="135" t="s">
        <v>229</v>
      </c>
      <c r="D40" s="152">
        <f>D25+D27+D29</f>
        <v>0.43692999999999993</v>
      </c>
      <c r="E40" s="141"/>
      <c r="F40" s="162"/>
      <c r="G40" s="152">
        <f>G25+G27+G29</f>
        <v>0.43423</v>
      </c>
    </row>
    <row r="42" spans="2:8" ht="17.25" x14ac:dyDescent="0.25">
      <c r="B42" s="166" t="s">
        <v>235</v>
      </c>
    </row>
    <row r="43" spans="2:8" x14ac:dyDescent="0.25">
      <c r="C43" s="166"/>
      <c r="D43" s="166"/>
      <c r="E43" s="166"/>
      <c r="F43" s="90"/>
      <c r="G43" s="90"/>
      <c r="H43" s="90"/>
    </row>
    <row r="44" spans="2:8" ht="17.25" x14ac:dyDescent="0.25">
      <c r="B44" s="212"/>
    </row>
    <row r="48" spans="2:8" ht="14.25" customHeight="1" x14ac:dyDescent="0.2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6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zoomScaleNormal="100" workbookViewId="0">
      <selection activeCell="G28" sqref="G28"/>
    </sheetView>
  </sheetViews>
  <sheetFormatPr defaultColWidth="8.7109375" defaultRowHeight="15" x14ac:dyDescent="0.25"/>
  <cols>
    <col min="1" max="1" width="38.85546875" style="9" customWidth="1"/>
    <col min="2" max="2" width="9.140625" style="9" bestFit="1" customWidth="1"/>
    <col min="3" max="3" width="18.5703125" style="9" bestFit="1" customWidth="1"/>
    <col min="4" max="5" width="13.7109375" style="9" customWidth="1"/>
    <col min="6" max="8" width="14.42578125" style="9" customWidth="1"/>
    <col min="9" max="9" width="7.85546875" style="9" bestFit="1" customWidth="1"/>
    <col min="10" max="16384" width="8.7109375" style="9"/>
  </cols>
  <sheetData>
    <row r="1" spans="1:21" s="135" customFormat="1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13"/>
    </row>
    <row r="2" spans="1:21" s="135" customFormat="1" x14ac:dyDescent="0.25">
      <c r="A2" s="231" t="s">
        <v>230</v>
      </c>
      <c r="B2" s="236"/>
      <c r="C2" s="236"/>
      <c r="D2" s="236"/>
      <c r="E2" s="236"/>
      <c r="F2" s="236"/>
      <c r="G2" s="236"/>
      <c r="H2" s="236"/>
      <c r="I2" s="236"/>
      <c r="J2" s="214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s="135" customFormat="1" x14ac:dyDescent="0.25">
      <c r="A3" s="231" t="s">
        <v>231</v>
      </c>
      <c r="B3" s="231"/>
      <c r="C3" s="231"/>
      <c r="D3" s="231"/>
      <c r="E3" s="231"/>
      <c r="F3" s="231"/>
      <c r="G3" s="231"/>
      <c r="H3" s="231"/>
      <c r="I3" s="231"/>
      <c r="J3" s="213"/>
    </row>
    <row r="4" spans="1:21" s="135" customFormat="1" x14ac:dyDescent="0.25">
      <c r="A4" s="231" t="s">
        <v>76</v>
      </c>
      <c r="B4" s="231"/>
      <c r="C4" s="231"/>
      <c r="D4" s="231"/>
      <c r="E4" s="231"/>
      <c r="F4" s="231"/>
      <c r="G4" s="231"/>
      <c r="H4" s="231"/>
      <c r="I4" s="231"/>
      <c r="J4" s="213"/>
    </row>
    <row r="5" spans="1:21" x14ac:dyDescent="0.25">
      <c r="D5" s="193"/>
      <c r="E5" s="193"/>
    </row>
    <row r="6" spans="1:21" x14ac:dyDescent="0.25">
      <c r="A6" s="12"/>
      <c r="B6" s="12"/>
      <c r="C6" s="12" t="s">
        <v>166</v>
      </c>
      <c r="D6" s="12" t="s">
        <v>32</v>
      </c>
      <c r="E6" s="12" t="s">
        <v>2</v>
      </c>
      <c r="F6" s="194" t="s">
        <v>166</v>
      </c>
      <c r="G6" s="194" t="s">
        <v>166</v>
      </c>
      <c r="H6" s="12" t="s">
        <v>167</v>
      </c>
      <c r="I6" s="12"/>
      <c r="R6" s="215"/>
      <c r="S6" s="215"/>
      <c r="T6" s="215"/>
    </row>
    <row r="7" spans="1:21" x14ac:dyDescent="0.25">
      <c r="A7" s="12"/>
      <c r="B7" s="12" t="s">
        <v>146</v>
      </c>
      <c r="C7" s="12" t="s">
        <v>31</v>
      </c>
      <c r="D7" s="12" t="s">
        <v>167</v>
      </c>
      <c r="E7" s="12" t="s">
        <v>167</v>
      </c>
      <c r="F7" s="194" t="s">
        <v>7</v>
      </c>
      <c r="G7" s="194" t="s">
        <v>7</v>
      </c>
      <c r="H7" s="12" t="s">
        <v>7</v>
      </c>
      <c r="I7" s="12" t="s">
        <v>180</v>
      </c>
      <c r="R7" s="215"/>
      <c r="S7" s="215"/>
      <c r="T7" s="215"/>
    </row>
    <row r="8" spans="1:21" x14ac:dyDescent="0.25">
      <c r="A8" s="15" t="s">
        <v>9</v>
      </c>
      <c r="B8" s="15" t="s">
        <v>33</v>
      </c>
      <c r="C8" s="199" t="s">
        <v>255</v>
      </c>
      <c r="D8" s="15" t="s">
        <v>208</v>
      </c>
      <c r="E8" s="15" t="s">
        <v>208</v>
      </c>
      <c r="F8" s="138" t="s">
        <v>204</v>
      </c>
      <c r="G8" s="138" t="s">
        <v>147</v>
      </c>
      <c r="H8" s="15" t="s">
        <v>185</v>
      </c>
      <c r="I8" s="15" t="s">
        <v>185</v>
      </c>
      <c r="R8" s="215"/>
      <c r="S8" s="172"/>
      <c r="T8" s="215"/>
    </row>
    <row r="9" spans="1:21" x14ac:dyDescent="0.25">
      <c r="A9" s="9" t="s">
        <v>14</v>
      </c>
      <c r="B9" s="32" t="s">
        <v>153</v>
      </c>
      <c r="C9" s="120">
        <f>SUM('Therm Forecast'!N9:N10)</f>
        <v>613997001</v>
      </c>
      <c r="D9" s="167">
        <v>2.2350000000000002E-2</v>
      </c>
      <c r="E9" s="168">
        <f>'Sch. 140 Rates'!$L$11</f>
        <v>1.9650000000000001E-2</v>
      </c>
      <c r="F9" s="25">
        <f>C9*D9</f>
        <v>13722832.972350001</v>
      </c>
      <c r="G9" s="25">
        <f>C9*E9</f>
        <v>12065041.06965</v>
      </c>
      <c r="H9" s="17">
        <f>G9-F9</f>
        <v>-1657791.9027000014</v>
      </c>
      <c r="I9" s="5">
        <f>H9/F9</f>
        <v>-0.12080536912751687</v>
      </c>
      <c r="R9" s="215"/>
      <c r="S9" s="171"/>
      <c r="T9" s="215"/>
    </row>
    <row r="10" spans="1:21" x14ac:dyDescent="0.25">
      <c r="A10" s="9" t="s">
        <v>154</v>
      </c>
      <c r="B10" s="32">
        <v>16</v>
      </c>
      <c r="C10" s="169">
        <f>'Therm Forecast'!N8</f>
        <v>8938</v>
      </c>
      <c r="D10" s="167">
        <v>2.2350000000000002E-2</v>
      </c>
      <c r="E10" s="168">
        <f>'Sch. 140 Rates'!$L$11</f>
        <v>1.9650000000000001E-2</v>
      </c>
      <c r="F10" s="25">
        <f t="shared" ref="F10:F20" si="0">C10*D10</f>
        <v>199.76430000000002</v>
      </c>
      <c r="G10" s="25">
        <f t="shared" ref="G10:G21" si="1">C10*E10</f>
        <v>175.6317</v>
      </c>
      <c r="H10" s="17">
        <f t="shared" ref="H10:H21" si="2">G10-F10</f>
        <v>-24.132600000000025</v>
      </c>
      <c r="I10" s="5">
        <f t="shared" ref="I10:I25" si="3">H10/F10</f>
        <v>-0.1208053691275169</v>
      </c>
      <c r="R10" s="215"/>
      <c r="S10" s="215"/>
      <c r="T10" s="215"/>
    </row>
    <row r="11" spans="1:21" x14ac:dyDescent="0.25">
      <c r="A11" s="9" t="s">
        <v>16</v>
      </c>
      <c r="B11" s="32">
        <v>31</v>
      </c>
      <c r="C11" s="120">
        <f>'Therm Forecast'!N11</f>
        <v>240219450</v>
      </c>
      <c r="D11" s="167">
        <v>2.528E-2</v>
      </c>
      <c r="E11" s="168">
        <f>'Sch. 140 Rates'!L12</f>
        <v>2.1180000000000001E-2</v>
      </c>
      <c r="F11" s="25">
        <f t="shared" si="0"/>
        <v>6072747.6960000005</v>
      </c>
      <c r="G11" s="25">
        <f t="shared" si="1"/>
        <v>5087847.9510000004</v>
      </c>
      <c r="H11" s="17">
        <f t="shared" si="2"/>
        <v>-984899.74500000011</v>
      </c>
      <c r="I11" s="5">
        <f t="shared" si="3"/>
        <v>-0.16218354430379747</v>
      </c>
      <c r="R11" s="215"/>
      <c r="S11" s="215"/>
      <c r="T11" s="215"/>
    </row>
    <row r="12" spans="1:21" x14ac:dyDescent="0.25">
      <c r="A12" s="9" t="s">
        <v>18</v>
      </c>
      <c r="B12" s="32">
        <v>41</v>
      </c>
      <c r="C12" s="120">
        <f>'Therm Forecast'!N12</f>
        <v>66815894</v>
      </c>
      <c r="D12" s="167">
        <v>8.94E-3</v>
      </c>
      <c r="E12" s="168">
        <f>'Sch. 140 Rates'!L13</f>
        <v>7.5300000000000002E-3</v>
      </c>
      <c r="F12" s="25">
        <f t="shared" si="0"/>
        <v>597334.09236000001</v>
      </c>
      <c r="G12" s="25">
        <f t="shared" si="1"/>
        <v>503123.68182</v>
      </c>
      <c r="H12" s="17">
        <f t="shared" si="2"/>
        <v>-94210.410540000012</v>
      </c>
      <c r="I12" s="5">
        <f t="shared" si="3"/>
        <v>-0.15771812080536915</v>
      </c>
    </row>
    <row r="13" spans="1:21" x14ac:dyDescent="0.25">
      <c r="A13" s="9" t="s">
        <v>20</v>
      </c>
      <c r="B13" s="32">
        <v>85</v>
      </c>
      <c r="C13" s="120">
        <f>'Therm Forecast'!N13</f>
        <v>14838965</v>
      </c>
      <c r="D13" s="167">
        <v>5.0499999999999998E-3</v>
      </c>
      <c r="E13" s="168">
        <f>'Sch. 140 Rates'!L14</f>
        <v>4.3699999999999998E-3</v>
      </c>
      <c r="F13" s="25">
        <f t="shared" si="0"/>
        <v>74936.773249999998</v>
      </c>
      <c r="G13" s="25">
        <f t="shared" si="1"/>
        <v>64846.277049999997</v>
      </c>
      <c r="H13" s="17">
        <f t="shared" si="2"/>
        <v>-10090.496200000001</v>
      </c>
      <c r="I13" s="5">
        <f t="shared" si="3"/>
        <v>-0.13465346534653466</v>
      </c>
    </row>
    <row r="14" spans="1:21" x14ac:dyDescent="0.25">
      <c r="A14" s="9" t="s">
        <v>22</v>
      </c>
      <c r="B14" s="32">
        <v>86</v>
      </c>
      <c r="C14" s="120">
        <f>'Therm Forecast'!N14</f>
        <v>7366111</v>
      </c>
      <c r="D14" s="167">
        <v>7.6699999999999997E-3</v>
      </c>
      <c r="E14" s="168">
        <f>'Sch. 140 Rates'!L15</f>
        <v>7.8600000000000007E-3</v>
      </c>
      <c r="F14" s="25">
        <f t="shared" si="0"/>
        <v>56498.071369999998</v>
      </c>
      <c r="G14" s="25">
        <f t="shared" si="1"/>
        <v>57897.632460000008</v>
      </c>
      <c r="H14" s="17">
        <f t="shared" si="2"/>
        <v>1399.5610900000102</v>
      </c>
      <c r="I14" s="5">
        <f t="shared" si="3"/>
        <v>2.4771838331160544E-2</v>
      </c>
    </row>
    <row r="15" spans="1:21" x14ac:dyDescent="0.25">
      <c r="A15" s="9" t="s">
        <v>24</v>
      </c>
      <c r="B15" s="32">
        <v>87</v>
      </c>
      <c r="C15" s="120">
        <f>'Therm Forecast'!N15</f>
        <v>22292121</v>
      </c>
      <c r="D15" s="167">
        <v>2.7299999999999998E-3</v>
      </c>
      <c r="E15" s="168">
        <f>'Sch. 140 Rates'!L16</f>
        <v>2.3E-3</v>
      </c>
      <c r="F15" s="25">
        <f t="shared" si="0"/>
        <v>60857.490329999993</v>
      </c>
      <c r="G15" s="25">
        <f t="shared" si="1"/>
        <v>51271.878299999997</v>
      </c>
      <c r="H15" s="17">
        <f t="shared" si="2"/>
        <v>-9585.6120299999966</v>
      </c>
      <c r="I15" s="5">
        <f t="shared" si="3"/>
        <v>-0.15750915750915748</v>
      </c>
    </row>
    <row r="16" spans="1:21" x14ac:dyDescent="0.25">
      <c r="A16" s="9" t="s">
        <v>155</v>
      </c>
      <c r="B16" s="32" t="s">
        <v>56</v>
      </c>
      <c r="C16" s="120">
        <f>'Therm Forecast'!N16</f>
        <v>23426</v>
      </c>
      <c r="D16" s="167">
        <v>2.528E-2</v>
      </c>
      <c r="E16" s="168">
        <f>'Sch. 140 Rates'!L12</f>
        <v>2.1180000000000001E-2</v>
      </c>
      <c r="F16" s="25">
        <f t="shared" si="0"/>
        <v>592.20928000000004</v>
      </c>
      <c r="G16" s="25">
        <f t="shared" si="1"/>
        <v>496.16268000000002</v>
      </c>
      <c r="H16" s="17">
        <f t="shared" si="2"/>
        <v>-96.046600000000012</v>
      </c>
      <c r="I16" s="5">
        <f t="shared" si="3"/>
        <v>-0.16218354430379747</v>
      </c>
    </row>
    <row r="17" spans="1:12" x14ac:dyDescent="0.25">
      <c r="A17" s="9" t="s">
        <v>156</v>
      </c>
      <c r="B17" s="9" t="s">
        <v>34</v>
      </c>
      <c r="C17" s="120">
        <f>'Therm Forecast'!N17</f>
        <v>24122221</v>
      </c>
      <c r="D17" s="167">
        <v>8.94E-3</v>
      </c>
      <c r="E17" s="168">
        <f>'Sch. 140 Rates'!L13</f>
        <v>7.5300000000000002E-3</v>
      </c>
      <c r="F17" s="25">
        <f t="shared" si="0"/>
        <v>215652.65573999999</v>
      </c>
      <c r="G17" s="25">
        <f t="shared" si="1"/>
        <v>181640.32412999999</v>
      </c>
      <c r="H17" s="17">
        <f t="shared" si="2"/>
        <v>-34012.331609999994</v>
      </c>
      <c r="I17" s="5">
        <f t="shared" si="3"/>
        <v>-0.15771812080536909</v>
      </c>
    </row>
    <row r="18" spans="1:12" x14ac:dyDescent="0.25">
      <c r="A18" s="9" t="s">
        <v>157</v>
      </c>
      <c r="B18" s="9" t="s">
        <v>35</v>
      </c>
      <c r="C18" s="120">
        <f>'Therm Forecast'!N18</f>
        <v>78043724</v>
      </c>
      <c r="D18" s="167">
        <v>5.0499999999999998E-3</v>
      </c>
      <c r="E18" s="168">
        <f>'Sch. 140 Rates'!L14</f>
        <v>4.3699999999999998E-3</v>
      </c>
      <c r="F18" s="25">
        <f t="shared" si="0"/>
        <v>394120.80619999999</v>
      </c>
      <c r="G18" s="25">
        <f t="shared" si="1"/>
        <v>341051.07387999998</v>
      </c>
      <c r="H18" s="17">
        <f t="shared" si="2"/>
        <v>-53069.73232000001</v>
      </c>
      <c r="I18" s="5">
        <f t="shared" si="3"/>
        <v>-0.13465346534653469</v>
      </c>
    </row>
    <row r="19" spans="1:12" x14ac:dyDescent="0.25">
      <c r="A19" s="9" t="s">
        <v>158</v>
      </c>
      <c r="B19" s="9" t="s">
        <v>57</v>
      </c>
      <c r="C19" s="120">
        <f>'Therm Forecast'!N19</f>
        <v>223415</v>
      </c>
      <c r="D19" s="167">
        <v>7.6699999999999997E-3</v>
      </c>
      <c r="E19" s="168">
        <f>'Sch. 140 Rates'!L15</f>
        <v>7.8600000000000007E-3</v>
      </c>
      <c r="F19" s="25">
        <f t="shared" si="0"/>
        <v>1713.5930499999999</v>
      </c>
      <c r="G19" s="25">
        <f t="shared" si="1"/>
        <v>1756.0419000000002</v>
      </c>
      <c r="H19" s="17">
        <f t="shared" si="2"/>
        <v>42.44885000000022</v>
      </c>
      <c r="I19" s="5">
        <f t="shared" si="3"/>
        <v>2.4771838331160496E-2</v>
      </c>
    </row>
    <row r="20" spans="1:12" x14ac:dyDescent="0.25">
      <c r="A20" s="9" t="s">
        <v>159</v>
      </c>
      <c r="B20" s="9" t="s">
        <v>36</v>
      </c>
      <c r="C20" s="120">
        <f>'Therm Forecast'!N20</f>
        <v>100692527</v>
      </c>
      <c r="D20" s="167">
        <v>2.7299999999999998E-3</v>
      </c>
      <c r="E20" s="168">
        <f>'Sch. 140 Rates'!L16</f>
        <v>2.3E-3</v>
      </c>
      <c r="F20" s="25">
        <f t="shared" si="0"/>
        <v>274890.59870999999</v>
      </c>
      <c r="G20" s="25">
        <f t="shared" si="1"/>
        <v>231592.81210000001</v>
      </c>
      <c r="H20" s="17">
        <f t="shared" si="2"/>
        <v>-43297.786609999981</v>
      </c>
      <c r="I20" s="5">
        <f t="shared" si="3"/>
        <v>-0.15750915750915745</v>
      </c>
    </row>
    <row r="21" spans="1:12" x14ac:dyDescent="0.25">
      <c r="A21" s="9" t="s">
        <v>26</v>
      </c>
      <c r="C21" s="120">
        <f>'Therm Forecast'!N21</f>
        <v>36131830</v>
      </c>
      <c r="D21" s="170">
        <v>3.4299999999999999E-3</v>
      </c>
      <c r="E21" s="168">
        <f>'Sch. 140 Rates'!L17</f>
        <v>2.8999999999999998E-3</v>
      </c>
      <c r="F21" s="25">
        <f>C21*D21</f>
        <v>123932.17689999999</v>
      </c>
      <c r="G21" s="25">
        <f t="shared" si="1"/>
        <v>104782.30699999999</v>
      </c>
      <c r="H21" s="17">
        <f t="shared" si="2"/>
        <v>-19149.869900000005</v>
      </c>
      <c r="I21" s="5">
        <f t="shared" si="3"/>
        <v>-0.15451895043731784</v>
      </c>
    </row>
    <row r="22" spans="1:12" x14ac:dyDescent="0.25">
      <c r="A22" s="9" t="s">
        <v>29</v>
      </c>
      <c r="C22" s="19">
        <f>SUM(C9:C21)</f>
        <v>1204775623</v>
      </c>
      <c r="D22" s="216"/>
      <c r="E22" s="229"/>
      <c r="F22" s="123">
        <f t="shared" ref="F22:H22" si="4">SUM(F9:F21)</f>
        <v>21596308.899839997</v>
      </c>
      <c r="G22" s="123">
        <f t="shared" si="4"/>
        <v>18691522.843670003</v>
      </c>
      <c r="H22" s="20">
        <f t="shared" si="4"/>
        <v>-2904786.0561700012</v>
      </c>
      <c r="I22" s="6">
        <f t="shared" si="3"/>
        <v>-0.13450382052052989</v>
      </c>
    </row>
    <row r="23" spans="1:12" s="135" customFormat="1" x14ac:dyDescent="0.25">
      <c r="A23" s="137"/>
      <c r="B23" s="217"/>
      <c r="C23" s="218"/>
      <c r="D23" s="219"/>
      <c r="E23" s="219"/>
      <c r="F23" s="219"/>
      <c r="G23" s="219"/>
      <c r="H23" s="163"/>
    </row>
    <row r="24" spans="1:12" s="135" customFormat="1" x14ac:dyDescent="0.25">
      <c r="A24" s="137" t="s">
        <v>28</v>
      </c>
      <c r="B24" s="137"/>
      <c r="C24" s="169">
        <f>'Rental Forecast'!F23</f>
        <v>291954</v>
      </c>
      <c r="D24" s="220">
        <v>0.52</v>
      </c>
      <c r="E24" s="221">
        <f>'Sch. 140 Rates'!R20</f>
        <v>0.51</v>
      </c>
      <c r="F24" s="25">
        <f>D24*C24</f>
        <v>151816.08000000002</v>
      </c>
      <c r="G24" s="25">
        <f>C24*E24</f>
        <v>148896.54</v>
      </c>
      <c r="H24" s="17">
        <f>G24-F24</f>
        <v>-2919.5400000000081</v>
      </c>
      <c r="I24" s="5">
        <f t="shared" si="3"/>
        <v>-1.9230769230769284E-2</v>
      </c>
      <c r="J24" s="165"/>
      <c r="K24" s="222"/>
      <c r="L24" s="223"/>
    </row>
    <row r="25" spans="1:12" s="135" customFormat="1" x14ac:dyDescent="0.25">
      <c r="A25" s="224" t="s">
        <v>29</v>
      </c>
      <c r="B25" s="224"/>
      <c r="C25" s="225"/>
      <c r="D25" s="225"/>
      <c r="E25" s="225"/>
      <c r="F25" s="226">
        <f t="shared" ref="F25:H25" si="5">F22+F24</f>
        <v>21748124.979839996</v>
      </c>
      <c r="G25" s="226">
        <f t="shared" si="5"/>
        <v>18840419.383670002</v>
      </c>
      <c r="H25" s="226">
        <f t="shared" si="5"/>
        <v>-2907705.5961700012</v>
      </c>
      <c r="I25" s="6">
        <f t="shared" si="3"/>
        <v>-0.13369913952882725</v>
      </c>
      <c r="J25" s="165"/>
    </row>
    <row r="26" spans="1:12" x14ac:dyDescent="0.25">
      <c r="F26" s="17"/>
      <c r="G26" s="17"/>
    </row>
    <row r="27" spans="1:12" x14ac:dyDescent="0.25">
      <c r="C27" s="22"/>
      <c r="F27" s="17"/>
      <c r="G27" s="17"/>
    </row>
    <row r="28" spans="1:12" x14ac:dyDescent="0.25">
      <c r="A28" s="227"/>
      <c r="B28" s="215"/>
      <c r="C28" s="215"/>
      <c r="D28" s="215"/>
      <c r="E28" s="215"/>
      <c r="F28" s="215"/>
      <c r="G28" s="215"/>
      <c r="H28" s="215"/>
    </row>
    <row r="29" spans="1:12" x14ac:dyDescent="0.25">
      <c r="B29" s="215"/>
      <c r="C29" s="215"/>
      <c r="D29" s="215"/>
      <c r="E29" s="215"/>
      <c r="F29" s="215"/>
      <c r="G29" s="215"/>
      <c r="H29" s="215"/>
    </row>
    <row r="44" spans="2:2" ht="17.25" x14ac:dyDescent="0.25">
      <c r="B44" s="228" t="s">
        <v>254</v>
      </c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35" sqref="B35:C3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90" zoomScaleNormal="90" workbookViewId="0">
      <pane xSplit="2" ySplit="4" topLeftCell="C5" activePane="bottomRight" state="frozen"/>
      <selection activeCell="F28" sqref="F28"/>
      <selection pane="topRight" activeCell="F28" sqref="F28"/>
      <selection pane="bottomLeft" activeCell="F28" sqref="F28"/>
      <selection pane="bottomRight" activeCell="F37" sqref="F37"/>
    </sheetView>
  </sheetViews>
  <sheetFormatPr defaultRowHeight="15" x14ac:dyDescent="0.25"/>
  <cols>
    <col min="1" max="1" width="5.140625" style="55" customWidth="1"/>
    <col min="2" max="2" width="44.7109375" customWidth="1"/>
    <col min="3" max="3" width="9.140625" style="24" bestFit="1" customWidth="1"/>
    <col min="4" max="6" width="13.28515625" bestFit="1" customWidth="1"/>
    <col min="7" max="7" width="3.7109375" customWidth="1"/>
    <col min="8" max="8" width="13.7109375" bestFit="1" customWidth="1"/>
    <col min="9" max="9" width="13.42578125" bestFit="1" customWidth="1"/>
    <col min="10" max="10" width="13.140625" bestFit="1" customWidth="1"/>
    <col min="12" max="14" width="12.5703125" bestFit="1" customWidth="1"/>
    <col min="15" max="15" width="4.5703125" customWidth="1"/>
    <col min="16" max="18" width="12.5703125" bestFit="1" customWidth="1"/>
    <col min="19" max="19" width="4.7109375" customWidth="1"/>
    <col min="20" max="22" width="12.28515625" bestFit="1" customWidth="1"/>
    <col min="23" max="23" width="5.28515625" customWidth="1"/>
    <col min="24" max="26" width="12.28515625" bestFit="1" customWidth="1"/>
  </cols>
  <sheetData>
    <row r="1" spans="1:14" ht="18.75" x14ac:dyDescent="0.3">
      <c r="A1" s="35" t="s">
        <v>126</v>
      </c>
      <c r="C1" s="36"/>
    </row>
    <row r="2" spans="1:14" ht="18.75" x14ac:dyDescent="0.3">
      <c r="B2" s="35"/>
      <c r="C2" s="36"/>
    </row>
    <row r="3" spans="1:14" x14ac:dyDescent="0.25">
      <c r="D3" s="37" t="s">
        <v>40</v>
      </c>
      <c r="E3" s="38"/>
      <c r="F3" s="39"/>
      <c r="H3" s="37" t="s">
        <v>41</v>
      </c>
      <c r="I3" s="39"/>
      <c r="J3" s="39"/>
    </row>
    <row r="4" spans="1:14" x14ac:dyDescent="0.25">
      <c r="D4" s="1" t="s">
        <v>42</v>
      </c>
      <c r="E4" s="1" t="s">
        <v>43</v>
      </c>
      <c r="F4" s="1" t="s">
        <v>29</v>
      </c>
      <c r="H4" s="1" t="s">
        <v>42</v>
      </c>
      <c r="I4" s="1" t="s">
        <v>43</v>
      </c>
      <c r="J4" s="1" t="s">
        <v>29</v>
      </c>
    </row>
    <row r="5" spans="1:14" x14ac:dyDescent="0.25">
      <c r="H5" s="84">
        <v>0.95238599999999995</v>
      </c>
      <c r="I5" s="84">
        <v>0.954538</v>
      </c>
      <c r="J5" s="27"/>
      <c r="K5" s="40"/>
      <c r="L5" s="27"/>
    </row>
    <row r="6" spans="1:14" x14ac:dyDescent="0.25">
      <c r="A6" s="55">
        <v>1</v>
      </c>
      <c r="B6" t="s">
        <v>127</v>
      </c>
      <c r="C6" s="41"/>
      <c r="D6" s="86">
        <v>57126055.389853239</v>
      </c>
      <c r="E6" s="86">
        <v>21309018.70527197</v>
      </c>
      <c r="F6" s="86">
        <f>SUM(D6:E6)</f>
        <v>78435074.095125213</v>
      </c>
      <c r="G6" s="84"/>
      <c r="H6" s="86">
        <f>D6/$H$5</f>
        <v>59982040.254532553</v>
      </c>
      <c r="I6" s="86">
        <f>E6/$I$5</f>
        <v>22323908.220806263</v>
      </c>
      <c r="J6" s="86">
        <f>SUM(H6:I6)</f>
        <v>82305948.475338817</v>
      </c>
    </row>
    <row r="7" spans="1:14" x14ac:dyDescent="0.25">
      <c r="D7" s="27"/>
      <c r="E7" s="27"/>
      <c r="F7" s="27"/>
      <c r="G7" s="27"/>
      <c r="H7" s="27"/>
      <c r="I7" s="27"/>
      <c r="J7" s="27"/>
    </row>
    <row r="8" spans="1:14" x14ac:dyDescent="0.25">
      <c r="A8" s="55">
        <v>2</v>
      </c>
      <c r="B8" t="s">
        <v>44</v>
      </c>
      <c r="D8" s="27"/>
      <c r="E8" s="42"/>
      <c r="F8" s="27"/>
      <c r="G8" s="27"/>
      <c r="H8" s="27"/>
      <c r="I8" s="27"/>
      <c r="J8" s="27"/>
    </row>
    <row r="9" spans="1:14" x14ac:dyDescent="0.25">
      <c r="A9" s="55">
        <v>3</v>
      </c>
      <c r="B9" s="43" t="s">
        <v>128</v>
      </c>
      <c r="C9" s="44"/>
      <c r="D9" s="83">
        <v>51838430</v>
      </c>
      <c r="E9" s="83">
        <v>17541777</v>
      </c>
      <c r="F9" s="83">
        <f>SUM(D9:E9)</f>
        <v>69380207</v>
      </c>
      <c r="G9" s="84"/>
      <c r="H9" s="86">
        <f>D9/$H$5</f>
        <v>54430063.020665996</v>
      </c>
      <c r="I9" s="86">
        <f>E9/$I$5</f>
        <v>18377243.231804285</v>
      </c>
      <c r="J9" s="83">
        <f>SUM(H9:I9)</f>
        <v>72807306.252470285</v>
      </c>
      <c r="L9" s="45"/>
      <c r="M9" s="45"/>
      <c r="N9" s="45"/>
    </row>
    <row r="10" spans="1:14" x14ac:dyDescent="0.25">
      <c r="A10" s="55">
        <v>4</v>
      </c>
      <c r="B10" s="43" t="s">
        <v>127</v>
      </c>
      <c r="C10" s="41" t="s">
        <v>45</v>
      </c>
      <c r="D10" s="28">
        <f>D6</f>
        <v>57126055.389853239</v>
      </c>
      <c r="E10" s="28">
        <f>E6</f>
        <v>21309018.70527197</v>
      </c>
      <c r="F10" s="28">
        <f>SUM(D10:E10)</f>
        <v>78435074.095125213</v>
      </c>
      <c r="G10" s="27"/>
      <c r="H10" s="26">
        <f>D10/$H$5</f>
        <v>59982040.254532553</v>
      </c>
      <c r="I10" s="26">
        <f>E10/$I$5</f>
        <v>22323908.220806263</v>
      </c>
      <c r="J10" s="28">
        <f>SUM(H10:I10)</f>
        <v>82305948.475338817</v>
      </c>
      <c r="L10" s="45"/>
      <c r="M10" s="45"/>
      <c r="N10" s="45"/>
    </row>
    <row r="11" spans="1:14" x14ac:dyDescent="0.25">
      <c r="A11" s="55">
        <v>5</v>
      </c>
      <c r="B11" t="s">
        <v>129</v>
      </c>
      <c r="D11" s="83">
        <v>2519105.4467049497</v>
      </c>
      <c r="E11" s="83">
        <v>434141.46669341688</v>
      </c>
      <c r="F11" s="83">
        <f>SUM(D11:E11)</f>
        <v>2953246.9133983664</v>
      </c>
      <c r="G11" s="84"/>
      <c r="H11" s="86">
        <f>D11/$H$5</f>
        <v>2645046.700292686</v>
      </c>
      <c r="I11" s="86">
        <f>E11/$I$5</f>
        <v>454818.42178458779</v>
      </c>
      <c r="J11" s="83">
        <f>SUM(H11:I11)</f>
        <v>3099865.1220772737</v>
      </c>
      <c r="M11" s="5"/>
      <c r="N11" s="45"/>
    </row>
    <row r="12" spans="1:14" x14ac:dyDescent="0.25">
      <c r="D12" s="29"/>
      <c r="E12" s="29"/>
      <c r="F12" s="29"/>
      <c r="G12" s="27"/>
      <c r="H12" s="33">
        <v>0</v>
      </c>
      <c r="I12" s="33">
        <v>0</v>
      </c>
      <c r="J12" s="34" t="s">
        <v>70</v>
      </c>
      <c r="L12" s="45"/>
      <c r="M12" s="45"/>
    </row>
    <row r="13" spans="1:14" x14ac:dyDescent="0.25">
      <c r="A13" s="55">
        <v>6</v>
      </c>
      <c r="B13" t="s">
        <v>71</v>
      </c>
      <c r="C13" s="41" t="s">
        <v>46</v>
      </c>
      <c r="D13" s="28">
        <f>D9-D10+D11</f>
        <v>-2768519.9431482893</v>
      </c>
      <c r="E13" s="28">
        <f>E9-E10+E11</f>
        <v>-3333100.2385785538</v>
      </c>
      <c r="F13" s="28">
        <f>SUM(D13:E13)</f>
        <v>-6101620.1817268431</v>
      </c>
      <c r="G13" s="27"/>
      <c r="H13" s="28">
        <f>H9-H10+H11</f>
        <v>-2906930.5335738715</v>
      </c>
      <c r="I13" s="28">
        <f>I9-I10+I11</f>
        <v>-3491846.5672173905</v>
      </c>
      <c r="J13" s="28">
        <f>SUM(H13:I13)</f>
        <v>-6398777.1007912625</v>
      </c>
      <c r="L13" s="45"/>
      <c r="M13" s="45"/>
      <c r="N13" s="45"/>
    </row>
    <row r="14" spans="1:14" x14ac:dyDescent="0.25">
      <c r="D14" s="29"/>
      <c r="E14" s="29"/>
      <c r="F14" s="29"/>
      <c r="G14" s="27"/>
      <c r="H14" s="29"/>
      <c r="I14" s="29"/>
      <c r="J14" s="29"/>
    </row>
    <row r="15" spans="1:14" ht="15.75" thickBot="1" x14ac:dyDescent="0.3">
      <c r="A15" s="55">
        <v>7</v>
      </c>
      <c r="B15" t="s">
        <v>47</v>
      </c>
      <c r="C15" s="41" t="s">
        <v>48</v>
      </c>
      <c r="D15" s="30">
        <f>D6+D13</f>
        <v>54357535.446704946</v>
      </c>
      <c r="E15" s="30">
        <f>E6+E13</f>
        <v>17975918.466693416</v>
      </c>
      <c r="F15" s="30">
        <f>SUM(D15:E15)</f>
        <v>72333453.913398355</v>
      </c>
      <c r="G15" s="27"/>
      <c r="H15" s="30">
        <f>H6+H13</f>
        <v>57075109.72095868</v>
      </c>
      <c r="I15" s="30">
        <f>I6+I13</f>
        <v>18832061.653588872</v>
      </c>
      <c r="J15" s="30">
        <f>SUM(H15:I15)</f>
        <v>75907171.374547556</v>
      </c>
    </row>
    <row r="16" spans="1:14" ht="15.75" thickTop="1" x14ac:dyDescent="0.25">
      <c r="D16" s="27"/>
      <c r="E16" s="27"/>
      <c r="F16" s="27"/>
      <c r="G16" s="27"/>
      <c r="H16" s="27"/>
      <c r="I16" s="27"/>
      <c r="J16" s="27"/>
    </row>
    <row r="17" spans="1:11" x14ac:dyDescent="0.25">
      <c r="D17" s="27"/>
      <c r="E17" s="27"/>
      <c r="F17" s="27"/>
      <c r="G17" s="27"/>
      <c r="H17" s="27"/>
      <c r="I17" s="27"/>
      <c r="J17" s="27"/>
    </row>
    <row r="18" spans="1:11" x14ac:dyDescent="0.25">
      <c r="A18" s="55">
        <v>8</v>
      </c>
      <c r="B18" t="s">
        <v>49</v>
      </c>
      <c r="C18" s="41" t="s">
        <v>74</v>
      </c>
      <c r="D18" s="26">
        <f>D15-D19</f>
        <v>40686325.672506221</v>
      </c>
      <c r="E18" s="26">
        <f>E15-E19</f>
        <v>17283645.531315416</v>
      </c>
      <c r="F18" s="26">
        <f>SUM(D18:E18)</f>
        <v>57969971.203821637</v>
      </c>
      <c r="G18" s="27"/>
      <c r="H18" s="26">
        <f>H15-H19</f>
        <v>42720415.537929185</v>
      </c>
      <c r="I18" s="26">
        <f>I15-I19</f>
        <v>18106817.676525623</v>
      </c>
      <c r="J18" s="26">
        <f>SUM(H18:I18)</f>
        <v>60827233.214454807</v>
      </c>
    </row>
    <row r="19" spans="1:11" x14ac:dyDescent="0.25">
      <c r="A19" s="55">
        <v>9</v>
      </c>
      <c r="B19" t="s">
        <v>50</v>
      </c>
      <c r="C19" s="44"/>
      <c r="D19" s="83">
        <v>13671209.774198726</v>
      </c>
      <c r="E19" s="83">
        <v>692272.93537800107</v>
      </c>
      <c r="F19" s="83">
        <f>SUM(D19:E19)</f>
        <v>14363482.709576726</v>
      </c>
      <c r="G19" s="84"/>
      <c r="H19" s="87">
        <f>D19/$H$5</f>
        <v>14354694.183029493</v>
      </c>
      <c r="I19" s="87">
        <f>E19/$I$5</f>
        <v>725243.97706325061</v>
      </c>
      <c r="J19" s="83">
        <f>SUM(H19:I19)</f>
        <v>15079938.160092743</v>
      </c>
    </row>
    <row r="20" spans="1:11" x14ac:dyDescent="0.25">
      <c r="D20" s="29"/>
      <c r="E20" s="29"/>
      <c r="F20" s="29"/>
      <c r="G20" s="27"/>
      <c r="H20" s="29"/>
      <c r="I20" s="29"/>
      <c r="J20" s="29"/>
    </row>
    <row r="21" spans="1:11" ht="15.75" thickBot="1" x14ac:dyDescent="0.3">
      <c r="A21" s="55">
        <v>10</v>
      </c>
      <c r="B21" t="s">
        <v>47</v>
      </c>
      <c r="C21" s="41" t="s">
        <v>51</v>
      </c>
      <c r="D21" s="46">
        <f>SUM(D18:D20)</f>
        <v>54357535.446704946</v>
      </c>
      <c r="E21" s="46">
        <f>SUM(E18:E20)</f>
        <v>17975918.466693416</v>
      </c>
      <c r="F21" s="46">
        <f>SUM(D21:E21)</f>
        <v>72333453.913398355</v>
      </c>
      <c r="H21" s="46">
        <f>SUM(H18:H19)</f>
        <v>57075109.72095868</v>
      </c>
      <c r="I21" s="46">
        <f>SUM(I18:I19)</f>
        <v>18832061.653588872</v>
      </c>
      <c r="J21" s="46">
        <f>SUM(H21:I21)</f>
        <v>75907171.374547556</v>
      </c>
    </row>
    <row r="22" spans="1:11" ht="15.75" thickTop="1" x14ac:dyDescent="0.25">
      <c r="D22" s="27"/>
      <c r="E22" s="27"/>
      <c r="F22" s="27"/>
    </row>
    <row r="23" spans="1:11" x14ac:dyDescent="0.25">
      <c r="D23" s="26"/>
      <c r="E23" s="26"/>
      <c r="F23" s="26"/>
    </row>
    <row r="24" spans="1:11" x14ac:dyDescent="0.25">
      <c r="A24" s="55">
        <v>11</v>
      </c>
      <c r="B24" t="s">
        <v>52</v>
      </c>
    </row>
    <row r="25" spans="1:11" x14ac:dyDescent="0.25">
      <c r="A25" s="55">
        <f>+A24+1</f>
        <v>12</v>
      </c>
      <c r="B25" s="43" t="s">
        <v>53</v>
      </c>
      <c r="D25" s="88">
        <v>-3895229</v>
      </c>
      <c r="E25" s="88">
        <v>-2597486</v>
      </c>
      <c r="F25" s="88">
        <f>SUM(D25:E25)</f>
        <v>-6492715</v>
      </c>
      <c r="G25" s="89"/>
      <c r="H25" s="87">
        <f>D25/$H$5</f>
        <v>-4089968.7731655026</v>
      </c>
      <c r="I25" s="87">
        <f>E25/$I$5</f>
        <v>-2721197.0607770463</v>
      </c>
      <c r="J25" s="88">
        <f>SUM(H25:I25)</f>
        <v>-6811165.8339425493</v>
      </c>
    </row>
    <row r="26" spans="1:11" x14ac:dyDescent="0.25">
      <c r="A26" s="55">
        <f t="shared" ref="A26:A27" si="0">+A25+1</f>
        <v>13</v>
      </c>
      <c r="B26" s="43" t="s">
        <v>54</v>
      </c>
      <c r="D26" s="88">
        <v>1126709.0568517144</v>
      </c>
      <c r="E26" s="88">
        <v>-735614.23857855517</v>
      </c>
      <c r="F26" s="88">
        <f>SUM(D26:E26)</f>
        <v>391094.81827315921</v>
      </c>
      <c r="G26" s="89"/>
      <c r="H26" s="87">
        <f>D26/$H$5</f>
        <v>1183038.2395916304</v>
      </c>
      <c r="I26" s="87">
        <f>E26/$I$5</f>
        <v>-770649.50644034625</v>
      </c>
      <c r="J26" s="88">
        <f>SUM(H26:I26)</f>
        <v>412388.73315128416</v>
      </c>
    </row>
    <row r="27" spans="1:11" ht="15.75" thickBot="1" x14ac:dyDescent="0.3">
      <c r="A27" s="55">
        <f t="shared" si="0"/>
        <v>14</v>
      </c>
      <c r="B27" t="s">
        <v>55</v>
      </c>
      <c r="C27" s="41" t="s">
        <v>130</v>
      </c>
      <c r="D27" s="47">
        <f>SUM(D25:D26)</f>
        <v>-2768519.9431482856</v>
      </c>
      <c r="E27" s="47">
        <f>SUM(E25:E26)</f>
        <v>-3333100.2385785552</v>
      </c>
      <c r="F27" s="47">
        <f>SUM(D27:E27)</f>
        <v>-6101620.1817268413</v>
      </c>
      <c r="H27" s="47">
        <f>SUM(H25:H26)</f>
        <v>-2906930.5335738724</v>
      </c>
      <c r="I27" s="47">
        <f>SUM(I25:I26)</f>
        <v>-3491846.5672173924</v>
      </c>
      <c r="J27" s="47">
        <f>SUM(H27:I27)</f>
        <v>-6398777.1007912643</v>
      </c>
    </row>
    <row r="28" spans="1:11" ht="15.75" thickTop="1" x14ac:dyDescent="0.25">
      <c r="D28" s="48">
        <f>D27-D13</f>
        <v>3.7252902984619141E-9</v>
      </c>
      <c r="E28" s="48">
        <f>E27-E13</f>
        <v>0</v>
      </c>
      <c r="F28" s="48">
        <f>F27-F13</f>
        <v>0</v>
      </c>
      <c r="G28" s="49"/>
      <c r="H28" s="50">
        <f>H27-H13</f>
        <v>0</v>
      </c>
      <c r="I28" s="48">
        <f>I27-I13</f>
        <v>0</v>
      </c>
      <c r="J28" s="48">
        <f>J27-J13</f>
        <v>0</v>
      </c>
      <c r="K28" s="49"/>
    </row>
    <row r="29" spans="1:11" x14ac:dyDescent="0.25">
      <c r="D29" s="85"/>
      <c r="E29" s="85"/>
      <c r="H29" s="3"/>
      <c r="I29" s="3"/>
      <c r="J29" s="3"/>
    </row>
    <row r="30" spans="1:11" x14ac:dyDescent="0.25">
      <c r="A30" s="55">
        <f>+A27+1</f>
        <v>15</v>
      </c>
      <c r="B30" s="51" t="s">
        <v>58</v>
      </c>
      <c r="C30" s="41" t="s">
        <v>131</v>
      </c>
      <c r="H30" s="52">
        <f>H27/H6</f>
        <v>-4.8463348716355305E-2</v>
      </c>
      <c r="I30" s="52">
        <f>I27/I6</f>
        <v>-0.1564173500750613</v>
      </c>
    </row>
    <row r="31" spans="1:11" x14ac:dyDescent="0.25">
      <c r="A31" s="55">
        <f>+A30+1</f>
        <v>16</v>
      </c>
      <c r="B31" s="51" t="s">
        <v>59</v>
      </c>
      <c r="H31" s="55" t="str">
        <f>IF(ABS(H30)&gt;1%,"yes","no")</f>
        <v>yes</v>
      </c>
      <c r="I31" s="55" t="str">
        <f>IF(ABS(I30)&gt;1%,"yes","no")</f>
        <v>yes</v>
      </c>
    </row>
    <row r="32" spans="1:11" x14ac:dyDescent="0.25">
      <c r="A32" s="55">
        <f t="shared" ref="A32:A33" si="1">+A31+1</f>
        <v>17</v>
      </c>
      <c r="B32" s="53" t="s">
        <v>60</v>
      </c>
    </row>
    <row r="33" spans="1:2" x14ac:dyDescent="0.25">
      <c r="A33" s="55">
        <f t="shared" si="1"/>
        <v>18</v>
      </c>
      <c r="B33" s="53" t="s">
        <v>61</v>
      </c>
    </row>
    <row r="35" spans="1:2" x14ac:dyDescent="0.25">
      <c r="B35" s="54"/>
    </row>
    <row r="36" spans="1:2" x14ac:dyDescent="0.25">
      <c r="B36" s="54"/>
    </row>
  </sheetData>
  <pageMargins left="0.7" right="0.7" top="0.75" bottom="0.75" header="0.3" footer="0.3"/>
  <pageSetup scale="85" orientation="landscape" blackAndWhite="1" r:id="rId1"/>
  <headerFooter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90" zoomScaleNormal="90" workbookViewId="0">
      <selection activeCell="L30" sqref="L30"/>
    </sheetView>
  </sheetViews>
  <sheetFormatPr defaultColWidth="9.140625" defaultRowHeight="15" x14ac:dyDescent="0.25"/>
  <cols>
    <col min="1" max="1" width="19.85546875" style="9" customWidth="1"/>
    <col min="2" max="13" width="13.140625" style="9" customWidth="1"/>
    <col min="14" max="14" width="13.85546875" style="9" customWidth="1"/>
    <col min="15" max="16384" width="9.140625" style="9"/>
  </cols>
  <sheetData>
    <row r="1" spans="1:14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231" t="s">
        <v>75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x14ac:dyDescent="0.25">
      <c r="A3" s="231" t="s">
        <v>69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4" x14ac:dyDescent="0.25">
      <c r="A4" s="231" t="s">
        <v>77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x14ac:dyDescent="0.25">
      <c r="A7" s="180" t="s">
        <v>33</v>
      </c>
      <c r="B7" s="196">
        <v>43952</v>
      </c>
      <c r="C7" s="197">
        <f>EDATE(B7,1)</f>
        <v>43983</v>
      </c>
      <c r="D7" s="197">
        <f t="shared" ref="D7:M7" si="0">EDATE(C7,1)</f>
        <v>44013</v>
      </c>
      <c r="E7" s="197">
        <f t="shared" si="0"/>
        <v>44044</v>
      </c>
      <c r="F7" s="197">
        <f t="shared" si="0"/>
        <v>44075</v>
      </c>
      <c r="G7" s="197">
        <f t="shared" si="0"/>
        <v>44105</v>
      </c>
      <c r="H7" s="197">
        <f t="shared" si="0"/>
        <v>44136</v>
      </c>
      <c r="I7" s="197">
        <f t="shared" si="0"/>
        <v>44166</v>
      </c>
      <c r="J7" s="197">
        <f t="shared" si="0"/>
        <v>44197</v>
      </c>
      <c r="K7" s="197">
        <f t="shared" si="0"/>
        <v>44228</v>
      </c>
      <c r="L7" s="197">
        <f t="shared" si="0"/>
        <v>44256</v>
      </c>
      <c r="M7" s="197">
        <f t="shared" si="0"/>
        <v>44287</v>
      </c>
      <c r="N7" s="15" t="s">
        <v>29</v>
      </c>
    </row>
    <row r="8" spans="1:14" x14ac:dyDescent="0.25">
      <c r="A8" s="32">
        <v>16</v>
      </c>
      <c r="B8" s="198">
        <v>547</v>
      </c>
      <c r="C8" s="198">
        <v>568</v>
      </c>
      <c r="D8" s="198">
        <v>722</v>
      </c>
      <c r="E8" s="198">
        <v>772</v>
      </c>
      <c r="F8" s="198">
        <v>938</v>
      </c>
      <c r="G8" s="198">
        <v>983</v>
      </c>
      <c r="H8" s="198">
        <v>833</v>
      </c>
      <c r="I8" s="198">
        <v>881</v>
      </c>
      <c r="J8" s="198">
        <v>791</v>
      </c>
      <c r="K8" s="198">
        <v>585</v>
      </c>
      <c r="L8" s="198">
        <v>688</v>
      </c>
      <c r="M8" s="198">
        <v>630</v>
      </c>
      <c r="N8" s="22">
        <f t="shared" ref="N8:N21" si="1">SUM(B8:M8)</f>
        <v>8938</v>
      </c>
    </row>
    <row r="9" spans="1:14" x14ac:dyDescent="0.25">
      <c r="A9" s="32">
        <v>23</v>
      </c>
      <c r="B9" s="198">
        <v>30239481</v>
      </c>
      <c r="C9" s="198">
        <v>19650181</v>
      </c>
      <c r="D9" s="198">
        <v>13603679</v>
      </c>
      <c r="E9" s="198">
        <v>12609707</v>
      </c>
      <c r="F9" s="198">
        <v>18059370</v>
      </c>
      <c r="G9" s="198">
        <v>43107059</v>
      </c>
      <c r="H9" s="198">
        <v>77508480</v>
      </c>
      <c r="I9" s="198">
        <v>100995168</v>
      </c>
      <c r="J9" s="198">
        <v>94457524</v>
      </c>
      <c r="K9" s="198">
        <v>80460447</v>
      </c>
      <c r="L9" s="198">
        <v>71703960</v>
      </c>
      <c r="M9" s="198">
        <v>51601945</v>
      </c>
      <c r="N9" s="22">
        <f t="shared" si="1"/>
        <v>613997001</v>
      </c>
    </row>
    <row r="10" spans="1:14" x14ac:dyDescent="0.25">
      <c r="A10" s="32">
        <v>53</v>
      </c>
      <c r="B10" s="198">
        <v>0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22">
        <f t="shared" si="1"/>
        <v>0</v>
      </c>
    </row>
    <row r="11" spans="1:14" x14ac:dyDescent="0.25">
      <c r="A11" s="32">
        <v>31</v>
      </c>
      <c r="B11" s="198">
        <v>13510430</v>
      </c>
      <c r="C11" s="198">
        <v>10184956</v>
      </c>
      <c r="D11" s="198">
        <v>8537822</v>
      </c>
      <c r="E11" s="198">
        <v>9007280</v>
      </c>
      <c r="F11" s="198">
        <v>10593088</v>
      </c>
      <c r="G11" s="198">
        <v>17530246</v>
      </c>
      <c r="H11" s="198">
        <v>27458935</v>
      </c>
      <c r="I11" s="198">
        <v>35067078</v>
      </c>
      <c r="J11" s="198">
        <v>33451740</v>
      </c>
      <c r="K11" s="198">
        <v>28704679</v>
      </c>
      <c r="L11" s="198">
        <v>26362628</v>
      </c>
      <c r="M11" s="198">
        <v>19810568</v>
      </c>
      <c r="N11" s="22">
        <f t="shared" si="1"/>
        <v>240219450</v>
      </c>
    </row>
    <row r="12" spans="1:14" x14ac:dyDescent="0.25">
      <c r="A12" s="32">
        <v>41</v>
      </c>
      <c r="B12" s="198">
        <v>4431574</v>
      </c>
      <c r="C12" s="198">
        <v>3879618</v>
      </c>
      <c r="D12" s="198">
        <v>3234618</v>
      </c>
      <c r="E12" s="198">
        <v>3199761</v>
      </c>
      <c r="F12" s="198">
        <v>3767734</v>
      </c>
      <c r="G12" s="198">
        <v>5689245</v>
      </c>
      <c r="H12" s="198">
        <v>7374436</v>
      </c>
      <c r="I12" s="198">
        <v>8250931</v>
      </c>
      <c r="J12" s="198">
        <v>7735041</v>
      </c>
      <c r="K12" s="198">
        <v>6950161</v>
      </c>
      <c r="L12" s="198">
        <v>6676729</v>
      </c>
      <c r="M12" s="198">
        <v>5626046</v>
      </c>
      <c r="N12" s="22">
        <f t="shared" si="1"/>
        <v>66815894</v>
      </c>
    </row>
    <row r="13" spans="1:14" x14ac:dyDescent="0.25">
      <c r="A13" s="32">
        <v>85</v>
      </c>
      <c r="B13" s="198">
        <v>1006267</v>
      </c>
      <c r="C13" s="198">
        <v>817698</v>
      </c>
      <c r="D13" s="198">
        <v>759958</v>
      </c>
      <c r="E13" s="198">
        <v>776099</v>
      </c>
      <c r="F13" s="198">
        <v>885782</v>
      </c>
      <c r="G13" s="198">
        <v>1127530</v>
      </c>
      <c r="H13" s="198">
        <v>1436976</v>
      </c>
      <c r="I13" s="198">
        <v>1674199</v>
      </c>
      <c r="J13" s="198">
        <v>1796945</v>
      </c>
      <c r="K13" s="198">
        <v>1642894</v>
      </c>
      <c r="L13" s="198">
        <v>1556518</v>
      </c>
      <c r="M13" s="198">
        <v>1358099</v>
      </c>
      <c r="N13" s="22">
        <f t="shared" si="1"/>
        <v>14838965</v>
      </c>
    </row>
    <row r="14" spans="1:14" x14ac:dyDescent="0.25">
      <c r="A14" s="32">
        <v>86</v>
      </c>
      <c r="B14" s="198">
        <v>590633</v>
      </c>
      <c r="C14" s="198">
        <v>416120</v>
      </c>
      <c r="D14" s="198">
        <v>228797</v>
      </c>
      <c r="E14" s="198">
        <v>160800</v>
      </c>
      <c r="F14" s="198">
        <v>225238</v>
      </c>
      <c r="G14" s="198">
        <v>534889</v>
      </c>
      <c r="H14" s="198">
        <v>729235</v>
      </c>
      <c r="I14" s="198">
        <v>1004936</v>
      </c>
      <c r="J14" s="198">
        <v>944841</v>
      </c>
      <c r="K14" s="198">
        <v>882671</v>
      </c>
      <c r="L14" s="198">
        <v>869939</v>
      </c>
      <c r="M14" s="198">
        <v>778012</v>
      </c>
      <c r="N14" s="22">
        <f t="shared" si="1"/>
        <v>7366111</v>
      </c>
    </row>
    <row r="15" spans="1:14" x14ac:dyDescent="0.25">
      <c r="A15" s="32">
        <v>87</v>
      </c>
      <c r="B15" s="198">
        <v>1493313</v>
      </c>
      <c r="C15" s="198">
        <v>1203069</v>
      </c>
      <c r="D15" s="198">
        <v>1178052</v>
      </c>
      <c r="E15" s="198">
        <v>1166252</v>
      </c>
      <c r="F15" s="198">
        <v>1364390</v>
      </c>
      <c r="G15" s="198">
        <v>2282036</v>
      </c>
      <c r="H15" s="198">
        <v>2312808</v>
      </c>
      <c r="I15" s="198">
        <v>2774416</v>
      </c>
      <c r="J15" s="198">
        <v>2537741</v>
      </c>
      <c r="K15" s="198">
        <v>2202673</v>
      </c>
      <c r="L15" s="198">
        <v>2161010</v>
      </c>
      <c r="M15" s="198">
        <v>1616361</v>
      </c>
      <c r="N15" s="22">
        <f t="shared" si="1"/>
        <v>22292121</v>
      </c>
    </row>
    <row r="16" spans="1:14" x14ac:dyDescent="0.25">
      <c r="A16" s="32" t="s">
        <v>56</v>
      </c>
      <c r="B16" s="198">
        <v>1318</v>
      </c>
      <c r="C16" s="198">
        <v>1074</v>
      </c>
      <c r="D16" s="198">
        <v>988</v>
      </c>
      <c r="E16" s="198">
        <v>1196</v>
      </c>
      <c r="F16" s="198">
        <v>1419</v>
      </c>
      <c r="G16" s="198">
        <v>1976</v>
      </c>
      <c r="H16" s="198">
        <v>2691</v>
      </c>
      <c r="I16" s="198">
        <v>3828</v>
      </c>
      <c r="J16" s="198">
        <v>2789</v>
      </c>
      <c r="K16" s="198">
        <v>2334</v>
      </c>
      <c r="L16" s="198">
        <v>2163</v>
      </c>
      <c r="M16" s="198">
        <v>1650</v>
      </c>
      <c r="N16" s="22">
        <f t="shared" si="1"/>
        <v>23426</v>
      </c>
    </row>
    <row r="17" spans="1:14" x14ac:dyDescent="0.25">
      <c r="A17" s="32" t="s">
        <v>34</v>
      </c>
      <c r="B17" s="198">
        <v>1902631</v>
      </c>
      <c r="C17" s="198">
        <v>1843449</v>
      </c>
      <c r="D17" s="198">
        <v>1673494</v>
      </c>
      <c r="E17" s="198">
        <v>1815027</v>
      </c>
      <c r="F17" s="198">
        <v>1816441</v>
      </c>
      <c r="G17" s="198">
        <v>1905205</v>
      </c>
      <c r="H17" s="198">
        <v>2168554</v>
      </c>
      <c r="I17" s="198">
        <v>2345275</v>
      </c>
      <c r="J17" s="198">
        <v>2280174</v>
      </c>
      <c r="K17" s="198">
        <v>2107959</v>
      </c>
      <c r="L17" s="198">
        <v>2237810</v>
      </c>
      <c r="M17" s="198">
        <v>2026202</v>
      </c>
      <c r="N17" s="22">
        <f t="shared" si="1"/>
        <v>24122221</v>
      </c>
    </row>
    <row r="18" spans="1:14" x14ac:dyDescent="0.25">
      <c r="A18" s="32" t="s">
        <v>35</v>
      </c>
      <c r="B18" s="198">
        <v>6540858</v>
      </c>
      <c r="C18" s="198">
        <v>6167214</v>
      </c>
      <c r="D18" s="198">
        <v>5711236</v>
      </c>
      <c r="E18" s="198">
        <v>6299449</v>
      </c>
      <c r="F18" s="198">
        <v>6282052</v>
      </c>
      <c r="G18" s="198">
        <v>6412424</v>
      </c>
      <c r="H18" s="198">
        <v>7142047</v>
      </c>
      <c r="I18" s="198">
        <v>6430515</v>
      </c>
      <c r="J18" s="198">
        <v>6778437</v>
      </c>
      <c r="K18" s="198">
        <v>6428153</v>
      </c>
      <c r="L18" s="198">
        <v>6883350</v>
      </c>
      <c r="M18" s="198">
        <v>6967989</v>
      </c>
      <c r="N18" s="22">
        <f t="shared" si="1"/>
        <v>78043724</v>
      </c>
    </row>
    <row r="19" spans="1:14" x14ac:dyDescent="0.25">
      <c r="A19" s="32" t="s">
        <v>57</v>
      </c>
      <c r="B19" s="198">
        <v>15716</v>
      </c>
      <c r="C19" s="198">
        <v>16567</v>
      </c>
      <c r="D19" s="198">
        <v>12849</v>
      </c>
      <c r="E19" s="198">
        <v>12055</v>
      </c>
      <c r="F19" s="198">
        <v>7533</v>
      </c>
      <c r="G19" s="198">
        <v>11259</v>
      </c>
      <c r="H19" s="198">
        <v>25678</v>
      </c>
      <c r="I19" s="198">
        <v>25984</v>
      </c>
      <c r="J19" s="198">
        <v>26357</v>
      </c>
      <c r="K19" s="198">
        <v>24985</v>
      </c>
      <c r="L19" s="198">
        <v>25135</v>
      </c>
      <c r="M19" s="198">
        <v>19297</v>
      </c>
      <c r="N19" s="22">
        <f t="shared" si="1"/>
        <v>223415</v>
      </c>
    </row>
    <row r="20" spans="1:14" x14ac:dyDescent="0.25">
      <c r="A20" s="32" t="s">
        <v>36</v>
      </c>
      <c r="B20" s="198">
        <v>8505325</v>
      </c>
      <c r="C20" s="198">
        <v>7903478</v>
      </c>
      <c r="D20" s="198">
        <v>8411108</v>
      </c>
      <c r="E20" s="198">
        <v>8049630</v>
      </c>
      <c r="F20" s="198">
        <v>8115445</v>
      </c>
      <c r="G20" s="198">
        <v>8293331</v>
      </c>
      <c r="H20" s="198">
        <v>8044592</v>
      </c>
      <c r="I20" s="198">
        <v>8959742</v>
      </c>
      <c r="J20" s="198">
        <v>8955641</v>
      </c>
      <c r="K20" s="198">
        <v>8210473</v>
      </c>
      <c r="L20" s="198">
        <v>9287160</v>
      </c>
      <c r="M20" s="198">
        <v>7956602</v>
      </c>
      <c r="N20" s="22">
        <f t="shared" si="1"/>
        <v>100692527</v>
      </c>
    </row>
    <row r="21" spans="1:14" x14ac:dyDescent="0.25">
      <c r="A21" s="179" t="s">
        <v>26</v>
      </c>
      <c r="B21" s="198">
        <v>2632073</v>
      </c>
      <c r="C21" s="198">
        <v>2155815</v>
      </c>
      <c r="D21" s="198">
        <v>1841842</v>
      </c>
      <c r="E21" s="198">
        <v>1896174</v>
      </c>
      <c r="F21" s="198">
        <v>1990400</v>
      </c>
      <c r="G21" s="198">
        <v>2526162</v>
      </c>
      <c r="H21" s="198">
        <v>3804431</v>
      </c>
      <c r="I21" s="198">
        <v>4203999</v>
      </c>
      <c r="J21" s="198">
        <v>4311490</v>
      </c>
      <c r="K21" s="198">
        <v>3874942</v>
      </c>
      <c r="L21" s="198">
        <v>3877190</v>
      </c>
      <c r="M21" s="198">
        <v>3017312</v>
      </c>
      <c r="N21" s="22">
        <f t="shared" si="1"/>
        <v>36131830</v>
      </c>
    </row>
    <row r="22" spans="1:14" x14ac:dyDescent="0.25">
      <c r="A22" s="32" t="s">
        <v>29</v>
      </c>
      <c r="B22" s="19">
        <f>SUM(B8:B21)</f>
        <v>70870166</v>
      </c>
      <c r="C22" s="19">
        <f t="shared" ref="C22:M22" si="2">SUM(C8:C21)</f>
        <v>54239807</v>
      </c>
      <c r="D22" s="19">
        <f t="shared" si="2"/>
        <v>45195165</v>
      </c>
      <c r="E22" s="19">
        <f t="shared" si="2"/>
        <v>44994202</v>
      </c>
      <c r="F22" s="19">
        <f t="shared" si="2"/>
        <v>53109830</v>
      </c>
      <c r="G22" s="19">
        <f t="shared" si="2"/>
        <v>89422345</v>
      </c>
      <c r="H22" s="19">
        <f t="shared" si="2"/>
        <v>138009696</v>
      </c>
      <c r="I22" s="19">
        <f t="shared" si="2"/>
        <v>171736952</v>
      </c>
      <c r="J22" s="19">
        <f t="shared" si="2"/>
        <v>163279511</v>
      </c>
      <c r="K22" s="19">
        <f t="shared" si="2"/>
        <v>141492956</v>
      </c>
      <c r="L22" s="19">
        <f t="shared" si="2"/>
        <v>131644280</v>
      </c>
      <c r="M22" s="19">
        <f t="shared" si="2"/>
        <v>100780713</v>
      </c>
      <c r="N22" s="19">
        <f>SUM(N8:N21)</f>
        <v>1204775623</v>
      </c>
    </row>
    <row r="23" spans="1:14" x14ac:dyDescent="0.25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53" t="s">
        <v>125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3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2A9940C441B84A8C5B289C696E2F16" ma:contentTypeVersion="52" ma:contentTypeDescription="" ma:contentTypeScope="" ma:versionID="db0e332abe14b468aa2de792b1a18c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2020-03-25T07:00:00+00:00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200270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FF6103-19F8-448C-9C73-1BAAE5FEEC2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D899B75-1E5D-4CCF-B6C5-B1FC563760F3}"/>
</file>

<file path=customXml/itemProps3.xml><?xml version="1.0" encoding="utf-8"?>
<ds:datastoreItem xmlns:ds="http://schemas.openxmlformats.org/officeDocument/2006/customXml" ds:itemID="{9C6D7A59-2C19-414C-85B2-66A8D20EEAC6}"/>
</file>

<file path=customXml/itemProps4.xml><?xml version="1.0" encoding="utf-8"?>
<ds:datastoreItem xmlns:ds="http://schemas.openxmlformats.org/officeDocument/2006/customXml" ds:itemID="{9AC6FD75-1D05-4F7D-93D2-A29E3495E3D4}"/>
</file>

<file path=customXml/itemProps5.xml><?xml version="1.0" encoding="utf-8"?>
<ds:datastoreItem xmlns:ds="http://schemas.openxmlformats.org/officeDocument/2006/customXml" ds:itemID="{1A6244D3-F3FF-46D7-A655-3ADE9220D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Sch. 140 Rates</vt:lpstr>
      <vt:lpstr>Allocation Factors</vt:lpstr>
      <vt:lpstr>Rate Impacts--&gt;</vt:lpstr>
      <vt:lpstr>Rate Impacts Sch140</vt:lpstr>
      <vt:lpstr>Typical Res Bill Sch140</vt:lpstr>
      <vt:lpstr>Schedule 140</vt:lpstr>
      <vt:lpstr>Workpapers--&gt;</vt:lpstr>
      <vt:lpstr>2020 Rev Req Estimate</vt:lpstr>
      <vt:lpstr>Therm Forecast</vt:lpstr>
      <vt:lpstr>Rental Forecast</vt:lpstr>
      <vt:lpstr>'Allocation Factors'!Print_Area</vt:lpstr>
      <vt:lpstr>'Rate Impacts Sch140'!Print_Area</vt:lpstr>
      <vt:lpstr>'Sch. 140 Rates'!Print_Area</vt:lpstr>
      <vt:lpstr>'Schedule 140'!Print_Area</vt:lpstr>
      <vt:lpstr>'Therm Forecast'!Print_Area</vt:lpstr>
      <vt:lpstr>'Typical Res Bill Sch140'!Print_Area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Xu</dc:creator>
  <cp:lastModifiedBy>Puget Sound Energy</cp:lastModifiedBy>
  <cp:lastPrinted>2020-03-04T23:10:29Z</cp:lastPrinted>
  <dcterms:created xsi:type="dcterms:W3CDTF">2012-11-20T18:48:04Z</dcterms:created>
  <dcterms:modified xsi:type="dcterms:W3CDTF">2020-03-24T20:20:26Z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0x0101006E56B4D1795A2E4DB2F0B01679ED314A004B2A9940C441B84A8C5B289C696E2F16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