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5.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Conservation-All\2020\2019 Electric Rider\"/>
    </mc:Choice>
  </mc:AlternateContent>
  <bookViews>
    <workbookView xWindow="360" yWindow="372" windowWidth="18540" windowHeight="10512" tabRatio="798"/>
  </bookViews>
  <sheets>
    <sheet name="Read First" sheetId="113" r:id="rId1"/>
    <sheet name="CurYr (CY) vs. PriorYr (PY) ==&gt;" sheetId="104" r:id="rId2"/>
    <sheet name="Summary" sheetId="100" r:id="rId3"/>
    <sheet name="Variance Analysis" sheetId="99" r:id="rId4"/>
    <sheet name="PY True-up " sheetId="109" r:id="rId5"/>
    <sheet name="Info to Calc CY ==&gt;" sheetId="105" r:id="rId6"/>
    <sheet name="CY Rev Req ==&gt;" sheetId="107" r:id="rId7"/>
    <sheet name="CY Rev Req Non-449" sheetId="98" r:id="rId8"/>
    <sheet name="CY Rev Remove 449" sheetId="96" r:id="rId9"/>
    <sheet name="2020 Budget (Rvsd) UE-190905" sheetId="116" r:id="rId10"/>
    <sheet name="CY Conv Fctr (2017 GRC Tx Rfrm)" sheetId="85" r:id="rId11"/>
    <sheet name="Calculate CY True-Up ==&gt;" sheetId="106" r:id="rId12"/>
    <sheet name="CY True-Up" sheetId="95" r:id="rId13"/>
    <sheet name="18-19 Load True-Up ==&gt;" sheetId="108" r:id="rId14"/>
    <sheet name="PY Rev Req Non-449 (UE-190149)" sheetId="97" r:id="rId15"/>
    <sheet name="2019 Collections" sheetId="89" r:id="rId16"/>
    <sheet name="AC 1820621" sheetId="84" r:id="rId17"/>
    <sheet name="PY COS" sheetId="118" r:id="rId18"/>
    <sheet name="F2019 Load Forecast" sheetId="76" r:id="rId19"/>
    <sheet name="258 Cons Tbl 19-20" sheetId="114" r:id="rId20"/>
    <sheet name="18-19 Spend Variance ==&gt;" sheetId="110" r:id="rId21"/>
    <sheet name="2019 Budget UE-171087" sheetId="117" r:id="rId22"/>
    <sheet name="PY Actual Program Costs" sheetId="86" r:id="rId23"/>
    <sheet name="True-up Est in PY Filing ==&gt;" sheetId="111" r:id="rId24"/>
    <sheet name="PY Est - Actual v Est" sheetId="91" r:id="rId25"/>
    <sheet name="Estimate Used in PY Filing" sheetId="88" r:id="rId26"/>
    <sheet name="Act Sch 120 Collctns Feb-Apr 19" sheetId="119" r:id="rId27"/>
  </sheets>
  <externalReferences>
    <externalReference r:id="rId28"/>
    <externalReference r:id="rId29"/>
    <externalReference r:id="rId30"/>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A" hidden="1">[1]Inputs!#REF!</definedName>
    <definedName name="__123Graph_B" hidden="1">[1]Inputs!#REF!</definedName>
    <definedName name="__123Graph_D" hidden="1">#REF!</definedName>
    <definedName name="__123Graph_ECURRENT" hidden="1">[2]ConsolidatingPL!#REF!</definedName>
    <definedName name="__six6" hidden="1">{#N/A,#N/A,FALSE,"CRPT";#N/A,#N/A,FALSE,"TREND";#N/A,#N/A,FALSE,"%Curve"}</definedName>
    <definedName name="__www1" hidden="1">{#N/A,#N/A,FALSE,"schA"}</definedName>
    <definedName name="_ex1" hidden="1">{#N/A,#N/A,FALSE,"Summ";#N/A,#N/A,FALSE,"General"}</definedName>
    <definedName name="_Fill" hidden="1">#REF!</definedName>
    <definedName name="_Key1" hidden="1">#REF!</definedName>
    <definedName name="_Key2" hidden="1">#REF!</definedName>
    <definedName name="_new1" hidden="1">{#N/A,#N/A,FALSE,"Summ";#N/A,#N/A,FALSE,"General"}</definedName>
    <definedName name="_six6" hidden="1">{#N/A,#N/A,FALSE,"CRPT";#N/A,#N/A,FALSE,"TREND";#N/A,#N/A,FALSE,"%Curve"}</definedName>
    <definedName name="_Sort" hidden="1">#REF!</definedName>
    <definedName name="_www1" hidden="1">{#N/A,#N/A,FALSE,"schA"}</definedName>
    <definedName name="a" hidden="1">{#N/A,#N/A,FALSE,"Coversheet";#N/A,#N/A,FALSE,"QA"}</definedName>
    <definedName name="AAAAAAAAAAAAAA"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[3]ZZCOOM_M03_Q005!#REF!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[3]ZZCOOM_M03_Q005!#REF!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[3]ZZCOOM_M03_Q005!#REF!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[3]ZZCOOM_M03_Q005!#REF!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[3]ZZCOOM_M03_Q005!#REF!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[3]ZZCOOM_M03_Q005!#REF!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UDE" hidden="1">#REF!</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62913"/>
</workbook>
</file>

<file path=xl/calcChain.xml><?xml version="1.0" encoding="utf-8"?>
<calcChain xmlns="http://schemas.openxmlformats.org/spreadsheetml/2006/main">
  <c r="I9" i="91" l="1"/>
  <c r="I8" i="91"/>
  <c r="I7" i="91"/>
  <c r="B5" i="119"/>
  <c r="C5" i="119"/>
  <c r="D5" i="119"/>
  <c r="B16" i="119"/>
  <c r="B20" i="119" s="1"/>
  <c r="C16" i="119"/>
  <c r="D16" i="119"/>
  <c r="D20" i="119" s="1"/>
  <c r="C20" i="119"/>
  <c r="B26" i="119"/>
  <c r="C26" i="119"/>
  <c r="C28" i="119" s="1"/>
  <c r="D26" i="119"/>
  <c r="B28" i="119" l="1"/>
  <c r="D28" i="119"/>
  <c r="B24" i="89" l="1"/>
  <c r="B23" i="89"/>
  <c r="E32" i="89"/>
  <c r="E30" i="89"/>
  <c r="E28" i="89"/>
  <c r="B26" i="89"/>
  <c r="A7" i="118"/>
  <c r="G7" i="118"/>
  <c r="H7" i="118"/>
  <c r="I7" i="118"/>
  <c r="L7" i="118"/>
  <c r="A8" i="118"/>
  <c r="A9" i="118"/>
  <c r="A10" i="118" s="1"/>
  <c r="A11" i="118" s="1"/>
  <c r="A12" i="118" s="1"/>
  <c r="A13" i="118" s="1"/>
  <c r="A14" i="118" s="1"/>
  <c r="A15" i="118" s="1"/>
  <c r="A16" i="118" s="1"/>
  <c r="A17" i="118" s="1"/>
  <c r="A18" i="118" s="1"/>
  <c r="A19" i="118" s="1"/>
  <c r="A20" i="118" s="1"/>
  <c r="A21" i="118" s="1"/>
  <c r="A22" i="118" s="1"/>
  <c r="A23" i="118" s="1"/>
  <c r="A24" i="118" s="1"/>
  <c r="A25" i="118" s="1"/>
  <c r="A26" i="118" s="1"/>
  <c r="A27" i="118" s="1"/>
  <c r="A28" i="118" s="1"/>
  <c r="A29" i="118" s="1"/>
  <c r="A30" i="118" s="1"/>
  <c r="A31" i="118" s="1"/>
  <c r="A32" i="118" s="1"/>
  <c r="A33" i="118" s="1"/>
  <c r="G9" i="118"/>
  <c r="H9" i="118" s="1"/>
  <c r="L9" i="118"/>
  <c r="G10" i="118"/>
  <c r="H10" i="118"/>
  <c r="I10" i="118" s="1"/>
  <c r="L10" i="118"/>
  <c r="K10" i="118" s="1"/>
  <c r="G11" i="118"/>
  <c r="H11" i="118" s="1"/>
  <c r="L11" i="118"/>
  <c r="G12" i="118"/>
  <c r="H12" i="118"/>
  <c r="I12" i="118" s="1"/>
  <c r="L12" i="118"/>
  <c r="D14" i="118"/>
  <c r="E14" i="118"/>
  <c r="E33" i="118" s="1"/>
  <c r="F14" i="118"/>
  <c r="G16" i="118"/>
  <c r="H16" i="118"/>
  <c r="K16" i="118" s="1"/>
  <c r="I16" i="118"/>
  <c r="L16" i="118"/>
  <c r="G17" i="118"/>
  <c r="H17" i="118" s="1"/>
  <c r="L17" i="118"/>
  <c r="G18" i="118"/>
  <c r="H18" i="118" s="1"/>
  <c r="L18" i="118"/>
  <c r="D20" i="118"/>
  <c r="F20" i="118" s="1"/>
  <c r="E20" i="118"/>
  <c r="G22" i="118"/>
  <c r="H22" i="118" s="1"/>
  <c r="L22" i="118"/>
  <c r="G24" i="118"/>
  <c r="H24" i="118" s="1"/>
  <c r="L24" i="118"/>
  <c r="K24" i="118" s="1"/>
  <c r="G25" i="118"/>
  <c r="H25" i="118" s="1"/>
  <c r="L25" i="118"/>
  <c r="D27" i="118"/>
  <c r="F27" i="118" s="1"/>
  <c r="E27" i="118"/>
  <c r="G29" i="118"/>
  <c r="H29" i="118" s="1"/>
  <c r="L29" i="118"/>
  <c r="G31" i="118"/>
  <c r="H31" i="118" s="1"/>
  <c r="I31" i="118" s="1"/>
  <c r="L31" i="118"/>
  <c r="K31" i="118" s="1"/>
  <c r="D33" i="118"/>
  <c r="D46" i="118" s="1"/>
  <c r="D48" i="118" s="1"/>
  <c r="M33" i="118"/>
  <c r="N33" i="118"/>
  <c r="H40" i="118"/>
  <c r="D47" i="118"/>
  <c r="K25" i="118" l="1"/>
  <c r="I25" i="118"/>
  <c r="K18" i="118"/>
  <c r="I18" i="118"/>
  <c r="F33" i="118"/>
  <c r="G27" i="118"/>
  <c r="G20" i="118"/>
  <c r="G33" i="118" s="1"/>
  <c r="L33" i="118"/>
  <c r="G14" i="118"/>
  <c r="K12" i="118"/>
  <c r="K7" i="118"/>
  <c r="H27" i="118"/>
  <c r="I27" i="118" s="1"/>
  <c r="I24" i="118"/>
  <c r="H20" i="118"/>
  <c r="I20" i="118" s="1"/>
  <c r="I17" i="118"/>
  <c r="H47" i="118"/>
  <c r="F47" i="118" s="1"/>
  <c r="G47" i="118" s="1"/>
  <c r="I29" i="118"/>
  <c r="K29" i="118"/>
  <c r="I22" i="118"/>
  <c r="K22" i="118"/>
  <c r="K9" i="118"/>
  <c r="H14" i="118"/>
  <c r="I9" i="118"/>
  <c r="I11" i="118"/>
  <c r="K11" i="118"/>
  <c r="K17" i="118"/>
  <c r="K33" i="118" l="1"/>
  <c r="H33" i="118"/>
  <c r="I14" i="118"/>
  <c r="H41" i="118" l="1"/>
  <c r="H46" i="118"/>
  <c r="I33" i="118"/>
  <c r="H48" i="118" l="1"/>
  <c r="F48" i="118" s="1"/>
  <c r="F50" i="118" s="1"/>
  <c r="F46" i="118"/>
  <c r="G46" i="118" s="1"/>
  <c r="G8" i="117" l="1"/>
  <c r="H8" i="117"/>
  <c r="K7" i="117" s="1" a="1"/>
  <c r="I8" i="117"/>
  <c r="I22" i="117" s="1"/>
  <c r="I71" i="117" s="1"/>
  <c r="I79" i="117" s="1"/>
  <c r="J8" i="117"/>
  <c r="J22" i="117" s="1"/>
  <c r="G22" i="117"/>
  <c r="H22" i="117"/>
  <c r="K2" i="117" s="1"/>
  <c r="K25" i="117" a="1"/>
  <c r="K25" i="117" s="1"/>
  <c r="G28" i="117"/>
  <c r="G33" i="117" s="1"/>
  <c r="G71" i="117" s="1"/>
  <c r="G79" i="117" s="1"/>
  <c r="G80" i="117" s="1"/>
  <c r="H28" i="117"/>
  <c r="H33" i="117"/>
  <c r="I33" i="117"/>
  <c r="J33" i="117"/>
  <c r="G38" i="117"/>
  <c r="H38" i="117"/>
  <c r="K36" i="117" s="1" a="1"/>
  <c r="I38" i="117"/>
  <c r="J38" i="117"/>
  <c r="K41" i="117" a="1"/>
  <c r="K41" i="117" s="1"/>
  <c r="G44" i="117"/>
  <c r="H44" i="117"/>
  <c r="I44" i="117"/>
  <c r="J44" i="117"/>
  <c r="H61" i="117"/>
  <c r="K47" i="117" s="1" a="1"/>
  <c r="J61" i="117"/>
  <c r="K64" i="117" a="1"/>
  <c r="K64" i="117"/>
  <c r="K65" i="117" a="1"/>
  <c r="K65" i="117" s="1"/>
  <c r="K66" i="117" a="1"/>
  <c r="K66" i="117"/>
  <c r="K67" i="117" a="1"/>
  <c r="K67" i="117" s="1"/>
  <c r="K68" i="117" a="1"/>
  <c r="K68" i="117"/>
  <c r="H69" i="117"/>
  <c r="J69" i="117"/>
  <c r="K69" i="117"/>
  <c r="H75" i="117"/>
  <c r="J75" i="117"/>
  <c r="O80" i="117"/>
  <c r="H87" i="117"/>
  <c r="J87" i="117"/>
  <c r="E11" i="96"/>
  <c r="D11" i="96"/>
  <c r="N7" i="116"/>
  <c r="G8" i="116"/>
  <c r="G22" i="116" s="1"/>
  <c r="H8" i="116"/>
  <c r="H22" i="116" s="1"/>
  <c r="I8" i="116"/>
  <c r="J8" i="116"/>
  <c r="J22" i="116" s="1"/>
  <c r="M8" i="116"/>
  <c r="M22" i="116" s="1"/>
  <c r="N8" i="116"/>
  <c r="N9" i="116"/>
  <c r="N10" i="116"/>
  <c r="N11" i="116"/>
  <c r="N12" i="116"/>
  <c r="N13" i="116"/>
  <c r="N14" i="116"/>
  <c r="N15" i="116"/>
  <c r="N16" i="116"/>
  <c r="N17" i="116"/>
  <c r="N18" i="116"/>
  <c r="N19" i="116"/>
  <c r="N20" i="116"/>
  <c r="N21" i="116"/>
  <c r="I22" i="116"/>
  <c r="N25" i="116"/>
  <c r="N26" i="116"/>
  <c r="N27" i="116"/>
  <c r="G28" i="116"/>
  <c r="G33" i="116" s="1"/>
  <c r="H28" i="116"/>
  <c r="H33" i="116" s="1"/>
  <c r="M28" i="116"/>
  <c r="M33" i="116" s="1"/>
  <c r="N29" i="116"/>
  <c r="N30" i="116"/>
  <c r="N31" i="116"/>
  <c r="N32" i="116"/>
  <c r="I33" i="116"/>
  <c r="J33" i="116"/>
  <c r="N36" i="116"/>
  <c r="N37" i="116"/>
  <c r="G38" i="116"/>
  <c r="H38" i="116"/>
  <c r="I38" i="116"/>
  <c r="J38" i="116"/>
  <c r="M38" i="116"/>
  <c r="N41" i="116"/>
  <c r="N42" i="116"/>
  <c r="N45" i="116" s="1"/>
  <c r="N43" i="116"/>
  <c r="N44" i="116"/>
  <c r="G45" i="116"/>
  <c r="H45" i="116"/>
  <c r="I45" i="116"/>
  <c r="J45" i="116"/>
  <c r="M45" i="116"/>
  <c r="N48" i="116"/>
  <c r="N49" i="116"/>
  <c r="N50" i="116"/>
  <c r="N51" i="116"/>
  <c r="N52" i="116"/>
  <c r="N53" i="116"/>
  <c r="N54" i="116"/>
  <c r="N55" i="116"/>
  <c r="N56" i="116"/>
  <c r="N57" i="116"/>
  <c r="N58" i="116"/>
  <c r="N59" i="116"/>
  <c r="N60" i="116"/>
  <c r="H61" i="116"/>
  <c r="J61" i="116"/>
  <c r="K48" i="116" s="1" a="1"/>
  <c r="M61" i="116"/>
  <c r="K64" i="116" a="1"/>
  <c r="K64" i="116" s="1"/>
  <c r="N64" i="116"/>
  <c r="K65" i="116" a="1"/>
  <c r="K65" i="116"/>
  <c r="N65" i="116"/>
  <c r="K66" i="116" a="1"/>
  <c r="K66" i="116"/>
  <c r="N66" i="116"/>
  <c r="K67" i="116" a="1"/>
  <c r="K67" i="116" s="1"/>
  <c r="N67" i="116"/>
  <c r="K68" i="116" a="1"/>
  <c r="K68" i="116"/>
  <c r="N68" i="116"/>
  <c r="H69" i="116"/>
  <c r="J69" i="116"/>
  <c r="K69" i="116"/>
  <c r="M69" i="116"/>
  <c r="N74" i="116"/>
  <c r="N75" i="116"/>
  <c r="H76" i="116"/>
  <c r="K74" i="116" s="1" a="1"/>
  <c r="J76" i="116"/>
  <c r="M76" i="116"/>
  <c r="N78" i="116"/>
  <c r="H88" i="116"/>
  <c r="J88" i="116"/>
  <c r="K50" i="117" l="1"/>
  <c r="K54" i="117"/>
  <c r="K58" i="117"/>
  <c r="K47" i="117"/>
  <c r="K51" i="117"/>
  <c r="K55" i="117"/>
  <c r="K59" i="117"/>
  <c r="K61" i="117"/>
  <c r="K48" i="117"/>
  <c r="K52" i="117"/>
  <c r="K56" i="117"/>
  <c r="K60" i="117"/>
  <c r="K49" i="117"/>
  <c r="K53" i="117"/>
  <c r="K57" i="117"/>
  <c r="K36" i="117"/>
  <c r="K37" i="117"/>
  <c r="K38" i="117"/>
  <c r="K8" i="117"/>
  <c r="K12" i="117"/>
  <c r="K16" i="117"/>
  <c r="K20" i="117"/>
  <c r="K11" i="117"/>
  <c r="K15" i="117"/>
  <c r="K19" i="117"/>
  <c r="K9" i="117"/>
  <c r="K13" i="117"/>
  <c r="K17" i="117"/>
  <c r="K21" i="117"/>
  <c r="K7" i="117"/>
  <c r="K10" i="117"/>
  <c r="K14" i="117"/>
  <c r="K18" i="117"/>
  <c r="K22" i="117"/>
  <c r="J71" i="117"/>
  <c r="J86" i="117"/>
  <c r="K44" i="117"/>
  <c r="K43" i="117"/>
  <c r="K33" i="117"/>
  <c r="K29" i="117"/>
  <c r="K27" i="117"/>
  <c r="H86" i="117"/>
  <c r="K42" i="117"/>
  <c r="K32" i="117"/>
  <c r="K28" i="117"/>
  <c r="K26" i="117"/>
  <c r="K30" i="117"/>
  <c r="H71" i="117"/>
  <c r="K31" i="117"/>
  <c r="N22" i="116"/>
  <c r="G71" i="116"/>
  <c r="G80" i="116" s="1"/>
  <c r="G81" i="116" s="1"/>
  <c r="N76" i="116"/>
  <c r="K41" i="116" a="1"/>
  <c r="K41" i="116" s="1"/>
  <c r="I71" i="116"/>
  <c r="I80" i="116" s="1"/>
  <c r="N69" i="116"/>
  <c r="N61" i="116"/>
  <c r="N38" i="116"/>
  <c r="K75" i="116"/>
  <c r="K76" i="116"/>
  <c r="K74" i="116"/>
  <c r="H87" i="116"/>
  <c r="H71" i="116"/>
  <c r="K49" i="116"/>
  <c r="K51" i="116"/>
  <c r="K53" i="116"/>
  <c r="K55" i="116"/>
  <c r="K57" i="116"/>
  <c r="K59" i="116"/>
  <c r="K48" i="116"/>
  <c r="K50" i="116"/>
  <c r="K52" i="116"/>
  <c r="K54" i="116"/>
  <c r="K56" i="116"/>
  <c r="K58" i="116"/>
  <c r="K60" i="116"/>
  <c r="K61" i="116"/>
  <c r="J71" i="116"/>
  <c r="J80" i="116" s="1"/>
  <c r="J87" i="116"/>
  <c r="M71" i="116"/>
  <c r="M80" i="116" s="1"/>
  <c r="K44" i="116"/>
  <c r="H83" i="116"/>
  <c r="K25" i="116" a="1"/>
  <c r="K36" i="116" a="1"/>
  <c r="N28" i="116"/>
  <c r="N33" i="116" s="1"/>
  <c r="N71" i="116" s="1"/>
  <c r="N80" i="116" s="1"/>
  <c r="K71" i="117" l="1"/>
  <c r="H79" i="117"/>
  <c r="H82" i="117"/>
  <c r="J82" i="117"/>
  <c r="J79" i="117"/>
  <c r="K45" i="116"/>
  <c r="K42" i="116"/>
  <c r="K43" i="116"/>
  <c r="J83" i="116"/>
  <c r="H80" i="116"/>
  <c r="K80" i="116" s="1"/>
  <c r="K71" i="116"/>
  <c r="K25" i="116"/>
  <c r="K27" i="116"/>
  <c r="K28" i="116"/>
  <c r="K30" i="116"/>
  <c r="K32" i="116"/>
  <c r="K26" i="116"/>
  <c r="K29" i="116"/>
  <c r="K31" i="116"/>
  <c r="K33" i="116"/>
  <c r="K37" i="116"/>
  <c r="K36" i="116"/>
  <c r="K38" i="116"/>
  <c r="O79" i="117" l="1"/>
  <c r="O81" i="117" s="1"/>
  <c r="K79" i="117"/>
  <c r="N55" i="76"/>
  <c r="L55" i="76"/>
  <c r="O55" i="76" s="1"/>
  <c r="K55" i="76"/>
  <c r="J55" i="76"/>
  <c r="N54" i="76"/>
  <c r="L54" i="76"/>
  <c r="O54" i="76" s="1"/>
  <c r="K54" i="76"/>
  <c r="J54" i="76"/>
  <c r="N53" i="76"/>
  <c r="L53" i="76"/>
  <c r="O53" i="76" s="1"/>
  <c r="K53" i="76"/>
  <c r="J53" i="76"/>
  <c r="N52" i="76"/>
  <c r="L52" i="76"/>
  <c r="O52" i="76" s="1"/>
  <c r="K52" i="76"/>
  <c r="J52" i="76"/>
  <c r="N51" i="76"/>
  <c r="L51" i="76"/>
  <c r="O51" i="76" s="1"/>
  <c r="K51" i="76"/>
  <c r="J51" i="76"/>
  <c r="N50" i="76"/>
  <c r="L50" i="76"/>
  <c r="O50" i="76" s="1"/>
  <c r="K50" i="76"/>
  <c r="J50" i="76"/>
  <c r="N49" i="76"/>
  <c r="L49" i="76"/>
  <c r="O49" i="76" s="1"/>
  <c r="K49" i="76"/>
  <c r="J49" i="76"/>
  <c r="N48" i="76"/>
  <c r="L48" i="76"/>
  <c r="O48" i="76" s="1"/>
  <c r="K48" i="76"/>
  <c r="J48" i="76"/>
  <c r="N47" i="76"/>
  <c r="L47" i="76"/>
  <c r="O47" i="76" s="1"/>
  <c r="K47" i="76"/>
  <c r="J47" i="76"/>
  <c r="N46" i="76"/>
  <c r="L46" i="76"/>
  <c r="O46" i="76" s="1"/>
  <c r="K46" i="76"/>
  <c r="J46" i="76"/>
  <c r="N45" i="76"/>
  <c r="L45" i="76"/>
  <c r="O45" i="76" s="1"/>
  <c r="K45" i="76"/>
  <c r="J45" i="76"/>
  <c r="N44" i="76"/>
  <c r="L44" i="76"/>
  <c r="O44" i="76" s="1"/>
  <c r="K44" i="76"/>
  <c r="J44" i="76"/>
  <c r="N43" i="76"/>
  <c r="L43" i="76"/>
  <c r="O43" i="76" s="1"/>
  <c r="K43" i="76"/>
  <c r="J43" i="76"/>
  <c r="N42" i="76"/>
  <c r="L42" i="76"/>
  <c r="O42" i="76" s="1"/>
  <c r="K42" i="76"/>
  <c r="J42" i="76"/>
  <c r="N41" i="76"/>
  <c r="L41" i="76"/>
  <c r="O41" i="76" s="1"/>
  <c r="K41" i="76"/>
  <c r="J41" i="76"/>
  <c r="N40" i="76"/>
  <c r="L40" i="76"/>
  <c r="O40" i="76" s="1"/>
  <c r="K40" i="76"/>
  <c r="J40" i="76"/>
  <c r="N39" i="76"/>
  <c r="L39" i="76"/>
  <c r="O39" i="76" s="1"/>
  <c r="K39" i="76"/>
  <c r="J39" i="76"/>
  <c r="N38" i="76"/>
  <c r="L38" i="76"/>
  <c r="O38" i="76" s="1"/>
  <c r="K38" i="76"/>
  <c r="J38" i="76"/>
  <c r="N37" i="76"/>
  <c r="L37" i="76"/>
  <c r="O37" i="76" s="1"/>
  <c r="K37" i="76"/>
  <c r="J37" i="76"/>
  <c r="N36" i="76"/>
  <c r="L36" i="76"/>
  <c r="O36" i="76" s="1"/>
  <c r="K36" i="76"/>
  <c r="J36" i="76"/>
  <c r="N35" i="76"/>
  <c r="L35" i="76"/>
  <c r="O35" i="76" s="1"/>
  <c r="K35" i="76"/>
  <c r="J35" i="76"/>
  <c r="N34" i="76"/>
  <c r="L34" i="76"/>
  <c r="O34" i="76" s="1"/>
  <c r="K34" i="76"/>
  <c r="J34" i="76"/>
  <c r="N33" i="76"/>
  <c r="L33" i="76"/>
  <c r="O33" i="76" s="1"/>
  <c r="K33" i="76"/>
  <c r="J33" i="76"/>
  <c r="N32" i="76"/>
  <c r="L32" i="76"/>
  <c r="O32" i="76" s="1"/>
  <c r="K32" i="76"/>
  <c r="J32" i="76"/>
  <c r="N31" i="76"/>
  <c r="L31" i="76"/>
  <c r="O31" i="76" s="1"/>
  <c r="K31" i="76"/>
  <c r="J31" i="76"/>
  <c r="N30" i="76"/>
  <c r="L30" i="76"/>
  <c r="O30" i="76" s="1"/>
  <c r="K30" i="76"/>
  <c r="J30" i="76"/>
  <c r="N29" i="76"/>
  <c r="L29" i="76"/>
  <c r="O29" i="76" s="1"/>
  <c r="K29" i="76"/>
  <c r="J29" i="76"/>
  <c r="N28" i="76"/>
  <c r="L28" i="76"/>
  <c r="O28" i="76" s="1"/>
  <c r="K28" i="76"/>
  <c r="J28" i="76"/>
  <c r="N27" i="76"/>
  <c r="L27" i="76"/>
  <c r="O27" i="76" s="1"/>
  <c r="K27" i="76"/>
  <c r="J27" i="76"/>
  <c r="N26" i="76"/>
  <c r="L26" i="76"/>
  <c r="O26" i="76" s="1"/>
  <c r="K26" i="76"/>
  <c r="J26" i="76"/>
  <c r="N25" i="76"/>
  <c r="L25" i="76"/>
  <c r="O25" i="76" s="1"/>
  <c r="K25" i="76"/>
  <c r="J25" i="76"/>
  <c r="N24" i="76"/>
  <c r="L24" i="76"/>
  <c r="O24" i="76" s="1"/>
  <c r="K24" i="76"/>
  <c r="J24" i="76"/>
  <c r="N23" i="76"/>
  <c r="L23" i="76"/>
  <c r="O23" i="76" s="1"/>
  <c r="K23" i="76"/>
  <c r="J23" i="76"/>
  <c r="N22" i="76"/>
  <c r="L22" i="76"/>
  <c r="O22" i="76" s="1"/>
  <c r="K22" i="76"/>
  <c r="J22" i="76"/>
  <c r="N21" i="76"/>
  <c r="L21" i="76"/>
  <c r="O21" i="76" s="1"/>
  <c r="K21" i="76"/>
  <c r="J21" i="76"/>
  <c r="N20" i="76"/>
  <c r="L20" i="76"/>
  <c r="O20" i="76" s="1"/>
  <c r="K20" i="76"/>
  <c r="J20" i="76"/>
  <c r="N19" i="76"/>
  <c r="L19" i="76"/>
  <c r="O19" i="76" s="1"/>
  <c r="K19" i="76"/>
  <c r="J19" i="76"/>
  <c r="N18" i="76"/>
  <c r="L18" i="76"/>
  <c r="O18" i="76" s="1"/>
  <c r="K18" i="76"/>
  <c r="J18" i="76"/>
  <c r="N17" i="76"/>
  <c r="L17" i="76"/>
  <c r="O17" i="76" s="1"/>
  <c r="K17" i="76"/>
  <c r="J17" i="76"/>
  <c r="N16" i="76"/>
  <c r="L16" i="76"/>
  <c r="O16" i="76" s="1"/>
  <c r="K16" i="76"/>
  <c r="J16" i="76"/>
  <c r="N15" i="76"/>
  <c r="L15" i="76"/>
  <c r="O15" i="76" s="1"/>
  <c r="K15" i="76"/>
  <c r="J15" i="76"/>
  <c r="N14" i="76"/>
  <c r="L14" i="76"/>
  <c r="O14" i="76" s="1"/>
  <c r="K14" i="76"/>
  <c r="J14" i="76"/>
  <c r="N13" i="76"/>
  <c r="L13" i="76"/>
  <c r="O13" i="76" s="1"/>
  <c r="K13" i="76"/>
  <c r="J13" i="76"/>
  <c r="N12" i="76"/>
  <c r="L12" i="76"/>
  <c r="O12" i="76" s="1"/>
  <c r="K12" i="76"/>
  <c r="J12" i="76"/>
  <c r="N11" i="76"/>
  <c r="L11" i="76"/>
  <c r="O11" i="76" s="1"/>
  <c r="K11" i="76"/>
  <c r="J11" i="76"/>
  <c r="N10" i="76"/>
  <c r="L10" i="76"/>
  <c r="O10" i="76" s="1"/>
  <c r="K10" i="76"/>
  <c r="J10" i="76"/>
  <c r="N9" i="76"/>
  <c r="L9" i="76"/>
  <c r="O9" i="76" s="1"/>
  <c r="K9" i="76"/>
  <c r="J9" i="76"/>
  <c r="B9" i="76"/>
  <c r="B10" i="76" s="1"/>
  <c r="B11" i="76" s="1"/>
  <c r="B12" i="76" s="1"/>
  <c r="B13" i="76" s="1"/>
  <c r="B14" i="76" s="1"/>
  <c r="B15" i="76" s="1"/>
  <c r="B16" i="76" s="1"/>
  <c r="B17" i="76" s="1"/>
  <c r="B18" i="76" s="1"/>
  <c r="B19" i="76" s="1"/>
  <c r="B20" i="76" s="1"/>
  <c r="B21" i="76" s="1"/>
  <c r="B22" i="76" s="1"/>
  <c r="B23" i="76" s="1"/>
  <c r="B24" i="76" s="1"/>
  <c r="B25" i="76" s="1"/>
  <c r="B26" i="76" s="1"/>
  <c r="B27" i="76" s="1"/>
  <c r="B28" i="76" s="1"/>
  <c r="B29" i="76" s="1"/>
  <c r="A9" i="76"/>
  <c r="C9" i="76" s="1"/>
  <c r="N8" i="76"/>
  <c r="L8" i="76"/>
  <c r="O8" i="76" s="1"/>
  <c r="K8" i="76"/>
  <c r="J8" i="76"/>
  <c r="C8" i="76"/>
  <c r="B30" i="76" l="1"/>
  <c r="A10" i="76"/>
  <c r="C10" i="76" s="1"/>
  <c r="A11" i="76"/>
  <c r="C11" i="76" s="1"/>
  <c r="B31" i="76" l="1"/>
  <c r="A12" i="76"/>
  <c r="C12" i="76" l="1"/>
  <c r="A13" i="76"/>
  <c r="B32" i="76"/>
  <c r="C13" i="76" l="1"/>
  <c r="A14" i="76"/>
  <c r="B33" i="76"/>
  <c r="B34" i="76" l="1"/>
  <c r="C14" i="76"/>
  <c r="A15" i="76"/>
  <c r="C15" i="76" l="1"/>
  <c r="A16" i="76"/>
  <c r="B35" i="76"/>
  <c r="B36" i="76" l="1"/>
  <c r="C16" i="76"/>
  <c r="A17" i="76"/>
  <c r="C17" i="76" l="1"/>
  <c r="A18" i="76"/>
  <c r="B37" i="76"/>
  <c r="C18" i="76" l="1"/>
  <c r="A19" i="76"/>
  <c r="B38" i="76"/>
  <c r="B39" i="76" l="1"/>
  <c r="C19" i="76"/>
  <c r="A20" i="76"/>
  <c r="C20" i="76" l="1"/>
  <c r="A21" i="76"/>
  <c r="B40" i="76"/>
  <c r="C21" i="76" l="1"/>
  <c r="A22" i="76"/>
  <c r="B41" i="76"/>
  <c r="B42" i="76" l="1"/>
  <c r="C22" i="76"/>
  <c r="A23" i="76"/>
  <c r="C23" i="76" l="1"/>
  <c r="A24" i="76"/>
  <c r="B43" i="76"/>
  <c r="B44" i="76" l="1"/>
  <c r="C24" i="76"/>
  <c r="A25" i="76"/>
  <c r="C25" i="76" l="1"/>
  <c r="A26" i="76"/>
  <c r="B45" i="76"/>
  <c r="C26" i="76" l="1"/>
  <c r="A27" i="76"/>
  <c r="B46" i="76"/>
  <c r="B47" i="76" l="1"/>
  <c r="C27" i="76"/>
  <c r="A28" i="76"/>
  <c r="C28" i="76" l="1"/>
  <c r="A29" i="76"/>
  <c r="B48" i="76"/>
  <c r="B49" i="76" l="1"/>
  <c r="C29" i="76"/>
  <c r="A30" i="76"/>
  <c r="C30" i="76" l="1"/>
  <c r="A31" i="76"/>
  <c r="B50" i="76"/>
  <c r="B51" i="76" l="1"/>
  <c r="C31" i="76"/>
  <c r="A32" i="76"/>
  <c r="C32" i="76" l="1"/>
  <c r="A33" i="76"/>
  <c r="B52" i="76"/>
  <c r="B53" i="76" l="1"/>
  <c r="C33" i="76"/>
  <c r="A34" i="76"/>
  <c r="C34" i="76" l="1"/>
  <c r="A35" i="76"/>
  <c r="B54" i="76"/>
  <c r="B55" i="76" l="1"/>
  <c r="C35" i="76"/>
  <c r="A36" i="76"/>
  <c r="C36" i="76" l="1"/>
  <c r="A37" i="76"/>
  <c r="C37" i="76" l="1"/>
  <c r="A38" i="76"/>
  <c r="C38" i="76" l="1"/>
  <c r="A39" i="76"/>
  <c r="C39" i="76" l="1"/>
  <c r="A40" i="76"/>
  <c r="C40" i="76" l="1"/>
  <c r="A41" i="76"/>
  <c r="C41" i="76" l="1"/>
  <c r="A42" i="76"/>
  <c r="C42" i="76" l="1"/>
  <c r="A43" i="76"/>
  <c r="C43" i="76" l="1"/>
  <c r="A44" i="76"/>
  <c r="C44" i="76" l="1"/>
  <c r="A45" i="76"/>
  <c r="C45" i="76" l="1"/>
  <c r="A46" i="76"/>
  <c r="C46" i="76" l="1"/>
  <c r="A47" i="76"/>
  <c r="C47" i="76" l="1"/>
  <c r="A48" i="76"/>
  <c r="C48" i="76" l="1"/>
  <c r="A49" i="76"/>
  <c r="C49" i="76" l="1"/>
  <c r="A50" i="76"/>
  <c r="C50" i="76" l="1"/>
  <c r="A51" i="76"/>
  <c r="C51" i="76" l="1"/>
  <c r="A52" i="76"/>
  <c r="C52" i="76" l="1"/>
  <c r="A53" i="76"/>
  <c r="C53" i="76" l="1"/>
  <c r="A54" i="76"/>
  <c r="C54" i="76" l="1"/>
  <c r="A55" i="76"/>
  <c r="C55" i="76" s="1"/>
  <c r="E74" i="86" l="1"/>
  <c r="E73" i="86"/>
  <c r="G81" i="86" s="1"/>
  <c r="B34" i="88" l="1"/>
  <c r="G38" i="114" l="1"/>
  <c r="J34" i="114"/>
  <c r="I34" i="114"/>
  <c r="H34" i="114"/>
  <c r="E34" i="114"/>
  <c r="D34" i="114"/>
  <c r="C34" i="114"/>
  <c r="G24" i="114"/>
  <c r="J22" i="114"/>
  <c r="I22" i="114"/>
  <c r="H22" i="114"/>
  <c r="I12" i="84"/>
  <c r="C44" i="84"/>
  <c r="D44" i="84"/>
  <c r="B44" i="84"/>
  <c r="E29" i="84"/>
  <c r="E30" i="84" s="1"/>
  <c r="E31" i="84" s="1"/>
  <c r="E32" i="84" s="1"/>
  <c r="E33" i="84" s="1"/>
  <c r="E34" i="84" s="1"/>
  <c r="E35" i="84" s="1"/>
  <c r="E36" i="84" s="1"/>
  <c r="E37" i="84" s="1"/>
  <c r="E38" i="84" s="1"/>
  <c r="E39" i="84" s="1"/>
  <c r="D28" i="84"/>
  <c r="E28" i="84" s="1"/>
  <c r="E27" i="84"/>
  <c r="C21" i="84"/>
  <c r="D21" i="84"/>
  <c r="E17" i="84"/>
  <c r="D6" i="84"/>
  <c r="E6" i="84"/>
  <c r="D7" i="84"/>
  <c r="E7" i="84"/>
  <c r="E8" i="84" s="1"/>
  <c r="E9" i="84" s="1"/>
  <c r="E10" i="84" s="1"/>
  <c r="E11" i="84" s="1"/>
  <c r="E12" i="84" s="1"/>
  <c r="E13" i="84" s="1"/>
  <c r="E14" i="84" s="1"/>
  <c r="E15" i="84" s="1"/>
  <c r="E16" i="84" s="1"/>
  <c r="D8" i="84"/>
  <c r="D9" i="84"/>
  <c r="D10" i="84"/>
  <c r="D11" i="84"/>
  <c r="D12" i="84"/>
  <c r="D13" i="84"/>
  <c r="D14" i="84"/>
  <c r="D15" i="84"/>
  <c r="D16" i="84"/>
  <c r="E5" i="84"/>
  <c r="D5" i="84"/>
  <c r="B21" i="84"/>
  <c r="H36" i="114" l="1"/>
  <c r="I35" i="114"/>
  <c r="I36" i="114"/>
  <c r="I37" i="114"/>
  <c r="H35" i="114"/>
  <c r="H37" i="114"/>
  <c r="J35" i="114"/>
  <c r="J36" i="114"/>
  <c r="J37" i="114"/>
  <c r="C39" i="114"/>
  <c r="E39" i="114"/>
  <c r="D39" i="114"/>
  <c r="J38" i="114"/>
  <c r="I38" i="114"/>
  <c r="H38" i="114"/>
  <c r="H39" i="114" s="1"/>
  <c r="H23" i="114"/>
  <c r="L14" i="114"/>
  <c r="H14" i="114"/>
  <c r="D14" i="114"/>
  <c r="N14" i="114"/>
  <c r="J14" i="114"/>
  <c r="F14" i="114"/>
  <c r="J23" i="114"/>
  <c r="M14" i="114"/>
  <c r="I14" i="114"/>
  <c r="E14" i="114"/>
  <c r="B14" i="114"/>
  <c r="K14" i="114"/>
  <c r="G14" i="114"/>
  <c r="C14" i="114"/>
  <c r="I23" i="114"/>
  <c r="H24" i="114"/>
  <c r="J24" i="114"/>
  <c r="I24" i="114"/>
  <c r="K23" i="114" l="1"/>
  <c r="J39" i="114"/>
  <c r="K37" i="114"/>
  <c r="I39" i="114"/>
  <c r="K35" i="114"/>
  <c r="K36" i="114"/>
  <c r="K38" i="114"/>
  <c r="K24" i="114"/>
  <c r="K39" i="114" l="1"/>
  <c r="D9" i="86"/>
  <c r="E14" i="95" s="1"/>
  <c r="D4" i="86"/>
  <c r="D5" i="86"/>
  <c r="E75" i="86"/>
  <c r="B30" i="99"/>
  <c r="C26" i="99"/>
  <c r="B14" i="100"/>
  <c r="B18" i="85"/>
  <c r="E15" i="114"/>
  <c r="D15" i="114"/>
  <c r="C15" i="114"/>
  <c r="N20" i="114"/>
  <c r="K26" i="114" s="1"/>
  <c r="J26" i="114" s="1"/>
  <c r="I26" i="114" s="1"/>
  <c r="H26" i="114" s="1"/>
  <c r="C25" i="114"/>
  <c r="N19" i="114"/>
  <c r="N21" i="114" s="1"/>
  <c r="D21" i="89" s="1"/>
  <c r="R23" i="76"/>
  <c r="R22" i="76"/>
  <c r="R21" i="76"/>
  <c r="Q21" i="76"/>
  <c r="S21" i="76" s="1"/>
  <c r="B28" i="89" s="1"/>
  <c r="B19" i="85"/>
  <c r="B20" i="85"/>
  <c r="E14" i="85"/>
  <c r="E16" i="85"/>
  <c r="E18" i="85"/>
  <c r="B14" i="85"/>
  <c r="A8" i="109"/>
  <c r="A9" i="109" s="1"/>
  <c r="A10" i="109" s="1"/>
  <c r="A11" i="109" s="1"/>
  <c r="A12" i="109" s="1"/>
  <c r="A13" i="109" s="1"/>
  <c r="A14" i="109" s="1"/>
  <c r="A15" i="109" s="1"/>
  <c r="A16" i="109" s="1"/>
  <c r="A17" i="109" s="1"/>
  <c r="A18" i="109" s="1"/>
  <c r="A19" i="109" s="1"/>
  <c r="A20" i="109" s="1"/>
  <c r="A21" i="109" s="1"/>
  <c r="A22" i="109" s="1"/>
  <c r="A23" i="109" s="1"/>
  <c r="A24" i="109" s="1"/>
  <c r="A25" i="109" s="1"/>
  <c r="A26" i="109" s="1"/>
  <c r="F9" i="109"/>
  <c r="C16" i="99" s="1"/>
  <c r="F12" i="109"/>
  <c r="F13" i="109"/>
  <c r="E14" i="109"/>
  <c r="B29" i="99" s="1"/>
  <c r="B31" i="99" s="1"/>
  <c r="B18" i="100" s="1"/>
  <c r="F22" i="109"/>
  <c r="C20" i="99" s="1"/>
  <c r="D14" i="95"/>
  <c r="D15" i="95"/>
  <c r="C30" i="99" s="1"/>
  <c r="Q23" i="76"/>
  <c r="Q22" i="76"/>
  <c r="S22" i="76" s="1"/>
  <c r="B30" i="89" s="1"/>
  <c r="I10" i="84"/>
  <c r="I11" i="84" s="1"/>
  <c r="I13" i="84" s="1"/>
  <c r="E12" i="89" s="1"/>
  <c r="D33" i="88"/>
  <c r="D5" i="88" s="1"/>
  <c r="D6" i="88" s="1"/>
  <c r="E32" i="88"/>
  <c r="C32" i="88" s="1"/>
  <c r="E30" i="88"/>
  <c r="C30" i="88" s="1"/>
  <c r="E28" i="88"/>
  <c r="C28" i="88" s="1"/>
  <c r="E21" i="88"/>
  <c r="C21" i="88" s="1"/>
  <c r="C4" i="88" s="1"/>
  <c r="D4" i="88"/>
  <c r="D10" i="97"/>
  <c r="E8" i="97"/>
  <c r="E8" i="99"/>
  <c r="E15" i="96"/>
  <c r="E20" i="89"/>
  <c r="E19" i="89"/>
  <c r="E14" i="89"/>
  <c r="E15" i="89"/>
  <c r="E16" i="89"/>
  <c r="E17" i="89"/>
  <c r="E18" i="89"/>
  <c r="E13" i="89"/>
  <c r="E9" i="91"/>
  <c r="E8" i="91"/>
  <c r="E7" i="91"/>
  <c r="D4" i="89"/>
  <c r="A9" i="95"/>
  <c r="A10" i="95"/>
  <c r="A11" i="95"/>
  <c r="A12" i="95" s="1"/>
  <c r="A13" i="95" s="1"/>
  <c r="A14" i="95" s="1"/>
  <c r="A15" i="95" s="1"/>
  <c r="A16" i="95" s="1"/>
  <c r="A17" i="95" s="1"/>
  <c r="A18" i="95" s="1"/>
  <c r="A19" i="95" s="1"/>
  <c r="A20" i="95" s="1"/>
  <c r="A21" i="95" s="1"/>
  <c r="A22" i="95" s="1"/>
  <c r="A23" i="95" s="1"/>
  <c r="A24" i="95" s="1"/>
  <c r="A25" i="95" s="1"/>
  <c r="A26" i="95" s="1"/>
  <c r="A27" i="95" s="1"/>
  <c r="H9" i="91" l="1"/>
  <c r="B9" i="91" s="1"/>
  <c r="F14" i="109"/>
  <c r="F16" i="109" s="1"/>
  <c r="F26" i="109" s="1"/>
  <c r="E10" i="97" s="1"/>
  <c r="E12" i="97" s="1"/>
  <c r="E10" i="91"/>
  <c r="H7" i="91"/>
  <c r="B7" i="91" s="1"/>
  <c r="F14" i="95"/>
  <c r="D6" i="86"/>
  <c r="E33" i="88"/>
  <c r="E5" i="88" s="1"/>
  <c r="B10" i="100"/>
  <c r="B16" i="114"/>
  <c r="D16" i="114" s="1"/>
  <c r="F8" i="91" s="1"/>
  <c r="E25" i="114"/>
  <c r="D13" i="95"/>
  <c r="D16" i="95"/>
  <c r="E21" i="89"/>
  <c r="D8" i="98"/>
  <c r="E19" i="85"/>
  <c r="D22" i="96"/>
  <c r="E22" i="96" s="1"/>
  <c r="E20" i="85"/>
  <c r="D25" i="114"/>
  <c r="C16" i="114"/>
  <c r="F7" i="91" s="1"/>
  <c r="D10" i="86"/>
  <c r="H8" i="91"/>
  <c r="C12" i="97"/>
  <c r="E4" i="88"/>
  <c r="S23" i="76"/>
  <c r="B32" i="89" s="1"/>
  <c r="J25" i="114"/>
  <c r="J27" i="114" s="1"/>
  <c r="D32" i="89" s="1"/>
  <c r="H25" i="114"/>
  <c r="E16" i="114"/>
  <c r="F9" i="91" s="1"/>
  <c r="G9" i="91" s="1"/>
  <c r="H10" i="91" l="1"/>
  <c r="C33" i="88"/>
  <c r="C5" i="88" s="1"/>
  <c r="C6" i="88" s="1"/>
  <c r="G8" i="91"/>
  <c r="C8" i="91"/>
  <c r="H27" i="114"/>
  <c r="D28" i="89" s="1"/>
  <c r="G7" i="91"/>
  <c r="G10" i="91" s="1"/>
  <c r="F10" i="91"/>
  <c r="E4" i="89"/>
  <c r="C21" i="89"/>
  <c r="C4" i="89" s="1"/>
  <c r="J8" i="91"/>
  <c r="B8" i="91"/>
  <c r="D10" i="98"/>
  <c r="E7" i="99"/>
  <c r="D11" i="86"/>
  <c r="D13" i="86" s="1"/>
  <c r="E13" i="95"/>
  <c r="I25" i="114"/>
  <c r="I27" i="114" s="1"/>
  <c r="D30" i="89" s="1"/>
  <c r="J9" i="91"/>
  <c r="C9" i="91"/>
  <c r="D9" i="91" s="1"/>
  <c r="E6" i="88"/>
  <c r="F22" i="96"/>
  <c r="E24" i="96"/>
  <c r="E28" i="96" s="1"/>
  <c r="D10" i="99"/>
  <c r="D10" i="95"/>
  <c r="I10" i="91"/>
  <c r="C7" i="91"/>
  <c r="D7" i="91" s="1"/>
  <c r="J7" i="91"/>
  <c r="C28" i="89" l="1"/>
  <c r="D8" i="91"/>
  <c r="D10" i="91" s="1"/>
  <c r="B10" i="91"/>
  <c r="D23" i="95" s="1"/>
  <c r="J10" i="91"/>
  <c r="E10" i="99"/>
  <c r="D33" i="89"/>
  <c r="D5" i="89" s="1"/>
  <c r="D6" i="89" s="1"/>
  <c r="C10" i="91"/>
  <c r="E23" i="95" s="1"/>
  <c r="E15" i="95"/>
  <c r="F13" i="95"/>
  <c r="F15" i="95" s="1"/>
  <c r="R17" i="113" s="1"/>
  <c r="K25" i="114"/>
  <c r="K27" i="114" s="1"/>
  <c r="C30" i="89" l="1"/>
  <c r="C32" i="89"/>
  <c r="F23" i="95"/>
  <c r="C19" i="99" s="1"/>
  <c r="E20" i="99" s="1"/>
  <c r="C29" i="99"/>
  <c r="C31" i="99" s="1"/>
  <c r="E16" i="95"/>
  <c r="E33" i="89"/>
  <c r="R15" i="113"/>
  <c r="C7" i="100"/>
  <c r="D24" i="96"/>
  <c r="F11" i="96"/>
  <c r="D20" i="99" l="1"/>
  <c r="R30" i="113" s="1"/>
  <c r="E5" i="89"/>
  <c r="E6" i="89" s="1"/>
  <c r="C33" i="89"/>
  <c r="C8" i="98"/>
  <c r="F24" i="96"/>
  <c r="D31" i="99"/>
  <c r="B17" i="100"/>
  <c r="C19" i="100" s="1"/>
  <c r="R32" i="113" s="1"/>
  <c r="E31" i="99"/>
  <c r="C5" i="89" l="1"/>
  <c r="C6" i="89" s="1"/>
  <c r="E10" i="95" s="1"/>
  <c r="F10" i="95" s="1"/>
  <c r="F17" i="95" s="1"/>
  <c r="F27" i="95" s="1"/>
  <c r="F13" i="96" s="1"/>
  <c r="R6" i="113"/>
  <c r="C25" i="99"/>
  <c r="E26" i="99" s="1"/>
  <c r="E8" i="98"/>
  <c r="R14" i="113" l="1"/>
  <c r="R4" i="113" s="1"/>
  <c r="C15" i="99"/>
  <c r="E16" i="99" s="1"/>
  <c r="D26" i="99"/>
  <c r="B13" i="100"/>
  <c r="C15" i="100" s="1"/>
  <c r="R24" i="113" s="1"/>
  <c r="C10" i="98"/>
  <c r="F26" i="96"/>
  <c r="F28" i="96" s="1"/>
  <c r="D13" i="96"/>
  <c r="F15" i="96"/>
  <c r="D16" i="99" l="1"/>
  <c r="B9" i="100"/>
  <c r="C11" i="100" s="1"/>
  <c r="D33" i="99"/>
  <c r="R28" i="113"/>
  <c r="R22" i="113" s="1"/>
  <c r="E10" i="98"/>
  <c r="E12" i="98" s="1"/>
  <c r="C12" i="98"/>
  <c r="D26" i="96"/>
  <c r="D28" i="96" s="1"/>
  <c r="D15" i="96"/>
  <c r="E33" i="99"/>
  <c r="B21" i="100" l="1"/>
  <c r="C21" i="100" s="1"/>
  <c r="C23" i="100" s="1"/>
  <c r="C25" i="100" s="1"/>
  <c r="E35" i="99"/>
  <c r="E36" i="99" s="1"/>
  <c r="S4" i="113"/>
  <c r="S22" i="113"/>
  <c r="D35" i="99"/>
  <c r="D36" i="99" s="1"/>
  <c r="C26" i="100" l="1"/>
</calcChain>
</file>

<file path=xl/comments1.xml><?xml version="1.0" encoding="utf-8"?>
<comments xmlns="http://schemas.openxmlformats.org/spreadsheetml/2006/main">
  <authors>
    <author>Pam Rasanen</author>
  </authors>
  <commentList>
    <comment ref="H41" authorId="0" shapeId="0">
      <text>
        <r>
          <rPr>
            <b/>
            <sz val="8"/>
            <color indexed="81"/>
            <rFont val="Tahoma"/>
            <family val="2"/>
          </rPr>
          <t>PSE:</t>
        </r>
        <r>
          <rPr>
            <sz val="8"/>
            <color indexed="81"/>
            <rFont val="Tahoma"/>
            <family val="2"/>
          </rPr>
          <t xml:space="preserve">
Difference due to rounding</t>
        </r>
      </text>
    </comment>
  </commentList>
</comments>
</file>

<file path=xl/sharedStrings.xml><?xml version="1.0" encoding="utf-8"?>
<sst xmlns="http://schemas.openxmlformats.org/spreadsheetml/2006/main" count="925" uniqueCount="630">
  <si>
    <t>Excludes 449 customers participating in Schedule 258 programs</t>
  </si>
  <si>
    <t>(Over) Under</t>
  </si>
  <si>
    <t>Description</t>
  </si>
  <si>
    <t>Expected Non-449</t>
  </si>
  <si>
    <t>Actuals Non-449</t>
  </si>
  <si>
    <t>Collected</t>
  </si>
  <si>
    <t>a</t>
  </si>
  <si>
    <t>b</t>
  </si>
  <si>
    <t>c = b - a</t>
  </si>
  <si>
    <t>Receipts, net of revenue sensitive items</t>
  </si>
  <si>
    <t>Variance between budgeted and actual expenditures:</t>
  </si>
  <si>
    <t>Non-449 Budget set in rates last rate period</t>
  </si>
  <si>
    <t>Total (over) under collection</t>
  </si>
  <si>
    <t xml:space="preserve"> </t>
  </si>
  <si>
    <t>Puget Sound Energy</t>
  </si>
  <si>
    <t>Determination of Proposed Non-449 Conservation Customer Charge</t>
  </si>
  <si>
    <t>Revenue Requirement</t>
  </si>
  <si>
    <t xml:space="preserve">Line No. </t>
  </si>
  <si>
    <t>Total Amount</t>
  </si>
  <si>
    <t>449 Accounts</t>
  </si>
  <si>
    <t>Non-449</t>
  </si>
  <si>
    <t>c = a + b</t>
  </si>
  <si>
    <t>Amounts to be Recovered</t>
  </si>
  <si>
    <t>(Note 2)</t>
  </si>
  <si>
    <t xml:space="preserve"> = 1 + 2 </t>
  </si>
  <si>
    <t>Total Costs to be Recovered (Note 1)</t>
  </si>
  <si>
    <t xml:space="preserve"> = 1 / 4</t>
  </si>
  <si>
    <t xml:space="preserve"> = 2 / 4</t>
  </si>
  <si>
    <t xml:space="preserve"> = 5 + 6</t>
  </si>
  <si>
    <t>Total Revenue Requirement (Note 1)</t>
  </si>
  <si>
    <t>Conservation Customer Charge</t>
  </si>
  <si>
    <t>Conservation Revenue Requirement Excluding 449/459 customers using Schedule 258</t>
  </si>
  <si>
    <t>Amount</t>
  </si>
  <si>
    <t>Conversion Factor</t>
  </si>
  <si>
    <t>Estimated Under (Over) Collection for Non-449/459 customers</t>
  </si>
  <si>
    <t>Total to be Recovered</t>
  </si>
  <si>
    <t>Source:  Sch 120 Revenue - CIS</t>
  </si>
  <si>
    <t>Electric Cons. Program Charge</t>
  </si>
  <si>
    <t>Data</t>
  </si>
  <si>
    <t>Tariff</t>
  </si>
  <si>
    <t>Grand Total</t>
  </si>
  <si>
    <t>Sch 449/459</t>
  </si>
  <si>
    <t>Sch 120 Rate</t>
  </si>
  <si>
    <t>Values</t>
  </si>
  <si>
    <t>Sum</t>
  </si>
  <si>
    <t>449</t>
  </si>
  <si>
    <t xml:space="preserve">459 </t>
  </si>
  <si>
    <t>PUGET SOUND ENERGY</t>
  </si>
  <si>
    <t/>
  </si>
  <si>
    <t>ACTUAL</t>
  </si>
  <si>
    <t>SALE OF ELECTRICITY - REVENUE</t>
  </si>
  <si>
    <t>Residential</t>
  </si>
  <si>
    <t>Commercial</t>
  </si>
  <si>
    <t>Industrial</t>
  </si>
  <si>
    <t>Public street &amp; hwy lighting</t>
  </si>
  <si>
    <t>Sales for resale firm</t>
  </si>
  <si>
    <t>Total retail sales</t>
  </si>
  <si>
    <t>Transportation (Billed plus Change in Unbilled)</t>
  </si>
  <si>
    <t>Sales to other utilities and marketers</t>
  </si>
  <si>
    <t>Total electric revenues</t>
  </si>
  <si>
    <t>Non-Core Gas Sales</t>
  </si>
  <si>
    <t>Transmission Revenue</t>
  </si>
  <si>
    <t>Decoupling Revenue</t>
  </si>
  <si>
    <t>Other Misc Operating Revenue</t>
  </si>
  <si>
    <t xml:space="preserve">    Other operating revenues</t>
  </si>
  <si>
    <t>Total electric sales</t>
  </si>
  <si>
    <t>SCH. 81 (B &amp; O tax) in above-billed</t>
  </si>
  <si>
    <t>SCH. 94 (Res/farm credit) in above</t>
  </si>
  <si>
    <t>SCH. 120 (Cons. Rider rev) in above</t>
  </si>
  <si>
    <t>SCH. 95A (Federal Incentives) in above</t>
  </si>
  <si>
    <t>Low Income Surcharge included in above</t>
  </si>
  <si>
    <t>SCH. 132 (Merger Rate Credit) in above</t>
  </si>
  <si>
    <t>SCH. 133 (JPUD Gain on Sale Cr) in above</t>
  </si>
  <si>
    <t xml:space="preserve">SCH. 137 (REC Proceeds Credit) in above </t>
  </si>
  <si>
    <t>SCH. 140 (Prop Tax in BillEngy) in above</t>
  </si>
  <si>
    <t>SALE OF ELECTRICITY - KWH</t>
  </si>
  <si>
    <t>Non-449/459</t>
  </si>
  <si>
    <t>449/459</t>
  </si>
  <si>
    <t>Total</t>
  </si>
  <si>
    <t>Total Collections</t>
  </si>
  <si>
    <t>Actual Collections net of RSIs (Billed plus Change in Unbilled) 18230621</t>
  </si>
  <si>
    <t>Estimated Collections</t>
  </si>
  <si>
    <t>(Note)</t>
  </si>
  <si>
    <t>(Note) Calculated by using actual or estimated 449 loads multiplied by the Sch 449 Rate currently in effect</t>
  </si>
  <si>
    <t>Period</t>
  </si>
  <si>
    <t>Debit</t>
  </si>
  <si>
    <t>Credit</t>
  </si>
  <si>
    <t>Balance</t>
  </si>
  <si>
    <t>Cumulative balance</t>
  </si>
  <si>
    <t>Balance Carryforward</t>
  </si>
  <si>
    <t>1</t>
  </si>
  <si>
    <t>2</t>
  </si>
  <si>
    <t>3</t>
  </si>
  <si>
    <t>4</t>
  </si>
  <si>
    <t>5</t>
  </si>
  <si>
    <t>6</t>
  </si>
  <si>
    <t>7</t>
  </si>
  <si>
    <t>8</t>
  </si>
  <si>
    <t>9</t>
  </si>
  <si>
    <t>10</t>
  </si>
  <si>
    <t>11</t>
  </si>
  <si>
    <t>12</t>
  </si>
  <si>
    <t>13</t>
  </si>
  <si>
    <t>14</t>
  </si>
  <si>
    <t>15</t>
  </si>
  <si>
    <t>16</t>
  </si>
  <si>
    <t>Load (MWh)</t>
  </si>
  <si>
    <t>Net of Conservation</t>
  </si>
  <si>
    <t>Year</t>
  </si>
  <si>
    <t>Month</t>
  </si>
  <si>
    <t>Date</t>
  </si>
  <si>
    <t>Streetlight</t>
  </si>
  <si>
    <t>Resale</t>
  </si>
  <si>
    <t>Total Delivered</t>
  </si>
  <si>
    <t>Losses</t>
  </si>
  <si>
    <t>Total Load</t>
  </si>
  <si>
    <t>Station Service</t>
  </si>
  <si>
    <t>Station Service Losses</t>
  </si>
  <si>
    <t>Full Load</t>
  </si>
  <si>
    <t>E251</t>
  </si>
  <si>
    <t>Net Metering</t>
  </si>
  <si>
    <t>Energy Efficient Technology Evaluation</t>
  </si>
  <si>
    <t>PUGET SOUND ENERGY-ELECTRIC</t>
  </si>
  <si>
    <t>LINE</t>
  </si>
  <si>
    <t>NO.</t>
  </si>
  <si>
    <t>DESCRIPTION</t>
  </si>
  <si>
    <t>RATE</t>
  </si>
  <si>
    <t>BAD DEBTS</t>
  </si>
  <si>
    <t>ANNUAL FILING FEE</t>
  </si>
  <si>
    <t>SUM OF TAXES OTHER</t>
  </si>
  <si>
    <t>CUSTOMER CLASS</t>
  </si>
  <si>
    <t>SCHEDULE</t>
  </si>
  <si>
    <t>c</t>
  </si>
  <si>
    <t>d</t>
  </si>
  <si>
    <t>Sec Gen Svc - Small</t>
  </si>
  <si>
    <t>Sec Gen Svc - Medium</t>
  </si>
  <si>
    <t>Sec Gen Svc - Large</t>
  </si>
  <si>
    <t>Sec Irrigation Svc</t>
  </si>
  <si>
    <t>Secondary Service Total</t>
  </si>
  <si>
    <t>Pri Gen Svc</t>
  </si>
  <si>
    <t>Pri Irrigation Svc</t>
  </si>
  <si>
    <t>Pri Interruptible Svc</t>
  </si>
  <si>
    <t>449 / 459</t>
  </si>
  <si>
    <t>Primary Service Total</t>
  </si>
  <si>
    <t>Campus Rate Total</t>
  </si>
  <si>
    <t>HV Interruptible Svc</t>
  </si>
  <si>
    <t>HV Gen Svc</t>
  </si>
  <si>
    <t>High Voltage Service Total</t>
  </si>
  <si>
    <t>Lights</t>
  </si>
  <si>
    <t>Actual versus Expected Collections Net of Revenue Sensitive Items</t>
  </si>
  <si>
    <t>Actual</t>
  </si>
  <si>
    <t>Difference</t>
  </si>
  <si>
    <t>E150</t>
  </si>
  <si>
    <t>E254</t>
  </si>
  <si>
    <t>E214</t>
  </si>
  <si>
    <t>E200</t>
  </si>
  <si>
    <t>E218</t>
  </si>
  <si>
    <t>E253</t>
  </si>
  <si>
    <t>E201</t>
  </si>
  <si>
    <t>E250</t>
  </si>
  <si>
    <t>E262</t>
  </si>
  <si>
    <t>E258</t>
  </si>
  <si>
    <t>E270</t>
  </si>
  <si>
    <t>Prior Year Filing</t>
  </si>
  <si>
    <t>Prior Year</t>
  </si>
  <si>
    <t>Load True-up</t>
  </si>
  <si>
    <t>Budget Variance</t>
  </si>
  <si>
    <t>Spending Variance</t>
  </si>
  <si>
    <t>Net Change</t>
  </si>
  <si>
    <t>Current Year</t>
  </si>
  <si>
    <t>Explanation of Whole Dollar Differences between Revenue Requirement</t>
  </si>
  <si>
    <t>(in millions)</t>
  </si>
  <si>
    <t>in millions</t>
  </si>
  <si>
    <t>Grossed up</t>
  </si>
  <si>
    <t>for Conversion</t>
  </si>
  <si>
    <t>Detail</t>
  </si>
  <si>
    <t>Factor</t>
  </si>
  <si>
    <t>Volume:</t>
  </si>
  <si>
    <t>Change between true-ups for current year and prior year:</t>
  </si>
  <si>
    <t>Comparison of True-up's to estimates used in prior year filing:</t>
  </si>
  <si>
    <t>Costs:</t>
  </si>
  <si>
    <t>Total change</t>
  </si>
  <si>
    <t>Revenue Sensitive Fees and Taxes</t>
  </si>
  <si>
    <t>Last revised:</t>
  </si>
  <si>
    <t>Ref #</t>
  </si>
  <si>
    <r>
      <t>Schedule Nos.</t>
    </r>
    <r>
      <rPr>
        <sz val="12"/>
        <rFont val="Arial"/>
        <family val="2"/>
      </rPr>
      <t xml:space="preserve"> </t>
    </r>
    <r>
      <rPr>
        <sz val="8"/>
        <rFont val="Arial"/>
        <family val="2"/>
      </rPr>
      <t>(Unless otherwise noted, applies to both electric and gas)</t>
    </r>
  </si>
  <si>
    <t>Program Name</t>
  </si>
  <si>
    <t>MWh Savings</t>
  </si>
  <si>
    <t>Electric Rider Budget</t>
  </si>
  <si>
    <t>Therm Savings</t>
  </si>
  <si>
    <t>Residential Energy Management</t>
  </si>
  <si>
    <t>Low Income Weatherization</t>
  </si>
  <si>
    <t>Residential lighting</t>
  </si>
  <si>
    <t>Space heat</t>
  </si>
  <si>
    <t>e</t>
  </si>
  <si>
    <t>Water heat</t>
  </si>
  <si>
    <t>f</t>
  </si>
  <si>
    <t>Home Energy Assessment</t>
  </si>
  <si>
    <t>g</t>
  </si>
  <si>
    <t>Home Appliances</t>
  </si>
  <si>
    <t>h</t>
  </si>
  <si>
    <t>i</t>
  </si>
  <si>
    <t>Web-Enabled Thermostats</t>
  </si>
  <si>
    <t>j</t>
  </si>
  <si>
    <t>Showerheads</t>
  </si>
  <si>
    <t>k</t>
  </si>
  <si>
    <t>Weatherization</t>
  </si>
  <si>
    <t>l</t>
  </si>
  <si>
    <t xml:space="preserve">Home Energy Reports </t>
  </si>
  <si>
    <t>m</t>
  </si>
  <si>
    <t>n</t>
  </si>
  <si>
    <t>o</t>
  </si>
  <si>
    <t>p</t>
  </si>
  <si>
    <t>Total, Residential Programs</t>
  </si>
  <si>
    <t>Business Energy Management</t>
  </si>
  <si>
    <t>q</t>
  </si>
  <si>
    <t>Commercial / Industrial Retrofit</t>
  </si>
  <si>
    <t>r</t>
  </si>
  <si>
    <t>Commercial/Industrial New Construction</t>
  </si>
  <si>
    <t>s</t>
  </si>
  <si>
    <t>t</t>
  </si>
  <si>
    <t>u</t>
  </si>
  <si>
    <t>261</t>
  </si>
  <si>
    <t>v</t>
  </si>
  <si>
    <t>Commercial Rebates</t>
  </si>
  <si>
    <t>w</t>
  </si>
  <si>
    <t>Subtotal, Business Programs</t>
  </si>
  <si>
    <t>x</t>
  </si>
  <si>
    <t>y</t>
  </si>
  <si>
    <t>z</t>
  </si>
  <si>
    <t>Subtotal, Pilots</t>
  </si>
  <si>
    <t>Regional Efficiency Programs</t>
  </si>
  <si>
    <t>aa</t>
  </si>
  <si>
    <t>NW Energy Efficiency Alliance</t>
  </si>
  <si>
    <t>ab</t>
  </si>
  <si>
    <t>ac</t>
  </si>
  <si>
    <t>Generation, Transmission and Distribution</t>
  </si>
  <si>
    <t>ad</t>
  </si>
  <si>
    <t>Subtotal, Regional Programs</t>
  </si>
  <si>
    <t>Energy Efficiency Portfolio Support</t>
  </si>
  <si>
    <t>ae</t>
  </si>
  <si>
    <t>af</t>
  </si>
  <si>
    <t>Energy Advisors</t>
  </si>
  <si>
    <t>ag</t>
  </si>
  <si>
    <t>Events</t>
  </si>
  <si>
    <t>ah</t>
  </si>
  <si>
    <t>Brochures, non program-specific</t>
  </si>
  <si>
    <t>ai</t>
  </si>
  <si>
    <t>Education</t>
  </si>
  <si>
    <t>aj</t>
  </si>
  <si>
    <t>ak</t>
  </si>
  <si>
    <t>Customer Digital Experience</t>
  </si>
  <si>
    <t>al</t>
  </si>
  <si>
    <t>Market Integration</t>
  </si>
  <si>
    <t>am</t>
  </si>
  <si>
    <t>Automated Benchmarking System</t>
  </si>
  <si>
    <t>an</t>
  </si>
  <si>
    <t>Rebates Processing</t>
  </si>
  <si>
    <t>ao</t>
  </si>
  <si>
    <t>Programs Support</t>
  </si>
  <si>
    <t>ap</t>
  </si>
  <si>
    <t>Data and Systems Services</t>
  </si>
  <si>
    <t>aq</t>
  </si>
  <si>
    <t>Energy Efficient Communities</t>
  </si>
  <si>
    <t>ar</t>
  </si>
  <si>
    <t xml:space="preserve">Trade Ally Support </t>
  </si>
  <si>
    <t>as</t>
  </si>
  <si>
    <t>at</t>
  </si>
  <si>
    <t>Subtotal, Portfolio Support</t>
  </si>
  <si>
    <t>Energy Efficiency Research &amp; Compliance</t>
  </si>
  <si>
    <t>au</t>
  </si>
  <si>
    <t>Conservation Supply Curves</t>
  </si>
  <si>
    <t>av</t>
  </si>
  <si>
    <t>Strategic Planning</t>
  </si>
  <si>
    <t>aw</t>
  </si>
  <si>
    <t>Market Research</t>
  </si>
  <si>
    <t>ax</t>
  </si>
  <si>
    <t>Program Evaluation</t>
  </si>
  <si>
    <t>ay</t>
  </si>
  <si>
    <t>Biennial Electric Conservation Acquisition Review</t>
  </si>
  <si>
    <t>az</t>
  </si>
  <si>
    <t>Verification Team</t>
  </si>
  <si>
    <t>ba</t>
  </si>
  <si>
    <t>Subtotal, Research &amp; Compliance</t>
  </si>
  <si>
    <t>bb</t>
  </si>
  <si>
    <t>Other Electric Programs</t>
  </si>
  <si>
    <t>bc</t>
  </si>
  <si>
    <t>bd</t>
  </si>
  <si>
    <t>be</t>
  </si>
  <si>
    <t>Subtotal, Other Electric Programs</t>
  </si>
  <si>
    <t>bf</t>
  </si>
  <si>
    <t>GRAND TOTAL All Programs</t>
  </si>
  <si>
    <t>bg</t>
  </si>
  <si>
    <t>bh</t>
  </si>
  <si>
    <t>Blue cells = use for 10% "info-only" calculation:</t>
  </si>
  <si>
    <t>Add up all blue cells and divide by "Total, Efficiency Programs Included in CE Calculations" line.</t>
  </si>
  <si>
    <t>HER program costs excluded from "info-only" calculation because savings will be measured.</t>
  </si>
  <si>
    <t>Gas Rider Budget</t>
  </si>
  <si>
    <t>NEEA Natural Gas Market Transformation</t>
  </si>
  <si>
    <r>
      <t>Contractor Alliance Network</t>
    </r>
    <r>
      <rPr>
        <i/>
        <sz val="9"/>
        <color theme="1"/>
        <rFont val="Arial"/>
        <family val="2"/>
      </rPr>
      <t xml:space="preserve"> (net of revenue + cost)</t>
    </r>
  </si>
  <si>
    <t>Purple cells = use to indicate a reasonable amt. spent on EM&amp;V (condition (6)(c)):</t>
  </si>
  <si>
    <t>EM&amp;V Budget (WAC 480-109-120(1)(b)(vi)(B))</t>
  </si>
  <si>
    <t>4430 Web-Enabled Prog Thermo</t>
  </si>
  <si>
    <t>4427 - Digital Experience</t>
  </si>
  <si>
    <t>4400 - Customer Online Experience - Elec</t>
  </si>
  <si>
    <t>4445 - Automated Benchmarking System - Electric</t>
  </si>
  <si>
    <t>4423 - EE Software System - Electric</t>
  </si>
  <si>
    <t>4427 - Marketing Research - Electric</t>
  </si>
  <si>
    <t>4440 - Community RCM - Electric</t>
  </si>
  <si>
    <t>4445 - EES Verification - Elec</t>
  </si>
  <si>
    <t>Energy Star Appliances, Electric</t>
  </si>
  <si>
    <t>Residential Showerheads - Electric</t>
  </si>
  <si>
    <t>Residential Energy Efficient Lighting Rebate</t>
  </si>
  <si>
    <t>Home energy reports (Opower)</t>
  </si>
  <si>
    <t>EES Market Integration- Elec</t>
  </si>
  <si>
    <t>4420 - Conservation Strategic Planning Elec</t>
  </si>
  <si>
    <t>Brochures (off-line/on-line)</t>
  </si>
  <si>
    <t>Multi-Family New Const.- Elec</t>
  </si>
  <si>
    <t>4430 - Events Electric</t>
  </si>
  <si>
    <t>4429 - Rebates Processing - Elec</t>
  </si>
  <si>
    <t>4430 - Customer Awareness Tools - Elec</t>
  </si>
  <si>
    <t>4430 - ShopPSE - Elec</t>
  </si>
  <si>
    <t>4430 - Energy Advisors - Electric</t>
  </si>
  <si>
    <t>LIW - Electric Rider</t>
  </si>
  <si>
    <t>4423 - Biennial Elec Conserv Achieve-BECAR</t>
  </si>
  <si>
    <t>4430 - HomePrint - Electric "Other"</t>
  </si>
  <si>
    <t>4430 - SF Existing Water Heat - Electric "Other"</t>
  </si>
  <si>
    <t>4430 - SF Existing Wx - Electric [NEW]</t>
  </si>
  <si>
    <t>4430 - SF Existing Space Heat - Electric</t>
  </si>
  <si>
    <t>C/I Energy Efficiency</t>
  </si>
  <si>
    <t>4430 - Sch 262 Business Ltg Markdown -Elec</t>
  </si>
  <si>
    <t>C/I New Construction</t>
  </si>
  <si>
    <t>4430 - Sch 262 Comm Kitchen/Laundry -Elec</t>
  </si>
  <si>
    <t>4430 - Sch 262 Comm HVAC - Elec</t>
  </si>
  <si>
    <t>4440 - Sch.258 449 High Voltage Program (36%)</t>
  </si>
  <si>
    <t>4440 - Sch.258 Non 449 High Voltage Progrm (64%)</t>
  </si>
  <si>
    <t>Resource Conservation Manager (RCM)</t>
  </si>
  <si>
    <t>4440 - Sch 250 Business Ltg Grants - Elec</t>
  </si>
  <si>
    <t>4420 - Sch 270 Trade Ally Support - Elec</t>
  </si>
  <si>
    <t>4445 - Data &amp; Systems Services - Elec</t>
  </si>
  <si>
    <t>4430 - Contract Alliance Network Rev &amp; Exp</t>
  </si>
  <si>
    <t>Program Evaluation and Research- Elec</t>
  </si>
  <si>
    <t>Conservation Supply Curves- Elec</t>
  </si>
  <si>
    <t>Program Support</t>
  </si>
  <si>
    <t>3545 Energy Efficient Communities</t>
  </si>
  <si>
    <t>4440 - E250 Industrial Systems Optimization</t>
  </si>
  <si>
    <t>4440 - E262 Small Business Direct Install - Elec</t>
  </si>
  <si>
    <t>Remove 449</t>
  </si>
  <si>
    <t>SCH. 141 (Expedt in BillEngy) in above</t>
  </si>
  <si>
    <t>SCH. 142 (Decup in BillEngy) in above</t>
  </si>
  <si>
    <t>Total kWh</t>
  </si>
  <si>
    <t>* Note: Sch. 141 Expedited Rate Filing and Sch. 142 Decoupling Riders were included in this report starting in July 2015</t>
  </si>
  <si>
    <t>Text</t>
  </si>
  <si>
    <t>Account 18230621</t>
  </si>
  <si>
    <t>Difference between non-449 actual collections and the</t>
  </si>
  <si>
    <t>(A) From Last Year's Filing's "Collections" tab.</t>
  </si>
  <si>
    <t>Estimate (A)</t>
  </si>
  <si>
    <t>Schedule</t>
  </si>
  <si>
    <t>Electric Programs</t>
  </si>
  <si>
    <t>Orders</t>
  </si>
  <si>
    <t>4430 - Manufactured Home MHNC Program Electric</t>
  </si>
  <si>
    <t>4430 - Residential New Construction (E215) - Electric</t>
  </si>
  <si>
    <t>4430 - Multi-Family Retrofit - (E217)-Electric</t>
  </si>
  <si>
    <t>Associated w/E217</t>
  </si>
  <si>
    <t>4430 - WSU - Elec</t>
  </si>
  <si>
    <t>FOR THE TWELVE MONTHS ENDED SEPTEMBER 30, 2016</t>
  </si>
  <si>
    <r>
      <t xml:space="preserve">
</t>
    </r>
    <r>
      <rPr>
        <b/>
        <sz val="12"/>
        <rFont val="Arial"/>
        <family val="2"/>
      </rPr>
      <t>PSE Conservation Rider 
Savings Goals and Budgets</t>
    </r>
  </si>
  <si>
    <t>Total Rider Budget</t>
  </si>
  <si>
    <r>
      <t xml:space="preserve">(All indented program or activity names are color-coded and comprise the totals of the </t>
    </r>
    <r>
      <rPr>
        <u/>
        <sz val="8"/>
        <rFont val="Arial"/>
        <family val="2"/>
      </rPr>
      <t>above</t>
    </r>
    <r>
      <rPr>
        <sz val="8"/>
        <rFont val="Arial"/>
        <family val="2"/>
      </rPr>
      <t xml:space="preserve"> program or activity grouping.)</t>
    </r>
  </si>
  <si>
    <t>Single Family Existing Subtotal</t>
  </si>
  <si>
    <t>Single Family Rental Pilot</t>
  </si>
  <si>
    <t>Single Family New Construction</t>
  </si>
  <si>
    <t>Multifamily Retrofit</t>
  </si>
  <si>
    <t>Multifamily New Construction</t>
  </si>
  <si>
    <t>Commercial Strategic Energy Management</t>
  </si>
  <si>
    <t>Large Power User - Self Directed Program Subtotal</t>
  </si>
  <si>
    <t>449 Customers</t>
  </si>
  <si>
    <t>Non-449 Customers</t>
  </si>
  <si>
    <t>Pilots With Uncertain Savings</t>
  </si>
  <si>
    <t>Commercial Pay for Performance Pilot</t>
  </si>
  <si>
    <t>NW Energy Efficiency Alliance (NEEA)</t>
  </si>
  <si>
    <t>E292</t>
  </si>
  <si>
    <t>Total Savings, Efficiency Programs Included in CE Calculations</t>
  </si>
  <si>
    <t>(Line bg) Add up the sum of [Data &amp; Systems Services + Program Evaluation + BECAR + Verification] purple cells and divide by the [Residential + Business] purple cells.</t>
  </si>
  <si>
    <t xml:space="preserve">(Line bg) Add up the sum of [Data &amp; Systems Services + Program Evaluation + BECAR + Verification] purple cells </t>
  </si>
  <si>
    <t>Line No.</t>
  </si>
  <si>
    <t>8/24</t>
  </si>
  <si>
    <t>7A/11/25</t>
  </si>
  <si>
    <t>12/26</t>
  </si>
  <si>
    <t>10/31</t>
  </si>
  <si>
    <t xml:space="preserve">Transportation </t>
  </si>
  <si>
    <t>50-59</t>
  </si>
  <si>
    <t>Conversion Factor (2017 GRC)</t>
  </si>
  <si>
    <t>UPDATE ALL NUMBERS</t>
  </si>
  <si>
    <t>2018 Conservation Costs (12  Months) - Non-449/459 customers only</t>
  </si>
  <si>
    <t>Causes of the Change in Revenue Requirement from</t>
  </si>
  <si>
    <t>This Year</t>
  </si>
  <si>
    <t>Last Year</t>
  </si>
  <si>
    <t>Other</t>
  </si>
  <si>
    <t>Composition of Expenditures</t>
  </si>
  <si>
    <t>258 Non 449 Expenditures</t>
  </si>
  <si>
    <t>Non-258 Expenditures</t>
  </si>
  <si>
    <t>&lt;== check total - must be $0</t>
  </si>
  <si>
    <t>Remove Transfer</t>
  </si>
  <si>
    <t>Receipts</t>
  </si>
  <si>
    <t>Assignment</t>
  </si>
  <si>
    <t>Year/month</t>
  </si>
  <si>
    <t>Amount in local currency</t>
  </si>
  <si>
    <t>May Net Activity</t>
  </si>
  <si>
    <t>May Receipts</t>
  </si>
  <si>
    <t>Cons Costs NIRB - Conservation Rider Amortization (already net of revenue sensitive items)</t>
  </si>
  <si>
    <t>Comparison of Spending Variance - increase in payable for over-estimating budgeted expenditures</t>
  </si>
  <si>
    <t>2019 Non-449 Budgeted Expenditures</t>
  </si>
  <si>
    <t>Effective May 2019</t>
  </si>
  <si>
    <t>Estimated Under (Over) Collection from Prior Year for Non-449/459 customers</t>
  </si>
  <si>
    <t>2019 Conservation Costs Related Revenue Requirement</t>
  </si>
  <si>
    <t>2018 - 2019 True up</t>
  </si>
  <si>
    <t>May 2018 through April 2019 (2/19 - 4/19 forecasted)</t>
  </si>
  <si>
    <t>2018 budgeted expenditures set in rates versus actual expenditures made - Non-258</t>
  </si>
  <si>
    <t>2018 budgeted expenditures set in rates versus actual expenditures made - 40, 46 and 49 under 258</t>
  </si>
  <si>
    <t>2018-2019 true up</t>
  </si>
  <si>
    <t>2017 - 2018 True up of Estimated collections</t>
  </si>
  <si>
    <t>estimated collections for Feb - Apr 2018 used</t>
  </si>
  <si>
    <t>for 2018/2019 true up in UE-180185</t>
  </si>
  <si>
    <t>Collections actual vs. estimated in 18-19 true-up included in UE-180185</t>
  </si>
  <si>
    <t>Difference between estimated collections used in UE-180185 and actual collections</t>
  </si>
  <si>
    <t>001/2019</t>
  </si>
  <si>
    <t>May 18-Jan 19</t>
  </si>
  <si>
    <t>Collections - 12ME April 2019</t>
  </si>
  <si>
    <t>May 2018 through January 2019 - Actuals</t>
  </si>
  <si>
    <t>February 2019 through April 2019 - Estimated</t>
  </si>
  <si>
    <t>0.952386 conversion factor in existing Sch 120 from UE-180185</t>
  </si>
  <si>
    <t>and most current forecast delivered load net of conservation from F2019</t>
  </si>
  <si>
    <t>Year 2019</t>
  </si>
  <si>
    <t>ELECTRIC OPERATING REVENUE &amp; KWH SALES</t>
  </si>
  <si>
    <t>Over (Under)</t>
  </si>
  <si>
    <t>Spent</t>
  </si>
  <si>
    <t>Source:  SAP Download</t>
  </si>
  <si>
    <t>Total including 449</t>
  </si>
  <si>
    <t>2019 Budget excl 449</t>
  </si>
  <si>
    <t>Sch 120 net of Conversion Factor</t>
  </si>
  <si>
    <t>CONVERSION FACTOR</t>
  </si>
  <si>
    <t>February</t>
  </si>
  <si>
    <t>March</t>
  </si>
  <si>
    <t>April</t>
  </si>
  <si>
    <t>As Used in UE-180282 and UG-180283</t>
  </si>
  <si>
    <t>ADJUSTED FOR FEDERAL TAX RATE CHANGE FROM 35% to 21%</t>
  </si>
  <si>
    <t>GENERAL RATE CASE</t>
  </si>
  <si>
    <t>Current Filing</t>
  </si>
  <si>
    <t>Prior Filing</t>
  </si>
  <si>
    <t>Budget set in rates versus actual expenditures made - Non-449</t>
  </si>
  <si>
    <t>January through December 2019</t>
  </si>
  <si>
    <t>For the current rate period that will be ending</t>
  </si>
  <si>
    <t>May 2018 through April 2019</t>
  </si>
  <si>
    <t>ii</t>
  </si>
  <si>
    <t>February 2018 through April 2018</t>
  </si>
  <si>
    <t>months and consists of two parts:</t>
  </si>
  <si>
    <t>For the estimated collections used in the prior year's filing</t>
  </si>
  <si>
    <t>"Spending Variances" which conists of the difference between</t>
  </si>
  <si>
    <t>iii</t>
  </si>
  <si>
    <t>Time Period</t>
  </si>
  <si>
    <t>Location</t>
  </si>
  <si>
    <t>January through December 2018</t>
  </si>
  <si>
    <t>Jan-Dec 2019 vs. Jan-Dec 2018</t>
  </si>
  <si>
    <t>A variance analysis which demonstrates the causes for the change between the</t>
  </si>
  <si>
    <t>non-449 revenue requirement from the prior filing to the current filing.</t>
  </si>
  <si>
    <t>This file contains conservation revenue requirement information for all non-449 customers.</t>
  </si>
  <si>
    <t>The non-449 conservation revenue requirement which is made up of two categories:</t>
  </si>
  <si>
    <t>Bdgt to Actual for May-Apr 2019 vs. Bdgt to Actual for May-Apr 2019</t>
  </si>
  <si>
    <t>Bdgt to Actual for Feb-Apr 2018 vs. Bdgt to Actual Feb-Apr 2017</t>
  </si>
  <si>
    <t>Bdgt to Actual for Jan-Dec 2018 vs. Bdgt to Actual Jan-Dec 2017</t>
  </si>
  <si>
    <t>Purple tabs contain information that is new in the current year filing</t>
  </si>
  <si>
    <t>Blue tabs are tabs that come directly from the prior year filing</t>
  </si>
  <si>
    <t>Red tabs are tabs that come directly from the ACP/BCP filings</t>
  </si>
  <si>
    <t>Total (does</t>
  </si>
  <si>
    <t>not inc.</t>
  </si>
  <si>
    <t>Transp.)</t>
  </si>
  <si>
    <t>Less</t>
  </si>
  <si>
    <t>Sch 120</t>
  </si>
  <si>
    <t>Related</t>
  </si>
  <si>
    <t>Transportation</t>
  </si>
  <si>
    <t>Check</t>
  </si>
  <si>
    <t>Current (Payable) Receivable</t>
  </si>
  <si>
    <t>Prior (Payable) Receivable</t>
  </si>
  <si>
    <t>Current Budget</t>
  </si>
  <si>
    <t>Prior Budget</t>
  </si>
  <si>
    <t>Current (Under) Over Spending Variance</t>
  </si>
  <si>
    <t>Prior (Under) Over Spending Variance</t>
  </si>
  <si>
    <t>Difference - Current minus Prior</t>
  </si>
  <si>
    <t>2018/2019 Revenue Requirement from UE-180185</t>
  </si>
  <si>
    <t>Current Year Non-449 Annual Budget</t>
  </si>
  <si>
    <t>Non-449 True-up for the Prior Year which consists of two categories:</t>
  </si>
  <si>
    <t>"Load Variances" which trues-up the Non-449 amount set in rates to be</t>
  </si>
  <si>
    <t>collected and the Non-449 amount actually collected which covers 15</t>
  </si>
  <si>
    <t>the Non-449 budget set in rates last year to the actual Non-449</t>
  </si>
  <si>
    <t>amounts spent</t>
  </si>
  <si>
    <t>Change in Non-449 Budgeted Spending between this year and last year</t>
  </si>
  <si>
    <t>Change in Non-449 True-up between this year and last year</t>
  </si>
  <si>
    <t>Change in Non-449 load variance for current period</t>
  </si>
  <si>
    <t>Change in Non-449 load variance for estimates used in prior filing</t>
  </si>
  <si>
    <t>Change in Non-449 spending variance</t>
  </si>
  <si>
    <t>4440 - BEM Pay - Elect Performance Pilot</t>
  </si>
  <si>
    <t>4430 - Commercial Midstread Incentive - E</t>
  </si>
  <si>
    <t>4430 - Single Family Rental - E</t>
  </si>
  <si>
    <t>Total To Report</t>
  </si>
  <si>
    <t>Exclude 449</t>
  </si>
  <si>
    <t>Actual Expenditures for Non-449</t>
  </si>
  <si>
    <t xml:space="preserve">2019/05   </t>
  </si>
  <si>
    <t>Sch120 Unbilled-4/2019</t>
  </si>
  <si>
    <t>TRANS E CONSERVATION 2018 RECOVERY A</t>
  </si>
  <si>
    <t>Sch120 Billed-5/2019</t>
  </si>
  <si>
    <t>Sch120 Unbilled-5/2019</t>
  </si>
  <si>
    <t>Year 2020</t>
  </si>
  <si>
    <t>MSSC</t>
  </si>
  <si>
    <t>002/2019</t>
  </si>
  <si>
    <t>003/2019</t>
  </si>
  <si>
    <t>004/2019</t>
  </si>
  <si>
    <t>005/2019</t>
  </si>
  <si>
    <t>006/2019</t>
  </si>
  <si>
    <t>007/2019</t>
  </si>
  <si>
    <t>008/2019</t>
  </si>
  <si>
    <t>009/2019</t>
  </si>
  <si>
    <t>010/2019</t>
  </si>
  <si>
    <t>011/2019</t>
  </si>
  <si>
    <t>012/2019</t>
  </si>
  <si>
    <t>001/2020</t>
  </si>
  <si>
    <t>Source:  F2019, Delivered Transporation kWH</t>
  </si>
  <si>
    <t>Eff 5-1-19</t>
  </si>
  <si>
    <t>Sum of Feb-20</t>
  </si>
  <si>
    <t>Sum of Mar-20</t>
  </si>
  <si>
    <t>Sum of Apr-20</t>
  </si>
  <si>
    <t>Source:  F2019, Delivered kWH</t>
  </si>
  <si>
    <t>February 2019</t>
  </si>
  <si>
    <t>March 2019</t>
  </si>
  <si>
    <t>April 2019</t>
  </si>
  <si>
    <t>Total 2019 Spending to Include in Calculation of the True Up to Electric Schedule 120</t>
  </si>
  <si>
    <t xml:space="preserve">2019 Electric Actual Spend </t>
  </si>
  <si>
    <t>Less 449's Actual 2019</t>
  </si>
  <si>
    <t>Total 2018 Expenditures to use in True-Up calculation</t>
  </si>
  <si>
    <t>2019 Total</t>
  </si>
  <si>
    <t>True-Up of Amounts for Current Reporting Period (May 2018 through April 2019 with February through April 2020 re-forecasted)</t>
  </si>
  <si>
    <t>February 2020 through April 2020 - Estimated</t>
  </si>
  <si>
    <t>Received from</t>
  </si>
  <si>
    <t>Pam on 2-7-2020</t>
  </si>
  <si>
    <t>Losses were assumed at 7.1%</t>
  </si>
  <si>
    <t>Proposed Schedule 120 Rider
$ per kWh
Eff 5-1-19</t>
  </si>
  <si>
    <t>F2018
Delivered kWh
05/19 to 04/20</t>
  </si>
  <si>
    <t>Projected
Revenue
05/19 to 04/20
(Note 1)</t>
  </si>
  <si>
    <t>Collections - 12ME April 2020</t>
  </si>
  <si>
    <t>May 2019 through January 2020 - Actuals</t>
  </si>
  <si>
    <t>Smart Thermostats</t>
  </si>
  <si>
    <t>214 &amp; 217</t>
  </si>
  <si>
    <t>Moderate Income Residences</t>
  </si>
  <si>
    <t>Targeted DSM Pilot</t>
  </si>
  <si>
    <t xml:space="preserve">Trade Ally Memberships </t>
  </si>
  <si>
    <r>
      <t>Trade Ally Network</t>
    </r>
    <r>
      <rPr>
        <i/>
        <sz val="8"/>
        <color theme="1"/>
        <rFont val="Arial"/>
        <family val="2"/>
      </rPr>
      <t xml:space="preserve"> (revenue + cost)</t>
    </r>
  </si>
  <si>
    <t>Customer Digital Services</t>
  </si>
  <si>
    <t>249A, 271</t>
  </si>
  <si>
    <t>Demand Response Pilot</t>
  </si>
  <si>
    <t>2020 Conservation Budget (12 Months) (Note 1)</t>
  </si>
  <si>
    <t>Effective May 2020</t>
  </si>
  <si>
    <t>True up of 2019/2020 - (Note 2)</t>
  </si>
  <si>
    <t>True up of 2019/2020 Related Revenue Requirement</t>
  </si>
  <si>
    <t>2019 - 2020 True up</t>
  </si>
  <si>
    <t>True-Up of Amounts for Current Reporting Period (May 2019 through April 2020 with February through April 2020 re-forecasted)</t>
  </si>
  <si>
    <t>2019 budgeted expenditures set in rates versus actual expenditures made - Non-258</t>
  </si>
  <si>
    <t>2019 budgeted expenditures set in rates versus actual expenditures made - 40, 46 and 49 under 258</t>
  </si>
  <si>
    <t>estimated collections for Feb - Apr 2019 used</t>
  </si>
  <si>
    <t>2020 Conservation Costs (12  Months) - Non-449/459 customers only</t>
  </si>
  <si>
    <t>Current year - Receivable for Under-collection of 2019 program costs collected through April 2020 (Feb - Apr 2020 are estimates)</t>
  </si>
  <si>
    <t>Prior year - Receivable for Under-collection of 2016 program costs collected through April 2019</t>
  </si>
  <si>
    <t>Current year - payable for over-collecting Feb - Apr 2019 revenues</t>
  </si>
  <si>
    <t>Prior year - payable for over-collecting Feb - Apr 2018 revenues</t>
  </si>
  <si>
    <t>Plus projected expenditures 2020 vs. 2019</t>
  </si>
  <si>
    <t>2020 Non-449 Budgeted Expenditures</t>
  </si>
  <si>
    <t>2020 (Current filing) 2019 (Prior filing) Non-449 Actual Expenditures</t>
  </si>
  <si>
    <t>2020 (Current filing) 2019 (Prior filing) Non-449 Budgeted Expenditures</t>
  </si>
  <si>
    <t>(Note 2) The true up for collections through April 2020 does not relate to Schedule 449 customers participating in conservation programs under Schedule 258.</t>
  </si>
  <si>
    <t>SAP Transaction</t>
  </si>
  <si>
    <t>ZRW_ZO12</t>
  </si>
  <si>
    <t>Anticipated Updated BCP Costs</t>
  </si>
  <si>
    <t>May 2019 through April 2020 (2/20 - 4/20 forecasted)</t>
  </si>
  <si>
    <t xml:space="preserve">(Line bi) Add up the sum of [Data &amp; Systems Services + Program Evaluation + BECAR + Verification] purple cells </t>
  </si>
  <si>
    <t>(Line bh) Add up the sum of [Data &amp; Systems Services + Program Evaluation + BECAR + Verification] purple cells and divide by the [Residential + Business] purple cells.</t>
  </si>
  <si>
    <t>bi</t>
  </si>
  <si>
    <t>TOTAL UTILITY CONSERVATION GOALS</t>
  </si>
  <si>
    <t>Subtotal, Other Energy Efficiency Programs</t>
  </si>
  <si>
    <t>Other Customer Programs</t>
  </si>
  <si>
    <t xml:space="preserve">Commercial </t>
  </si>
  <si>
    <t xml:space="preserve">l </t>
  </si>
  <si>
    <t>To use for Schedule 120 Filing</t>
  </si>
  <si>
    <t>Items disccused in Sch 120 cover letter (formula error corrections and additional budget for social cost of carbon impacts)</t>
  </si>
  <si>
    <t>Additional Information used for Schedule 120 Filing</t>
  </si>
  <si>
    <t>Information in this tab through Column K is from the original filing in UE-190905 - file "190905-PSE-BCP-2020-2021-Exhibit-1-(11-01-2019).xlsm" tab "Portfolio--2020 Specific"</t>
  </si>
  <si>
    <t>Totals are based on average total composite rate of $0.473335842 x</t>
  </si>
  <si>
    <t>F2019 Final Electric Load Forecast</t>
  </si>
  <si>
    <t>Net of revenue sensitive items</t>
  </si>
  <si>
    <t>Conversion Factor from Last Year's filing</t>
  </si>
  <si>
    <t>Use for Non-449 Revenue Requirement True-Up</t>
  </si>
  <si>
    <t>Total (already does not include firm resale)</t>
  </si>
  <si>
    <t>The information above this line is from last year's Sch 120 filing in UE-190149; file "2019 Conservation Rate Design Workpapers (Proposed Eff 5-1-19).xlsx" tab "Proforma - Proposed vs. no 120"</t>
  </si>
  <si>
    <t>Check to Total</t>
  </si>
  <si>
    <t>Add:  Sch 258 Collections (Sch 449 &amp; 459)</t>
  </si>
  <si>
    <t>Check Revenue from Table 1</t>
  </si>
  <si>
    <t>Note 1 - Projected Revenue Includes Base Revenue plus Rider Schedules 95, 95A, 129, 132, 137, 140, 141, 142 &amp; 194</t>
  </si>
  <si>
    <t>h = i + j</t>
  </si>
  <si>
    <t>g = h - e</t>
  </si>
  <si>
    <t>f = e / b</t>
  </si>
  <si>
    <t>e = d - b</t>
  </si>
  <si>
    <t>d = b + (a * c)</t>
  </si>
  <si>
    <t>2018 Under / (Over) Allocation</t>
  </si>
  <si>
    <t>2019 Class Allocation</t>
  </si>
  <si>
    <t>Total Class Allocation</t>
  </si>
  <si>
    <t>Rounding Difference</t>
  </si>
  <si>
    <t>Additional Revenue %</t>
  </si>
  <si>
    <t>Additional Revenue $</t>
  </si>
  <si>
    <t>REVENUE
(Including 5-1-19
Sch 120 revenue)</t>
  </si>
  <si>
    <t>Revenue Class Allocations</t>
  </si>
  <si>
    <t>Rate Effects on Revenue without Schedule 120 vs. Revenue with Proposed Schedule 120</t>
  </si>
  <si>
    <t>2019 TOTAL CONSERVATION REVENUE SERVICE RIDER AS % OF REVENUE</t>
  </si>
  <si>
    <t>and most current forecast delivered load (shown below in MWh's) from F2019</t>
  </si>
  <si>
    <t>$ per kWh</t>
  </si>
  <si>
    <t>(Note 1) The amount reflected in column b is based on expected expenditures for Sch 449 customers for the 2020 budget year as included in UE-190905 - file "190905-PSE-BCP-2020-2021-Exhibit-1-(11-01-2019).xlsm" tab "Portfolio--2020 Specific" and may not necessarily reflect the revenue requirement to be set in rates for Sch 449 customers.  The amount to collect from these customers will be determined in the Cost of Service workpapers.</t>
  </si>
  <si>
    <t>for 2018/2019 true up in UE-190149</t>
  </si>
  <si>
    <t>Converstion Factor From UE-180185</t>
  </si>
  <si>
    <t>Tab is from UE-190149</t>
  </si>
  <si>
    <t>Information in this tab through Column K is from UE-101787</t>
  </si>
  <si>
    <t>2019/2020 Electric Conservation Rider Filing</t>
  </si>
  <si>
    <t>in the prior 2018/2019 filing and current 2019/2020 filing</t>
  </si>
  <si>
    <t>2019/2020 Revenue Requirement from UE-20XXXX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</si>
</sst>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_);\(#,##0.000000\)"/>
    <numFmt numFmtId="167" formatCode="0.0%"/>
    <numFmt numFmtId="168" formatCode="_(&quot;$&quot;* #,##0.000000_);_(&quot;$&quot;* \(#,##0.000000\);_(&quot;$&quot;* &quot;-&quot;??_);_(@_)"/>
    <numFmt numFmtId="169" formatCode="_(&quot;$&quot;* #,##0.000_);_(&quot;$&quot;* \(#,##0.000\);_(&quot;$&quot;* &quot;-&quot;???_);_(@_)"/>
    <numFmt numFmtId="170" formatCode="0.0000\ \¢"/>
    <numFmt numFmtId="171" formatCode="[$-409]mmmm\ d\,\ yyyy;@"/>
    <numFmt numFmtId="172" formatCode="0.000000"/>
    <numFmt numFmtId="173" formatCode="0.0000%"/>
    <numFmt numFmtId="174" formatCode="[$-409]m/d/yy\ h:mm\ AM/PM;@"/>
    <numFmt numFmtId="175" formatCode="###.0\ &quot;aMW&quot;"/>
    <numFmt numFmtId="176" formatCode="#,###\ &quot;MWh&quot;"/>
    <numFmt numFmtId="177" formatCode="##.0\ &quot;FTEs&quot;"/>
    <numFmt numFmtId="178" formatCode="_(&quot;$&quot;* #,##0.0000_);_(&quot;$&quot;* \(#,##0.0000\);_(&quot;$&quot;* &quot;-&quot;????_);_(@_)"/>
    <numFmt numFmtId="179" formatCode="[$-409]d\-mmm\-yyyy;@"/>
    <numFmt numFmtId="180" formatCode="_(&quot;$&quot;* #,##0.0_);_(&quot;$&quot;* \(#,##0.0\);_(&quot;$&quot;* &quot;-&quot;??_);_(@_)"/>
    <numFmt numFmtId="181" formatCode="_(* #,##0.000000_);_(* \(#,##0.000000\);_(* &quot;-&quot;??????_);_(@_)"/>
    <numFmt numFmtId="182" formatCode="0.000%"/>
    <numFmt numFmtId="183" formatCode="&quot;$&quot;#,##0.000000_);\(&quot;$&quot;#,##0.000000\)"/>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sz val="10"/>
      <color indexed="12"/>
      <name val="Arial"/>
      <family val="2"/>
    </font>
    <font>
      <sz val="11"/>
      <name val="Calibri"/>
      <family val="2"/>
    </font>
    <font>
      <sz val="9"/>
      <name val="Arial"/>
      <family val="2"/>
    </font>
    <font>
      <b/>
      <u/>
      <sz val="11"/>
      <color theme="1"/>
      <name val="Calibri"/>
      <family val="2"/>
      <scheme val="minor"/>
    </font>
    <font>
      <b/>
      <sz val="11"/>
      <name val="Arial"/>
      <family val="2"/>
    </font>
    <font>
      <b/>
      <sz val="9"/>
      <name val="Arial"/>
      <family val="2"/>
    </font>
    <font>
      <sz val="11"/>
      <color rgb="FFFF0000"/>
      <name val="Calibri"/>
      <family val="2"/>
      <scheme val="minor"/>
    </font>
    <font>
      <sz val="24"/>
      <color theme="1"/>
      <name val="Calibri"/>
      <family val="2"/>
    </font>
    <font>
      <sz val="16"/>
      <color theme="1"/>
      <name val="Calibri"/>
      <family val="2"/>
    </font>
    <font>
      <b/>
      <sz val="10"/>
      <color theme="1"/>
      <name val="Calibri"/>
      <family val="2"/>
    </font>
    <font>
      <sz val="10"/>
      <name val="Times New Roman"/>
      <family val="1"/>
    </font>
    <font>
      <b/>
      <sz val="10"/>
      <name val="Times New Roman"/>
      <family val="1"/>
    </font>
    <font>
      <sz val="10"/>
      <color indexed="8"/>
      <name val="Arial"/>
      <family val="2"/>
    </font>
    <font>
      <sz val="10"/>
      <color theme="1"/>
      <name val="Arial"/>
      <family val="2"/>
    </font>
    <font>
      <sz val="8"/>
      <name val="Arial"/>
      <family val="2"/>
    </font>
    <font>
      <b/>
      <sz val="12"/>
      <name val="Arial"/>
      <family val="2"/>
    </font>
    <font>
      <b/>
      <sz val="8"/>
      <name val="Arial"/>
      <family val="2"/>
    </font>
    <font>
      <b/>
      <sz val="10"/>
      <color indexed="8"/>
      <name val="Arial"/>
      <family val="2"/>
    </font>
    <font>
      <b/>
      <sz val="12"/>
      <color indexed="8"/>
      <name val="Arial"/>
      <family val="2"/>
    </font>
    <font>
      <b/>
      <u/>
      <sz val="11"/>
      <name val="Calibri"/>
      <family val="2"/>
      <scheme val="minor"/>
    </font>
    <font>
      <b/>
      <sz val="14"/>
      <color rgb="FF0000FF"/>
      <name val="Arial"/>
      <family val="2"/>
    </font>
    <font>
      <sz val="12"/>
      <name val="Arial"/>
      <family val="2"/>
    </font>
    <font>
      <u/>
      <sz val="8"/>
      <name val="Arial"/>
      <family val="2"/>
    </font>
    <font>
      <b/>
      <sz val="12"/>
      <color indexed="9"/>
      <name val="Arial"/>
      <family val="2"/>
    </font>
    <font>
      <sz val="8"/>
      <color theme="1"/>
      <name val="Arial"/>
      <family val="2"/>
    </font>
    <font>
      <i/>
      <sz val="10"/>
      <color rgb="FF0430AC"/>
      <name val="Arial"/>
      <family val="2"/>
    </font>
    <font>
      <i/>
      <sz val="8"/>
      <color rgb="FF0430AC"/>
      <name val="Arial"/>
      <family val="2"/>
    </font>
    <font>
      <i/>
      <sz val="10"/>
      <color indexed="10"/>
      <name val="Arial"/>
      <family val="2"/>
    </font>
    <font>
      <u val="singleAccounting"/>
      <sz val="10"/>
      <color indexed="8"/>
      <name val="Arial"/>
      <family val="2"/>
    </font>
    <font>
      <b/>
      <sz val="8"/>
      <color indexed="9"/>
      <name val="Arial"/>
      <family val="2"/>
    </font>
    <font>
      <i/>
      <sz val="9"/>
      <color rgb="FF0430AC"/>
      <name val="Arial"/>
      <family val="2"/>
    </font>
    <font>
      <sz val="10"/>
      <color rgb="FF0430AC"/>
      <name val="Arial"/>
      <family val="2"/>
    </font>
    <font>
      <i/>
      <sz val="9"/>
      <color theme="1"/>
      <name val="Arial"/>
      <family val="2"/>
    </font>
    <font>
      <b/>
      <sz val="11"/>
      <color theme="0"/>
      <name val="Arial"/>
      <family val="2"/>
    </font>
    <font>
      <b/>
      <sz val="10"/>
      <color indexed="12"/>
      <name val="Arial"/>
      <family val="2"/>
    </font>
    <font>
      <b/>
      <sz val="10"/>
      <color theme="0"/>
      <name val="Arial"/>
      <family val="2"/>
    </font>
    <font>
      <sz val="10"/>
      <color rgb="FFFF0000"/>
      <name val="Arial"/>
      <family val="2"/>
    </font>
    <font>
      <b/>
      <sz val="12"/>
      <color theme="0"/>
      <name val="Arial"/>
      <family val="2"/>
    </font>
    <font>
      <sz val="10"/>
      <name val="Courier"/>
      <family val="3"/>
    </font>
    <font>
      <sz val="10"/>
      <name val="Arial"/>
      <family val="2"/>
    </font>
    <font>
      <u/>
      <sz val="11"/>
      <color theme="10"/>
      <name val="Calibri"/>
      <family val="2"/>
      <scheme val="minor"/>
    </font>
    <font>
      <b/>
      <sz val="10"/>
      <color theme="1"/>
      <name val="Arial"/>
      <family val="2"/>
    </font>
    <font>
      <b/>
      <i/>
      <sz val="20"/>
      <color rgb="FF0070C0"/>
      <name val="Arial"/>
      <family val="2"/>
    </font>
    <font>
      <sz val="12"/>
      <color indexed="10"/>
      <name val="Arial"/>
      <family val="2"/>
    </font>
    <font>
      <b/>
      <sz val="12"/>
      <color indexed="10"/>
      <name val="Arial"/>
      <family val="2"/>
    </font>
    <font>
      <i/>
      <sz val="10"/>
      <color rgb="FF0070C0"/>
      <name val="Arial"/>
      <family val="2"/>
    </font>
    <font>
      <sz val="10"/>
      <color rgb="FF0070C0"/>
      <name val="Arial"/>
      <family val="2"/>
    </font>
    <font>
      <b/>
      <sz val="10"/>
      <color rgb="FFFF0000"/>
      <name val="Arial"/>
      <family val="2"/>
    </font>
    <font>
      <b/>
      <sz val="11"/>
      <name val="Calibri"/>
      <family val="2"/>
      <scheme val="minor"/>
    </font>
    <font>
      <b/>
      <sz val="14"/>
      <color rgb="FFFF0000"/>
      <name val="Arial"/>
      <family val="2"/>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Times New Roman"/>
      <family val="1"/>
    </font>
    <font>
      <b/>
      <sz val="10"/>
      <color rgb="FF0000FF"/>
      <name val="Arial"/>
      <family val="2"/>
    </font>
    <font>
      <b/>
      <sz val="9"/>
      <color rgb="FF0000FF"/>
      <name val="Arial"/>
      <family val="2"/>
    </font>
    <font>
      <b/>
      <sz val="10"/>
      <color rgb="FF0000FF"/>
      <name val="Times New Roman"/>
      <family val="1"/>
    </font>
    <font>
      <b/>
      <i/>
      <sz val="10"/>
      <color rgb="FF0000FF"/>
      <name val="Times New Roman"/>
      <family val="1"/>
    </font>
    <font>
      <sz val="11"/>
      <color theme="1"/>
      <name val="Times New Roman"/>
      <family val="2"/>
    </font>
    <font>
      <sz val="9"/>
      <color theme="1"/>
      <name val="Arial"/>
      <family val="2"/>
    </font>
    <font>
      <i/>
      <sz val="9"/>
      <name val="Arial"/>
      <family val="2"/>
    </font>
    <font>
      <i/>
      <sz val="9"/>
      <color rgb="FF339966"/>
      <name val="Arial"/>
      <family val="2"/>
    </font>
    <font>
      <sz val="9"/>
      <color indexed="63"/>
      <name val="Arial"/>
      <family val="2"/>
    </font>
    <font>
      <i/>
      <sz val="8"/>
      <color theme="1"/>
      <name val="Arial"/>
      <family val="2"/>
    </font>
    <font>
      <sz val="10"/>
      <color theme="0"/>
      <name val="Arial"/>
      <family val="2"/>
    </font>
    <font>
      <u/>
      <sz val="10"/>
      <color theme="10"/>
      <name val="Calibri"/>
      <family val="2"/>
    </font>
    <font>
      <b/>
      <u/>
      <sz val="10"/>
      <color theme="0"/>
      <name val="Calibri"/>
      <family val="2"/>
    </font>
    <font>
      <b/>
      <i/>
      <sz val="10"/>
      <color theme="0"/>
      <name val="Arial"/>
      <family val="2"/>
    </font>
    <font>
      <sz val="8"/>
      <color rgb="FFFF0000"/>
      <name val="Arial"/>
      <family val="2"/>
    </font>
    <font>
      <b/>
      <sz val="8"/>
      <color indexed="81"/>
      <name val="Tahoma"/>
      <family val="2"/>
    </font>
    <font>
      <sz val="8"/>
      <color indexed="81"/>
      <name val="Tahoma"/>
      <family val="2"/>
    </font>
  </fonts>
  <fills count="56">
    <fill>
      <patternFill patternType="none"/>
    </fill>
    <fill>
      <patternFill patternType="gray125"/>
    </fill>
    <fill>
      <patternFill patternType="solid">
        <fgColor indexed="22"/>
        <bgColor indexed="64"/>
      </patternFill>
    </fill>
    <fill>
      <patternFill patternType="solid">
        <fgColor rgb="FF506DE8"/>
        <bgColor indexed="64"/>
      </patternFill>
    </fill>
    <fill>
      <patternFill patternType="solid">
        <fgColor rgb="FFEE79F7"/>
        <bgColor indexed="64"/>
      </patternFill>
    </fill>
    <fill>
      <patternFill patternType="solid">
        <fgColor rgb="FFFD6035"/>
        <bgColor indexed="64"/>
      </patternFill>
    </fill>
    <fill>
      <patternFill patternType="solid">
        <fgColor rgb="FFFFE811"/>
        <bgColor indexed="64"/>
      </patternFill>
    </fill>
    <fill>
      <patternFill patternType="solid">
        <fgColor rgb="FFA7A7FF"/>
        <bgColor indexed="64"/>
      </patternFill>
    </fill>
    <fill>
      <patternFill patternType="solid">
        <fgColor rgb="FFABC785"/>
        <bgColor indexed="64"/>
      </patternFill>
    </fill>
    <fill>
      <patternFill patternType="solid">
        <fgColor rgb="FF006A71"/>
        <bgColor indexed="64"/>
      </patternFill>
    </fill>
    <fill>
      <patternFill patternType="solid">
        <fgColor rgb="FFC1B071"/>
        <bgColor indexed="64"/>
      </patternFill>
    </fill>
    <fill>
      <patternFill patternType="solid">
        <fgColor rgb="FFB2541A"/>
        <bgColor indexed="64"/>
      </patternFill>
    </fill>
    <fill>
      <patternFill patternType="solid">
        <fgColor rgb="FF538ED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E09"/>
        <bgColor indexed="64"/>
      </patternFill>
    </fill>
    <fill>
      <patternFill patternType="solid">
        <fgColor rgb="FFFFEE00"/>
        <bgColor indexed="64"/>
      </patternFill>
    </fill>
    <fill>
      <patternFill patternType="solid">
        <fgColor rgb="FFCCECFF"/>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0000"/>
        <bgColor indexed="64"/>
      </patternFill>
    </fill>
  </fills>
  <borders count="106">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hair">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DashDotDot">
        <color theme="0" tint="-0.499984740745262"/>
      </bottom>
      <diagonal/>
    </border>
    <border>
      <left style="thin">
        <color indexed="64"/>
      </left>
      <right/>
      <top style="thin">
        <color indexed="64"/>
      </top>
      <bottom/>
      <diagonal/>
    </border>
    <border>
      <left style="thin">
        <color indexed="64"/>
      </left>
      <right/>
      <top/>
      <bottom/>
      <diagonal/>
    </border>
    <border>
      <left style="medium">
        <color auto="1"/>
      </left>
      <right style="thin">
        <color auto="1"/>
      </right>
      <top style="medium">
        <color auto="1"/>
      </top>
      <bottom style="thin">
        <color auto="1"/>
      </bottom>
      <diagonal/>
    </border>
    <border>
      <left style="double">
        <color auto="1"/>
      </left>
      <right style="double">
        <color auto="1"/>
      </right>
      <top/>
      <bottom style="hair">
        <color auto="1"/>
      </bottom>
      <diagonal/>
    </border>
    <border>
      <left/>
      <right style="hair">
        <color auto="1"/>
      </right>
      <top style="hair">
        <color auto="1"/>
      </top>
      <bottom style="hair">
        <color auto="1"/>
      </bottom>
      <diagonal/>
    </border>
    <border>
      <left style="double">
        <color auto="1"/>
      </left>
      <right style="double">
        <color auto="1"/>
      </right>
      <top/>
      <bottom style="thin">
        <color auto="1"/>
      </bottom>
      <diagonal/>
    </border>
    <border>
      <left style="medium">
        <color auto="1"/>
      </left>
      <right/>
      <top style="thin">
        <color indexed="64"/>
      </top>
      <bottom style="double">
        <color indexed="64"/>
      </bottom>
      <diagonal/>
    </border>
    <border>
      <left style="double">
        <color auto="1"/>
      </left>
      <right style="double">
        <color auto="1"/>
      </right>
      <top style="thin">
        <color indexed="64"/>
      </top>
      <bottom style="double">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s>
  <cellStyleXfs count="59">
    <xf numFmtId="0" fontId="0" fillId="0" borderId="0"/>
    <xf numFmtId="43" fontId="1" fillId="0" borderId="0" applyFont="0" applyFill="0" applyBorder="0" applyAlignment="0" applyProtection="0"/>
    <xf numFmtId="44" fontId="1" fillId="0" borderId="0" applyFont="0" applyFill="0" applyBorder="0" applyAlignment="0" applyProtection="0"/>
    <xf numFmtId="39" fontId="44" fillId="0" borderId="0"/>
    <xf numFmtId="0" fontId="3" fillId="0" borderId="0"/>
    <xf numFmtId="9" fontId="3" fillId="0" borderId="0" applyFont="0" applyFill="0" applyBorder="0" applyAlignment="0" applyProtection="0"/>
    <xf numFmtId="39" fontId="44" fillId="0" borderId="0"/>
    <xf numFmtId="9" fontId="1" fillId="0" borderId="0" applyFont="0" applyFill="0" applyBorder="0" applyAlignment="0" applyProtection="0"/>
    <xf numFmtId="0" fontId="46" fillId="0" borderId="0" applyNumberFormat="0" applyFill="0" applyBorder="0" applyAlignment="0" applyProtection="0"/>
    <xf numFmtId="178" fontId="3" fillId="0" borderId="0">
      <alignment horizontal="left" wrapText="1"/>
    </xf>
    <xf numFmtId="0" fontId="57" fillId="0" borderId="0" applyNumberFormat="0" applyFill="0" applyBorder="0" applyAlignment="0" applyProtection="0"/>
    <xf numFmtId="0" fontId="58" fillId="0" borderId="82" applyNumberFormat="0" applyFill="0" applyAlignment="0" applyProtection="0"/>
    <xf numFmtId="0" fontId="59" fillId="0" borderId="83" applyNumberFormat="0" applyFill="0" applyAlignment="0" applyProtection="0"/>
    <xf numFmtId="0" fontId="60" fillId="0" borderId="84" applyNumberFormat="0" applyFill="0" applyAlignment="0" applyProtection="0"/>
    <xf numFmtId="0" fontId="60" fillId="0" borderId="0" applyNumberFormat="0" applyFill="0" applyBorder="0" applyAlignment="0" applyProtection="0"/>
    <xf numFmtId="0" fontId="61" fillId="17" borderId="0" applyNumberFormat="0" applyBorder="0" applyAlignment="0" applyProtection="0"/>
    <xf numFmtId="0" fontId="62" fillId="18" borderId="0" applyNumberFormat="0" applyBorder="0" applyAlignment="0" applyProtection="0"/>
    <xf numFmtId="0" fontId="63" fillId="19" borderId="0" applyNumberFormat="0" applyBorder="0" applyAlignment="0" applyProtection="0"/>
    <xf numFmtId="0" fontId="64" fillId="20" borderId="85" applyNumberFormat="0" applyAlignment="0" applyProtection="0"/>
    <xf numFmtId="0" fontId="65" fillId="21" borderId="86" applyNumberFormat="0" applyAlignment="0" applyProtection="0"/>
    <xf numFmtId="0" fontId="66" fillId="21" borderId="85" applyNumberFormat="0" applyAlignment="0" applyProtection="0"/>
    <xf numFmtId="0" fontId="67" fillId="0" borderId="87" applyNumberFormat="0" applyFill="0" applyAlignment="0" applyProtection="0"/>
    <xf numFmtId="0" fontId="68" fillId="22" borderId="88" applyNumberFormat="0" applyAlignment="0" applyProtection="0"/>
    <xf numFmtId="0" fontId="12" fillId="0" borderId="0" applyNumberFormat="0" applyFill="0" applyBorder="0" applyAlignment="0" applyProtection="0"/>
    <xf numFmtId="0" fontId="1" fillId="23" borderId="89" applyNumberFormat="0" applyFont="0" applyAlignment="0" applyProtection="0"/>
    <xf numFmtId="0" fontId="69" fillId="0" borderId="0" applyNumberFormat="0" applyFill="0" applyBorder="0" applyAlignment="0" applyProtection="0"/>
    <xf numFmtId="0" fontId="2" fillId="0" borderId="90" applyNumberFormat="0" applyFill="0" applyAlignment="0" applyProtection="0"/>
    <xf numFmtId="0" fontId="7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0" fillId="47" borderId="0" applyNumberFormat="0" applyBorder="0" applyAlignment="0" applyProtection="0"/>
    <xf numFmtId="0" fontId="76" fillId="0" borderId="0"/>
    <xf numFmtId="44" fontId="76" fillId="0" borderId="0" applyFont="0" applyFill="0" applyBorder="0" applyAlignment="0" applyProtection="0"/>
    <xf numFmtId="0" fontId="3" fillId="0" borderId="0"/>
    <xf numFmtId="0" fontId="19"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83" fillId="0" borderId="0" applyNumberFormat="0" applyFill="0" applyBorder="0" applyAlignment="0" applyProtection="0">
      <alignment vertical="top"/>
      <protection locked="0"/>
    </xf>
  </cellStyleXfs>
  <cellXfs count="1155">
    <xf numFmtId="0" fontId="0" fillId="0" borderId="0" xfId="0"/>
    <xf numFmtId="165" fontId="3" fillId="0" borderId="28" xfId="0" applyNumberFormat="1" applyFont="1" applyFill="1" applyBorder="1" applyAlignment="1">
      <alignment horizontal="center"/>
    </xf>
    <xf numFmtId="0" fontId="0" fillId="0" borderId="73" xfId="0" applyBorder="1"/>
    <xf numFmtId="0" fontId="4" fillId="0" borderId="1" xfId="0" applyFont="1" applyFill="1" applyBorder="1" applyAlignment="1">
      <alignment horizontal="centerContinuous"/>
    </xf>
    <xf numFmtId="0" fontId="4" fillId="0" borderId="0" xfId="0" applyFont="1" applyFill="1" applyBorder="1" applyAlignment="1">
      <alignment horizontal="center"/>
    </xf>
    <xf numFmtId="0" fontId="4" fillId="0" borderId="0" xfId="0" applyFont="1" applyFill="1" applyAlignment="1">
      <alignment horizontal="center"/>
    </xf>
    <xf numFmtId="0" fontId="3" fillId="0" borderId="0" xfId="0" applyFont="1" applyFill="1" applyAlignment="1">
      <alignment horizontal="left" indent="1"/>
    </xf>
    <xf numFmtId="0" fontId="3" fillId="0" borderId="0" xfId="0" applyFont="1" applyFill="1"/>
    <xf numFmtId="0" fontId="3" fillId="0" borderId="4" xfId="0" applyFont="1" applyFill="1" applyBorder="1"/>
    <xf numFmtId="0" fontId="3" fillId="0" borderId="5" xfId="0" applyFont="1" applyFill="1" applyBorder="1" applyAlignment="1">
      <alignment horizontal="center"/>
    </xf>
    <xf numFmtId="0" fontId="4" fillId="0" borderId="5" xfId="0" applyFont="1" applyFill="1" applyBorder="1"/>
    <xf numFmtId="0" fontId="3" fillId="0" borderId="5" xfId="0" applyFont="1" applyFill="1" applyBorder="1" applyAlignment="1">
      <alignment horizontal="centerContinuous"/>
    </xf>
    <xf numFmtId="0" fontId="3" fillId="0" borderId="6" xfId="0" applyFont="1" applyFill="1" applyBorder="1"/>
    <xf numFmtId="0" fontId="3" fillId="0" borderId="7" xfId="0" applyFont="1" applyFill="1" applyBorder="1"/>
    <xf numFmtId="0" fontId="3" fillId="0" borderId="0" xfId="0" applyFont="1" applyFill="1" applyBorder="1" applyAlignment="1">
      <alignment horizontal="centerContinuous"/>
    </xf>
    <xf numFmtId="0" fontId="3" fillId="0" borderId="8" xfId="0" applyFont="1" applyFill="1" applyBorder="1"/>
    <xf numFmtId="0" fontId="3" fillId="0" borderId="7" xfId="0" applyFont="1" applyFill="1" applyBorder="1" applyAlignment="1">
      <alignment horizontal="center"/>
    </xf>
    <xf numFmtId="0" fontId="3" fillId="0" borderId="0" xfId="0" quotePrefix="1" applyFont="1" applyFill="1" applyBorder="1" applyAlignment="1">
      <alignment horizontal="left"/>
    </xf>
    <xf numFmtId="0" fontId="3" fillId="0" borderId="0" xfId="0" quotePrefix="1" applyFont="1" applyFill="1" applyBorder="1" applyAlignment="1">
      <alignment horizontal="center"/>
    </xf>
    <xf numFmtId="0" fontId="3" fillId="0" borderId="0" xfId="0" applyFont="1" applyFill="1" applyBorder="1" applyAlignment="1">
      <alignment horizontal="left"/>
    </xf>
    <xf numFmtId="165" fontId="3" fillId="0" borderId="0" xfId="0" quotePrefix="1" applyNumberFormat="1" applyFont="1" applyFill="1" applyBorder="1" applyAlignment="1">
      <alignment horizontal="right"/>
    </xf>
    <xf numFmtId="165" fontId="3" fillId="0" borderId="8" xfId="0" applyNumberFormat="1" applyFont="1" applyFill="1" applyBorder="1"/>
    <xf numFmtId="0" fontId="3" fillId="0" borderId="9" xfId="0" applyFont="1" applyFill="1" applyBorder="1"/>
    <xf numFmtId="164" fontId="3" fillId="0" borderId="1" xfId="0" applyNumberFormat="1" applyFont="1" applyFill="1" applyBorder="1"/>
    <xf numFmtId="164" fontId="3" fillId="0" borderId="10" xfId="0" applyNumberFormat="1" applyFont="1" applyFill="1" applyBorder="1"/>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2" xfId="0" applyFont="1" applyFill="1" applyBorder="1"/>
    <xf numFmtId="0" fontId="3" fillId="0" borderId="13" xfId="0" applyFont="1" applyFill="1" applyBorder="1"/>
    <xf numFmtId="0" fontId="3" fillId="0" borderId="4" xfId="0" applyFont="1" applyFill="1" applyBorder="1" applyAlignment="1">
      <alignment horizontal="center"/>
    </xf>
    <xf numFmtId="0" fontId="3" fillId="0" borderId="5" xfId="0" applyFont="1" applyFill="1" applyBorder="1"/>
    <xf numFmtId="165" fontId="3" fillId="0" borderId="0" xfId="0" applyNumberFormat="1" applyFont="1" applyFill="1" applyBorder="1"/>
    <xf numFmtId="0" fontId="3" fillId="0" borderId="0" xfId="0" applyFont="1" applyFill="1" applyBorder="1" applyAlignment="1">
      <alignment horizontal="left" indent="2"/>
    </xf>
    <xf numFmtId="164" fontId="3" fillId="0" borderId="8" xfId="0" applyNumberFormat="1" applyFont="1" applyFill="1" applyBorder="1"/>
    <xf numFmtId="0" fontId="3" fillId="0" borderId="11" xfId="0" quotePrefix="1" applyFont="1" applyFill="1" applyBorder="1" applyAlignment="1"/>
    <xf numFmtId="0" fontId="3" fillId="0" borderId="12" xfId="0" applyFont="1" applyFill="1" applyBorder="1" applyAlignment="1"/>
    <xf numFmtId="0" fontId="3" fillId="0" borderId="13" xfId="0" applyFont="1" applyFill="1" applyBorder="1" applyAlignment="1"/>
    <xf numFmtId="0" fontId="3" fillId="0" borderId="0" xfId="0" applyFont="1" applyFill="1" applyAlignment="1"/>
    <xf numFmtId="0" fontId="3" fillId="0" borderId="0" xfId="0" applyFont="1" applyFill="1" applyAlignment="1">
      <alignment horizontal="centerContinuous"/>
    </xf>
    <xf numFmtId="0" fontId="3" fillId="0" borderId="0" xfId="0" quotePrefix="1" applyFont="1" applyFill="1" applyAlignment="1">
      <alignment horizontal="centerContinuous"/>
    </xf>
    <xf numFmtId="0" fontId="3" fillId="0" borderId="1"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Border="1" applyAlignment="1">
      <alignment horizontal="center"/>
    </xf>
    <xf numFmtId="166" fontId="3" fillId="0" borderId="0" xfId="0" applyNumberFormat="1" applyFont="1" applyFill="1" applyBorder="1"/>
    <xf numFmtId="0" fontId="3" fillId="0" borderId="2" xfId="0" applyFont="1" applyFill="1" applyBorder="1" applyAlignment="1">
      <alignment horizontal="center"/>
    </xf>
    <xf numFmtId="0" fontId="3" fillId="0" borderId="2" xfId="0" applyFont="1" applyFill="1" applyBorder="1"/>
    <xf numFmtId="164" fontId="3" fillId="0" borderId="3" xfId="0" applyNumberFormat="1" applyFont="1" applyFill="1" applyBorder="1"/>
    <xf numFmtId="164" fontId="3" fillId="0" borderId="0" xfId="0" applyNumberFormat="1" applyFont="1" applyFill="1"/>
    <xf numFmtId="0" fontId="3" fillId="0" borderId="0" xfId="0" applyFont="1" applyFill="1" applyBorder="1"/>
    <xf numFmtId="164" fontId="8" fillId="0" borderId="0" xfId="0" applyNumberFormat="1" applyFont="1" applyFill="1" applyBorder="1"/>
    <xf numFmtId="164" fontId="3" fillId="0" borderId="0" xfId="0" applyNumberFormat="1" applyFont="1" applyFill="1" applyBorder="1"/>
    <xf numFmtId="39" fontId="3" fillId="0" borderId="0" xfId="0" applyNumberFormat="1" applyFont="1" applyFill="1" applyAlignment="1" applyProtection="1">
      <alignment horizontal="left"/>
    </xf>
    <xf numFmtId="0" fontId="4" fillId="0" borderId="1" xfId="0" applyFont="1" applyFill="1" applyBorder="1" applyAlignment="1">
      <alignment horizontal="center"/>
    </xf>
    <xf numFmtId="0" fontId="4" fillId="0" borderId="0" xfId="0" applyFont="1" applyFill="1"/>
    <xf numFmtId="0" fontId="4" fillId="0" borderId="0" xfId="0" applyFont="1" applyFill="1" applyAlignment="1">
      <alignment horizontal="left"/>
    </xf>
    <xf numFmtId="14" fontId="3" fillId="0" borderId="0" xfId="0" applyNumberFormat="1" applyFont="1" applyFill="1" applyAlignment="1">
      <alignment horizontal="left"/>
    </xf>
    <xf numFmtId="165" fontId="3" fillId="0" borderId="0" xfId="0" applyNumberFormat="1" applyFont="1" applyFill="1"/>
    <xf numFmtId="0" fontId="3" fillId="0" borderId="0" xfId="0" applyFont="1" applyFill="1" applyAlignment="1">
      <alignment horizontal="left"/>
    </xf>
    <xf numFmtId="164" fontId="3" fillId="0" borderId="22" xfId="0" applyNumberFormat="1" applyFont="1" applyFill="1" applyBorder="1"/>
    <xf numFmtId="165" fontId="3" fillId="0" borderId="0" xfId="0" quotePrefix="1" applyNumberFormat="1" applyFont="1" applyFill="1" applyAlignment="1">
      <alignment horizontal="right"/>
    </xf>
    <xf numFmtId="170" fontId="3" fillId="0" borderId="0" xfId="0" applyNumberFormat="1" applyFont="1" applyFill="1" applyBorder="1" applyAlignment="1">
      <alignment horizontal="center"/>
    </xf>
    <xf numFmtId="42" fontId="3" fillId="0" borderId="0" xfId="0" applyNumberFormat="1" applyFont="1" applyFill="1"/>
    <xf numFmtId="3" fontId="3" fillId="0" borderId="0" xfId="0" applyNumberFormat="1" applyFont="1" applyFill="1" applyAlignment="1">
      <alignment horizontal="center"/>
    </xf>
    <xf numFmtId="165" fontId="3" fillId="0" borderId="0" xfId="0" applyNumberFormat="1" applyFont="1" applyFill="1" applyAlignment="1">
      <alignment horizontal="right"/>
    </xf>
    <xf numFmtId="0" fontId="0" fillId="0" borderId="0" xfId="0" applyBorder="1"/>
    <xf numFmtId="0" fontId="0" fillId="0" borderId="8" xfId="0" applyFill="1" applyBorder="1"/>
    <xf numFmtId="0" fontId="0" fillId="0" borderId="0" xfId="0" applyFill="1" applyBorder="1" applyAlignment="1">
      <alignment horizontal="center"/>
    </xf>
    <xf numFmtId="0" fontId="0" fillId="0" borderId="0" xfId="0" applyFill="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0" xfId="0" applyFill="1" applyBorder="1"/>
    <xf numFmtId="0" fontId="0" fillId="0" borderId="7" xfId="0" applyFill="1" applyBorder="1"/>
    <xf numFmtId="0" fontId="0" fillId="0" borderId="0" xfId="0" applyFill="1"/>
    <xf numFmtId="0" fontId="3" fillId="0" borderId="0" xfId="0" applyFont="1" applyBorder="1"/>
    <xf numFmtId="0" fontId="3" fillId="0" borderId="0" xfId="0" applyFont="1"/>
    <xf numFmtId="0" fontId="4" fillId="0" borderId="25" xfId="0" applyFont="1" applyFill="1" applyBorder="1" applyAlignment="1">
      <alignment horizontal="centerContinuous"/>
    </xf>
    <xf numFmtId="0" fontId="3" fillId="0" borderId="26" xfId="0" applyFont="1" applyFill="1" applyBorder="1" applyAlignment="1">
      <alignment horizontal="centerContinuous"/>
    </xf>
    <xf numFmtId="0" fontId="3" fillId="0" borderId="27" xfId="0" applyFont="1" applyFill="1" applyBorder="1" applyAlignment="1">
      <alignment horizontal="centerContinuous"/>
    </xf>
    <xf numFmtId="0" fontId="4" fillId="0" borderId="23" xfId="0" applyFont="1" applyFill="1" applyBorder="1" applyAlignment="1">
      <alignment horizontal="center"/>
    </xf>
    <xf numFmtId="165" fontId="3" fillId="0" borderId="2" xfId="0" applyNumberFormat="1" applyFont="1" applyFill="1" applyBorder="1"/>
    <xf numFmtId="165" fontId="3" fillId="0" borderId="29" xfId="0" applyNumberFormat="1" applyFont="1" applyFill="1" applyBorder="1"/>
    <xf numFmtId="0" fontId="3" fillId="0" borderId="0" xfId="0" quotePrefix="1" applyFont="1" applyFill="1" applyAlignment="1">
      <alignment horizontal="left" indent="1"/>
    </xf>
    <xf numFmtId="164" fontId="3" fillId="0" borderId="32" xfId="0" applyNumberFormat="1" applyFont="1" applyFill="1" applyBorder="1"/>
    <xf numFmtId="164" fontId="3" fillId="0" borderId="33" xfId="0" applyNumberFormat="1" applyFont="1" applyFill="1" applyBorder="1"/>
    <xf numFmtId="43" fontId="3" fillId="0" borderId="0" xfId="0" applyNumberFormat="1" applyFont="1" applyFill="1"/>
    <xf numFmtId="44" fontId="1" fillId="0" borderId="0" xfId="0" applyNumberFormat="1" applyFont="1" applyFill="1"/>
    <xf numFmtId="0" fontId="5" fillId="0" borderId="0" xfId="0" applyFont="1" applyFill="1"/>
    <xf numFmtId="0" fontId="5" fillId="0" borderId="0" xfId="0" applyFont="1" applyFill="1" applyAlignment="1">
      <alignment horizontal="center"/>
    </xf>
    <xf numFmtId="0" fontId="5" fillId="0" borderId="1" xfId="0" applyFont="1" applyFill="1" applyBorder="1" applyAlignment="1">
      <alignment horizontal="center"/>
    </xf>
    <xf numFmtId="166" fontId="5" fillId="0" borderId="0" xfId="0" applyNumberFormat="1" applyFont="1" applyFill="1" applyBorder="1"/>
    <xf numFmtId="0" fontId="5" fillId="0" borderId="2" xfId="0" applyFont="1" applyFill="1" applyBorder="1"/>
    <xf numFmtId="0" fontId="25" fillId="0" borderId="0" xfId="0" applyFont="1" applyFill="1" applyAlignment="1"/>
    <xf numFmtId="0" fontId="5" fillId="0" borderId="0" xfId="0" applyFont="1" applyFill="1" applyBorder="1"/>
    <xf numFmtId="0" fontId="5" fillId="0" borderId="0" xfId="0" applyFont="1" applyFill="1" applyAlignment="1">
      <alignment horizontal="left" wrapText="1" indent="2"/>
    </xf>
    <xf numFmtId="0" fontId="5" fillId="0" borderId="0" xfId="0" applyFont="1" applyFill="1" applyAlignment="1">
      <alignment horizontal="left" indent="2"/>
    </xf>
    <xf numFmtId="43" fontId="5" fillId="0" borderId="0" xfId="0" applyNumberFormat="1" applyFont="1" applyFill="1"/>
    <xf numFmtId="0" fontId="5" fillId="0" borderId="0" xfId="0" applyFont="1" applyFill="1" applyAlignment="1">
      <alignment horizontal="left" indent="1"/>
    </xf>
    <xf numFmtId="165" fontId="5" fillId="0" borderId="0" xfId="0" applyNumberFormat="1" applyFont="1" applyFill="1" applyBorder="1"/>
    <xf numFmtId="165" fontId="5" fillId="0" borderId="0" xfId="0" applyNumberFormat="1" applyFont="1" applyFill="1"/>
    <xf numFmtId="165" fontId="5" fillId="0" borderId="2" xfId="0" applyNumberFormat="1" applyFont="1" applyFill="1" applyBorder="1"/>
    <xf numFmtId="43" fontId="5" fillId="0" borderId="2" xfId="0" applyNumberFormat="1" applyFont="1" applyFill="1" applyBorder="1"/>
    <xf numFmtId="164" fontId="5" fillId="0" borderId="3" xfId="0" applyNumberFormat="1" applyFont="1" applyFill="1" applyBorder="1"/>
    <xf numFmtId="165" fontId="19" fillId="0" borderId="0" xfId="0" applyNumberFormat="1" applyFont="1" applyFill="1" applyBorder="1"/>
    <xf numFmtId="164" fontId="19" fillId="0" borderId="1" xfId="0" applyNumberFormat="1" applyFont="1" applyFill="1" applyBorder="1"/>
    <xf numFmtId="164" fontId="19" fillId="0" borderId="0" xfId="0" applyNumberFormat="1" applyFont="1" applyFill="1" applyBorder="1"/>
    <xf numFmtId="164" fontId="19" fillId="0" borderId="0" xfId="0" applyNumberFormat="1" applyFont="1" applyFill="1"/>
    <xf numFmtId="165" fontId="19" fillId="0" borderId="0" xfId="0" applyNumberFormat="1" applyFont="1" applyFill="1"/>
    <xf numFmtId="165" fontId="19" fillId="0" borderId="2" xfId="0" applyNumberFormat="1" applyFont="1" applyFill="1" applyBorder="1"/>
    <xf numFmtId="10" fontId="19" fillId="0" borderId="0" xfId="0" applyNumberFormat="1" applyFont="1" applyFill="1"/>
    <xf numFmtId="164" fontId="19" fillId="0" borderId="3" xfId="0" applyNumberFormat="1" applyFont="1" applyFill="1" applyBorder="1"/>
    <xf numFmtId="0" fontId="42" fillId="0" borderId="0" xfId="0" applyFont="1" applyFill="1" applyAlignment="1">
      <alignment horizontal="centerContinuous"/>
    </xf>
    <xf numFmtId="0" fontId="0" fillId="0" borderId="60" xfId="0" applyBorder="1"/>
    <xf numFmtId="0" fontId="42" fillId="0" borderId="0" xfId="0" applyFont="1" applyFill="1"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42" fontId="0" fillId="0" borderId="0" xfId="0" applyNumberFormat="1" applyBorder="1"/>
    <xf numFmtId="0" fontId="21" fillId="0" borderId="0" xfId="0" applyFont="1" applyBorder="1"/>
    <xf numFmtId="3" fontId="0" fillId="0" borderId="0" xfId="0" applyNumberFormat="1" applyBorder="1"/>
    <xf numFmtId="0" fontId="0" fillId="0" borderId="8" xfId="0" applyBorder="1"/>
    <xf numFmtId="0" fontId="21" fillId="0" borderId="0" xfId="0" applyFont="1" applyBorder="1" applyAlignment="1">
      <alignment horizontal="center" vertical="center" wrapText="1"/>
    </xf>
    <xf numFmtId="0" fontId="20" fillId="0" borderId="0" xfId="0" applyFont="1" applyBorder="1" applyAlignment="1">
      <alignment vertical="center"/>
    </xf>
    <xf numFmtId="0" fontId="21" fillId="0" borderId="0" xfId="0" applyFont="1" applyBorder="1" applyAlignment="1">
      <alignment vertical="center" wrapText="1"/>
    </xf>
    <xf numFmtId="0" fontId="21" fillId="0" borderId="8" xfId="0" applyFont="1" applyBorder="1" applyAlignment="1">
      <alignment horizontal="center" vertical="center" wrapText="1"/>
    </xf>
    <xf numFmtId="3" fontId="21" fillId="3" borderId="35" xfId="0" applyNumberFormat="1" applyFont="1" applyFill="1" applyBorder="1" applyAlignment="1">
      <alignment horizontal="center"/>
    </xf>
    <xf numFmtId="3" fontId="21" fillId="3" borderId="36" xfId="0" applyNumberFormat="1" applyFont="1" applyFill="1" applyBorder="1" applyAlignment="1">
      <alignment horizontal="center"/>
    </xf>
    <xf numFmtId="0" fontId="29" fillId="3" borderId="37" xfId="0" applyFont="1" applyFill="1" applyBorder="1"/>
    <xf numFmtId="3" fontId="21" fillId="3" borderId="37" xfId="0" applyNumberFormat="1" applyFont="1" applyFill="1" applyBorder="1" applyProtection="1"/>
    <xf numFmtId="42" fontId="21" fillId="3" borderId="37" xfId="0" applyNumberFormat="1" applyFont="1" applyFill="1" applyBorder="1" applyProtection="1"/>
    <xf numFmtId="3" fontId="21" fillId="3" borderId="38" xfId="0" applyNumberFormat="1" applyFont="1" applyFill="1" applyBorder="1" applyProtection="1"/>
    <xf numFmtId="0" fontId="30" fillId="0" borderId="39" xfId="0" applyFont="1" applyBorder="1" applyAlignment="1">
      <alignment horizontal="center"/>
    </xf>
    <xf numFmtId="0" fontId="0" fillId="0" borderId="39" xfId="0" applyBorder="1" applyAlignment="1">
      <alignment horizontal="center"/>
    </xf>
    <xf numFmtId="0" fontId="0" fillId="0" borderId="40" xfId="0" applyBorder="1"/>
    <xf numFmtId="0" fontId="0" fillId="0" borderId="41" xfId="0" applyFill="1" applyBorder="1"/>
    <xf numFmtId="0" fontId="0" fillId="0" borderId="39" xfId="0" applyFill="1" applyBorder="1"/>
    <xf numFmtId="42" fontId="0" fillId="0" borderId="41" xfId="0" applyNumberFormat="1" applyFill="1" applyBorder="1" applyProtection="1"/>
    <xf numFmtId="0" fontId="30" fillId="0" borderId="45" xfId="0" applyFont="1" applyBorder="1" applyAlignment="1">
      <alignment horizontal="center"/>
    </xf>
    <xf numFmtId="0" fontId="0" fillId="0" borderId="45" xfId="0" applyBorder="1" applyAlignment="1">
      <alignment horizontal="center"/>
    </xf>
    <xf numFmtId="0" fontId="0" fillId="0" borderId="46" xfId="0" applyFill="1" applyBorder="1"/>
    <xf numFmtId="0" fontId="0" fillId="0" borderId="47" xfId="0" applyFont="1" applyFill="1" applyBorder="1"/>
    <xf numFmtId="0" fontId="0" fillId="0" borderId="45" xfId="0" applyFont="1" applyFill="1" applyBorder="1"/>
    <xf numFmtId="0" fontId="31" fillId="0" borderId="8" xfId="0" applyFont="1" applyBorder="1"/>
    <xf numFmtId="0" fontId="32" fillId="0" borderId="48" xfId="0" applyFont="1" applyBorder="1" applyAlignment="1">
      <alignment horizontal="center"/>
    </xf>
    <xf numFmtId="0" fontId="31" fillId="0" borderId="47" xfId="0" applyFont="1" applyBorder="1" applyAlignment="1">
      <alignment horizontal="center"/>
    </xf>
    <xf numFmtId="0" fontId="31" fillId="0" borderId="46" xfId="0" applyFont="1" applyFill="1" applyBorder="1"/>
    <xf numFmtId="0" fontId="31" fillId="0" borderId="45" xfId="0" applyFont="1" applyFill="1" applyBorder="1"/>
    <xf numFmtId="0" fontId="31" fillId="0" borderId="49" xfId="0" applyFont="1" applyFill="1" applyBorder="1"/>
    <xf numFmtId="42" fontId="31" fillId="0" borderId="47" xfId="0" applyNumberFormat="1" applyFont="1" applyFill="1" applyBorder="1" applyProtection="1"/>
    <xf numFmtId="0" fontId="31" fillId="0" borderId="0" xfId="0" applyFont="1"/>
    <xf numFmtId="0" fontId="0" fillId="0" borderId="40" xfId="0" applyFill="1" applyBorder="1"/>
    <xf numFmtId="0" fontId="0" fillId="0" borderId="47" xfId="0" applyFill="1" applyBorder="1"/>
    <xf numFmtId="0" fontId="0" fillId="0" borderId="45" xfId="0" applyFill="1" applyBorder="1"/>
    <xf numFmtId="42" fontId="0" fillId="0" borderId="47" xfId="0" applyNumberFormat="1" applyFill="1" applyBorder="1" applyProtection="1"/>
    <xf numFmtId="0" fontId="30" fillId="0" borderId="26" xfId="0" applyFont="1" applyBorder="1" applyAlignment="1">
      <alignment horizontal="center"/>
    </xf>
    <xf numFmtId="0" fontId="0" fillId="0" borderId="26" xfId="0" applyBorder="1" applyAlignment="1">
      <alignment horizontal="center"/>
    </xf>
    <xf numFmtId="0" fontId="4" fillId="0" borderId="26" xfId="0" applyFont="1" applyBorder="1"/>
    <xf numFmtId="42" fontId="23" fillId="4" borderId="26" xfId="0" applyNumberFormat="1" applyFont="1" applyFill="1" applyBorder="1" applyProtection="1"/>
    <xf numFmtId="0" fontId="30" fillId="0" borderId="0" xfId="0" applyFont="1" applyBorder="1" applyAlignment="1">
      <alignment horizontal="center"/>
    </xf>
    <xf numFmtId="0" fontId="33" fillId="0" borderId="0" xfId="0" applyFont="1" applyBorder="1"/>
    <xf numFmtId="42" fontId="33" fillId="0" borderId="0" xfId="0" applyNumberFormat="1" applyFont="1" applyBorder="1" applyProtection="1"/>
    <xf numFmtId="3" fontId="33" fillId="0" borderId="0" xfId="0" applyNumberFormat="1" applyFont="1" applyBorder="1" applyProtection="1"/>
    <xf numFmtId="42" fontId="18" fillId="0" borderId="8" xfId="0" applyNumberFormat="1" applyFont="1" applyFill="1" applyBorder="1" applyProtection="1"/>
    <xf numFmtId="0" fontId="22" fillId="5" borderId="50" xfId="0" applyFont="1" applyFill="1" applyBorder="1" applyAlignment="1">
      <alignment horizontal="center"/>
    </xf>
    <xf numFmtId="0" fontId="21" fillId="5" borderId="26" xfId="0" applyFont="1" applyFill="1" applyBorder="1" applyAlignment="1">
      <alignment horizontal="center"/>
    </xf>
    <xf numFmtId="0" fontId="29" fillId="5" borderId="26" xfId="0" applyFont="1" applyFill="1" applyBorder="1"/>
    <xf numFmtId="3" fontId="24" fillId="5" borderId="26" xfId="0" applyNumberFormat="1" applyFont="1" applyFill="1" applyBorder="1" applyProtection="1"/>
    <xf numFmtId="3" fontId="24" fillId="5" borderId="44" xfId="0" applyNumberFormat="1" applyFont="1" applyFill="1" applyBorder="1" applyProtection="1"/>
    <xf numFmtId="0" fontId="30" fillId="0" borderId="51" xfId="0" applyFont="1" applyBorder="1" applyAlignment="1">
      <alignment horizontal="center"/>
    </xf>
    <xf numFmtId="42" fontId="23" fillId="0" borderId="44" xfId="0" applyNumberFormat="1" applyFont="1" applyBorder="1" applyProtection="1"/>
    <xf numFmtId="0" fontId="30" fillId="0" borderId="48" xfId="0" applyFont="1" applyBorder="1" applyAlignment="1">
      <alignment horizontal="center"/>
    </xf>
    <xf numFmtId="49" fontId="0" fillId="0" borderId="45" xfId="0" applyNumberFormat="1" applyFont="1" applyBorder="1" applyAlignment="1">
      <alignment horizontal="center"/>
    </xf>
    <xf numFmtId="49" fontId="0" fillId="0" borderId="45" xfId="0" applyNumberFormat="1" applyFont="1" applyFill="1" applyBorder="1"/>
    <xf numFmtId="42" fontId="6" fillId="0" borderId="49" xfId="0" applyNumberFormat="1" applyFont="1" applyFill="1" applyBorder="1"/>
    <xf numFmtId="42" fontId="0" fillId="0" borderId="47" xfId="0" applyNumberFormat="1" applyFont="1" applyFill="1" applyBorder="1" applyProtection="1"/>
    <xf numFmtId="0" fontId="0" fillId="0" borderId="52" xfId="0" applyBorder="1" applyAlignment="1">
      <alignment horizontal="center"/>
    </xf>
    <xf numFmtId="0" fontId="0" fillId="0" borderId="34" xfId="0" applyFill="1" applyBorder="1"/>
    <xf numFmtId="0" fontId="0" fillId="0" borderId="52" xfId="0" applyFill="1" applyBorder="1"/>
    <xf numFmtId="0" fontId="22" fillId="6" borderId="26" xfId="0" applyFont="1" applyFill="1" applyBorder="1" applyAlignment="1">
      <alignment horizontal="center"/>
    </xf>
    <xf numFmtId="0" fontId="21" fillId="6" borderId="26" xfId="0" applyFont="1" applyFill="1" applyBorder="1" applyAlignment="1">
      <alignment horizontal="center"/>
    </xf>
    <xf numFmtId="0" fontId="21" fillId="6" borderId="26" xfId="0" applyFont="1" applyFill="1" applyBorder="1"/>
    <xf numFmtId="3" fontId="24" fillId="6" borderId="26" xfId="0" applyNumberFormat="1" applyFont="1" applyFill="1" applyBorder="1" applyProtection="1"/>
    <xf numFmtId="3" fontId="24" fillId="6" borderId="44" xfId="0" applyNumberFormat="1" applyFont="1" applyFill="1" applyBorder="1" applyProtection="1"/>
    <xf numFmtId="0" fontId="30" fillId="0" borderId="54" xfId="0" applyFont="1" applyBorder="1" applyAlignment="1">
      <alignment horizontal="center"/>
    </xf>
    <xf numFmtId="0" fontId="0" fillId="0" borderId="54" xfId="0" applyBorder="1" applyAlignment="1">
      <alignment horizontal="center"/>
    </xf>
    <xf numFmtId="0" fontId="0" fillId="0" borderId="55" xfId="0" applyBorder="1"/>
    <xf numFmtId="42" fontId="18" fillId="0" borderId="57" xfId="0" applyNumberFormat="1" applyFont="1" applyBorder="1" applyProtection="1"/>
    <xf numFmtId="0" fontId="30" fillId="0" borderId="59" xfId="0" applyFont="1" applyBorder="1" applyAlignment="1">
      <alignment horizontal="center"/>
    </xf>
    <xf numFmtId="0" fontId="0" fillId="0" borderId="59" xfId="0" applyBorder="1" applyAlignment="1">
      <alignment horizontal="center"/>
    </xf>
    <xf numFmtId="0" fontId="0" fillId="0" borderId="1" xfId="0" applyBorder="1"/>
    <xf numFmtId="42" fontId="18" fillId="0" borderId="1" xfId="0" applyNumberFormat="1" applyFont="1" applyBorder="1" applyProtection="1"/>
    <xf numFmtId="42" fontId="23" fillId="7" borderId="26" xfId="0" applyNumberFormat="1" applyFont="1" applyFill="1" applyBorder="1" applyProtection="1"/>
    <xf numFmtId="0" fontId="22" fillId="8" borderId="26" xfId="0" applyFont="1" applyFill="1" applyBorder="1" applyAlignment="1">
      <alignment horizontal="center"/>
    </xf>
    <xf numFmtId="0" fontId="21" fillId="8" borderId="26" xfId="0" applyFont="1" applyFill="1" applyBorder="1" applyAlignment="1">
      <alignment horizontal="center"/>
    </xf>
    <xf numFmtId="0" fontId="21" fillId="8" borderId="26" xfId="0" applyFont="1" applyFill="1" applyBorder="1"/>
    <xf numFmtId="3" fontId="24" fillId="8" borderId="26" xfId="0" applyNumberFormat="1" applyFont="1" applyFill="1" applyBorder="1" applyProtection="1"/>
    <xf numFmtId="3" fontId="24" fillId="8" borderId="44" xfId="0" applyNumberFormat="1" applyFont="1" applyFill="1" applyBorder="1" applyProtection="1"/>
    <xf numFmtId="0" fontId="0" fillId="0" borderId="55" xfId="0" applyFill="1" applyBorder="1"/>
    <xf numFmtId="42" fontId="34" fillId="0" borderId="57" xfId="0" applyNumberFormat="1" applyFont="1" applyBorder="1" applyProtection="1"/>
    <xf numFmtId="0" fontId="0" fillId="0" borderId="46" xfId="0" applyBorder="1"/>
    <xf numFmtId="42" fontId="18" fillId="0" borderId="47" xfId="0" applyNumberFormat="1" applyFont="1" applyBorder="1" applyProtection="1"/>
    <xf numFmtId="0" fontId="0" fillId="0" borderId="60" xfId="0" applyFill="1" applyBorder="1"/>
    <xf numFmtId="0" fontId="0" fillId="0" borderId="1" xfId="0" applyFill="1" applyBorder="1"/>
    <xf numFmtId="0" fontId="0" fillId="0" borderId="59" xfId="0" applyFill="1" applyBorder="1"/>
    <xf numFmtId="42" fontId="34" fillId="0" borderId="1" xfId="0" applyNumberFormat="1" applyFont="1" applyBorder="1" applyProtection="1"/>
    <xf numFmtId="42" fontId="23" fillId="0" borderId="26" xfId="0" applyNumberFormat="1" applyFont="1" applyFill="1" applyBorder="1" applyProtection="1"/>
    <xf numFmtId="42" fontId="18" fillId="0" borderId="0" xfId="0" applyNumberFormat="1" applyFont="1" applyBorder="1" applyProtection="1"/>
    <xf numFmtId="3" fontId="18" fillId="0" borderId="0" xfId="0" applyNumberFormat="1" applyFont="1" applyBorder="1" applyProtection="1"/>
    <xf numFmtId="42" fontId="18" fillId="0" borderId="8" xfId="0" applyNumberFormat="1" applyFont="1" applyBorder="1" applyProtection="1"/>
    <xf numFmtId="0" fontId="30" fillId="0" borderId="1" xfId="0" applyFont="1" applyBorder="1" applyAlignment="1">
      <alignment horizontal="center"/>
    </xf>
    <xf numFmtId="3" fontId="18" fillId="0" borderId="1" xfId="0" applyNumberFormat="1" applyFont="1" applyBorder="1" applyProtection="1"/>
    <xf numFmtId="42" fontId="18" fillId="0" borderId="10" xfId="0" applyNumberFormat="1" applyFont="1" applyBorder="1" applyProtection="1"/>
    <xf numFmtId="3" fontId="35" fillId="9" borderId="2" xfId="0" applyNumberFormat="1" applyFont="1" applyFill="1" applyBorder="1" applyAlignment="1">
      <alignment horizontal="center"/>
    </xf>
    <xf numFmtId="3" fontId="29" fillId="9" borderId="2" xfId="0" applyNumberFormat="1" applyFont="1" applyFill="1" applyBorder="1" applyAlignment="1">
      <alignment horizontal="center"/>
    </xf>
    <xf numFmtId="0" fontId="29" fillId="9" borderId="2" xfId="0" applyFont="1" applyFill="1" applyBorder="1"/>
    <xf numFmtId="3" fontId="29" fillId="9" borderId="2" xfId="0" applyNumberFormat="1" applyFont="1" applyFill="1" applyBorder="1" applyProtection="1"/>
    <xf numFmtId="3" fontId="29" fillId="9" borderId="58" xfId="0" applyNumberFormat="1" applyFont="1" applyFill="1" applyBorder="1" applyProtection="1"/>
    <xf numFmtId="0" fontId="0" fillId="0" borderId="8" xfId="0" applyFont="1" applyBorder="1"/>
    <xf numFmtId="3" fontId="0" fillId="0" borderId="47" xfId="0" applyNumberFormat="1" applyFont="1" applyFill="1" applyBorder="1" applyProtection="1"/>
    <xf numFmtId="0" fontId="0" fillId="0" borderId="0" xfId="0" applyFont="1"/>
    <xf numFmtId="0" fontId="36" fillId="0" borderId="8" xfId="0" applyFont="1" applyBorder="1"/>
    <xf numFmtId="0" fontId="36" fillId="0" borderId="47" xfId="0" applyFont="1" applyBorder="1" applyAlignment="1">
      <alignment horizontal="center"/>
    </xf>
    <xf numFmtId="0" fontId="36" fillId="0" borderId="45" xfId="0" applyFont="1" applyFill="1" applyBorder="1"/>
    <xf numFmtId="0" fontId="36" fillId="0" borderId="49" xfId="0" applyFont="1" applyFill="1" applyBorder="1"/>
    <xf numFmtId="37" fontId="36" fillId="0" borderId="46" xfId="0" applyNumberFormat="1" applyFont="1" applyFill="1" applyBorder="1" applyProtection="1"/>
    <xf numFmtId="0" fontId="36" fillId="0" borderId="0" xfId="0" applyFont="1"/>
    <xf numFmtId="0" fontId="0" fillId="0" borderId="47" xfId="0" applyFont="1" applyBorder="1" applyAlignment="1">
      <alignment horizontal="center"/>
    </xf>
    <xf numFmtId="0" fontId="0" fillId="0" borderId="46" xfId="0" applyFont="1" applyFill="1" applyBorder="1"/>
    <xf numFmtId="3" fontId="0" fillId="0" borderId="46" xfId="0" applyNumberFormat="1" applyFont="1" applyFill="1" applyBorder="1" applyProtection="1"/>
    <xf numFmtId="42" fontId="0" fillId="0" borderId="0" xfId="0" applyNumberFormat="1" applyFont="1" applyFill="1" applyBorder="1" applyProtection="1"/>
    <xf numFmtId="0" fontId="37" fillId="0" borderId="8" xfId="0" applyFont="1" applyBorder="1"/>
    <xf numFmtId="0" fontId="37" fillId="0" borderId="47" xfId="0" applyFont="1" applyBorder="1" applyAlignment="1">
      <alignment horizontal="center"/>
    </xf>
    <xf numFmtId="0" fontId="37" fillId="0" borderId="49" xfId="0" applyFont="1" applyFill="1" applyBorder="1"/>
    <xf numFmtId="3" fontId="37" fillId="0" borderId="46" xfId="0" applyNumberFormat="1" applyFont="1" applyFill="1" applyBorder="1" applyProtection="1"/>
    <xf numFmtId="0" fontId="37" fillId="0" borderId="0" xfId="0" applyFont="1"/>
    <xf numFmtId="0" fontId="38" fillId="0" borderId="45" xfId="0" applyFont="1" applyFill="1" applyBorder="1"/>
    <xf numFmtId="42" fontId="0" fillId="4" borderId="47" xfId="0" applyNumberFormat="1" applyFont="1" applyFill="1" applyBorder="1" applyProtection="1"/>
    <xf numFmtId="0" fontId="0" fillId="0" borderId="49" xfId="0" applyFont="1" applyFill="1" applyBorder="1"/>
    <xf numFmtId="0" fontId="0" fillId="0" borderId="46" xfId="0" applyFont="1" applyBorder="1" applyAlignment="1">
      <alignment horizontal="center"/>
    </xf>
    <xf numFmtId="0" fontId="0" fillId="0" borderId="0" xfId="0" applyFont="1" applyFill="1" applyBorder="1"/>
    <xf numFmtId="3" fontId="0" fillId="0" borderId="0" xfId="0" applyNumberFormat="1" applyFont="1" applyFill="1" applyBorder="1" applyProtection="1"/>
    <xf numFmtId="37" fontId="23" fillId="0" borderId="26" xfId="0" applyNumberFormat="1" applyFont="1" applyFill="1" applyBorder="1" applyProtection="1"/>
    <xf numFmtId="3" fontId="23" fillId="0" borderId="26" xfId="0" applyNumberFormat="1" applyFont="1" applyFill="1" applyBorder="1" applyProtection="1"/>
    <xf numFmtId="0" fontId="22" fillId="10" borderId="50" xfId="0" applyFont="1" applyFill="1" applyBorder="1" applyAlignment="1">
      <alignment horizontal="center"/>
    </xf>
    <xf numFmtId="0" fontId="21" fillId="10" borderId="26" xfId="0" applyFont="1" applyFill="1" applyBorder="1" applyAlignment="1">
      <alignment horizontal="center"/>
    </xf>
    <xf numFmtId="0" fontId="29" fillId="10" borderId="26" xfId="0" applyFont="1" applyFill="1" applyBorder="1"/>
    <xf numFmtId="3" fontId="24" fillId="10" borderId="26" xfId="0" applyNumberFormat="1" applyFont="1" applyFill="1" applyBorder="1" applyProtection="1"/>
    <xf numFmtId="3" fontId="24" fillId="10" borderId="44" xfId="0" applyNumberFormat="1" applyFont="1" applyFill="1" applyBorder="1" applyProtection="1"/>
    <xf numFmtId="0" fontId="0" fillId="0" borderId="62" xfId="0" applyFill="1" applyBorder="1"/>
    <xf numFmtId="3" fontId="18" fillId="0" borderId="40" xfId="0" applyNumberFormat="1" applyFont="1" applyBorder="1" applyProtection="1"/>
    <xf numFmtId="0" fontId="0" fillId="0" borderId="49" xfId="0" applyFill="1" applyBorder="1"/>
    <xf numFmtId="3" fontId="34" fillId="0" borderId="46" xfId="0" applyNumberFormat="1" applyFont="1" applyBorder="1" applyProtection="1"/>
    <xf numFmtId="3" fontId="0" fillId="0" borderId="47" xfId="0" applyNumberFormat="1" applyFont="1" applyBorder="1" applyProtection="1"/>
    <xf numFmtId="42" fontId="0" fillId="0" borderId="34" xfId="0" applyNumberFormat="1" applyFont="1" applyFill="1" applyBorder="1" applyProtection="1"/>
    <xf numFmtId="3" fontId="18" fillId="0" borderId="46" xfId="0" applyNumberFormat="1" applyFont="1" applyBorder="1" applyProtection="1"/>
    <xf numFmtId="42" fontId="0" fillId="4" borderId="41" xfId="0" applyNumberFormat="1" applyFont="1" applyFill="1" applyBorder="1" applyProtection="1"/>
    <xf numFmtId="0" fontId="0" fillId="0" borderId="63" xfId="0" applyBorder="1" applyAlignment="1">
      <alignment horizontal="center"/>
    </xf>
    <xf numFmtId="0" fontId="0" fillId="0" borderId="64" xfId="0" applyFill="1" applyBorder="1"/>
    <xf numFmtId="0" fontId="0" fillId="0" borderId="65" xfId="0" applyFill="1" applyBorder="1"/>
    <xf numFmtId="0" fontId="0" fillId="0" borderId="63" xfId="0" applyFill="1" applyBorder="1"/>
    <xf numFmtId="3" fontId="18" fillId="0" borderId="65" xfId="0" applyNumberFormat="1" applyFont="1" applyBorder="1" applyProtection="1"/>
    <xf numFmtId="42" fontId="0" fillId="4" borderId="34" xfId="0" applyNumberFormat="1" applyFont="1" applyFill="1" applyBorder="1" applyProtection="1"/>
    <xf numFmtId="3" fontId="0" fillId="0" borderId="34" xfId="0" applyNumberFormat="1" applyFont="1" applyBorder="1" applyProtection="1"/>
    <xf numFmtId="0" fontId="20" fillId="2" borderId="1" xfId="0" applyFont="1" applyFill="1" applyBorder="1" applyAlignment="1">
      <alignment horizontal="center"/>
    </xf>
    <xf numFmtId="0" fontId="10" fillId="2" borderId="1" xfId="0" applyFont="1" applyFill="1" applyBorder="1" applyAlignment="1">
      <alignment horizontal="left"/>
    </xf>
    <xf numFmtId="0" fontId="10" fillId="2" borderId="1" xfId="0" applyFont="1" applyFill="1" applyBorder="1" applyAlignment="1">
      <alignment horizontal="right"/>
    </xf>
    <xf numFmtId="3" fontId="23" fillId="2" borderId="1" xfId="0" applyNumberFormat="1" applyFont="1" applyFill="1" applyBorder="1" applyProtection="1"/>
    <xf numFmtId="42" fontId="23" fillId="7" borderId="1" xfId="0" applyNumberFormat="1" applyFont="1" applyFill="1" applyBorder="1" applyProtection="1"/>
    <xf numFmtId="42" fontId="23" fillId="2" borderId="10" xfId="0" applyNumberFormat="1" applyFont="1" applyFill="1" applyBorder="1" applyProtection="1"/>
    <xf numFmtId="175" fontId="23" fillId="0" borderId="1" xfId="0" applyNumberFormat="1" applyFont="1" applyBorder="1" applyProtection="1"/>
    <xf numFmtId="3" fontId="22" fillId="11" borderId="26" xfId="0" applyNumberFormat="1" applyFont="1" applyFill="1" applyBorder="1" applyAlignment="1">
      <alignment horizontal="center"/>
    </xf>
    <xf numFmtId="3" fontId="21" fillId="11" borderId="26" xfId="0" applyNumberFormat="1" applyFont="1" applyFill="1" applyBorder="1" applyAlignment="1">
      <alignment horizontal="center"/>
    </xf>
    <xf numFmtId="0" fontId="43" fillId="11" borderId="26" xfId="0" applyFont="1" applyFill="1" applyBorder="1"/>
    <xf numFmtId="0" fontId="21" fillId="11" borderId="26" xfId="0" applyFont="1" applyFill="1" applyBorder="1"/>
    <xf numFmtId="3" fontId="24" fillId="11" borderId="26" xfId="0" applyNumberFormat="1" applyFont="1" applyFill="1" applyBorder="1" applyProtection="1"/>
    <xf numFmtId="3" fontId="24" fillId="11" borderId="44" xfId="0" applyNumberFormat="1" applyFont="1" applyFill="1" applyBorder="1" applyProtection="1"/>
    <xf numFmtId="0" fontId="30" fillId="0" borderId="66" xfId="0" applyFont="1" applyBorder="1" applyAlignment="1">
      <alignment horizontal="center"/>
    </xf>
    <xf numFmtId="0" fontId="0" fillId="0" borderId="56" xfId="0" applyBorder="1"/>
    <xf numFmtId="0" fontId="0" fillId="0" borderId="54" xfId="0" applyBorder="1"/>
    <xf numFmtId="3" fontId="18" fillId="0" borderId="56" xfId="0" applyNumberFormat="1" applyFont="1" applyBorder="1" applyProtection="1"/>
    <xf numFmtId="3" fontId="18" fillId="0" borderId="57" xfId="0" applyNumberFormat="1" applyFont="1" applyBorder="1" applyProtection="1"/>
    <xf numFmtId="42" fontId="0" fillId="0" borderId="57" xfId="0" applyNumberFormat="1" applyFill="1" applyBorder="1" applyProtection="1"/>
    <xf numFmtId="0" fontId="4" fillId="0" borderId="27" xfId="0" applyFont="1" applyBorder="1"/>
    <xf numFmtId="0" fontId="4" fillId="0" borderId="23" xfId="0" applyFont="1" applyBorder="1"/>
    <xf numFmtId="0" fontId="4" fillId="0" borderId="25" xfId="0" applyFont="1" applyBorder="1"/>
    <xf numFmtId="175" fontId="23" fillId="0" borderId="0" xfId="0" applyNumberFormat="1" applyFont="1" applyBorder="1" applyProtection="1"/>
    <xf numFmtId="0" fontId="30" fillId="0" borderId="0" xfId="0" applyFont="1" applyAlignment="1">
      <alignment horizontal="center"/>
    </xf>
    <xf numFmtId="0" fontId="0" fillId="0" borderId="0" xfId="0" applyBorder="1" applyAlignment="1">
      <alignment horizontal="center" vertical="center"/>
    </xf>
    <xf numFmtId="0" fontId="39" fillId="12" borderId="67" xfId="0" applyFont="1" applyFill="1" applyBorder="1" applyAlignment="1">
      <alignment vertical="center"/>
    </xf>
    <xf numFmtId="0" fontId="39" fillId="12" borderId="68" xfId="0" applyFont="1" applyFill="1" applyBorder="1" applyAlignment="1">
      <alignment vertical="center"/>
    </xf>
    <xf numFmtId="0" fontId="39" fillId="12" borderId="2" xfId="0" applyFont="1" applyFill="1" applyBorder="1" applyAlignment="1">
      <alignment vertical="center"/>
    </xf>
    <xf numFmtId="176" fontId="41" fillId="12" borderId="2" xfId="0" applyNumberFormat="1" applyFont="1" applyFill="1" applyBorder="1"/>
    <xf numFmtId="42" fontId="41" fillId="12" borderId="2" xfId="0" applyNumberFormat="1" applyFont="1" applyFill="1" applyBorder="1" applyAlignment="1" applyProtection="1">
      <alignment vertical="center"/>
    </xf>
    <xf numFmtId="3" fontId="41" fillId="12" borderId="2" xfId="0" applyNumberFormat="1" applyFont="1" applyFill="1" applyBorder="1" applyAlignment="1" applyProtection="1">
      <alignment vertical="center"/>
    </xf>
    <xf numFmtId="42" fontId="41" fillId="12" borderId="68" xfId="0" applyNumberFormat="1" applyFont="1" applyFill="1" applyBorder="1" applyAlignment="1" applyProtection="1">
      <alignment vertical="center"/>
    </xf>
    <xf numFmtId="0" fontId="39" fillId="12" borderId="60" xfId="0" applyFont="1" applyFill="1" applyBorder="1" applyAlignment="1">
      <alignment vertical="center"/>
    </xf>
    <xf numFmtId="0" fontId="39" fillId="12" borderId="1" xfId="0" applyFont="1" applyFill="1" applyBorder="1" applyAlignment="1">
      <alignment vertical="center"/>
    </xf>
    <xf numFmtId="175" fontId="41" fillId="12" borderId="1" xfId="0" applyNumberFormat="1" applyFont="1" applyFill="1" applyBorder="1" applyAlignment="1" applyProtection="1">
      <alignment vertical="center"/>
    </xf>
    <xf numFmtId="42" fontId="41" fillId="12" borderId="1" xfId="0" applyNumberFormat="1" applyFont="1" applyFill="1" applyBorder="1" applyAlignment="1" applyProtection="1">
      <alignment vertical="center"/>
    </xf>
    <xf numFmtId="3" fontId="41" fillId="12" borderId="1" xfId="0" applyNumberFormat="1" applyFont="1" applyFill="1" applyBorder="1" applyAlignment="1" applyProtection="1">
      <alignment vertical="center"/>
    </xf>
    <xf numFmtId="42" fontId="41" fillId="12" borderId="59" xfId="0" applyNumberFormat="1" applyFont="1" applyFill="1" applyBorder="1" applyAlignment="1" applyProtection="1">
      <alignment vertical="center"/>
    </xf>
    <xf numFmtId="0" fontId="30" fillId="0" borderId="0" xfId="0" applyFont="1" applyFill="1" applyAlignment="1">
      <alignment horizontal="center"/>
    </xf>
    <xf numFmtId="0" fontId="0" fillId="0" borderId="0" xfId="0" applyFill="1" applyBorder="1" applyAlignment="1">
      <alignment vertical="center"/>
    </xf>
    <xf numFmtId="0" fontId="10" fillId="0" borderId="0" xfId="0" applyFont="1" applyFill="1" applyBorder="1" applyAlignment="1">
      <alignment vertical="center"/>
    </xf>
    <xf numFmtId="175" fontId="4" fillId="0" borderId="0" xfId="0" applyNumberFormat="1" applyFont="1" applyFill="1" applyBorder="1" applyAlignment="1" applyProtection="1">
      <alignment vertical="center"/>
    </xf>
    <xf numFmtId="42" fontId="4" fillId="0" borderId="0" xfId="0"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177" fontId="40" fillId="0" borderId="0" xfId="0" applyNumberFormat="1" applyFont="1" applyFill="1" applyBorder="1" applyAlignment="1" applyProtection="1">
      <alignment vertical="center"/>
    </xf>
    <xf numFmtId="0" fontId="0" fillId="7" borderId="25" xfId="0" applyFill="1" applyBorder="1" applyAlignment="1">
      <alignment horizontal="left"/>
    </xf>
    <xf numFmtId="0" fontId="0" fillId="7" borderId="26" xfId="0" applyFill="1" applyBorder="1" applyAlignment="1">
      <alignment horizontal="left"/>
    </xf>
    <xf numFmtId="0" fontId="0" fillId="7" borderId="26" xfId="0" applyFill="1" applyBorder="1" applyAlignment="1">
      <alignment horizontal="center"/>
    </xf>
    <xf numFmtId="3" fontId="0" fillId="0" borderId="26" xfId="0" applyNumberFormat="1" applyBorder="1" applyProtection="1"/>
    <xf numFmtId="0" fontId="0" fillId="0" borderId="0" xfId="0" applyProtection="1"/>
    <xf numFmtId="42" fontId="0" fillId="0" borderId="0" xfId="0" applyNumberFormat="1" applyAlignment="1" applyProtection="1">
      <alignment horizontal="center"/>
    </xf>
    <xf numFmtId="0" fontId="0" fillId="0" borderId="1" xfId="0" applyBorder="1" applyProtection="1"/>
    <xf numFmtId="3" fontId="0" fillId="0" borderId="2" xfId="0" applyNumberFormat="1" applyBorder="1" applyAlignment="1" applyProtection="1">
      <alignment vertical="center"/>
    </xf>
    <xf numFmtId="0" fontId="0" fillId="4" borderId="60" xfId="0" applyFill="1" applyBorder="1" applyAlignment="1">
      <alignment horizontal="left"/>
    </xf>
    <xf numFmtId="0" fontId="0" fillId="4" borderId="1" xfId="0" applyFill="1" applyBorder="1" applyAlignment="1">
      <alignment horizontal="center"/>
    </xf>
    <xf numFmtId="3" fontId="0" fillId="0" borderId="1" xfId="0" applyNumberFormat="1" applyBorder="1" applyProtection="1"/>
    <xf numFmtId="0" fontId="0" fillId="0" borderId="0" xfId="0" applyAlignment="1">
      <alignment vertical="top"/>
    </xf>
    <xf numFmtId="0" fontId="0" fillId="2" borderId="23" xfId="0" applyFill="1" applyBorder="1" applyAlignment="1">
      <alignment vertical="top"/>
    </xf>
    <xf numFmtId="0" fontId="0" fillId="0" borderId="0" xfId="0"/>
    <xf numFmtId="164" fontId="0" fillId="0" borderId="0" xfId="0" applyNumberFormat="1"/>
    <xf numFmtId="165" fontId="0" fillId="0" borderId="0" xfId="0" applyNumberFormat="1" applyFont="1" applyFill="1" applyBorder="1"/>
    <xf numFmtId="41" fontId="0" fillId="0" borderId="0" xfId="0" applyNumberFormat="1" applyAlignment="1">
      <alignment horizontal="right" vertical="top"/>
    </xf>
    <xf numFmtId="164" fontId="1" fillId="0" borderId="0" xfId="0" applyNumberFormat="1" applyFont="1" applyFill="1"/>
    <xf numFmtId="165" fontId="1" fillId="0" borderId="0" xfId="0" applyNumberFormat="1" applyFont="1" applyFill="1"/>
    <xf numFmtId="0" fontId="11" fillId="15" borderId="75" xfId="0" applyFont="1" applyFill="1" applyBorder="1" applyAlignment="1">
      <alignment horizontal="center"/>
    </xf>
    <xf numFmtId="164" fontId="11" fillId="0" borderId="76" xfId="2" applyNumberFormat="1" applyFont="1" applyFill="1" applyBorder="1" applyAlignment="1">
      <alignment horizontal="center"/>
    </xf>
    <xf numFmtId="0" fontId="8" fillId="0" borderId="78" xfId="0" applyFont="1" applyFill="1" applyBorder="1" applyAlignment="1">
      <alignment horizontal="center"/>
    </xf>
    <xf numFmtId="0" fontId="8" fillId="0" borderId="47" xfId="0" applyNumberFormat="1" applyFont="1" applyFill="1" applyBorder="1" applyAlignment="1">
      <alignment horizontal="left"/>
    </xf>
    <xf numFmtId="0" fontId="8" fillId="0" borderId="77" xfId="0" applyFont="1" applyFill="1" applyBorder="1" applyAlignment="1">
      <alignment horizontal="center"/>
    </xf>
    <xf numFmtId="0" fontId="8" fillId="0" borderId="41" xfId="0" applyNumberFormat="1" applyFont="1" applyFill="1" applyBorder="1" applyAlignment="1">
      <alignment horizontal="left"/>
    </xf>
    <xf numFmtId="39" fontId="10" fillId="0" borderId="0" xfId="3" applyFont="1" applyFill="1" applyAlignment="1" applyProtection="1">
      <alignment horizontal="centerContinuous"/>
    </xf>
    <xf numFmtId="0" fontId="3" fillId="0" borderId="0" xfId="4" applyFill="1" applyProtection="1"/>
    <xf numFmtId="39" fontId="3" fillId="0" borderId="0" xfId="3" applyFont="1" applyFill="1" applyProtection="1"/>
    <xf numFmtId="39" fontId="4" fillId="0" borderId="0" xfId="3" applyNumberFormat="1" applyFont="1" applyFill="1" applyProtection="1"/>
    <xf numFmtId="39" fontId="3" fillId="0" borderId="0" xfId="3" applyNumberFormat="1" applyFont="1" applyFill="1" applyProtection="1"/>
    <xf numFmtId="39" fontId="3" fillId="0" borderId="0" xfId="3" applyNumberFormat="1" applyFont="1" applyFill="1" applyAlignment="1" applyProtection="1">
      <alignment horizontal="left"/>
    </xf>
    <xf numFmtId="39" fontId="3" fillId="0" borderId="0" xfId="3" applyNumberFormat="1" applyFont="1" applyFill="1" applyAlignment="1" applyProtection="1">
      <alignment horizontal="center"/>
    </xf>
    <xf numFmtId="39" fontId="4" fillId="0" borderId="0" xfId="3" applyNumberFormat="1" applyFont="1" applyFill="1" applyAlignment="1" applyProtection="1">
      <alignment horizontal="left"/>
    </xf>
    <xf numFmtId="0" fontId="3" fillId="0" borderId="1" xfId="3" quotePrefix="1" applyNumberFormat="1" applyFont="1" applyFill="1" applyBorder="1" applyAlignment="1" applyProtection="1">
      <alignment horizontal="center"/>
    </xf>
    <xf numFmtId="39" fontId="8" fillId="0" borderId="0" xfId="3" applyNumberFormat="1" applyFont="1" applyFill="1" applyProtection="1"/>
    <xf numFmtId="39" fontId="8" fillId="0" borderId="0" xfId="3" applyNumberFormat="1" applyFont="1" applyFill="1" applyAlignment="1" applyProtection="1">
      <alignment horizontal="fill"/>
    </xf>
    <xf numFmtId="39" fontId="8" fillId="0" borderId="0" xfId="3" applyFont="1" applyFill="1" applyProtection="1"/>
    <xf numFmtId="39" fontId="8" fillId="0" borderId="0" xfId="3" applyNumberFormat="1" applyFont="1" applyFill="1" applyAlignment="1" applyProtection="1">
      <alignment horizontal="left"/>
    </xf>
    <xf numFmtId="9" fontId="0" fillId="0" borderId="0" xfId="5" applyFont="1" applyFill="1" applyProtection="1"/>
    <xf numFmtId="43" fontId="8" fillId="0" borderId="2" xfId="3" applyNumberFormat="1" applyFont="1" applyFill="1" applyBorder="1" applyAlignment="1" applyProtection="1">
      <alignment horizontal="right"/>
    </xf>
    <xf numFmtId="39" fontId="8" fillId="0" borderId="0" xfId="3" applyNumberFormat="1" applyFont="1" applyFill="1" applyAlignment="1" applyProtection="1">
      <alignment horizontal="left" indent="1"/>
    </xf>
    <xf numFmtId="39" fontId="8" fillId="0" borderId="0" xfId="3" applyFont="1" applyFill="1" applyBorder="1" applyAlignment="1" applyProtection="1">
      <alignment horizontal="left" indent="1"/>
    </xf>
    <xf numFmtId="39" fontId="8" fillId="0" borderId="0" xfId="3" applyFont="1" applyFill="1" applyBorder="1" applyAlignment="1" applyProtection="1">
      <alignment horizontal="left"/>
    </xf>
    <xf numFmtId="44" fontId="8" fillId="0" borderId="0" xfId="3" applyNumberFormat="1" applyFont="1" applyFill="1" applyBorder="1" applyAlignment="1" applyProtection="1">
      <alignment horizontal="right"/>
    </xf>
    <xf numFmtId="39" fontId="8" fillId="0" borderId="0" xfId="3" applyFont="1" applyFill="1" applyAlignment="1" applyProtection="1">
      <alignment horizontal="left" indent="1"/>
    </xf>
    <xf numFmtId="39" fontId="8" fillId="0" borderId="0" xfId="3" applyFont="1" applyFill="1" applyAlignment="1" applyProtection="1">
      <alignment horizontal="left"/>
    </xf>
    <xf numFmtId="44" fontId="3" fillId="0" borderId="0" xfId="3" applyNumberFormat="1" applyFont="1" applyFill="1" applyBorder="1" applyAlignment="1" applyProtection="1">
      <alignment horizontal="right"/>
    </xf>
    <xf numFmtId="39" fontId="8" fillId="0" borderId="0" xfId="6" applyFont="1" applyFill="1" applyAlignment="1" applyProtection="1">
      <alignment horizontal="left"/>
    </xf>
    <xf numFmtId="41" fontId="3" fillId="0" borderId="0" xfId="3" applyNumberFormat="1" applyFont="1" applyFill="1" applyBorder="1" applyAlignment="1" applyProtection="1">
      <alignment horizontal="fill"/>
    </xf>
    <xf numFmtId="0" fontId="0" fillId="0" borderId="0" xfId="0" applyFill="1" applyProtection="1"/>
    <xf numFmtId="43" fontId="0" fillId="0" borderId="0" xfId="0" applyNumberFormat="1" applyFill="1" applyProtection="1"/>
    <xf numFmtId="0" fontId="45" fillId="0" borderId="0" xfId="0" applyFont="1"/>
    <xf numFmtId="0" fontId="0" fillId="16" borderId="23" xfId="0" applyFont="1" applyFill="1" applyBorder="1"/>
    <xf numFmtId="41" fontId="0" fillId="0" borderId="0" xfId="0" applyNumberFormat="1" applyFont="1" applyAlignment="1">
      <alignment horizontal="right"/>
    </xf>
    <xf numFmtId="41" fontId="45" fillId="0" borderId="0" xfId="0" applyNumberFormat="1" applyFont="1"/>
    <xf numFmtId="0" fontId="3" fillId="0" borderId="0" xfId="9" applyNumberFormat="1" applyAlignment="1"/>
    <xf numFmtId="0" fontId="47" fillId="0" borderId="0" xfId="0" applyFont="1" applyAlignment="1">
      <alignment vertical="center"/>
    </xf>
    <xf numFmtId="0" fontId="47" fillId="0" borderId="0" xfId="0" applyFont="1" applyAlignment="1">
      <alignment horizontal="center" vertical="center"/>
    </xf>
    <xf numFmtId="0" fontId="48" fillId="0" borderId="0" xfId="0" applyFont="1" applyFill="1" applyAlignment="1">
      <alignment vertical="center"/>
    </xf>
    <xf numFmtId="0" fontId="26" fillId="0" borderId="0" xfId="0" applyFont="1" applyAlignment="1">
      <alignment wrapText="1"/>
    </xf>
    <xf numFmtId="0" fontId="49" fillId="0" borderId="74" xfId="0" applyFont="1" applyFill="1" applyBorder="1" applyAlignment="1">
      <alignment horizontal="left"/>
    </xf>
    <xf numFmtId="174" fontId="49" fillId="0" borderId="74" xfId="0" applyNumberFormat="1" applyFont="1" applyBorder="1" applyAlignment="1">
      <alignment horizontal="left"/>
    </xf>
    <xf numFmtId="3" fontId="0" fillId="0" borderId="74" xfId="0" applyNumberFormat="1" applyFill="1" applyBorder="1"/>
    <xf numFmtId="0" fontId="4" fillId="0" borderId="74" xfId="0" applyFont="1" applyFill="1" applyBorder="1"/>
    <xf numFmtId="3" fontId="4" fillId="0" borderId="74" xfId="0" applyNumberFormat="1" applyFont="1" applyBorder="1"/>
    <xf numFmtId="42" fontId="0" fillId="0" borderId="74" xfId="0" applyNumberFormat="1" applyBorder="1"/>
    <xf numFmtId="0" fontId="0" fillId="0" borderId="73" xfId="0" applyBorder="1" applyAlignment="1">
      <alignment horizontal="center" textRotation="180"/>
    </xf>
    <xf numFmtId="0" fontId="21" fillId="0" borderId="73" xfId="0" applyFont="1" applyBorder="1" applyAlignment="1">
      <alignment horizontal="center" vertical="center" wrapText="1"/>
    </xf>
    <xf numFmtId="0" fontId="21" fillId="0" borderId="73" xfId="0" applyFont="1" applyBorder="1" applyAlignment="1"/>
    <xf numFmtId="0" fontId="21" fillId="0" borderId="73" xfId="0" applyFont="1" applyBorder="1" applyAlignment="1">
      <alignment vertical="center" wrapText="1"/>
    </xf>
    <xf numFmtId="0" fontId="46" fillId="0" borderId="73" xfId="8" applyBorder="1" applyAlignment="1" applyProtection="1">
      <alignment horizontal="center" wrapText="1"/>
    </xf>
    <xf numFmtId="0" fontId="21" fillId="0" borderId="72" xfId="0" applyFont="1" applyBorder="1" applyAlignment="1">
      <alignment horizontal="center" wrapText="1"/>
    </xf>
    <xf numFmtId="0" fontId="46" fillId="0" borderId="0" xfId="8" applyBorder="1" applyAlignment="1" applyProtection="1">
      <alignment horizontal="center" vertical="center" wrapText="1"/>
    </xf>
    <xf numFmtId="165" fontId="0" fillId="0" borderId="41" xfId="1" applyNumberFormat="1" applyFont="1" applyFill="1" applyBorder="1" applyProtection="1"/>
    <xf numFmtId="164" fontId="19" fillId="0" borderId="42" xfId="2" applyNumberFormat="1" applyFont="1" applyFill="1" applyBorder="1" applyProtection="1"/>
    <xf numFmtId="164" fontId="0" fillId="0" borderId="43" xfId="2" applyNumberFormat="1" applyFont="1" applyFill="1" applyBorder="1" applyProtection="1"/>
    <xf numFmtId="164" fontId="31" fillId="0" borderId="43" xfId="2" applyNumberFormat="1" applyFont="1" applyFill="1" applyBorder="1" applyProtection="1"/>
    <xf numFmtId="164" fontId="0" fillId="0" borderId="8" xfId="2" applyNumberFormat="1" applyFont="1" applyFill="1" applyBorder="1" applyProtection="1"/>
    <xf numFmtId="164" fontId="23" fillId="0" borderId="44" xfId="2" applyNumberFormat="1" applyFont="1" applyFill="1" applyBorder="1" applyProtection="1"/>
    <xf numFmtId="165" fontId="0" fillId="0" borderId="46" xfId="1" applyNumberFormat="1" applyFont="1" applyFill="1" applyBorder="1" applyProtection="1"/>
    <xf numFmtId="164" fontId="0" fillId="0" borderId="47" xfId="2" applyNumberFormat="1" applyFont="1" applyFill="1" applyBorder="1" applyProtection="1"/>
    <xf numFmtId="165" fontId="0" fillId="0" borderId="47" xfId="1" applyNumberFormat="1" applyFont="1" applyFill="1" applyBorder="1" applyProtection="1"/>
    <xf numFmtId="165" fontId="31" fillId="0" borderId="46" xfId="1" applyNumberFormat="1" applyFont="1" applyFill="1" applyBorder="1" applyProtection="1"/>
    <xf numFmtId="165" fontId="31" fillId="0" borderId="47" xfId="1" applyNumberFormat="1" applyFont="1" applyFill="1" applyBorder="1" applyProtection="1"/>
    <xf numFmtId="167" fontId="31" fillId="0" borderId="0" xfId="7" applyNumberFormat="1" applyFont="1"/>
    <xf numFmtId="0" fontId="0" fillId="0" borderId="79" xfId="0" applyBorder="1" applyAlignment="1">
      <alignment horizontal="center"/>
    </xf>
    <xf numFmtId="0" fontId="0" fillId="0" borderId="61" xfId="0" applyFill="1" applyBorder="1"/>
    <xf numFmtId="165" fontId="0" fillId="0" borderId="61" xfId="1" applyNumberFormat="1" applyFont="1" applyFill="1" applyBorder="1" applyProtection="1"/>
    <xf numFmtId="42" fontId="0" fillId="0" borderId="0" xfId="0" applyNumberFormat="1" applyFill="1" applyBorder="1" applyProtection="1"/>
    <xf numFmtId="165" fontId="0" fillId="0" borderId="0" xfId="1" applyNumberFormat="1" applyFont="1" applyFill="1" applyBorder="1" applyProtection="1"/>
    <xf numFmtId="164" fontId="0" fillId="0" borderId="0" xfId="2" applyNumberFormat="1" applyFont="1" applyFill="1" applyBorder="1" applyProtection="1"/>
    <xf numFmtId="165" fontId="23" fillId="0" borderId="26" xfId="1" applyNumberFormat="1" applyFont="1" applyBorder="1" applyProtection="1"/>
    <xf numFmtId="165" fontId="23" fillId="0" borderId="26" xfId="1" applyNumberFormat="1" applyFont="1" applyFill="1" applyBorder="1" applyProtection="1"/>
    <xf numFmtId="175" fontId="23" fillId="0" borderId="0" xfId="2" applyNumberFormat="1" applyFont="1" applyFill="1" applyBorder="1" applyProtection="1"/>
    <xf numFmtId="165" fontId="18" fillId="0" borderId="41" xfId="1" applyNumberFormat="1" applyFont="1" applyFill="1" applyBorder="1" applyProtection="1"/>
    <xf numFmtId="164" fontId="18" fillId="0" borderId="41" xfId="2" applyNumberFormat="1" applyFont="1" applyFill="1" applyBorder="1" applyProtection="1"/>
    <xf numFmtId="164" fontId="18" fillId="0" borderId="42" xfId="2" applyNumberFormat="1" applyFont="1" applyFill="1" applyBorder="1" applyProtection="1"/>
    <xf numFmtId="164" fontId="18" fillId="0" borderId="43" xfId="2" applyNumberFormat="1" applyFont="1" applyFill="1" applyBorder="1" applyProtection="1"/>
    <xf numFmtId="164" fontId="19" fillId="0" borderId="43" xfId="2" applyNumberFormat="1" applyFont="1" applyFill="1" applyBorder="1" applyProtection="1"/>
    <xf numFmtId="165" fontId="18" fillId="0" borderId="47" xfId="1" applyNumberFormat="1" applyFont="1" applyFill="1" applyBorder="1" applyProtection="1"/>
    <xf numFmtId="164" fontId="18" fillId="0" borderId="47" xfId="2" applyNumberFormat="1" applyFont="1" applyFill="1" applyBorder="1" applyProtection="1"/>
    <xf numFmtId="0" fontId="51" fillId="0" borderId="45" xfId="0" applyFont="1" applyFill="1" applyBorder="1" applyAlignment="1">
      <alignment horizontal="center"/>
    </xf>
    <xf numFmtId="0" fontId="51" fillId="0" borderId="45" xfId="0" applyFont="1" applyFill="1" applyBorder="1"/>
    <xf numFmtId="165" fontId="18" fillId="0" borderId="47" xfId="1" applyNumberFormat="1" applyFont="1" applyBorder="1" applyProtection="1"/>
    <xf numFmtId="165" fontId="18" fillId="0" borderId="53" xfId="1" applyNumberFormat="1" applyFont="1" applyFill="1" applyBorder="1" applyProtection="1"/>
    <xf numFmtId="164" fontId="18" fillId="0" borderId="53" xfId="2" applyNumberFormat="1" applyFont="1" applyFill="1" applyBorder="1" applyProtection="1"/>
    <xf numFmtId="167" fontId="0" fillId="0" borderId="0" xfId="7" applyNumberFormat="1" applyFont="1"/>
    <xf numFmtId="165" fontId="18" fillId="0" borderId="56" xfId="1" applyNumberFormat="1" applyFont="1" applyFill="1" applyBorder="1" applyProtection="1"/>
    <xf numFmtId="164" fontId="18" fillId="0" borderId="57" xfId="2" applyNumberFormat="1" applyFont="1" applyBorder="1" applyProtection="1"/>
    <xf numFmtId="165" fontId="18" fillId="0" borderId="57" xfId="1" applyNumberFormat="1" applyFont="1" applyBorder="1" applyProtection="1"/>
    <xf numFmtId="164" fontId="18" fillId="0" borderId="58" xfId="2" applyNumberFormat="1" applyFont="1" applyFill="1" applyBorder="1" applyProtection="1"/>
    <xf numFmtId="164" fontId="18" fillId="0" borderId="10" xfId="2" applyNumberFormat="1" applyFont="1" applyFill="1" applyBorder="1" applyProtection="1"/>
    <xf numFmtId="165" fontId="18" fillId="0" borderId="61" xfId="1" applyNumberFormat="1" applyFont="1" applyBorder="1" applyProtection="1"/>
    <xf numFmtId="164" fontId="18" fillId="0" borderId="1" xfId="2" applyNumberFormat="1" applyFont="1" applyBorder="1" applyProtection="1"/>
    <xf numFmtId="165" fontId="18" fillId="0" borderId="1" xfId="1" applyNumberFormat="1" applyFont="1" applyBorder="1" applyProtection="1"/>
    <xf numFmtId="165" fontId="18" fillId="0" borderId="56" xfId="1" applyNumberFormat="1" applyFont="1" applyBorder="1" applyProtection="1"/>
    <xf numFmtId="164" fontId="18" fillId="0" borderId="47" xfId="2" applyNumberFormat="1" applyFont="1" applyBorder="1" applyProtection="1"/>
    <xf numFmtId="164" fontId="47" fillId="0" borderId="9" xfId="2" applyNumberFormat="1" applyFont="1" applyFill="1" applyBorder="1" applyProtection="1"/>
    <xf numFmtId="167" fontId="37" fillId="0" borderId="0" xfId="7" applyNumberFormat="1" applyFont="1"/>
    <xf numFmtId="0" fontId="0" fillId="0" borderId="62" xfId="0" applyFont="1" applyFill="1" applyBorder="1"/>
    <xf numFmtId="0" fontId="0" fillId="0" borderId="49" xfId="0" applyFont="1" applyBorder="1" applyAlignment="1">
      <alignment horizontal="center"/>
    </xf>
    <xf numFmtId="0" fontId="37" fillId="0" borderId="46" xfId="0" applyFont="1" applyBorder="1"/>
    <xf numFmtId="167" fontId="36" fillId="0" borderId="0" xfId="7" applyNumberFormat="1" applyFont="1"/>
    <xf numFmtId="0" fontId="37" fillId="0" borderId="49" xfId="0" applyFont="1" applyBorder="1"/>
    <xf numFmtId="0" fontId="36" fillId="0" borderId="47" xfId="0" applyFont="1" applyBorder="1"/>
    <xf numFmtId="0" fontId="36" fillId="0" borderId="49" xfId="0" applyFont="1" applyBorder="1"/>
    <xf numFmtId="0" fontId="36" fillId="0" borderId="40" xfId="0" applyFont="1" applyBorder="1"/>
    <xf numFmtId="42" fontId="18" fillId="0" borderId="44" xfId="0" applyNumberFormat="1" applyFont="1" applyBorder="1" applyProtection="1"/>
    <xf numFmtId="42" fontId="0" fillId="0" borderId="41" xfId="0" applyNumberFormat="1" applyFont="1" applyFill="1" applyBorder="1" applyProtection="1"/>
    <xf numFmtId="3" fontId="0" fillId="0" borderId="41" xfId="0" applyNumberFormat="1" applyFont="1" applyFill="1" applyBorder="1" applyProtection="1"/>
    <xf numFmtId="164" fontId="18" fillId="0" borderId="9" xfId="2" applyNumberFormat="1" applyFont="1" applyFill="1" applyBorder="1" applyProtection="1"/>
    <xf numFmtId="0" fontId="0" fillId="0" borderId="74" xfId="0" applyBorder="1" applyAlignment="1">
      <alignment horizontal="center"/>
    </xf>
    <xf numFmtId="0" fontId="4" fillId="0" borderId="74" xfId="0" applyFont="1" applyBorder="1"/>
    <xf numFmtId="3" fontId="23" fillId="0" borderId="74" xfId="0" applyNumberFormat="1" applyFont="1" applyFill="1" applyBorder="1" applyProtection="1"/>
    <xf numFmtId="42" fontId="23" fillId="0" borderId="74" xfId="0" applyNumberFormat="1" applyFont="1" applyFill="1" applyBorder="1" applyProtection="1"/>
    <xf numFmtId="164" fontId="23" fillId="0" borderId="70" xfId="2" applyNumberFormat="1" applyFont="1" applyFill="1" applyBorder="1" applyProtection="1"/>
    <xf numFmtId="167" fontId="0" fillId="7" borderId="26" xfId="7" applyNumberFormat="1" applyFont="1" applyFill="1" applyBorder="1" applyAlignment="1" applyProtection="1">
      <alignment horizontal="center"/>
    </xf>
    <xf numFmtId="167" fontId="0" fillId="7" borderId="27" xfId="7" applyNumberFormat="1" applyFont="1" applyFill="1" applyBorder="1" applyAlignment="1" applyProtection="1">
      <alignment horizontal="center"/>
    </xf>
    <xf numFmtId="167" fontId="0" fillId="4" borderId="26" xfId="7" applyNumberFormat="1" applyFont="1" applyFill="1" applyBorder="1" applyAlignment="1" applyProtection="1">
      <alignment horizontal="center" vertical="center"/>
    </xf>
    <xf numFmtId="164" fontId="0" fillId="4" borderId="1" xfId="2" applyNumberFormat="1" applyFont="1" applyFill="1" applyBorder="1" applyAlignment="1" applyProtection="1">
      <alignment horizontal="center"/>
    </xf>
    <xf numFmtId="10" fontId="0" fillId="0" borderId="0" xfId="7" applyNumberFormat="1" applyFont="1"/>
    <xf numFmtId="0" fontId="3" fillId="0" borderId="0" xfId="0" applyFont="1" applyFill="1" applyAlignment="1">
      <alignment horizontal="center"/>
    </xf>
    <xf numFmtId="0" fontId="7" fillId="0" borderId="0" xfId="0" applyFont="1" applyFill="1" applyAlignment="1">
      <alignment horizontal="left" wrapText="1"/>
    </xf>
    <xf numFmtId="0" fontId="4" fillId="0" borderId="0" xfId="0" applyFont="1" applyFill="1" applyBorder="1"/>
    <xf numFmtId="0" fontId="53" fillId="0" borderId="0" xfId="0" applyFont="1" applyFill="1" applyAlignment="1">
      <alignment horizontal="left"/>
    </xf>
    <xf numFmtId="0" fontId="55" fillId="0" borderId="0" xfId="0" applyFont="1" applyFill="1"/>
    <xf numFmtId="169" fontId="0" fillId="0" borderId="0" xfId="0" applyNumberFormat="1" applyFill="1" applyProtection="1"/>
    <xf numFmtId="165" fontId="54" fillId="0" borderId="0" xfId="0" applyNumberFormat="1" applyFont="1" applyFill="1" applyBorder="1"/>
    <xf numFmtId="164" fontId="54" fillId="0" borderId="0" xfId="0" applyNumberFormat="1" applyFont="1" applyFill="1"/>
    <xf numFmtId="43" fontId="54" fillId="0" borderId="2" xfId="0" applyNumberFormat="1" applyFont="1" applyFill="1" applyBorder="1"/>
    <xf numFmtId="44" fontId="54" fillId="0" borderId="2" xfId="0" applyNumberFormat="1" applyFont="1" applyFill="1" applyBorder="1"/>
    <xf numFmtId="164" fontId="54" fillId="0" borderId="3" xfId="0" applyNumberFormat="1" applyFont="1" applyFill="1" applyBorder="1"/>
    <xf numFmtId="165" fontId="0" fillId="0" borderId="2" xfId="0" applyNumberFormat="1" applyFont="1" applyFill="1" applyBorder="1"/>
    <xf numFmtId="165" fontId="3" fillId="0" borderId="2" xfId="0" quotePrefix="1" applyNumberFormat="1" applyFont="1" applyFill="1" applyBorder="1" applyAlignment="1">
      <alignment horizontal="right"/>
    </xf>
    <xf numFmtId="165" fontId="3" fillId="0" borderId="9" xfId="0" applyNumberFormat="1" applyFont="1" applyFill="1" applyBorder="1"/>
    <xf numFmtId="0" fontId="5" fillId="0" borderId="0" xfId="0" applyFont="1" applyFill="1" applyAlignment="1">
      <alignment horizontal="right"/>
    </xf>
    <xf numFmtId="0" fontId="0" fillId="0" borderId="71" xfId="0" applyBorder="1"/>
    <xf numFmtId="0" fontId="0" fillId="0" borderId="74" xfId="0" applyBorder="1"/>
    <xf numFmtId="0" fontId="2" fillId="0" borderId="0" xfId="0" applyFont="1"/>
    <xf numFmtId="0" fontId="0" fillId="0" borderId="72" xfId="0" applyFill="1" applyBorder="1"/>
    <xf numFmtId="0" fontId="2" fillId="0" borderId="7" xfId="0" applyFont="1" applyBorder="1"/>
    <xf numFmtId="164" fontId="2" fillId="0" borderId="8" xfId="0" applyNumberFormat="1" applyFont="1" applyFill="1" applyBorder="1"/>
    <xf numFmtId="41" fontId="2" fillId="0" borderId="8" xfId="0" applyNumberFormat="1" applyFont="1" applyFill="1" applyBorder="1"/>
    <xf numFmtId="164" fontId="2" fillId="0" borderId="81" xfId="0" applyNumberFormat="1" applyFont="1" applyFill="1" applyBorder="1"/>
    <xf numFmtId="0" fontId="2" fillId="0" borderId="7" xfId="0" applyFont="1" applyBorder="1" applyAlignment="1">
      <alignment horizontal="left" indent="1"/>
    </xf>
    <xf numFmtId="0" fontId="2" fillId="0" borderId="7" xfId="0" applyFont="1" applyBorder="1" applyAlignment="1">
      <alignment horizontal="left"/>
    </xf>
    <xf numFmtId="0" fontId="2" fillId="0" borderId="69" xfId="0" applyFont="1" applyBorder="1" applyAlignment="1">
      <alignment horizontal="left"/>
    </xf>
    <xf numFmtId="164" fontId="2" fillId="0" borderId="70" xfId="0" applyNumberFormat="1" applyFont="1" applyFill="1" applyBorder="1"/>
    <xf numFmtId="0" fontId="2" fillId="0" borderId="0" xfId="0" applyFont="1" applyBorder="1" applyAlignment="1">
      <alignment horizontal="left"/>
    </xf>
    <xf numFmtId="164" fontId="56" fillId="0" borderId="0" xfId="0" applyNumberFormat="1" applyFont="1" applyFill="1" applyBorder="1"/>
    <xf numFmtId="0" fontId="56" fillId="0" borderId="0" xfId="0" applyFont="1"/>
    <xf numFmtId="44" fontId="8" fillId="0" borderId="0" xfId="3" applyNumberFormat="1" applyFont="1" applyFill="1" applyAlignment="1" applyProtection="1">
      <alignment horizontal="left"/>
    </xf>
    <xf numFmtId="0" fontId="2" fillId="0" borderId="0" xfId="0" applyFont="1" applyAlignment="1">
      <alignment horizontal="left"/>
    </xf>
    <xf numFmtId="41" fontId="0" fillId="14" borderId="23" xfId="0" applyNumberFormat="1" applyFont="1" applyFill="1" applyBorder="1" applyAlignment="1">
      <alignment horizontal="right"/>
    </xf>
    <xf numFmtId="0" fontId="3" fillId="16" borderId="23" xfId="4" applyFont="1" applyFill="1" applyBorder="1"/>
    <xf numFmtId="0" fontId="3" fillId="48" borderId="23" xfId="4" applyFont="1" applyFill="1" applyBorder="1"/>
    <xf numFmtId="0" fontId="3" fillId="49" borderId="23" xfId="4" applyFont="1" applyFill="1" applyBorder="1"/>
    <xf numFmtId="180" fontId="0" fillId="0" borderId="41" xfId="2" applyNumberFormat="1" applyFont="1" applyFill="1" applyBorder="1" applyProtection="1"/>
    <xf numFmtId="165" fontId="37" fillId="0" borderId="46" xfId="1" applyNumberFormat="1" applyFont="1" applyFill="1" applyBorder="1" applyProtection="1"/>
    <xf numFmtId="164" fontId="37" fillId="0" borderId="41" xfId="2" applyNumberFormat="1" applyFont="1" applyFill="1" applyBorder="1" applyProtection="1"/>
    <xf numFmtId="165" fontId="37" fillId="0" borderId="41" xfId="1" applyNumberFormat="1" applyFont="1" applyFill="1" applyBorder="1" applyProtection="1"/>
    <xf numFmtId="0" fontId="54" fillId="0" borderId="0" xfId="0" applyFont="1" applyFill="1"/>
    <xf numFmtId="0" fontId="54" fillId="0" borderId="0" xfId="0" applyFont="1" applyFill="1" applyAlignment="1">
      <alignment horizontal="center"/>
    </xf>
    <xf numFmtId="0" fontId="54" fillId="0" borderId="1" xfId="0" applyFont="1" applyFill="1" applyBorder="1" applyAlignment="1">
      <alignment horizontal="center"/>
    </xf>
    <xf numFmtId="0" fontId="54" fillId="0" borderId="1" xfId="0" applyFont="1" applyFill="1" applyBorder="1" applyAlignment="1">
      <alignment horizontal="centerContinuous"/>
    </xf>
    <xf numFmtId="0" fontId="0" fillId="0" borderId="0" xfId="0" applyFill="1" applyAlignment="1">
      <alignment vertical="top"/>
    </xf>
    <xf numFmtId="41" fontId="0" fillId="0" borderId="0" xfId="0" applyNumberFormat="1" applyFill="1" applyAlignment="1">
      <alignment horizontal="right" vertical="top"/>
    </xf>
    <xf numFmtId="42" fontId="0" fillId="0" borderId="0" xfId="0" applyNumberFormat="1"/>
    <xf numFmtId="0" fontId="0" fillId="0" borderId="0" xfId="0" applyAlignment="1">
      <alignment horizontal="right"/>
    </xf>
    <xf numFmtId="42" fontId="0" fillId="0" borderId="22" xfId="0" applyNumberFormat="1" applyBorder="1"/>
    <xf numFmtId="39" fontId="10" fillId="0" borderId="0" xfId="3" applyFont="1" applyFill="1" applyAlignment="1" applyProtection="1">
      <alignment horizontal="center"/>
    </xf>
    <xf numFmtId="0" fontId="3" fillId="0" borderId="0" xfId="4" applyFill="1" applyAlignment="1" applyProtection="1">
      <alignment horizontal="center"/>
    </xf>
    <xf numFmtId="39" fontId="72" fillId="0" borderId="0" xfId="3" applyFont="1" applyFill="1" applyAlignment="1" applyProtection="1"/>
    <xf numFmtId="0" fontId="72" fillId="0" borderId="0" xfId="4" applyFont="1" applyFill="1" applyAlignment="1" applyProtection="1">
      <alignment horizontal="center"/>
    </xf>
    <xf numFmtId="44" fontId="73" fillId="0" borderId="0" xfId="3" applyNumberFormat="1" applyFont="1" applyFill="1" applyAlignment="1" applyProtection="1">
      <alignment horizontal="right"/>
    </xf>
    <xf numFmtId="0" fontId="3" fillId="0" borderId="0" xfId="4"/>
    <xf numFmtId="0" fontId="71" fillId="0" borderId="0" xfId="0" quotePrefix="1" applyNumberFormat="1" applyFont="1" applyFill="1" applyBorder="1" applyAlignment="1">
      <alignment horizontal="right"/>
    </xf>
    <xf numFmtId="0" fontId="17" fillId="0" borderId="0" xfId="4" applyNumberFormat="1" applyFont="1" applyFill="1" applyAlignment="1" applyProtection="1">
      <alignment horizontal="centerContinuous"/>
      <protection locked="0"/>
    </xf>
    <xf numFmtId="0" fontId="17" fillId="0" borderId="0" xfId="4" applyNumberFormat="1" applyFont="1" applyFill="1" applyAlignment="1">
      <alignment horizontal="centerContinuous"/>
    </xf>
    <xf numFmtId="0" fontId="74" fillId="0" borderId="0" xfId="4" applyNumberFormat="1" applyFont="1" applyFill="1" applyAlignment="1">
      <alignment horizontal="centerContinuous"/>
    </xf>
    <xf numFmtId="0" fontId="71" fillId="0" borderId="0" xfId="0" applyNumberFormat="1" applyFont="1" applyFill="1" applyAlignment="1">
      <alignment horizontal="centerContinuous"/>
    </xf>
    <xf numFmtId="0" fontId="16" fillId="0" borderId="0" xfId="0" applyNumberFormat="1" applyFont="1" applyFill="1" applyAlignment="1">
      <alignment horizontal="centerContinuous"/>
    </xf>
    <xf numFmtId="0" fontId="16" fillId="0" borderId="0" xfId="0" applyNumberFormat="1" applyFont="1" applyFill="1" applyBorder="1" applyAlignment="1">
      <alignment horizontal="centerContinuous"/>
    </xf>
    <xf numFmtId="0" fontId="0" fillId="0" borderId="0" xfId="0" applyFill="1" applyAlignment="1">
      <alignment horizontal="centerContinuous" wrapText="1"/>
    </xf>
    <xf numFmtId="0" fontId="17" fillId="0" borderId="0" xfId="4" applyNumberFormat="1" applyFont="1" applyFill="1" applyAlignment="1"/>
    <xf numFmtId="0" fontId="17" fillId="0" borderId="0" xfId="4" applyNumberFormat="1" applyFont="1" applyFill="1" applyAlignment="1">
      <alignment horizontal="center"/>
    </xf>
    <xf numFmtId="0" fontId="17" fillId="0" borderId="1" xfId="4" applyNumberFormat="1" applyFont="1" applyFill="1" applyBorder="1" applyAlignment="1">
      <alignment horizontal="center"/>
    </xf>
    <xf numFmtId="0" fontId="17" fillId="0" borderId="1" xfId="4" applyNumberFormat="1" applyFont="1" applyFill="1" applyBorder="1" applyAlignment="1" applyProtection="1">
      <protection locked="0"/>
    </xf>
    <xf numFmtId="0" fontId="17" fillId="0" borderId="1" xfId="4" applyNumberFormat="1" applyFont="1" applyFill="1" applyBorder="1" applyAlignment="1"/>
    <xf numFmtId="0" fontId="17" fillId="0" borderId="1" xfId="4" applyNumberFormat="1" applyFont="1" applyFill="1" applyBorder="1" applyAlignment="1">
      <alignment horizontal="right"/>
    </xf>
    <xf numFmtId="0" fontId="16" fillId="0" borderId="0" xfId="4" applyNumberFormat="1" applyFont="1" applyFill="1" applyAlignment="1"/>
    <xf numFmtId="0" fontId="16" fillId="0" borderId="0" xfId="4" quotePrefix="1" applyNumberFormat="1" applyFont="1" applyFill="1" applyAlignment="1">
      <alignment horizontal="center"/>
    </xf>
    <xf numFmtId="0" fontId="16" fillId="0" borderId="0" xfId="4" applyNumberFormat="1" applyFont="1" applyFill="1" applyAlignment="1">
      <alignment horizontal="center"/>
    </xf>
    <xf numFmtId="0" fontId="16" fillId="0" borderId="0" xfId="4" applyNumberFormat="1" applyFont="1" applyFill="1" applyAlignment="1">
      <alignment horizontal="left"/>
    </xf>
    <xf numFmtId="172" fontId="16" fillId="0" borderId="0" xfId="4" applyNumberFormat="1" applyFont="1" applyFill="1" applyAlignment="1"/>
    <xf numFmtId="0" fontId="1" fillId="0" borderId="0" xfId="4" applyNumberFormat="1" applyFont="1" applyFill="1" applyAlignment="1"/>
    <xf numFmtId="173" fontId="16" fillId="0" borderId="0" xfId="4" applyNumberFormat="1" applyFont="1" applyFill="1" applyAlignment="1"/>
    <xf numFmtId="172" fontId="16" fillId="0" borderId="1" xfId="4" applyNumberFormat="1" applyFont="1" applyFill="1" applyBorder="1" applyAlignment="1"/>
    <xf numFmtId="172" fontId="16" fillId="0" borderId="0" xfId="4" applyNumberFormat="1" applyFont="1" applyFill="1" applyBorder="1" applyAlignment="1"/>
    <xf numFmtId="9" fontId="75" fillId="50" borderId="0" xfId="4" applyNumberFormat="1" applyFont="1" applyFill="1" applyAlignment="1"/>
    <xf numFmtId="172" fontId="75" fillId="50" borderId="22" xfId="4" applyNumberFormat="1" applyFont="1" applyFill="1" applyBorder="1" applyAlignment="1" applyProtection="1">
      <protection locked="0"/>
    </xf>
    <xf numFmtId="42" fontId="0" fillId="0" borderId="0" xfId="2" applyNumberFormat="1" applyFont="1"/>
    <xf numFmtId="37" fontId="12" fillId="0" borderId="0" xfId="0" applyNumberFormat="1" applyFont="1"/>
    <xf numFmtId="0" fontId="0" fillId="0" borderId="0" xfId="0" applyAlignment="1">
      <alignment horizontal="centerContinuous"/>
    </xf>
    <xf numFmtId="0" fontId="0" fillId="51" borderId="0" xfId="0" applyFill="1"/>
    <xf numFmtId="0" fontId="0" fillId="52" borderId="0" xfId="0" applyFill="1"/>
    <xf numFmtId="0" fontId="0" fillId="53" borderId="0" xfId="0" applyFill="1"/>
    <xf numFmtId="37" fontId="3" fillId="0" borderId="0" xfId="0" applyNumberFormat="1" applyFont="1" applyFill="1" applyBorder="1"/>
    <xf numFmtId="165" fontId="42" fillId="0" borderId="0" xfId="0" applyNumberFormat="1" applyFont="1" applyFill="1" applyBorder="1"/>
    <xf numFmtId="0" fontId="42" fillId="0" borderId="0" xfId="0" applyFont="1" applyFill="1"/>
    <xf numFmtId="42" fontId="42" fillId="0" borderId="0" xfId="0" applyNumberFormat="1" applyFont="1" applyFill="1" applyBorder="1"/>
    <xf numFmtId="0" fontId="11" fillId="15" borderId="94" xfId="0" applyFont="1" applyFill="1" applyBorder="1" applyAlignment="1">
      <alignment horizontal="center"/>
    </xf>
    <xf numFmtId="0" fontId="8" fillId="0" borderId="41" xfId="0" applyFont="1" applyFill="1" applyBorder="1" applyAlignment="1">
      <alignment horizontal="center"/>
    </xf>
    <xf numFmtId="164" fontId="8" fillId="0" borderId="95" xfId="2" applyNumberFormat="1" applyFont="1" applyFill="1" applyBorder="1"/>
    <xf numFmtId="0" fontId="8" fillId="0" borderId="47" xfId="0" applyFont="1" applyFill="1" applyBorder="1" applyAlignment="1">
      <alignment horizontal="center"/>
    </xf>
    <xf numFmtId="0" fontId="77" fillId="0" borderId="47" xfId="0" applyFont="1" applyBorder="1" applyAlignment="1">
      <alignment horizontal="left"/>
    </xf>
    <xf numFmtId="0" fontId="8" fillId="0" borderId="47" xfId="0" applyFont="1" applyFill="1" applyBorder="1"/>
    <xf numFmtId="0" fontId="8" fillId="0" borderId="47" xfId="0" applyNumberFormat="1" applyFont="1" applyFill="1" applyBorder="1" applyAlignment="1"/>
    <xf numFmtId="0" fontId="78" fillId="0" borderId="78" xfId="0" applyFont="1" applyFill="1" applyBorder="1" applyAlignment="1">
      <alignment horizontal="center"/>
    </xf>
    <xf numFmtId="0" fontId="78" fillId="0" borderId="47" xfId="0" applyNumberFormat="1" applyFont="1" applyFill="1" applyBorder="1" applyAlignment="1">
      <alignment horizontal="left"/>
    </xf>
    <xf numFmtId="0" fontId="78" fillId="0" borderId="47" xfId="0" applyFont="1" applyFill="1" applyBorder="1" applyAlignment="1">
      <alignment horizontal="center"/>
    </xf>
    <xf numFmtId="164" fontId="8" fillId="0" borderId="78" xfId="2" applyNumberFormat="1" applyFont="1" applyFill="1" applyBorder="1" applyAlignment="1">
      <alignment horizontal="center"/>
    </xf>
    <xf numFmtId="0" fontId="8" fillId="0" borderId="47" xfId="2" applyNumberFormat="1" applyFont="1" applyFill="1" applyBorder="1" applyAlignment="1"/>
    <xf numFmtId="0" fontId="8" fillId="0" borderId="47" xfId="2" applyNumberFormat="1" applyFont="1" applyFill="1" applyBorder="1" applyAlignment="1">
      <alignment horizontal="center"/>
    </xf>
    <xf numFmtId="0" fontId="79" fillId="0" borderId="78" xfId="0" applyFont="1" applyFill="1" applyBorder="1" applyAlignment="1">
      <alignment horizontal="center"/>
    </xf>
    <xf numFmtId="0" fontId="80" fillId="0" borderId="47" xfId="0" applyNumberFormat="1" applyFont="1" applyFill="1" applyBorder="1" applyAlignment="1"/>
    <xf numFmtId="0" fontId="80" fillId="0" borderId="47" xfId="0" applyFont="1" applyFill="1" applyBorder="1" applyAlignment="1">
      <alignment horizontal="center"/>
    </xf>
    <xf numFmtId="0" fontId="8" fillId="0" borderId="47" xfId="0" applyFont="1" applyFill="1" applyBorder="1" applyAlignment="1">
      <alignment horizontal="left"/>
    </xf>
    <xf numFmtId="0" fontId="8" fillId="0" borderId="47" xfId="2" applyNumberFormat="1" applyFont="1" applyFill="1" applyBorder="1" applyAlignment="1">
      <alignment horizontal="left"/>
    </xf>
    <xf numFmtId="0" fontId="77" fillId="0" borderId="47" xfId="0" applyFont="1" applyBorder="1"/>
    <xf numFmtId="0" fontId="78" fillId="0" borderId="47" xfId="0" applyNumberFormat="1" applyFont="1" applyFill="1" applyBorder="1" applyAlignment="1"/>
    <xf numFmtId="0" fontId="8" fillId="0" borderId="78" xfId="0" applyFont="1" applyFill="1" applyBorder="1" applyAlignment="1" applyProtection="1">
      <alignment horizontal="center"/>
      <protection locked="0"/>
    </xf>
    <xf numFmtId="0" fontId="8" fillId="0" borderId="47" xfId="0" applyNumberFormat="1" applyFont="1" applyFill="1" applyBorder="1" applyAlignment="1" applyProtection="1">
      <protection locked="0"/>
    </xf>
    <xf numFmtId="0" fontId="8" fillId="0" borderId="47" xfId="0" applyFont="1" applyFill="1" applyBorder="1" applyAlignment="1" applyProtection="1">
      <alignment horizontal="center"/>
      <protection locked="0"/>
    </xf>
    <xf numFmtId="0" fontId="8" fillId="0" borderId="78" xfId="0" applyFont="1" applyFill="1" applyBorder="1" applyAlignment="1" applyProtection="1">
      <alignment horizontal="center" vertical="top" wrapText="1"/>
      <protection locked="0"/>
    </xf>
    <xf numFmtId="0" fontId="8" fillId="0" borderId="47" xfId="0" applyNumberFormat="1" applyFont="1" applyFill="1" applyBorder="1" applyAlignment="1" applyProtection="1">
      <alignment vertical="top"/>
      <protection locked="0"/>
    </xf>
    <xf numFmtId="0" fontId="8" fillId="0" borderId="47" xfId="0" applyFont="1" applyFill="1" applyBorder="1" applyAlignment="1" applyProtection="1">
      <alignment horizontal="center" vertical="top"/>
      <protection locked="0"/>
    </xf>
    <xf numFmtId="164" fontId="8" fillId="0" borderId="95" xfId="2" applyNumberFormat="1" applyFont="1" applyFill="1" applyBorder="1" applyAlignment="1">
      <alignment vertical="top"/>
    </xf>
    <xf numFmtId="0" fontId="8" fillId="0" borderId="47" xfId="2" applyNumberFormat="1" applyFont="1" applyFill="1" applyBorder="1" applyAlignment="1" applyProtection="1">
      <protection locked="0"/>
    </xf>
    <xf numFmtId="0" fontId="8" fillId="0" borderId="47" xfId="2" applyNumberFormat="1" applyFont="1" applyFill="1" applyBorder="1" applyAlignment="1" applyProtection="1">
      <alignment horizontal="center"/>
      <protection locked="0"/>
    </xf>
    <xf numFmtId="0" fontId="11" fillId="0" borderId="78" xfId="0" applyFont="1" applyFill="1" applyBorder="1" applyAlignment="1" applyProtection="1">
      <alignment horizontal="center"/>
      <protection locked="0"/>
    </xf>
    <xf numFmtId="0" fontId="8" fillId="0" borderId="78" xfId="0" applyFont="1" applyFill="1" applyBorder="1"/>
    <xf numFmtId="0" fontId="11" fillId="0" borderId="47" xfId="0" applyFont="1" applyFill="1" applyBorder="1" applyAlignment="1">
      <alignment horizontal="right"/>
    </xf>
    <xf numFmtId="0" fontId="11" fillId="0" borderId="96" xfId="0" applyFont="1" applyFill="1" applyBorder="1"/>
    <xf numFmtId="0" fontId="11" fillId="0" borderId="80" xfId="0" applyFont="1" applyFill="1" applyBorder="1" applyAlignment="1">
      <alignment horizontal="center"/>
    </xf>
    <xf numFmtId="0" fontId="11" fillId="0" borderId="1" xfId="0" applyNumberFormat="1" applyFont="1" applyFill="1" applyBorder="1" applyAlignment="1"/>
    <xf numFmtId="0" fontId="11" fillId="0" borderId="1" xfId="0" applyFont="1" applyFill="1" applyBorder="1" applyAlignment="1">
      <alignment horizontal="center"/>
    </xf>
    <xf numFmtId="164" fontId="8" fillId="0" borderId="97" xfId="2" applyNumberFormat="1" applyFont="1" applyFill="1" applyBorder="1"/>
    <xf numFmtId="0" fontId="11" fillId="0" borderId="98" xfId="0" applyFont="1" applyFill="1" applyBorder="1" applyAlignment="1">
      <alignment horizontal="center"/>
    </xf>
    <xf numFmtId="0" fontId="11" fillId="0" borderId="22" xfId="0" applyFont="1" applyFill="1" applyBorder="1"/>
    <xf numFmtId="164" fontId="11" fillId="0" borderId="99" xfId="0" applyNumberFormat="1" applyFont="1" applyFill="1" applyBorder="1"/>
    <xf numFmtId="0" fontId="4" fillId="54" borderId="0" xfId="0" applyFont="1" applyFill="1"/>
    <xf numFmtId="43" fontId="0" fillId="0" borderId="0" xfId="1" applyFont="1"/>
    <xf numFmtId="44" fontId="0" fillId="0" borderId="0" xfId="0" applyNumberFormat="1"/>
    <xf numFmtId="164" fontId="8" fillId="54" borderId="78" xfId="2" applyNumberFormat="1" applyFont="1" applyFill="1" applyBorder="1" applyAlignment="1">
      <alignment horizontal="center"/>
    </xf>
    <xf numFmtId="0" fontId="8" fillId="54" borderId="47" xfId="2" applyNumberFormat="1" applyFont="1" applyFill="1" applyBorder="1" applyAlignment="1">
      <alignment horizontal="left"/>
    </xf>
    <xf numFmtId="0" fontId="8" fillId="54" borderId="47" xfId="0" applyFont="1" applyFill="1" applyBorder="1" applyAlignment="1">
      <alignment horizontal="center"/>
    </xf>
    <xf numFmtId="164" fontId="8" fillId="54" borderId="95" xfId="2" applyNumberFormat="1" applyFont="1" applyFill="1" applyBorder="1"/>
    <xf numFmtId="0" fontId="13" fillId="0" borderId="0" xfId="0" applyFont="1" applyFill="1"/>
    <xf numFmtId="0" fontId="3" fillId="0" borderId="0" xfId="0" applyFont="1" applyFill="1" applyAlignment="1">
      <alignment horizontal="center"/>
    </xf>
    <xf numFmtId="0" fontId="19" fillId="0" borderId="0" xfId="54"/>
    <xf numFmtId="0" fontId="19" fillId="0" borderId="0" xfId="54" applyAlignment="1">
      <alignment horizontal="center"/>
    </xf>
    <xf numFmtId="10" fontId="0" fillId="0" borderId="0" xfId="55" applyNumberFormat="1" applyFont="1"/>
    <xf numFmtId="0" fontId="30" fillId="0" borderId="0" xfId="54" applyFont="1" applyAlignment="1">
      <alignment horizontal="center"/>
    </xf>
    <xf numFmtId="164" fontId="0" fillId="4" borderId="59" xfId="56" applyNumberFormat="1" applyFont="1" applyFill="1" applyBorder="1" applyAlignment="1" applyProtection="1">
      <alignment horizontal="center"/>
    </xf>
    <xf numFmtId="164" fontId="0" fillId="4" borderId="60" xfId="56" applyNumberFormat="1" applyFont="1" applyFill="1" applyBorder="1" applyAlignment="1" applyProtection="1">
      <alignment horizontal="center"/>
    </xf>
    <xf numFmtId="0" fontId="19" fillId="0" borderId="0" xfId="54" applyProtection="1"/>
    <xf numFmtId="164" fontId="0" fillId="4" borderId="1" xfId="56" applyNumberFormat="1" applyFont="1" applyFill="1" applyBorder="1" applyAlignment="1" applyProtection="1">
      <alignment horizontal="center"/>
    </xf>
    <xf numFmtId="3" fontId="19" fillId="0" borderId="1" xfId="54" applyNumberFormat="1" applyBorder="1" applyProtection="1"/>
    <xf numFmtId="0" fontId="19" fillId="4" borderId="1" xfId="54" applyFill="1" applyBorder="1" applyAlignment="1">
      <alignment horizontal="center"/>
    </xf>
    <xf numFmtId="0" fontId="19" fillId="4" borderId="60" xfId="54" applyFill="1" applyBorder="1" applyAlignment="1">
      <alignment horizontal="left"/>
    </xf>
    <xf numFmtId="167" fontId="0" fillId="4" borderId="27" xfId="55" applyNumberFormat="1" applyFont="1" applyFill="1" applyBorder="1" applyAlignment="1" applyProtection="1">
      <alignment horizontal="center" vertical="center"/>
    </xf>
    <xf numFmtId="167" fontId="0" fillId="4" borderId="25" xfId="55" applyNumberFormat="1" applyFont="1" applyFill="1" applyBorder="1" applyAlignment="1" applyProtection="1">
      <alignment horizontal="center" vertical="center"/>
    </xf>
    <xf numFmtId="167" fontId="0" fillId="4" borderId="26" xfId="55" applyNumberFormat="1" applyFont="1" applyFill="1" applyBorder="1" applyAlignment="1" applyProtection="1">
      <alignment horizontal="center" vertical="center"/>
    </xf>
    <xf numFmtId="3" fontId="19" fillId="0" borderId="2" xfId="54" applyNumberFormat="1" applyBorder="1" applyAlignment="1" applyProtection="1">
      <alignment vertical="center"/>
    </xf>
    <xf numFmtId="42" fontId="19" fillId="0" borderId="100" xfId="54" applyNumberFormat="1" applyBorder="1" applyAlignment="1" applyProtection="1">
      <alignment horizontal="center"/>
    </xf>
    <xf numFmtId="42" fontId="19" fillId="0" borderId="93" xfId="54" applyNumberFormat="1" applyBorder="1" applyAlignment="1" applyProtection="1">
      <alignment horizontal="center"/>
    </xf>
    <xf numFmtId="42" fontId="19" fillId="0" borderId="0" xfId="54" applyNumberFormat="1" applyAlignment="1" applyProtection="1">
      <alignment horizontal="center"/>
    </xf>
    <xf numFmtId="0" fontId="19" fillId="0" borderId="1" xfId="54" applyBorder="1" applyProtection="1"/>
    <xf numFmtId="0" fontId="19" fillId="0" borderId="1" xfId="54" applyBorder="1"/>
    <xf numFmtId="0" fontId="30" fillId="0" borderId="0" xfId="54" applyFont="1" applyFill="1" applyAlignment="1">
      <alignment horizontal="center"/>
    </xf>
    <xf numFmtId="167" fontId="0" fillId="7" borderId="27" xfId="55" applyNumberFormat="1" applyFont="1" applyFill="1" applyBorder="1" applyAlignment="1" applyProtection="1">
      <alignment horizontal="center"/>
    </xf>
    <xf numFmtId="167" fontId="0" fillId="7" borderId="25" xfId="55" applyNumberFormat="1" applyFont="1" applyFill="1" applyBorder="1" applyAlignment="1" applyProtection="1">
      <alignment horizontal="center"/>
    </xf>
    <xf numFmtId="3" fontId="19" fillId="0" borderId="26" xfId="54" applyNumberFormat="1" applyBorder="1" applyProtection="1"/>
    <xf numFmtId="167" fontId="0" fillId="7" borderId="26" xfId="55" applyNumberFormat="1" applyFont="1" applyFill="1" applyBorder="1" applyAlignment="1" applyProtection="1">
      <alignment horizontal="center"/>
    </xf>
    <xf numFmtId="0" fontId="19" fillId="7" borderId="26" xfId="54" applyFill="1" applyBorder="1" applyAlignment="1">
      <alignment horizontal="center"/>
    </xf>
    <xf numFmtId="0" fontId="19" fillId="7" borderId="26" xfId="54" applyFill="1" applyBorder="1" applyAlignment="1">
      <alignment horizontal="left"/>
    </xf>
    <xf numFmtId="0" fontId="19" fillId="7" borderId="25" xfId="54" applyFill="1" applyBorder="1" applyAlignment="1">
      <alignment horizontal="left"/>
    </xf>
    <xf numFmtId="42" fontId="4" fillId="0" borderId="100" xfId="54" applyNumberFormat="1" applyFont="1" applyFill="1" applyBorder="1" applyAlignment="1" applyProtection="1">
      <alignment vertical="center"/>
    </xf>
    <xf numFmtId="42" fontId="4" fillId="0" borderId="93" xfId="54" applyNumberFormat="1" applyFont="1" applyFill="1" applyBorder="1" applyAlignment="1" applyProtection="1">
      <alignment vertical="center"/>
    </xf>
    <xf numFmtId="177" fontId="40" fillId="0" borderId="0" xfId="54" applyNumberFormat="1" applyFont="1" applyFill="1" applyBorder="1" applyAlignment="1" applyProtection="1">
      <alignment vertical="center"/>
    </xf>
    <xf numFmtId="42" fontId="4" fillId="0" borderId="0" xfId="54" applyNumberFormat="1" applyFont="1" applyFill="1" applyBorder="1" applyAlignment="1" applyProtection="1">
      <alignment vertical="center"/>
    </xf>
    <xf numFmtId="3" fontId="4" fillId="0" borderId="0" xfId="54" applyNumberFormat="1" applyFont="1" applyFill="1" applyBorder="1" applyAlignment="1" applyProtection="1">
      <alignment vertical="center"/>
    </xf>
    <xf numFmtId="175" fontId="4" fillId="0" borderId="0" xfId="54" applyNumberFormat="1" applyFont="1" applyFill="1" applyBorder="1" applyAlignment="1" applyProtection="1">
      <alignment vertical="center"/>
    </xf>
    <xf numFmtId="0" fontId="10" fillId="0" borderId="0" xfId="54" applyFont="1" applyFill="1" applyBorder="1" applyAlignment="1">
      <alignment vertical="center"/>
    </xf>
    <xf numFmtId="0" fontId="19" fillId="0" borderId="0" xfId="54" applyFill="1" applyBorder="1" applyAlignment="1">
      <alignment vertical="center"/>
    </xf>
    <xf numFmtId="42" fontId="41" fillId="12" borderId="59" xfId="54" applyNumberFormat="1" applyFont="1" applyFill="1" applyBorder="1" applyAlignment="1" applyProtection="1">
      <alignment vertical="center"/>
    </xf>
    <xf numFmtId="42" fontId="41" fillId="12" borderId="60" xfId="54" applyNumberFormat="1" applyFont="1" applyFill="1" applyBorder="1" applyAlignment="1" applyProtection="1">
      <alignment vertical="center"/>
    </xf>
    <xf numFmtId="0" fontId="19" fillId="0" borderId="0" xfId="54" applyBorder="1"/>
    <xf numFmtId="42" fontId="41" fillId="12" borderId="1" xfId="54" applyNumberFormat="1" applyFont="1" applyFill="1" applyBorder="1" applyAlignment="1" applyProtection="1">
      <alignment vertical="center"/>
    </xf>
    <xf numFmtId="3" fontId="41" fillId="12" borderId="1" xfId="54" applyNumberFormat="1" applyFont="1" applyFill="1" applyBorder="1" applyAlignment="1" applyProtection="1">
      <alignment vertical="center"/>
    </xf>
    <xf numFmtId="175" fontId="41" fillId="12" borderId="1" xfId="54" applyNumberFormat="1" applyFont="1" applyFill="1" applyBorder="1" applyAlignment="1" applyProtection="1">
      <alignment vertical="center"/>
    </xf>
    <xf numFmtId="0" fontId="39" fillId="12" borderId="1" xfId="54" applyFont="1" applyFill="1" applyBorder="1" applyAlignment="1">
      <alignment vertical="center"/>
    </xf>
    <xf numFmtId="0" fontId="39" fillId="12" borderId="60" xfId="54" applyFont="1" applyFill="1" applyBorder="1" applyAlignment="1">
      <alignment vertical="center"/>
    </xf>
    <xf numFmtId="0" fontId="19" fillId="0" borderId="0" xfId="54" applyBorder="1" applyAlignment="1">
      <alignment horizontal="center" vertical="center"/>
    </xf>
    <xf numFmtId="42" fontId="41" fillId="55" borderId="101" xfId="54" applyNumberFormat="1" applyFont="1" applyFill="1" applyBorder="1" applyAlignment="1" applyProtection="1">
      <alignment vertical="center"/>
    </xf>
    <xf numFmtId="42" fontId="41" fillId="55" borderId="102" xfId="54" applyNumberFormat="1" applyFont="1" applyFill="1" applyBorder="1" applyAlignment="1" applyProtection="1">
      <alignment vertical="center"/>
    </xf>
    <xf numFmtId="42" fontId="41" fillId="12" borderId="68" xfId="54" applyNumberFormat="1" applyFont="1" applyFill="1" applyBorder="1" applyAlignment="1" applyProtection="1">
      <alignment vertical="center"/>
    </xf>
    <xf numFmtId="42" fontId="41" fillId="12" borderId="2" xfId="54" applyNumberFormat="1" applyFont="1" applyFill="1" applyBorder="1" applyAlignment="1" applyProtection="1">
      <alignment vertical="center"/>
    </xf>
    <xf numFmtId="3" fontId="41" fillId="12" borderId="2" xfId="54" applyNumberFormat="1" applyFont="1" applyFill="1" applyBorder="1" applyAlignment="1" applyProtection="1">
      <alignment vertical="center"/>
    </xf>
    <xf numFmtId="176" fontId="41" fillId="12" borderId="2" xfId="54" applyNumberFormat="1" applyFont="1" applyFill="1" applyBorder="1"/>
    <xf numFmtId="0" fontId="39" fillId="12" borderId="2" xfId="54" applyFont="1" applyFill="1" applyBorder="1" applyAlignment="1">
      <alignment vertical="center"/>
    </xf>
    <xf numFmtId="0" fontId="39" fillId="12" borderId="68" xfId="54" applyFont="1" applyFill="1" applyBorder="1" applyAlignment="1">
      <alignment vertical="center"/>
    </xf>
    <xf numFmtId="0" fontId="39" fillId="12" borderId="93" xfId="54" applyFont="1" applyFill="1" applyBorder="1" applyAlignment="1">
      <alignment vertical="center"/>
    </xf>
    <xf numFmtId="42" fontId="18" fillId="0" borderId="100" xfId="54" applyNumberFormat="1" applyFont="1" applyBorder="1" applyProtection="1"/>
    <xf numFmtId="42" fontId="18" fillId="0" borderId="93" xfId="54" applyNumberFormat="1" applyFont="1" applyBorder="1" applyProtection="1"/>
    <xf numFmtId="42" fontId="18" fillId="0" borderId="1" xfId="54" applyNumberFormat="1" applyFont="1" applyBorder="1" applyProtection="1"/>
    <xf numFmtId="3" fontId="18" fillId="0" borderId="1" xfId="54" applyNumberFormat="1" applyFont="1" applyBorder="1" applyProtection="1"/>
    <xf numFmtId="0" fontId="19" fillId="0" borderId="0" xfId="54" applyBorder="1" applyAlignment="1">
      <alignment horizontal="center"/>
    </xf>
    <xf numFmtId="42" fontId="82" fillId="55" borderId="101" xfId="54" applyNumberFormat="1" applyFont="1" applyFill="1" applyBorder="1" applyProtection="1"/>
    <xf numFmtId="42" fontId="82" fillId="55" borderId="103" xfId="54" applyNumberFormat="1" applyFont="1" applyFill="1" applyBorder="1" applyProtection="1"/>
    <xf numFmtId="0" fontId="82" fillId="55" borderId="104" xfId="54" applyFont="1" applyFill="1" applyBorder="1"/>
    <xf numFmtId="42" fontId="82" fillId="55" borderId="104" xfId="54" applyNumberFormat="1" applyFont="1" applyFill="1" applyBorder="1" applyProtection="1"/>
    <xf numFmtId="3" fontId="82" fillId="55" borderId="104" xfId="54" applyNumberFormat="1" applyFont="1" applyFill="1" applyBorder="1" applyProtection="1"/>
    <xf numFmtId="175" fontId="41" fillId="55" borderId="104" xfId="54" applyNumberFormat="1" applyFont="1" applyFill="1" applyBorder="1" applyProtection="1"/>
    <xf numFmtId="0" fontId="82" fillId="55" borderId="102" xfId="54" applyFont="1" applyFill="1" applyBorder="1"/>
    <xf numFmtId="0" fontId="19" fillId="0" borderId="73" xfId="54" applyBorder="1"/>
    <xf numFmtId="42" fontId="23" fillId="0" borderId="100" xfId="54" applyNumberFormat="1" applyFont="1" applyFill="1" applyBorder="1" applyProtection="1"/>
    <xf numFmtId="42" fontId="23" fillId="0" borderId="93" xfId="54" applyNumberFormat="1" applyFont="1" applyFill="1" applyBorder="1" applyProtection="1"/>
    <xf numFmtId="164" fontId="23" fillId="0" borderId="8" xfId="56" applyNumberFormat="1" applyFont="1" applyFill="1" applyBorder="1" applyProtection="1"/>
    <xf numFmtId="42" fontId="23" fillId="0" borderId="0" xfId="54" applyNumberFormat="1" applyFont="1" applyFill="1" applyBorder="1" applyProtection="1"/>
    <xf numFmtId="3" fontId="23" fillId="0" borderId="0" xfId="54" applyNumberFormat="1" applyFont="1" applyFill="1" applyBorder="1" applyProtection="1"/>
    <xf numFmtId="0" fontId="4" fillId="0" borderId="0" xfId="54" applyFont="1" applyBorder="1"/>
    <xf numFmtId="0" fontId="19" fillId="0" borderId="74" xfId="54" applyBorder="1" applyAlignment="1">
      <alignment horizontal="center"/>
    </xf>
    <xf numFmtId="0" fontId="19" fillId="0" borderId="8" xfId="54" applyBorder="1"/>
    <xf numFmtId="42" fontId="23" fillId="0" borderId="27" xfId="54" applyNumberFormat="1" applyFont="1" applyFill="1" applyBorder="1" applyProtection="1"/>
    <xf numFmtId="42" fontId="23" fillId="0" borderId="25" xfId="54" applyNumberFormat="1" applyFont="1" applyFill="1" applyBorder="1" applyProtection="1"/>
    <xf numFmtId="164" fontId="23" fillId="0" borderId="44" xfId="56" applyNumberFormat="1" applyFont="1" applyFill="1" applyBorder="1" applyProtection="1"/>
    <xf numFmtId="42" fontId="23" fillId="0" borderId="26" xfId="54" applyNumberFormat="1" applyFont="1" applyFill="1" applyBorder="1" applyProtection="1"/>
    <xf numFmtId="3" fontId="23" fillId="0" borderId="26" xfId="54" applyNumberFormat="1" applyFont="1" applyFill="1" applyBorder="1" applyProtection="1"/>
    <xf numFmtId="0" fontId="4" fillId="0" borderId="25" xfId="54" applyFont="1" applyBorder="1"/>
    <xf numFmtId="0" fontId="4" fillId="0" borderId="23" xfId="54" applyFont="1" applyBorder="1"/>
    <xf numFmtId="0" fontId="4" fillId="0" borderId="27" xfId="54" applyFont="1" applyBorder="1"/>
    <xf numFmtId="0" fontId="19" fillId="0" borderId="26" xfId="54" applyBorder="1" applyAlignment="1">
      <alignment horizontal="center"/>
    </xf>
    <xf numFmtId="0" fontId="30" fillId="0" borderId="26" xfId="54" applyFont="1" applyBorder="1" applyAlignment="1">
      <alignment horizontal="center"/>
    </xf>
    <xf numFmtId="42" fontId="18" fillId="0" borderId="68" xfId="54" applyNumberFormat="1" applyFont="1" applyBorder="1" applyProtection="1"/>
    <xf numFmtId="42" fontId="18" fillId="0" borderId="92" xfId="54" applyNumberFormat="1" applyFont="1" applyBorder="1" applyProtection="1"/>
    <xf numFmtId="164" fontId="18" fillId="0" borderId="9" xfId="56" applyNumberFormat="1" applyFont="1" applyFill="1" applyBorder="1" applyProtection="1"/>
    <xf numFmtId="42" fontId="19" fillId="0" borderId="2" xfId="54" applyNumberFormat="1" applyFill="1" applyBorder="1" applyProtection="1"/>
    <xf numFmtId="3" fontId="18" fillId="0" borderId="2" xfId="54" applyNumberFormat="1" applyFont="1" applyBorder="1" applyProtection="1"/>
    <xf numFmtId="42" fontId="18" fillId="0" borderId="2" xfId="54" applyNumberFormat="1" applyFont="1" applyBorder="1" applyProtection="1"/>
    <xf numFmtId="0" fontId="19" fillId="0" borderId="27" xfId="54" applyBorder="1"/>
    <xf numFmtId="0" fontId="19" fillId="0" borderId="2" xfId="54" applyBorder="1"/>
    <xf numFmtId="0" fontId="19" fillId="0" borderId="25" xfId="54" applyBorder="1"/>
    <xf numFmtId="0" fontId="19" fillId="0" borderId="2" xfId="54" applyBorder="1" applyAlignment="1">
      <alignment horizontal="center"/>
    </xf>
    <xf numFmtId="0" fontId="30" fillId="0" borderId="50" xfId="54" applyFont="1" applyBorder="1" applyAlignment="1">
      <alignment horizontal="center"/>
    </xf>
    <xf numFmtId="42" fontId="18" fillId="0" borderId="54" xfId="54" applyNumberFormat="1" applyFont="1" applyBorder="1" applyProtection="1"/>
    <xf numFmtId="42" fontId="18" fillId="0" borderId="56" xfId="54" applyNumberFormat="1" applyFont="1" applyBorder="1" applyProtection="1"/>
    <xf numFmtId="164" fontId="18" fillId="0" borderId="58" xfId="56" applyNumberFormat="1" applyFont="1" applyFill="1" applyBorder="1" applyProtection="1"/>
    <xf numFmtId="42" fontId="19" fillId="0" borderId="57" xfId="54" applyNumberFormat="1" applyFill="1" applyBorder="1" applyProtection="1"/>
    <xf numFmtId="3" fontId="18" fillId="0" borderId="57" xfId="54" applyNumberFormat="1" applyFont="1" applyBorder="1" applyProtection="1"/>
    <xf numFmtId="42" fontId="18" fillId="0" borderId="57" xfId="54" applyNumberFormat="1" applyFont="1" applyBorder="1" applyProtection="1"/>
    <xf numFmtId="3" fontId="18" fillId="0" borderId="56" xfId="54" applyNumberFormat="1" applyFont="1" applyBorder="1" applyProtection="1"/>
    <xf numFmtId="0" fontId="19" fillId="0" borderId="54" xfId="54" applyBorder="1"/>
    <xf numFmtId="0" fontId="19" fillId="0" borderId="56" xfId="54" applyBorder="1"/>
    <xf numFmtId="0" fontId="19" fillId="0" borderId="55" xfId="54" applyBorder="1"/>
    <xf numFmtId="0" fontId="19" fillId="0" borderId="54" xfId="54" applyBorder="1" applyAlignment="1">
      <alignment horizontal="center"/>
    </xf>
    <xf numFmtId="0" fontId="30" fillId="0" borderId="66" xfId="54" applyFont="1" applyBorder="1" applyAlignment="1">
      <alignment horizontal="center"/>
    </xf>
    <xf numFmtId="3" fontId="24" fillId="11" borderId="27" xfId="54" applyNumberFormat="1" applyFont="1" applyFill="1" applyBorder="1" applyProtection="1"/>
    <xf numFmtId="3" fontId="24" fillId="11" borderId="25" xfId="54" applyNumberFormat="1" applyFont="1" applyFill="1" applyBorder="1" applyProtection="1"/>
    <xf numFmtId="3" fontId="24" fillId="11" borderId="44" xfId="54" applyNumberFormat="1" applyFont="1" applyFill="1" applyBorder="1" applyProtection="1"/>
    <xf numFmtId="3" fontId="24" fillId="11" borderId="26" xfId="54" applyNumberFormat="1" applyFont="1" applyFill="1" applyBorder="1" applyProtection="1"/>
    <xf numFmtId="0" fontId="21" fillId="11" borderId="26" xfId="54" applyFont="1" applyFill="1" applyBorder="1"/>
    <xf numFmtId="0" fontId="43" fillId="11" borderId="26" xfId="54" applyFont="1" applyFill="1" applyBorder="1"/>
    <xf numFmtId="3" fontId="21" fillId="11" borderId="26" xfId="54" applyNumberFormat="1" applyFont="1" applyFill="1" applyBorder="1" applyAlignment="1">
      <alignment horizontal="center"/>
    </xf>
    <xf numFmtId="3" fontId="22" fillId="11" borderId="26" xfId="54" applyNumberFormat="1" applyFont="1" applyFill="1" applyBorder="1" applyAlignment="1">
      <alignment horizontal="center"/>
    </xf>
    <xf numFmtId="42" fontId="18" fillId="0" borderId="59" xfId="54" applyNumberFormat="1" applyFont="1" applyBorder="1" applyProtection="1"/>
    <xf numFmtId="42" fontId="18" fillId="0" borderId="60" xfId="54" applyNumberFormat="1" applyFont="1" applyBorder="1" applyProtection="1"/>
    <xf numFmtId="42" fontId="18" fillId="0" borderId="10" xfId="54" applyNumberFormat="1" applyFont="1" applyBorder="1" applyProtection="1"/>
    <xf numFmtId="175" fontId="23" fillId="0" borderId="1" xfId="54" applyNumberFormat="1" applyFont="1" applyBorder="1" applyProtection="1"/>
    <xf numFmtId="0" fontId="19" fillId="0" borderId="1" xfId="54" applyBorder="1" applyAlignment="1">
      <alignment horizontal="center"/>
    </xf>
    <xf numFmtId="0" fontId="30" fillId="0" borderId="1" xfId="54" applyFont="1" applyBorder="1" applyAlignment="1">
      <alignment horizontal="center"/>
    </xf>
    <xf numFmtId="42" fontId="23" fillId="7" borderId="59" xfId="54" applyNumberFormat="1" applyFont="1" applyFill="1" applyBorder="1" applyProtection="1"/>
    <xf numFmtId="42" fontId="23" fillId="7" borderId="60" xfId="54" applyNumberFormat="1" applyFont="1" applyFill="1" applyBorder="1" applyProtection="1"/>
    <xf numFmtId="42" fontId="23" fillId="2" borderId="10" xfId="54" applyNumberFormat="1" applyFont="1" applyFill="1" applyBorder="1" applyProtection="1"/>
    <xf numFmtId="42" fontId="23" fillId="7" borderId="1" xfId="54" applyNumberFormat="1" applyFont="1" applyFill="1" applyBorder="1" applyProtection="1"/>
    <xf numFmtId="3" fontId="23" fillId="2" borderId="1" xfId="54" applyNumberFormat="1" applyFont="1" applyFill="1" applyBorder="1" applyProtection="1"/>
    <xf numFmtId="0" fontId="10" fillId="2" borderId="1" xfId="54" applyFont="1" applyFill="1" applyBorder="1" applyAlignment="1">
      <alignment horizontal="right"/>
    </xf>
    <xf numFmtId="0" fontId="10" fillId="2" borderId="1" xfId="54" applyFont="1" applyFill="1" applyBorder="1" applyAlignment="1">
      <alignment horizontal="left"/>
    </xf>
    <xf numFmtId="0" fontId="20" fillId="2" borderId="1" xfId="54" applyFont="1" applyFill="1" applyBorder="1" applyAlignment="1">
      <alignment horizontal="center"/>
    </xf>
    <xf numFmtId="42" fontId="18" fillId="0" borderId="44" xfId="54" applyNumberFormat="1" applyFont="1" applyBorder="1" applyProtection="1"/>
    <xf numFmtId="37" fontId="23" fillId="0" borderId="26" xfId="54" applyNumberFormat="1" applyFont="1" applyFill="1" applyBorder="1" applyProtection="1"/>
    <xf numFmtId="0" fontId="4" fillId="0" borderId="26" xfId="54" applyFont="1" applyBorder="1"/>
    <xf numFmtId="42" fontId="19" fillId="4" borderId="63" xfId="54" applyNumberFormat="1" applyFont="1" applyFill="1" applyBorder="1" applyProtection="1"/>
    <xf numFmtId="42" fontId="19" fillId="4" borderId="65" xfId="54" applyNumberFormat="1" applyFont="1" applyFill="1" applyBorder="1" applyProtection="1"/>
    <xf numFmtId="164" fontId="18" fillId="0" borderId="42" xfId="56" applyNumberFormat="1" applyFont="1" applyFill="1" applyBorder="1" applyProtection="1"/>
    <xf numFmtId="42" fontId="19" fillId="4" borderId="41" xfId="54" applyNumberFormat="1" applyFont="1" applyFill="1" applyBorder="1" applyProtection="1"/>
    <xf numFmtId="3" fontId="19" fillId="0" borderId="34" xfId="54" applyNumberFormat="1" applyFont="1" applyBorder="1" applyProtection="1"/>
    <xf numFmtId="42" fontId="19" fillId="4" borderId="34" xfId="54" applyNumberFormat="1" applyFont="1" applyFill="1" applyBorder="1" applyProtection="1"/>
    <xf numFmtId="3" fontId="18" fillId="0" borderId="65" xfId="54" applyNumberFormat="1" applyFont="1" applyBorder="1" applyProtection="1"/>
    <xf numFmtId="0" fontId="19" fillId="0" borderId="63" xfId="54" applyFill="1" applyBorder="1"/>
    <xf numFmtId="0" fontId="19" fillId="0" borderId="65" xfId="54" applyFill="1" applyBorder="1"/>
    <xf numFmtId="0" fontId="19" fillId="0" borderId="64" xfId="54" applyFill="1" applyBorder="1"/>
    <xf numFmtId="0" fontId="19" fillId="0" borderId="63" xfId="54" applyBorder="1" applyAlignment="1">
      <alignment horizontal="center"/>
    </xf>
    <xf numFmtId="0" fontId="30" fillId="0" borderId="45" xfId="54" applyFont="1" applyBorder="1" applyAlignment="1">
      <alignment horizontal="center"/>
    </xf>
    <xf numFmtId="42" fontId="19" fillId="4" borderId="45" xfId="54" applyNumberFormat="1" applyFont="1" applyFill="1" applyBorder="1" applyProtection="1"/>
    <xf numFmtId="42" fontId="19" fillId="4" borderId="46" xfId="54" applyNumberFormat="1" applyFont="1" applyFill="1" applyBorder="1" applyProtection="1"/>
    <xf numFmtId="3" fontId="19" fillId="0" borderId="47" xfId="54" applyNumberFormat="1" applyFont="1" applyBorder="1" applyProtection="1"/>
    <xf numFmtId="42" fontId="19" fillId="4" borderId="47" xfId="54" applyNumberFormat="1" applyFont="1" applyFill="1" applyBorder="1" applyProtection="1"/>
    <xf numFmtId="3" fontId="18" fillId="0" borderId="46" xfId="54" applyNumberFormat="1" applyFont="1" applyBorder="1" applyProtection="1"/>
    <xf numFmtId="0" fontId="19" fillId="0" borderId="49" xfId="54" applyFill="1" applyBorder="1"/>
    <xf numFmtId="0" fontId="19" fillId="0" borderId="45" xfId="54" applyBorder="1" applyAlignment="1">
      <alignment horizontal="center"/>
    </xf>
    <xf numFmtId="0" fontId="30" fillId="0" borderId="39" xfId="54" applyFont="1" applyBorder="1" applyAlignment="1">
      <alignment horizontal="center"/>
    </xf>
    <xf numFmtId="42" fontId="19" fillId="0" borderId="63" xfId="54" applyNumberFormat="1" applyFont="1" applyFill="1" applyBorder="1" applyProtection="1"/>
    <xf numFmtId="42" fontId="19" fillId="0" borderId="65" xfId="54" applyNumberFormat="1" applyFont="1" applyFill="1" applyBorder="1" applyProtection="1"/>
    <xf numFmtId="42" fontId="19" fillId="0" borderId="47" xfId="54" applyNumberFormat="1" applyFont="1" applyFill="1" applyBorder="1" applyProtection="1"/>
    <xf numFmtId="3" fontId="19" fillId="0" borderId="47" xfId="54" applyNumberFormat="1" applyFont="1" applyFill="1" applyBorder="1" applyProtection="1"/>
    <xf numFmtId="42" fontId="19" fillId="0" borderId="34" xfId="54" applyNumberFormat="1" applyFont="1" applyFill="1" applyBorder="1" applyProtection="1"/>
    <xf numFmtId="3" fontId="34" fillId="0" borderId="46" xfId="54" applyNumberFormat="1" applyFont="1" applyBorder="1" applyProtection="1"/>
    <xf numFmtId="42" fontId="19" fillId="0" borderId="45" xfId="54" applyNumberFormat="1" applyFont="1" applyFill="1" applyBorder="1" applyProtection="1"/>
    <xf numFmtId="42" fontId="19" fillId="0" borderId="46" xfId="54" applyNumberFormat="1" applyFont="1" applyFill="1" applyBorder="1" applyProtection="1"/>
    <xf numFmtId="42" fontId="19" fillId="0" borderId="41" xfId="54" applyNumberFormat="1" applyFont="1" applyFill="1" applyBorder="1" applyProtection="1"/>
    <xf numFmtId="42" fontId="19" fillId="0" borderId="39" xfId="54" applyNumberFormat="1" applyFont="1" applyFill="1" applyBorder="1" applyProtection="1"/>
    <xf numFmtId="42" fontId="19" fillId="0" borderId="40" xfId="54" applyNumberFormat="1" applyFont="1" applyFill="1" applyBorder="1" applyProtection="1"/>
    <xf numFmtId="3" fontId="19" fillId="0" borderId="41" xfId="54" applyNumberFormat="1" applyFont="1" applyFill="1" applyBorder="1" applyProtection="1"/>
    <xf numFmtId="3" fontId="18" fillId="0" borderId="40" xfId="54" applyNumberFormat="1" applyFont="1" applyBorder="1" applyProtection="1"/>
    <xf numFmtId="0" fontId="19" fillId="0" borderId="62" xfId="54" applyFill="1" applyBorder="1"/>
    <xf numFmtId="0" fontId="19" fillId="0" borderId="39" xfId="54" applyBorder="1" applyAlignment="1">
      <alignment horizontal="center"/>
    </xf>
    <xf numFmtId="3" fontId="24" fillId="10" borderId="27" xfId="54" applyNumberFormat="1" applyFont="1" applyFill="1" applyBorder="1" applyProtection="1"/>
    <xf numFmtId="3" fontId="24" fillId="10" borderId="25" xfId="54" applyNumberFormat="1" applyFont="1" applyFill="1" applyBorder="1" applyProtection="1"/>
    <xf numFmtId="3" fontId="24" fillId="10" borderId="44" xfId="54" applyNumberFormat="1" applyFont="1" applyFill="1" applyBorder="1" applyProtection="1"/>
    <xf numFmtId="3" fontId="24" fillId="10" borderId="26" xfId="54" applyNumberFormat="1" applyFont="1" applyFill="1" applyBorder="1" applyProtection="1"/>
    <xf numFmtId="0" fontId="29" fillId="10" borderId="26" xfId="54" applyFont="1" applyFill="1" applyBorder="1"/>
    <xf numFmtId="0" fontId="21" fillId="10" borderId="26" xfId="54" applyFont="1" applyFill="1" applyBorder="1" applyAlignment="1">
      <alignment horizontal="center"/>
    </xf>
    <xf numFmtId="0" fontId="22" fillId="10" borderId="50" xfId="54" applyFont="1" applyFill="1" applyBorder="1" applyAlignment="1">
      <alignment horizontal="center"/>
    </xf>
    <xf numFmtId="42" fontId="18" fillId="0" borderId="0" xfId="54" applyNumberFormat="1" applyFont="1" applyBorder="1" applyProtection="1"/>
    <xf numFmtId="3" fontId="18" fillId="0" borderId="0" xfId="54" applyNumberFormat="1" applyFont="1" applyBorder="1" applyProtection="1"/>
    <xf numFmtId="0" fontId="3" fillId="0" borderId="0" xfId="54" applyFont="1" applyBorder="1"/>
    <xf numFmtId="0" fontId="30" fillId="0" borderId="0" xfId="54" applyFont="1" applyBorder="1" applyAlignment="1">
      <alignment horizontal="center"/>
    </xf>
    <xf numFmtId="42" fontId="23" fillId="7" borderId="27" xfId="54" applyNumberFormat="1" applyFont="1" applyFill="1" applyBorder="1" applyProtection="1"/>
    <xf numFmtId="42" fontId="23" fillId="7" borderId="25" xfId="54" applyNumberFormat="1" applyFont="1" applyFill="1" applyBorder="1" applyProtection="1"/>
    <xf numFmtId="164" fontId="47" fillId="0" borderId="9" xfId="56" applyNumberFormat="1" applyFont="1" applyFill="1" applyBorder="1" applyProtection="1"/>
    <xf numFmtId="42" fontId="23" fillId="7" borderId="26" xfId="54" applyNumberFormat="1" applyFont="1" applyFill="1" applyBorder="1" applyProtection="1"/>
    <xf numFmtId="0" fontId="36" fillId="0" borderId="0" xfId="54" applyFont="1"/>
    <xf numFmtId="167" fontId="36" fillId="0" borderId="0" xfId="55" applyNumberFormat="1" applyFont="1"/>
    <xf numFmtId="164" fontId="0" fillId="0" borderId="43" xfId="56" applyNumberFormat="1" applyFont="1" applyFill="1" applyBorder="1" applyProtection="1"/>
    <xf numFmtId="37" fontId="36" fillId="0" borderId="46" xfId="54" applyNumberFormat="1" applyFont="1" applyFill="1" applyBorder="1" applyProtection="1"/>
    <xf numFmtId="0" fontId="19" fillId="0" borderId="49" xfId="54" applyFont="1" applyFill="1" applyBorder="1"/>
    <xf numFmtId="0" fontId="36" fillId="0" borderId="49" xfId="54" applyFont="1" applyBorder="1"/>
    <xf numFmtId="0" fontId="36" fillId="0" borderId="47" xfId="54" applyFont="1" applyBorder="1" applyAlignment="1">
      <alignment horizontal="center"/>
    </xf>
    <xf numFmtId="0" fontId="30" fillId="0" borderId="48" xfId="54" applyFont="1" applyBorder="1" applyAlignment="1">
      <alignment horizontal="center"/>
    </xf>
    <xf numFmtId="0" fontId="36" fillId="0" borderId="8" xfId="54" applyFont="1" applyBorder="1"/>
    <xf numFmtId="0" fontId="36" fillId="0" borderId="45" xfId="54" applyFont="1" applyFill="1" applyBorder="1"/>
    <xf numFmtId="0" fontId="36" fillId="0" borderId="47" xfId="54" applyFont="1" applyBorder="1"/>
    <xf numFmtId="0" fontId="19" fillId="0" borderId="46" xfId="54" applyFont="1" applyFill="1" applyBorder="1"/>
    <xf numFmtId="0" fontId="37" fillId="0" borderId="0" xfId="54" applyFont="1"/>
    <xf numFmtId="167" fontId="37" fillId="0" borderId="0" xfId="55" applyNumberFormat="1" applyFont="1"/>
    <xf numFmtId="3" fontId="37" fillId="0" borderId="46" xfId="54" applyNumberFormat="1" applyFont="1" applyFill="1" applyBorder="1" applyProtection="1"/>
    <xf numFmtId="0" fontId="37" fillId="0" borderId="49" xfId="54" applyFont="1" applyFill="1" applyBorder="1"/>
    <xf numFmtId="0" fontId="37" fillId="0" borderId="47" xfId="54" applyFont="1" applyBorder="1" applyAlignment="1">
      <alignment horizontal="center"/>
    </xf>
    <xf numFmtId="0" fontId="37" fillId="0" borderId="8" xfId="54" applyFont="1" applyBorder="1"/>
    <xf numFmtId="42" fontId="41" fillId="55" borderId="24" xfId="54" applyNumberFormat="1" applyFont="1" applyFill="1" applyBorder="1" applyProtection="1"/>
    <xf numFmtId="0" fontId="37" fillId="0" borderId="49" xfId="54" applyFont="1" applyBorder="1"/>
    <xf numFmtId="0" fontId="19" fillId="0" borderId="0" xfId="54" applyFont="1"/>
    <xf numFmtId="167" fontId="0" fillId="0" borderId="0" xfId="55" applyNumberFormat="1" applyFont="1"/>
    <xf numFmtId="3" fontId="19" fillId="0" borderId="46" xfId="54" applyNumberFormat="1" applyFont="1" applyFill="1" applyBorder="1" applyProtection="1"/>
    <xf numFmtId="0" fontId="19" fillId="0" borderId="47" xfId="54" applyFont="1" applyBorder="1" applyAlignment="1">
      <alignment horizontal="center"/>
    </xf>
    <xf numFmtId="0" fontId="19" fillId="0" borderId="8" xfId="54" applyFont="1" applyBorder="1"/>
    <xf numFmtId="0" fontId="36" fillId="0" borderId="49" xfId="54" applyFont="1" applyFill="1" applyBorder="1"/>
    <xf numFmtId="0" fontId="37" fillId="0" borderId="46" xfId="54" applyFont="1" applyBorder="1"/>
    <xf numFmtId="42" fontId="19" fillId="0" borderId="100" xfId="54" applyNumberFormat="1" applyFont="1" applyFill="1" applyBorder="1" applyProtection="1"/>
    <xf numFmtId="42" fontId="19" fillId="0" borderId="93" xfId="54" applyNumberFormat="1" applyFont="1" applyFill="1" applyBorder="1" applyProtection="1"/>
    <xf numFmtId="42" fontId="19" fillId="0" borderId="0" xfId="54" applyNumberFormat="1" applyFont="1" applyFill="1" applyBorder="1" applyProtection="1"/>
    <xf numFmtId="3" fontId="19" fillId="0" borderId="0" xfId="54" applyNumberFormat="1" applyFont="1" applyFill="1" applyBorder="1" applyProtection="1"/>
    <xf numFmtId="0" fontId="19" fillId="0" borderId="45" xfId="54" applyFont="1" applyFill="1" applyBorder="1"/>
    <xf numFmtId="0" fontId="19" fillId="0" borderId="0" xfId="54" applyFont="1" applyFill="1" applyBorder="1"/>
    <xf numFmtId="0" fontId="19" fillId="0" borderId="0" xfId="54" applyFont="1" applyFill="1"/>
    <xf numFmtId="0" fontId="19" fillId="0" borderId="49" xfId="54" applyFont="1" applyBorder="1" applyAlignment="1">
      <alignment horizontal="center"/>
    </xf>
    <xf numFmtId="0" fontId="19" fillId="0" borderId="62" xfId="54" applyFont="1" applyFill="1" applyBorder="1"/>
    <xf numFmtId="0" fontId="19" fillId="0" borderId="46" xfId="54" applyFont="1" applyBorder="1" applyAlignment="1">
      <alignment horizontal="center"/>
    </xf>
    <xf numFmtId="0" fontId="30" fillId="0" borderId="51" xfId="54" applyFont="1" applyBorder="1" applyAlignment="1">
      <alignment horizontal="center"/>
    </xf>
    <xf numFmtId="0" fontId="38" fillId="0" borderId="45" xfId="54" applyFont="1" applyFill="1" applyBorder="1"/>
    <xf numFmtId="0" fontId="19" fillId="0" borderId="47" xfId="54" applyFont="1" applyFill="1" applyBorder="1"/>
    <xf numFmtId="0" fontId="19" fillId="0" borderId="46" xfId="54" applyFill="1" applyBorder="1"/>
    <xf numFmtId="3" fontId="29" fillId="9" borderId="68" xfId="54" applyNumberFormat="1" applyFont="1" applyFill="1" applyBorder="1" applyProtection="1"/>
    <xf numFmtId="3" fontId="29" fillId="9" borderId="92" xfId="54" applyNumberFormat="1" applyFont="1" applyFill="1" applyBorder="1" applyProtection="1"/>
    <xf numFmtId="3" fontId="29" fillId="9" borderId="58" xfId="54" applyNumberFormat="1" applyFont="1" applyFill="1" applyBorder="1" applyProtection="1"/>
    <xf numFmtId="3" fontId="29" fillId="9" borderId="2" xfId="54" applyNumberFormat="1" applyFont="1" applyFill="1" applyBorder="1" applyProtection="1"/>
    <xf numFmtId="0" fontId="29" fillId="9" borderId="2" xfId="54" applyFont="1" applyFill="1" applyBorder="1"/>
    <xf numFmtId="3" fontId="29" fillId="9" borderId="2" xfId="54" applyNumberFormat="1" applyFont="1" applyFill="1" applyBorder="1" applyAlignment="1">
      <alignment horizontal="center"/>
    </xf>
    <xf numFmtId="3" fontId="35" fillId="9" borderId="2" xfId="54" applyNumberFormat="1" applyFont="1" applyFill="1" applyBorder="1" applyAlignment="1">
      <alignment horizontal="center"/>
    </xf>
    <xf numFmtId="42" fontId="18" fillId="0" borderId="8" xfId="54" applyNumberFormat="1" applyFont="1" applyBorder="1" applyProtection="1"/>
    <xf numFmtId="175" fontId="23" fillId="0" borderId="0" xfId="56" applyNumberFormat="1" applyFont="1" applyFill="1" applyBorder="1" applyProtection="1"/>
    <xf numFmtId="165" fontId="23" fillId="0" borderId="26" xfId="57" applyNumberFormat="1" applyFont="1" applyFill="1" applyBorder="1" applyProtection="1"/>
    <xf numFmtId="164" fontId="18" fillId="0" borderId="10" xfId="56" applyNumberFormat="1" applyFont="1" applyFill="1" applyBorder="1" applyProtection="1"/>
    <xf numFmtId="42" fontId="34" fillId="0" borderId="1" xfId="54" applyNumberFormat="1" applyFont="1" applyBorder="1" applyProtection="1"/>
    <xf numFmtId="165" fontId="18" fillId="0" borderId="1" xfId="57" applyNumberFormat="1" applyFont="1" applyBorder="1" applyProtection="1"/>
    <xf numFmtId="0" fontId="19" fillId="0" borderId="59" xfId="54" applyFill="1" applyBorder="1"/>
    <xf numFmtId="0" fontId="19" fillId="0" borderId="1" xfId="54" applyFill="1" applyBorder="1"/>
    <xf numFmtId="0" fontId="19" fillId="0" borderId="60" xfId="54" applyFill="1" applyBorder="1"/>
    <xf numFmtId="0" fontId="19" fillId="0" borderId="59" xfId="54" applyBorder="1" applyAlignment="1">
      <alignment horizontal="center"/>
    </xf>
    <xf numFmtId="0" fontId="30" fillId="0" borderId="59" xfId="54" applyFont="1" applyBorder="1" applyAlignment="1">
      <alignment horizontal="center"/>
    </xf>
    <xf numFmtId="164" fontId="18" fillId="0" borderId="45" xfId="56" applyNumberFormat="1" applyFont="1" applyBorder="1" applyProtection="1"/>
    <xf numFmtId="164" fontId="18" fillId="0" borderId="46" xfId="56" applyNumberFormat="1" applyFont="1" applyBorder="1" applyProtection="1"/>
    <xf numFmtId="164" fontId="18" fillId="0" borderId="43" xfId="56" applyNumberFormat="1" applyFont="1" applyFill="1" applyBorder="1" applyProtection="1"/>
    <xf numFmtId="42" fontId="18" fillId="0" borderId="47" xfId="54" applyNumberFormat="1" applyFont="1" applyBorder="1" applyProtection="1"/>
    <xf numFmtId="165" fontId="18" fillId="0" borderId="47" xfId="57" applyNumberFormat="1" applyFont="1" applyBorder="1" applyProtection="1"/>
    <xf numFmtId="164" fontId="18" fillId="0" borderId="47" xfId="56" applyNumberFormat="1" applyFont="1" applyBorder="1" applyProtection="1"/>
    <xf numFmtId="0" fontId="19" fillId="0" borderId="45" xfId="54" applyFill="1" applyBorder="1"/>
    <xf numFmtId="0" fontId="19" fillId="0" borderId="47" xfId="54" applyFill="1" applyBorder="1"/>
    <xf numFmtId="0" fontId="19" fillId="0" borderId="46" xfId="54" applyBorder="1"/>
    <xf numFmtId="164" fontId="18" fillId="0" borderId="54" xfId="56" applyNumberFormat="1" applyFont="1" applyBorder="1" applyProtection="1"/>
    <xf numFmtId="164" fontId="18" fillId="0" borderId="56" xfId="56" applyNumberFormat="1" applyFont="1" applyBorder="1" applyProtection="1"/>
    <xf numFmtId="42" fontId="34" fillId="0" borderId="57" xfId="54" applyNumberFormat="1" applyFont="1" applyBorder="1" applyProtection="1"/>
    <xf numFmtId="165" fontId="18" fillId="0" borderId="57" xfId="57" applyNumberFormat="1" applyFont="1" applyBorder="1" applyProtection="1"/>
    <xf numFmtId="164" fontId="18" fillId="0" borderId="57" xfId="56" applyNumberFormat="1" applyFont="1" applyBorder="1" applyProtection="1"/>
    <xf numFmtId="165" fontId="18" fillId="0" borderId="56" xfId="57" applyNumberFormat="1" applyFont="1" applyBorder="1" applyProtection="1"/>
    <xf numFmtId="0" fontId="19" fillId="0" borderId="55" xfId="54" applyFill="1" applyBorder="1"/>
    <xf numFmtId="0" fontId="30" fillId="0" borderId="54" xfId="54" applyFont="1" applyBorder="1" applyAlignment="1">
      <alignment horizontal="center"/>
    </xf>
    <xf numFmtId="3" fontId="24" fillId="8" borderId="27" xfId="54" applyNumberFormat="1" applyFont="1" applyFill="1" applyBorder="1" applyProtection="1"/>
    <xf numFmtId="3" fontId="24" fillId="8" borderId="25" xfId="54" applyNumberFormat="1" applyFont="1" applyFill="1" applyBorder="1" applyProtection="1"/>
    <xf numFmtId="3" fontId="24" fillId="8" borderId="44" xfId="54" applyNumberFormat="1" applyFont="1" applyFill="1" applyBorder="1" applyProtection="1"/>
    <xf numFmtId="3" fontId="24" fillId="8" borderId="26" xfId="54" applyNumberFormat="1" applyFont="1" applyFill="1" applyBorder="1" applyProtection="1"/>
    <xf numFmtId="0" fontId="21" fillId="8" borderId="26" xfId="54" applyFont="1" applyFill="1" applyBorder="1"/>
    <xf numFmtId="0" fontId="21" fillId="8" borderId="26" xfId="54" applyFont="1" applyFill="1" applyBorder="1" applyAlignment="1">
      <alignment horizontal="center"/>
    </xf>
    <xf numFmtId="0" fontId="22" fillId="8" borderId="26" xfId="54" applyFont="1" applyFill="1" applyBorder="1" applyAlignment="1">
      <alignment horizontal="center"/>
    </xf>
    <xf numFmtId="42" fontId="33" fillId="0" borderId="100" xfId="54" applyNumberFormat="1" applyFont="1" applyBorder="1" applyProtection="1"/>
    <xf numFmtId="42" fontId="33" fillId="0" borderId="93" xfId="54" applyNumberFormat="1" applyFont="1" applyBorder="1" applyProtection="1"/>
    <xf numFmtId="42" fontId="18" fillId="0" borderId="8" xfId="54" applyNumberFormat="1" applyFont="1" applyFill="1" applyBorder="1" applyProtection="1"/>
    <xf numFmtId="42" fontId="33" fillId="0" borderId="0" xfId="54" applyNumberFormat="1" applyFont="1" applyBorder="1" applyProtection="1"/>
    <xf numFmtId="3" fontId="33" fillId="0" borderId="0" xfId="54" applyNumberFormat="1" applyFont="1" applyBorder="1" applyProtection="1"/>
    <xf numFmtId="0" fontId="33" fillId="0" borderId="0" xfId="54" applyFont="1" applyBorder="1"/>
    <xf numFmtId="164" fontId="18" fillId="0" borderId="59" xfId="56" applyNumberFormat="1" applyFont="1" applyBorder="1" applyProtection="1"/>
    <xf numFmtId="164" fontId="18" fillId="0" borderId="60" xfId="56" applyNumberFormat="1" applyFont="1" applyBorder="1" applyProtection="1"/>
    <xf numFmtId="164" fontId="18" fillId="0" borderId="1" xfId="56" applyNumberFormat="1" applyFont="1" applyBorder="1" applyProtection="1"/>
    <xf numFmtId="165" fontId="18" fillId="0" borderId="61" xfId="57" applyNumberFormat="1" applyFont="1" applyBorder="1" applyProtection="1"/>
    <xf numFmtId="0" fontId="19" fillId="0" borderId="60" xfId="54" applyBorder="1"/>
    <xf numFmtId="164" fontId="41" fillId="55" borderId="24" xfId="56" applyNumberFormat="1" applyFont="1" applyFill="1" applyBorder="1" applyProtection="1"/>
    <xf numFmtId="165" fontId="18" fillId="0" borderId="56" xfId="57" applyNumberFormat="1" applyFont="1" applyFill="1" applyBorder="1" applyProtection="1"/>
    <xf numFmtId="3" fontId="24" fillId="6" borderId="27" xfId="54" applyNumberFormat="1" applyFont="1" applyFill="1" applyBorder="1" applyProtection="1"/>
    <xf numFmtId="3" fontId="24" fillId="6" borderId="92" xfId="54" applyNumberFormat="1" applyFont="1" applyFill="1" applyBorder="1" applyProtection="1"/>
    <xf numFmtId="3" fontId="24" fillId="6" borderId="44" xfId="54" applyNumberFormat="1" applyFont="1" applyFill="1" applyBorder="1" applyProtection="1"/>
    <xf numFmtId="3" fontId="24" fillId="6" borderId="26" xfId="54" applyNumberFormat="1" applyFont="1" applyFill="1" applyBorder="1" applyProtection="1"/>
    <xf numFmtId="0" fontId="21" fillId="6" borderId="26" xfId="54" applyFont="1" applyFill="1" applyBorder="1"/>
    <xf numFmtId="0" fontId="21" fillId="6" borderId="26" xfId="54" applyFont="1" applyFill="1" applyBorder="1" applyAlignment="1">
      <alignment horizontal="center"/>
    </xf>
    <xf numFmtId="0" fontId="22" fillId="6" borderId="26" xfId="54" applyFont="1" applyFill="1" applyBorder="1" applyAlignment="1">
      <alignment horizontal="center"/>
    </xf>
    <xf numFmtId="42" fontId="23" fillId="4" borderId="27" xfId="54" applyNumberFormat="1" applyFont="1" applyFill="1" applyBorder="1" applyProtection="1"/>
    <xf numFmtId="42" fontId="23" fillId="4" borderId="25" xfId="54" applyNumberFormat="1" applyFont="1" applyFill="1" applyBorder="1" applyProtection="1"/>
    <xf numFmtId="42" fontId="23" fillId="0" borderId="44" xfId="54" applyNumberFormat="1" applyFont="1" applyBorder="1" applyProtection="1"/>
    <xf numFmtId="42" fontId="23" fillId="4" borderId="26" xfId="54" applyNumberFormat="1" applyFont="1" applyFill="1" applyBorder="1" applyProtection="1"/>
    <xf numFmtId="165" fontId="23" fillId="0" borderId="26" xfId="57" applyNumberFormat="1" applyFont="1" applyBorder="1" applyProtection="1"/>
    <xf numFmtId="164" fontId="18" fillId="0" borderId="52" xfId="56" applyNumberFormat="1" applyFont="1" applyFill="1" applyBorder="1" applyProtection="1"/>
    <xf numFmtId="164" fontId="18" fillId="0" borderId="61" xfId="56" applyNumberFormat="1" applyFont="1" applyFill="1" applyBorder="1" applyProtection="1"/>
    <xf numFmtId="164" fontId="18" fillId="0" borderId="53" xfId="56" applyNumberFormat="1" applyFont="1" applyFill="1" applyBorder="1" applyProtection="1"/>
    <xf numFmtId="165" fontId="18" fillId="0" borderId="53" xfId="57" applyNumberFormat="1" applyFont="1" applyFill="1" applyBorder="1" applyProtection="1"/>
    <xf numFmtId="0" fontId="19" fillId="0" borderId="52" xfId="54" applyFill="1" applyBorder="1"/>
    <xf numFmtId="0" fontId="19" fillId="0" borderId="34" xfId="54" applyFill="1" applyBorder="1"/>
    <xf numFmtId="0" fontId="19" fillId="0" borderId="52" xfId="54" applyBorder="1" applyAlignment="1">
      <alignment horizontal="center"/>
    </xf>
    <xf numFmtId="164" fontId="19" fillId="0" borderId="43" xfId="56" applyNumberFormat="1" applyFont="1" applyFill="1" applyBorder="1" applyProtection="1"/>
    <xf numFmtId="165" fontId="0" fillId="0" borderId="47" xfId="57" applyNumberFormat="1" applyFont="1" applyFill="1" applyBorder="1" applyProtection="1"/>
    <xf numFmtId="42" fontId="6" fillId="0" borderId="49" xfId="54" applyNumberFormat="1" applyFont="1" applyFill="1" applyBorder="1"/>
    <xf numFmtId="49" fontId="19" fillId="0" borderId="45" xfId="54" applyNumberFormat="1" applyFont="1" applyFill="1" applyBorder="1"/>
    <xf numFmtId="49" fontId="19" fillId="0" borderId="45" xfId="54" applyNumberFormat="1" applyFont="1" applyBorder="1" applyAlignment="1">
      <alignment horizontal="center"/>
    </xf>
    <xf numFmtId="164" fontId="52" fillId="0" borderId="39" xfId="56" applyNumberFormat="1" applyFont="1" applyFill="1" applyBorder="1" applyProtection="1"/>
    <xf numFmtId="164" fontId="52" fillId="0" borderId="40" xfId="56" applyNumberFormat="1" applyFont="1" applyFill="1" applyBorder="1" applyProtection="1"/>
    <xf numFmtId="164" fontId="18" fillId="0" borderId="41" xfId="56" applyNumberFormat="1" applyFont="1" applyFill="1" applyBorder="1" applyProtection="1"/>
    <xf numFmtId="165" fontId="18" fillId="0" borderId="41" xfId="57" applyNumberFormat="1" applyFont="1" applyFill="1" applyBorder="1" applyProtection="1"/>
    <xf numFmtId="164" fontId="52" fillId="0" borderId="41" xfId="56" applyNumberFormat="1" applyFont="1" applyFill="1" applyBorder="1" applyProtection="1"/>
    <xf numFmtId="165" fontId="52" fillId="0" borderId="41" xfId="57" applyNumberFormat="1" applyFont="1" applyFill="1" applyBorder="1" applyProtection="1"/>
    <xf numFmtId="0" fontId="51" fillId="0" borderId="45" xfId="54" applyFont="1" applyFill="1" applyBorder="1"/>
    <xf numFmtId="0" fontId="51" fillId="0" borderId="45" xfId="54" applyFont="1" applyFill="1" applyBorder="1" applyAlignment="1">
      <alignment horizontal="center"/>
    </xf>
    <xf numFmtId="165" fontId="52" fillId="0" borderId="46" xfId="57" applyNumberFormat="1" applyFont="1" applyFill="1" applyBorder="1" applyProtection="1"/>
    <xf numFmtId="164" fontId="18" fillId="0" borderId="45" xfId="56" applyNumberFormat="1" applyFont="1" applyFill="1" applyBorder="1" applyProtection="1"/>
    <xf numFmtId="164" fontId="18" fillId="0" borderId="46" xfId="56" applyNumberFormat="1" applyFont="1" applyFill="1" applyBorder="1" applyProtection="1"/>
    <xf numFmtId="164" fontId="0" fillId="0" borderId="47" xfId="56" applyNumberFormat="1" applyFont="1" applyFill="1" applyBorder="1" applyProtection="1"/>
    <xf numFmtId="165" fontId="18" fillId="0" borderId="47" xfId="57" applyNumberFormat="1" applyFont="1" applyFill="1" applyBorder="1" applyProtection="1"/>
    <xf numFmtId="164" fontId="18" fillId="0" borderId="47" xfId="56" applyNumberFormat="1" applyFont="1" applyFill="1" applyBorder="1" applyProtection="1"/>
    <xf numFmtId="164" fontId="18" fillId="0" borderId="39" xfId="56" applyNumberFormat="1" applyFont="1" applyFill="1" applyBorder="1" applyProtection="1"/>
    <xf numFmtId="164" fontId="18" fillId="0" borderId="40" xfId="56" applyNumberFormat="1" applyFont="1" applyFill="1" applyBorder="1" applyProtection="1"/>
    <xf numFmtId="0" fontId="19" fillId="0" borderId="39" xfId="54" applyFill="1" applyBorder="1"/>
    <xf numFmtId="0" fontId="19" fillId="0" borderId="41" xfId="54" applyFill="1" applyBorder="1"/>
    <xf numFmtId="3" fontId="24" fillId="5" borderId="27" xfId="54" applyNumberFormat="1" applyFont="1" applyFill="1" applyBorder="1" applyProtection="1"/>
    <xf numFmtId="3" fontId="24" fillId="5" borderId="25" xfId="54" applyNumberFormat="1" applyFont="1" applyFill="1" applyBorder="1" applyProtection="1"/>
    <xf numFmtId="3" fontId="24" fillId="5" borderId="44" xfId="54" applyNumberFormat="1" applyFont="1" applyFill="1" applyBorder="1" applyProtection="1"/>
    <xf numFmtId="3" fontId="24" fillId="5" borderId="26" xfId="54" applyNumberFormat="1" applyFont="1" applyFill="1" applyBorder="1" applyProtection="1"/>
    <xf numFmtId="0" fontId="29" fillId="5" borderId="26" xfId="54" applyFont="1" applyFill="1" applyBorder="1"/>
    <xf numFmtId="0" fontId="21" fillId="5" borderId="26" xfId="54" applyFont="1" applyFill="1" applyBorder="1" applyAlignment="1">
      <alignment horizontal="center"/>
    </xf>
    <xf numFmtId="0" fontId="22" fillId="5" borderId="50" xfId="54" applyFont="1" applyFill="1" applyBorder="1" applyAlignment="1">
      <alignment horizontal="center"/>
    </xf>
    <xf numFmtId="42" fontId="19" fillId="0" borderId="100" xfId="54" applyNumberFormat="1" applyFill="1" applyBorder="1" applyProtection="1"/>
    <xf numFmtId="42" fontId="19" fillId="0" borderId="93" xfId="54" applyNumberFormat="1" applyFill="1" applyBorder="1" applyProtection="1"/>
    <xf numFmtId="164" fontId="0" fillId="0" borderId="8" xfId="56" applyNumberFormat="1" applyFont="1" applyFill="1" applyBorder="1" applyProtection="1"/>
    <xf numFmtId="164" fontId="0" fillId="0" borderId="0" xfId="56" applyNumberFormat="1" applyFont="1" applyFill="1" applyBorder="1" applyProtection="1"/>
    <xf numFmtId="165" fontId="0" fillId="0" borderId="0" xfId="57" applyNumberFormat="1" applyFont="1" applyFill="1" applyBorder="1" applyProtection="1"/>
    <xf numFmtId="42" fontId="19" fillId="0" borderId="0" xfId="54" applyNumberFormat="1" applyFill="1" applyBorder="1" applyProtection="1"/>
    <xf numFmtId="165" fontId="0" fillId="0" borderId="61" xfId="57" applyNumberFormat="1" applyFont="1" applyFill="1" applyBorder="1" applyProtection="1"/>
    <xf numFmtId="0" fontId="19" fillId="0" borderId="0" xfId="54" applyFill="1" applyBorder="1"/>
    <xf numFmtId="0" fontId="19" fillId="0" borderId="61" xfId="54" applyFill="1" applyBorder="1"/>
    <xf numFmtId="0" fontId="19" fillId="0" borderId="79" xfId="54" applyBorder="1" applyAlignment="1">
      <alignment horizontal="center"/>
    </xf>
    <xf numFmtId="42" fontId="19" fillId="0" borderId="45" xfId="54" applyNumberFormat="1" applyFill="1" applyBorder="1" applyProtection="1"/>
    <xf numFmtId="42" fontId="19" fillId="0" borderId="46" xfId="54" applyNumberFormat="1" applyFill="1" applyBorder="1" applyProtection="1"/>
    <xf numFmtId="42" fontId="19" fillId="0" borderId="47" xfId="54" applyNumberFormat="1" applyFill="1" applyBorder="1" applyProtection="1"/>
    <xf numFmtId="42" fontId="19" fillId="0" borderId="39" xfId="54" applyNumberFormat="1" applyFill="1" applyBorder="1" applyProtection="1"/>
    <xf numFmtId="42" fontId="19" fillId="0" borderId="40" xfId="54" applyNumberFormat="1" applyFill="1" applyBorder="1" applyProtection="1"/>
    <xf numFmtId="165" fontId="0" fillId="0" borderId="41" xfId="57" applyNumberFormat="1" applyFont="1" applyFill="1" applyBorder="1" applyProtection="1"/>
    <xf numFmtId="42" fontId="19" fillId="0" borderId="41" xfId="54" applyNumberFormat="1" applyFill="1" applyBorder="1" applyProtection="1"/>
    <xf numFmtId="0" fontId="19" fillId="0" borderId="40" xfId="54" applyFill="1" applyBorder="1"/>
    <xf numFmtId="0" fontId="31" fillId="0" borderId="0" xfId="54" applyFont="1"/>
    <xf numFmtId="42" fontId="31" fillId="0" borderId="45" xfId="54" applyNumberFormat="1" applyFont="1" applyFill="1" applyBorder="1" applyProtection="1"/>
    <xf numFmtId="42" fontId="31" fillId="0" borderId="46" xfId="54" applyNumberFormat="1" applyFont="1" applyFill="1" applyBorder="1" applyProtection="1"/>
    <xf numFmtId="167" fontId="31" fillId="0" borderId="0" xfId="55" applyNumberFormat="1" applyFont="1"/>
    <xf numFmtId="164" fontId="31" fillId="0" borderId="43" xfId="56" applyNumberFormat="1" applyFont="1" applyFill="1" applyBorder="1" applyProtection="1"/>
    <xf numFmtId="42" fontId="31" fillId="0" borderId="47" xfId="54" applyNumberFormat="1" applyFont="1" applyFill="1" applyBorder="1" applyProtection="1"/>
    <xf numFmtId="165" fontId="31" fillId="0" borderId="47" xfId="57" applyNumberFormat="1" applyFont="1" applyFill="1" applyBorder="1" applyProtection="1"/>
    <xf numFmtId="165" fontId="31" fillId="0" borderId="46" xfId="57" applyNumberFormat="1" applyFont="1" applyFill="1" applyBorder="1" applyProtection="1"/>
    <xf numFmtId="0" fontId="31" fillId="0" borderId="49" xfId="54" applyFont="1" applyFill="1" applyBorder="1"/>
    <xf numFmtId="0" fontId="31" fillId="0" borderId="45" xfId="54" applyFont="1" applyFill="1" applyBorder="1"/>
    <xf numFmtId="0" fontId="31" fillId="0" borderId="46" xfId="54" applyFont="1" applyFill="1" applyBorder="1"/>
    <xf numFmtId="0" fontId="31" fillId="0" borderId="47" xfId="54" applyFont="1" applyBorder="1" applyAlignment="1">
      <alignment horizontal="center"/>
    </xf>
    <xf numFmtId="0" fontId="32" fillId="0" borderId="48" xfId="54" applyFont="1" applyBorder="1" applyAlignment="1">
      <alignment horizontal="center"/>
    </xf>
    <xf numFmtId="0" fontId="31" fillId="0" borderId="8" xfId="54" applyFont="1" applyBorder="1"/>
    <xf numFmtId="164" fontId="0" fillId="0" borderId="45" xfId="56" applyNumberFormat="1" applyFont="1" applyFill="1" applyBorder="1" applyProtection="1"/>
    <xf numFmtId="164" fontId="0" fillId="0" borderId="46" xfId="56" applyNumberFormat="1" applyFont="1" applyFill="1" applyBorder="1" applyProtection="1"/>
    <xf numFmtId="165" fontId="0" fillId="0" borderId="46" xfId="57" applyNumberFormat="1" applyFont="1" applyFill="1" applyBorder="1" applyProtection="1"/>
    <xf numFmtId="164" fontId="19" fillId="0" borderId="42" xfId="56" applyNumberFormat="1" applyFont="1" applyFill="1" applyBorder="1" applyProtection="1"/>
    <xf numFmtId="164" fontId="0" fillId="0" borderId="41" xfId="56" applyNumberFormat="1" applyFont="1" applyFill="1" applyBorder="1" applyProtection="1"/>
    <xf numFmtId="0" fontId="19" fillId="0" borderId="40" xfId="54" applyBorder="1"/>
    <xf numFmtId="42" fontId="21" fillId="3" borderId="105" xfId="54" applyNumberFormat="1" applyFont="1" applyFill="1" applyBorder="1" applyProtection="1"/>
    <xf numFmtId="42" fontId="21" fillId="3" borderId="36" xfId="54" applyNumberFormat="1" applyFont="1" applyFill="1" applyBorder="1" applyProtection="1"/>
    <xf numFmtId="3" fontId="21" fillId="3" borderId="38" xfId="54" applyNumberFormat="1" applyFont="1" applyFill="1" applyBorder="1" applyProtection="1"/>
    <xf numFmtId="3" fontId="21" fillId="3" borderId="37" xfId="54" applyNumberFormat="1" applyFont="1" applyFill="1" applyBorder="1" applyProtection="1"/>
    <xf numFmtId="42" fontId="21" fillId="3" borderId="37" xfId="54" applyNumberFormat="1" applyFont="1" applyFill="1" applyBorder="1" applyProtection="1"/>
    <xf numFmtId="0" fontId="29" fillId="3" borderId="37" xfId="54" applyFont="1" applyFill="1" applyBorder="1"/>
    <xf numFmtId="3" fontId="21" fillId="3" borderId="36" xfId="54" applyNumberFormat="1" applyFont="1" applyFill="1" applyBorder="1" applyAlignment="1">
      <alignment horizontal="center"/>
    </xf>
    <xf numFmtId="3" fontId="21" fillId="3" borderId="35" xfId="54" applyNumberFormat="1" applyFont="1" applyFill="1" applyBorder="1" applyAlignment="1">
      <alignment horizontal="center"/>
    </xf>
    <xf numFmtId="0" fontId="84" fillId="55" borderId="100" xfId="58" applyFont="1" applyFill="1" applyBorder="1" applyAlignment="1" applyProtection="1">
      <alignment horizontal="center" vertical="center" wrapText="1"/>
    </xf>
    <xf numFmtId="0" fontId="84" fillId="55" borderId="93" xfId="58" applyFont="1" applyFill="1" applyBorder="1" applyAlignment="1" applyProtection="1">
      <alignment horizontal="center" vertical="center" wrapText="1"/>
    </xf>
    <xf numFmtId="0" fontId="21" fillId="0" borderId="8" xfId="54" applyFont="1" applyBorder="1" applyAlignment="1">
      <alignment horizontal="center" vertical="center" wrapText="1"/>
    </xf>
    <xf numFmtId="0" fontId="83" fillId="0" borderId="0" xfId="58" applyBorder="1" applyAlignment="1" applyProtection="1">
      <alignment horizontal="center" vertical="center" wrapText="1"/>
    </xf>
    <xf numFmtId="0" fontId="21" fillId="0" borderId="0" xfId="54" applyFont="1" applyBorder="1" applyAlignment="1">
      <alignment vertical="center" wrapText="1"/>
    </xf>
    <xf numFmtId="0" fontId="20" fillId="0" borderId="0" xfId="54" applyFont="1" applyBorder="1" applyAlignment="1">
      <alignment vertical="center"/>
    </xf>
    <xf numFmtId="0" fontId="21" fillId="0" borderId="0" xfId="54" applyFont="1" applyBorder="1" applyAlignment="1">
      <alignment horizontal="center" vertical="center" wrapText="1"/>
    </xf>
    <xf numFmtId="0" fontId="84" fillId="55" borderId="68" xfId="58" applyFont="1" applyFill="1" applyBorder="1" applyAlignment="1" applyProtection="1">
      <alignment horizontal="center" wrapText="1"/>
    </xf>
    <xf numFmtId="0" fontId="84" fillId="55" borderId="92" xfId="58" applyFont="1" applyFill="1" applyBorder="1" applyAlignment="1" applyProtection="1">
      <alignment horizontal="center" wrapText="1"/>
    </xf>
    <xf numFmtId="0" fontId="21" fillId="0" borderId="72" xfId="54" applyFont="1" applyBorder="1" applyAlignment="1">
      <alignment horizontal="center" wrapText="1"/>
    </xf>
    <xf numFmtId="0" fontId="83" fillId="0" borderId="73" xfId="58" applyBorder="1" applyAlignment="1" applyProtection="1">
      <alignment horizontal="center" wrapText="1"/>
    </xf>
    <xf numFmtId="0" fontId="21" fillId="0" borderId="73" xfId="54" applyFont="1" applyBorder="1" applyAlignment="1">
      <alignment horizontal="center" vertical="center" wrapText="1"/>
    </xf>
    <xf numFmtId="0" fontId="21" fillId="0" borderId="73" xfId="54" applyFont="1" applyBorder="1" applyAlignment="1">
      <alignment vertical="center" wrapText="1"/>
    </xf>
    <xf numFmtId="0" fontId="21" fillId="0" borderId="73" xfId="54" applyFont="1" applyBorder="1" applyAlignment="1"/>
    <xf numFmtId="0" fontId="19" fillId="0" borderId="73" xfId="54" applyBorder="1" applyAlignment="1">
      <alignment horizontal="center" textRotation="180"/>
    </xf>
    <xf numFmtId="0" fontId="4" fillId="0" borderId="0" xfId="54" applyFont="1" applyFill="1" applyBorder="1"/>
    <xf numFmtId="42" fontId="19" fillId="0" borderId="74" xfId="54" applyNumberFormat="1" applyBorder="1"/>
    <xf numFmtId="3" fontId="4" fillId="0" borderId="74" xfId="54" applyNumberFormat="1" applyFont="1" applyBorder="1"/>
    <xf numFmtId="0" fontId="4" fillId="0" borderId="74" xfId="54" applyFont="1" applyFill="1" applyBorder="1"/>
    <xf numFmtId="3" fontId="19" fillId="0" borderId="74" xfId="54" applyNumberFormat="1" applyFill="1" applyBorder="1"/>
    <xf numFmtId="174" fontId="49" fillId="0" borderId="74" xfId="54" applyNumberFormat="1" applyFont="1" applyBorder="1" applyAlignment="1">
      <alignment horizontal="left"/>
    </xf>
    <xf numFmtId="0" fontId="49" fillId="0" borderId="74" xfId="54" applyFont="1" applyFill="1" applyBorder="1" applyAlignment="1">
      <alignment horizontal="left"/>
    </xf>
    <xf numFmtId="3" fontId="19" fillId="0" borderId="0" xfId="54" applyNumberFormat="1" applyBorder="1"/>
    <xf numFmtId="0" fontId="26" fillId="0" borderId="0" xfId="54" applyFont="1" applyAlignment="1">
      <alignment wrapText="1"/>
    </xf>
    <xf numFmtId="0" fontId="21" fillId="0" borderId="0" xfId="54" applyFont="1" applyBorder="1"/>
    <xf numFmtId="0" fontId="47" fillId="0" borderId="0" xfId="54" applyFont="1" applyAlignment="1">
      <alignment vertical="center"/>
    </xf>
    <xf numFmtId="0" fontId="47" fillId="0" borderId="0" xfId="54" applyFont="1" applyAlignment="1">
      <alignment horizontal="center" vertical="center"/>
    </xf>
    <xf numFmtId="0" fontId="3" fillId="0" borderId="0" xfId="53" applyFont="1" applyFill="1" applyBorder="1"/>
    <xf numFmtId="165" fontId="3" fillId="0" borderId="0" xfId="53" applyNumberFormat="1" applyFont="1" applyFill="1" applyBorder="1"/>
    <xf numFmtId="0" fontId="3" fillId="0" borderId="0" xfId="53" applyFont="1" applyFill="1" applyBorder="1" applyAlignment="1">
      <alignment horizontal="center"/>
    </xf>
    <xf numFmtId="0" fontId="19" fillId="0" borderId="0" xfId="53" applyFont="1"/>
    <xf numFmtId="168" fontId="3" fillId="0" borderId="2" xfId="53" applyNumberFormat="1" applyFont="1" applyFill="1" applyBorder="1"/>
    <xf numFmtId="181" fontId="3" fillId="0" borderId="0" xfId="53" applyNumberFormat="1" applyFont="1" applyFill="1" applyBorder="1"/>
    <xf numFmtId="164" fontId="3" fillId="0" borderId="22" xfId="53" applyNumberFormat="1" applyFont="1" applyFill="1" applyBorder="1"/>
    <xf numFmtId="165" fontId="3" fillId="0" borderId="22" xfId="53" applyNumberFormat="1" applyFont="1" applyFill="1" applyBorder="1"/>
    <xf numFmtId="164" fontId="3" fillId="0" borderId="0" xfId="53" applyNumberFormat="1" applyFont="1" applyFill="1" applyBorder="1"/>
    <xf numFmtId="168" fontId="86" fillId="0" borderId="0" xfId="53" applyNumberFormat="1" applyFont="1" applyFill="1" applyBorder="1"/>
    <xf numFmtId="168" fontId="3" fillId="0" borderId="0" xfId="53" applyNumberFormat="1" applyFont="1" applyFill="1" applyBorder="1"/>
    <xf numFmtId="165" fontId="86" fillId="0" borderId="0" xfId="53" applyNumberFormat="1" applyFont="1" applyFill="1" applyBorder="1"/>
    <xf numFmtId="0" fontId="41" fillId="55" borderId="0" xfId="53" applyFont="1" applyFill="1" applyBorder="1" applyAlignment="1">
      <alignment horizontal="centerContinuous"/>
    </xf>
    <xf numFmtId="165" fontId="41" fillId="55" borderId="0" xfId="53" applyNumberFormat="1" applyFont="1" applyFill="1" applyBorder="1" applyAlignment="1">
      <alignment horizontal="centerContinuous"/>
    </xf>
    <xf numFmtId="165" fontId="3" fillId="0" borderId="0" xfId="53" applyNumberFormat="1" applyFont="1" applyFill="1" applyBorder="1" applyAlignment="1">
      <alignment textRotation="45"/>
    </xf>
    <xf numFmtId="164" fontId="3" fillId="0" borderId="0" xfId="53" applyNumberFormat="1" applyFont="1" applyFill="1" applyBorder="1" applyAlignment="1">
      <alignment textRotation="45"/>
    </xf>
    <xf numFmtId="0" fontId="3" fillId="0" borderId="0" xfId="53" quotePrefix="1" applyFont="1" applyFill="1" applyBorder="1" applyAlignment="1">
      <alignment horizontal="left"/>
    </xf>
    <xf numFmtId="0" fontId="3" fillId="0" borderId="0" xfId="53" quotePrefix="1" applyFont="1" applyFill="1" applyBorder="1" applyAlignment="1"/>
    <xf numFmtId="0" fontId="3" fillId="0" borderId="70" xfId="53" applyFont="1" applyFill="1" applyBorder="1"/>
    <xf numFmtId="0" fontId="3" fillId="0" borderId="74" xfId="53" applyFont="1" applyFill="1" applyBorder="1"/>
    <xf numFmtId="165" fontId="3" fillId="0" borderId="74" xfId="53" applyNumberFormat="1" applyFont="1" applyFill="1" applyBorder="1"/>
    <xf numFmtId="0" fontId="3" fillId="0" borderId="74" xfId="53" applyFont="1" applyFill="1" applyBorder="1" applyAlignment="1">
      <alignment horizontal="center"/>
    </xf>
    <xf numFmtId="0" fontId="3" fillId="0" borderId="69" xfId="53" applyFont="1" applyFill="1" applyBorder="1"/>
    <xf numFmtId="182" fontId="3" fillId="0" borderId="8" xfId="53" applyNumberFormat="1" applyFont="1" applyFill="1" applyBorder="1" applyAlignment="1">
      <alignment horizontal="right"/>
    </xf>
    <xf numFmtId="0" fontId="3" fillId="0" borderId="0" xfId="53" applyFont="1" applyFill="1" applyBorder="1" applyAlignment="1">
      <alignment horizontal="left"/>
    </xf>
    <xf numFmtId="0" fontId="3" fillId="0" borderId="7" xfId="53" applyFont="1" applyFill="1" applyBorder="1" applyAlignment="1">
      <alignment horizontal="center"/>
    </xf>
    <xf numFmtId="0" fontId="3" fillId="0" borderId="8" xfId="53" applyFont="1" applyFill="1" applyBorder="1"/>
    <xf numFmtId="0" fontId="3" fillId="0" borderId="0" xfId="53" quotePrefix="1" applyFont="1" applyFill="1" applyBorder="1" applyAlignment="1">
      <alignment horizontal="center"/>
    </xf>
    <xf numFmtId="182" fontId="3" fillId="0" borderId="8" xfId="53" applyNumberFormat="1" applyFont="1" applyFill="1" applyBorder="1"/>
    <xf numFmtId="0" fontId="3" fillId="0" borderId="0" xfId="53" quotePrefix="1" applyFont="1" applyFill="1" applyBorder="1" applyAlignment="1">
      <alignment horizontal="left" indent="1"/>
    </xf>
    <xf numFmtId="0" fontId="3" fillId="0" borderId="0" xfId="53" applyFont="1" applyFill="1" applyBorder="1" applyAlignment="1">
      <alignment horizontal="left" indent="1"/>
    </xf>
    <xf numFmtId="0" fontId="3" fillId="0" borderId="0" xfId="53" applyFont="1" applyFill="1" applyBorder="1" applyAlignment="1">
      <alignment horizontal="center" wrapText="1"/>
    </xf>
    <xf numFmtId="0" fontId="3" fillId="0" borderId="0" xfId="53" quotePrefix="1" applyFont="1" applyFill="1" applyBorder="1" applyAlignment="1">
      <alignment horizontal="center" wrapText="1"/>
    </xf>
    <xf numFmtId="0" fontId="3" fillId="0" borderId="8" xfId="53" applyFont="1" applyFill="1" applyBorder="1" applyAlignment="1">
      <alignment horizontal="center" wrapText="1"/>
    </xf>
    <xf numFmtId="165" fontId="3" fillId="0" borderId="0" xfId="53" applyNumberFormat="1" applyFont="1" applyFill="1" applyBorder="1" applyAlignment="1">
      <alignment horizontal="center" wrapText="1"/>
    </xf>
    <xf numFmtId="0" fontId="3" fillId="0" borderId="7" xfId="53" applyFont="1" applyFill="1" applyBorder="1" applyAlignment="1">
      <alignment horizontal="center" wrapText="1"/>
    </xf>
    <xf numFmtId="0" fontId="3" fillId="0" borderId="10" xfId="53" applyFont="1" applyFill="1" applyBorder="1" applyAlignment="1">
      <alignment horizontal="center" wrapText="1"/>
    </xf>
    <xf numFmtId="0" fontId="3" fillId="0" borderId="1" xfId="53" quotePrefix="1" applyFont="1" applyFill="1" applyBorder="1" applyAlignment="1">
      <alignment horizontal="center" wrapText="1"/>
    </xf>
    <xf numFmtId="165" fontId="3" fillId="0" borderId="1" xfId="53" quotePrefix="1" applyNumberFormat="1" applyFont="1" applyFill="1" applyBorder="1" applyAlignment="1">
      <alignment horizontal="center" wrapText="1"/>
    </xf>
    <xf numFmtId="0" fontId="3" fillId="0" borderId="1" xfId="53" applyFont="1" applyFill="1" applyBorder="1" applyAlignment="1">
      <alignment horizontal="center" wrapText="1"/>
    </xf>
    <xf numFmtId="0" fontId="3" fillId="0" borderId="80" xfId="53" applyFont="1" applyFill="1" applyBorder="1" applyAlignment="1">
      <alignment horizontal="center" wrapText="1"/>
    </xf>
    <xf numFmtId="0" fontId="3" fillId="0" borderId="7" xfId="53" applyFont="1" applyFill="1" applyBorder="1"/>
    <xf numFmtId="0" fontId="3" fillId="0" borderId="8" xfId="53" applyFont="1" applyFill="1" applyBorder="1" applyAlignment="1">
      <alignment horizontal="centerContinuous"/>
    </xf>
    <xf numFmtId="0" fontId="3" fillId="0" borderId="0" xfId="53" applyFont="1" applyFill="1" applyBorder="1" applyAlignment="1">
      <alignment horizontal="centerContinuous"/>
    </xf>
    <xf numFmtId="165" fontId="3" fillId="0" borderId="0" xfId="53" applyNumberFormat="1" applyFont="1" applyFill="1" applyBorder="1" applyAlignment="1">
      <alignment horizontal="centerContinuous"/>
    </xf>
    <xf numFmtId="0" fontId="3" fillId="0" borderId="72" xfId="53" applyFont="1" applyFill="1" applyBorder="1" applyAlignment="1">
      <alignment horizontal="centerContinuous"/>
    </xf>
    <xf numFmtId="0" fontId="3" fillId="0" borderId="73" xfId="53" applyFont="1" applyFill="1" applyBorder="1" applyAlignment="1">
      <alignment horizontal="centerContinuous"/>
    </xf>
    <xf numFmtId="165" fontId="3" fillId="0" borderId="73" xfId="53" applyNumberFormat="1" applyFont="1" applyFill="1" applyBorder="1" applyAlignment="1">
      <alignment horizontal="centerContinuous"/>
    </xf>
    <xf numFmtId="0" fontId="3" fillId="0" borderId="71" xfId="53" applyFont="1" applyFill="1" applyBorder="1"/>
    <xf numFmtId="183" fontId="3" fillId="0" borderId="0" xfId="0" applyNumberFormat="1" applyFont="1" applyFill="1" applyBorder="1" applyAlignment="1">
      <alignment horizontal="center"/>
    </xf>
    <xf numFmtId="171" fontId="3" fillId="0" borderId="0" xfId="0" applyNumberFormat="1" applyFont="1" applyFill="1" applyAlignment="1">
      <alignment horizontal="center"/>
    </xf>
    <xf numFmtId="43" fontId="0" fillId="0" borderId="0" xfId="1" applyFont="1" applyFill="1" applyBorder="1"/>
    <xf numFmtId="42" fontId="3" fillId="0" borderId="0" xfId="0" applyNumberFormat="1" applyFont="1" applyFill="1" applyBorder="1"/>
    <xf numFmtId="168" fontId="3" fillId="0" borderId="22" xfId="53" applyNumberFormat="1" applyFont="1" applyFill="1" applyBorder="1"/>
    <xf numFmtId="0" fontId="53" fillId="0" borderId="0" xfId="0" applyFont="1" applyFill="1"/>
    <xf numFmtId="0" fontId="4" fillId="0" borderId="91" xfId="0" applyFont="1" applyFill="1" applyBorder="1" applyAlignment="1">
      <alignment horizontal="center"/>
    </xf>
    <xf numFmtId="0" fontId="42" fillId="0" borderId="0" xfId="0" applyFont="1" applyFill="1" applyAlignment="1">
      <alignment horizontal="right"/>
    </xf>
    <xf numFmtId="41" fontId="3" fillId="0" borderId="0" xfId="0" applyNumberFormat="1" applyFont="1" applyFill="1"/>
    <xf numFmtId="3" fontId="5" fillId="0" borderId="0" xfId="0" applyNumberFormat="1" applyFont="1" applyFill="1"/>
    <xf numFmtId="0" fontId="5" fillId="0" borderId="0" xfId="0" applyFont="1" applyFill="1" applyAlignment="1">
      <alignment horizontal="left"/>
    </xf>
    <xf numFmtId="37" fontId="12" fillId="0" borderId="0" xfId="0" applyNumberFormat="1" applyFont="1" applyFill="1"/>
    <xf numFmtId="0" fontId="54" fillId="0" borderId="0" xfId="0" applyFont="1" applyFill="1" applyAlignment="1">
      <alignment horizontal="centerContinuous"/>
    </xf>
    <xf numFmtId="164" fontId="5" fillId="0" borderId="0" xfId="0" applyNumberFormat="1" applyFont="1" applyFill="1"/>
    <xf numFmtId="44" fontId="5" fillId="0" borderId="0" xfId="0" applyNumberFormat="1" applyFont="1" applyFill="1"/>
    <xf numFmtId="0" fontId="41" fillId="55" borderId="102" xfId="0" applyFont="1" applyFill="1" applyBorder="1"/>
    <xf numFmtId="0" fontId="41" fillId="55" borderId="101" xfId="0" applyFont="1" applyFill="1" applyBorder="1"/>
    <xf numFmtId="166" fontId="6" fillId="0" borderId="0" xfId="0" applyNumberFormat="1" applyFont="1" applyFill="1" applyBorder="1"/>
    <xf numFmtId="166" fontId="6" fillId="0" borderId="8" xfId="0" applyNumberFormat="1" applyFont="1" applyFill="1" applyBorder="1"/>
    <xf numFmtId="42" fontId="3" fillId="0" borderId="30" xfId="0" quotePrefix="1" applyNumberFormat="1" applyFont="1" applyFill="1" applyBorder="1" applyAlignment="1">
      <alignment horizontal="left" indent="1"/>
    </xf>
    <xf numFmtId="42" fontId="3" fillId="0" borderId="0" xfId="0" quotePrefix="1" applyNumberFormat="1" applyFont="1" applyFill="1" applyBorder="1" applyAlignment="1">
      <alignment horizontal="left" indent="1"/>
    </xf>
    <xf numFmtId="42" fontId="3" fillId="0" borderId="31" xfId="0" quotePrefix="1" applyNumberFormat="1" applyFont="1" applyFill="1" applyBorder="1" applyAlignment="1">
      <alignment horizontal="left" indent="1"/>
    </xf>
    <xf numFmtId="165" fontId="3" fillId="0" borderId="30" xfId="0" quotePrefix="1" applyNumberFormat="1" applyFont="1" applyFill="1" applyBorder="1" applyAlignment="1">
      <alignment horizontal="left" indent="1"/>
    </xf>
    <xf numFmtId="165" fontId="3" fillId="0" borderId="31" xfId="0" quotePrefix="1" applyNumberFormat="1" applyFont="1" applyFill="1" applyBorder="1" applyAlignment="1">
      <alignment horizontal="left" indent="1"/>
    </xf>
    <xf numFmtId="165" fontId="3" fillId="0" borderId="0" xfId="0" quotePrefix="1" applyNumberFormat="1" applyFont="1" applyFill="1" applyBorder="1" applyAlignment="1">
      <alignment horizontal="left" indent="1"/>
    </xf>
    <xf numFmtId="0" fontId="0" fillId="0" borderId="0" xfId="0" quotePrefix="1" applyFill="1"/>
    <xf numFmtId="0" fontId="14" fillId="0" borderId="0" xfId="0" applyFont="1" applyFill="1"/>
    <xf numFmtId="14" fontId="0" fillId="0" borderId="0" xfId="0" applyNumberFormat="1" applyFill="1"/>
    <xf numFmtId="165" fontId="0" fillId="0" borderId="71" xfId="1" applyNumberFormat="1" applyFont="1" applyFill="1" applyBorder="1"/>
    <xf numFmtId="165" fontId="0" fillId="0" borderId="73" xfId="1" applyNumberFormat="1" applyFont="1" applyFill="1" applyBorder="1"/>
    <xf numFmtId="165" fontId="0" fillId="0" borderId="72" xfId="1" applyNumberFormat="1" applyFont="1" applyFill="1" applyBorder="1"/>
    <xf numFmtId="165" fontId="0" fillId="0" borderId="7" xfId="1" applyNumberFormat="1" applyFont="1" applyFill="1" applyBorder="1"/>
    <xf numFmtId="165" fontId="0" fillId="0" borderId="0" xfId="1" applyNumberFormat="1" applyFont="1" applyFill="1" applyBorder="1"/>
    <xf numFmtId="165" fontId="0" fillId="0" borderId="8" xfId="1" applyNumberFormat="1" applyFont="1" applyFill="1" applyBorder="1"/>
    <xf numFmtId="165" fontId="0" fillId="0" borderId="0" xfId="0" applyNumberFormat="1" applyFill="1"/>
    <xf numFmtId="0" fontId="1" fillId="0" borderId="0" xfId="51" applyFont="1" applyFill="1"/>
    <xf numFmtId="0" fontId="76" fillId="0" borderId="0" xfId="51" applyFill="1"/>
    <xf numFmtId="0" fontId="1" fillId="0" borderId="14" xfId="51" applyFont="1" applyFill="1" applyBorder="1"/>
    <xf numFmtId="0" fontId="1" fillId="0" borderId="15" xfId="51" applyFont="1" applyFill="1" applyBorder="1"/>
    <xf numFmtId="0" fontId="1" fillId="0" borderId="16" xfId="51" applyFont="1" applyFill="1" applyBorder="1"/>
    <xf numFmtId="0" fontId="1" fillId="0" borderId="17" xfId="51" applyFont="1" applyFill="1" applyBorder="1"/>
    <xf numFmtId="0" fontId="1" fillId="0" borderId="15" xfId="51" applyFont="1" applyFill="1" applyBorder="1" applyAlignment="1">
      <alignment wrapText="1"/>
    </xf>
    <xf numFmtId="0" fontId="2" fillId="0" borderId="20" xfId="0" quotePrefix="1" applyFont="1" applyFill="1" applyBorder="1" applyAlignment="1">
      <alignment horizontal="center" wrapText="1"/>
    </xf>
    <xf numFmtId="0" fontId="1" fillId="0" borderId="0" xfId="51" applyFont="1" applyFill="1" applyAlignment="1">
      <alignment wrapText="1"/>
    </xf>
    <xf numFmtId="0" fontId="2" fillId="0" borderId="20" xfId="0" applyFont="1" applyFill="1" applyBorder="1"/>
    <xf numFmtId="164" fontId="76" fillId="0" borderId="0" xfId="51" applyNumberFormat="1" applyFont="1" applyFill="1"/>
    <xf numFmtId="0" fontId="2" fillId="0" borderId="0" xfId="0" applyFont="1" applyFill="1" applyBorder="1"/>
    <xf numFmtId="0" fontId="2" fillId="0" borderId="0" xfId="0" applyFont="1" applyFill="1" applyBorder="1" applyAlignment="1">
      <alignment horizontal="right"/>
    </xf>
    <xf numFmtId="0" fontId="2" fillId="0" borderId="21" xfId="51" applyFont="1" applyFill="1" applyBorder="1"/>
    <xf numFmtId="164" fontId="2" fillId="0" borderId="21" xfId="51" applyNumberFormat="1" applyFont="1" applyFill="1" applyBorder="1"/>
    <xf numFmtId="0" fontId="1" fillId="0" borderId="0" xfId="0" applyFont="1" applyFill="1"/>
    <xf numFmtId="42" fontId="1" fillId="0" borderId="0" xfId="0" applyNumberFormat="1" applyFont="1" applyFill="1"/>
    <xf numFmtId="0" fontId="1" fillId="0" borderId="18" xfId="51" quotePrefix="1" applyFont="1" applyFill="1" applyBorder="1" applyAlignment="1">
      <alignment horizontal="left"/>
    </xf>
    <xf numFmtId="0" fontId="1" fillId="0" borderId="0" xfId="0" quotePrefix="1" applyFont="1" applyFill="1" applyAlignment="1">
      <alignment horizontal="left"/>
    </xf>
    <xf numFmtId="44" fontId="1" fillId="0" borderId="19" xfId="51" applyNumberFormat="1" applyFont="1" applyFill="1" applyBorder="1"/>
    <xf numFmtId="0" fontId="1" fillId="0" borderId="0" xfId="51" quotePrefix="1" applyFont="1" applyFill="1" applyAlignment="1">
      <alignment horizontal="left"/>
    </xf>
    <xf numFmtId="0" fontId="2" fillId="0" borderId="0" xfId="51" applyFont="1" applyFill="1"/>
    <xf numFmtId="44" fontId="1" fillId="0" borderId="0" xfId="51" applyNumberFormat="1" applyFont="1" applyFill="1"/>
    <xf numFmtId="0" fontId="2" fillId="0" borderId="20" xfId="51" applyFont="1" applyFill="1" applyBorder="1"/>
    <xf numFmtId="0" fontId="2" fillId="0" borderId="20" xfId="0" quotePrefix="1" applyFont="1" applyFill="1" applyBorder="1" applyAlignment="1">
      <alignment horizontal="left"/>
    </xf>
    <xf numFmtId="0" fontId="1" fillId="0" borderId="0" xfId="51" quotePrefix="1" applyFont="1" applyFill="1" applyAlignment="1">
      <alignment horizontal="center"/>
    </xf>
    <xf numFmtId="41" fontId="1" fillId="0" borderId="0" xfId="0" applyNumberFormat="1" applyFont="1" applyFill="1"/>
    <xf numFmtId="168" fontId="0" fillId="0" borderId="0" xfId="0" applyNumberFormat="1" applyFont="1" applyFill="1"/>
    <xf numFmtId="164" fontId="0" fillId="0" borderId="0" xfId="0" applyNumberFormat="1" applyFont="1" applyFill="1"/>
    <xf numFmtId="41" fontId="2" fillId="0" borderId="21" xfId="51" applyNumberFormat="1" applyFont="1" applyFill="1" applyBorder="1"/>
    <xf numFmtId="42" fontId="76" fillId="0" borderId="0" xfId="51" applyNumberFormat="1" applyFont="1" applyFill="1"/>
    <xf numFmtId="168" fontId="76" fillId="0" borderId="0" xfId="51" applyNumberFormat="1" applyFont="1" applyFill="1"/>
    <xf numFmtId="164" fontId="1" fillId="0" borderId="0" xfId="52" applyNumberFormat="1" applyFont="1" applyFill="1"/>
    <xf numFmtId="0" fontId="1" fillId="0" borderId="0" xfId="51" applyFont="1" applyFill="1" applyAlignment="1">
      <alignment horizontal="center"/>
    </xf>
    <xf numFmtId="0" fontId="1" fillId="0" borderId="0" xfId="0" applyFont="1" applyFill="1" applyAlignment="1">
      <alignment horizontal="center"/>
    </xf>
    <xf numFmtId="44" fontId="8" fillId="0" borderId="0" xfId="3" applyNumberFormat="1" applyFont="1" applyFill="1" applyAlignment="1" applyProtection="1">
      <alignment horizontal="right"/>
    </xf>
    <xf numFmtId="43" fontId="8" fillId="0" borderId="0" xfId="3" applyNumberFormat="1" applyFont="1" applyFill="1" applyAlignment="1" applyProtection="1">
      <alignment horizontal="right"/>
    </xf>
    <xf numFmtId="43" fontId="8" fillId="0" borderId="1" xfId="3" applyNumberFormat="1" applyFont="1" applyFill="1" applyBorder="1" applyAlignment="1" applyProtection="1">
      <alignment horizontal="right"/>
    </xf>
    <xf numFmtId="43" fontId="3" fillId="0" borderId="2" xfId="3" applyNumberFormat="1" applyFont="1" applyFill="1" applyBorder="1" applyAlignment="1" applyProtection="1">
      <alignment horizontal="right"/>
    </xf>
    <xf numFmtId="43" fontId="8" fillId="0" borderId="0" xfId="3" applyNumberFormat="1" applyFont="1" applyFill="1" applyBorder="1" applyAlignment="1" applyProtection="1">
      <alignment horizontal="right"/>
    </xf>
    <xf numFmtId="44" fontId="8" fillId="0" borderId="3" xfId="3" applyNumberFormat="1" applyFont="1" applyFill="1" applyBorder="1" applyAlignment="1" applyProtection="1">
      <alignment horizontal="right"/>
    </xf>
    <xf numFmtId="44" fontId="3" fillId="0" borderId="0" xfId="3" applyNumberFormat="1" applyFont="1" applyFill="1" applyProtection="1"/>
    <xf numFmtId="44" fontId="3" fillId="0" borderId="0" xfId="3" applyNumberFormat="1" applyFont="1" applyFill="1" applyAlignment="1" applyProtection="1">
      <alignment horizontal="center"/>
    </xf>
    <xf numFmtId="44" fontId="3" fillId="0" borderId="1" xfId="3" quotePrefix="1" applyNumberFormat="1" applyFont="1" applyFill="1" applyBorder="1" applyAlignment="1" applyProtection="1">
      <alignment horizontal="center"/>
    </xf>
    <xf numFmtId="44" fontId="8" fillId="0" borderId="0" xfId="3" applyNumberFormat="1" applyFont="1" applyFill="1" applyAlignment="1" applyProtection="1">
      <alignment horizontal="fill"/>
    </xf>
    <xf numFmtId="165" fontId="8" fillId="0" borderId="0" xfId="3" applyNumberFormat="1" applyFont="1" applyFill="1" applyAlignment="1" applyProtection="1">
      <alignment horizontal="right"/>
    </xf>
    <xf numFmtId="165" fontId="3" fillId="0" borderId="2" xfId="3" applyNumberFormat="1" applyFont="1" applyFill="1" applyBorder="1" applyAlignment="1" applyProtection="1">
      <alignment horizontal="right"/>
    </xf>
    <xf numFmtId="165" fontId="8" fillId="0" borderId="1" xfId="3" applyNumberFormat="1" applyFont="1" applyFill="1" applyBorder="1" applyAlignment="1" applyProtection="1">
      <alignment horizontal="right"/>
    </xf>
    <xf numFmtId="165" fontId="8" fillId="0" borderId="2" xfId="3" applyNumberFormat="1" applyFont="1" applyFill="1" applyBorder="1" applyAlignment="1" applyProtection="1">
      <alignment horizontal="right"/>
    </xf>
    <xf numFmtId="165" fontId="8" fillId="0" borderId="3" xfId="3" applyNumberFormat="1" applyFont="1" applyFill="1" applyBorder="1" applyAlignment="1" applyProtection="1">
      <alignment horizontal="right"/>
    </xf>
    <xf numFmtId="0" fontId="3" fillId="0" borderId="0" xfId="0" applyFont="1" applyFill="1" applyAlignment="1">
      <alignment horizontal="center"/>
    </xf>
    <xf numFmtId="0" fontId="7" fillId="0" borderId="0" xfId="0" applyFont="1" applyFill="1" applyAlignment="1">
      <alignment horizontal="left" wrapText="1"/>
    </xf>
    <xf numFmtId="0" fontId="3" fillId="0" borderId="0" xfId="0" quotePrefix="1" applyFont="1" applyFill="1" applyAlignment="1">
      <alignment horizontal="center"/>
    </xf>
    <xf numFmtId="0" fontId="7" fillId="0" borderId="0" xfId="0" applyFont="1" applyFill="1" applyAlignment="1">
      <alignment horizontal="left" vertical="top" wrapText="1"/>
    </xf>
    <xf numFmtId="0" fontId="85" fillId="55" borderId="71" xfId="54" applyFont="1" applyFill="1" applyBorder="1" applyAlignment="1">
      <alignment horizontal="center" vertical="center" wrapText="1"/>
    </xf>
    <xf numFmtId="0" fontId="85" fillId="55" borderId="72" xfId="54" applyFont="1" applyFill="1" applyBorder="1" applyAlignment="1">
      <alignment horizontal="center" vertical="center" wrapText="1"/>
    </xf>
    <xf numFmtId="0" fontId="85" fillId="55" borderId="69" xfId="54" applyFont="1" applyFill="1" applyBorder="1" applyAlignment="1">
      <alignment horizontal="center" vertical="center" wrapText="1"/>
    </xf>
    <xf numFmtId="0" fontId="85" fillId="55" borderId="70" xfId="54" applyFont="1" applyFill="1" applyBorder="1" applyAlignment="1">
      <alignment horizontal="center" vertical="center" wrapText="1"/>
    </xf>
    <xf numFmtId="0" fontId="48" fillId="13" borderId="0" xfId="54" applyFont="1" applyFill="1" applyAlignment="1">
      <alignment horizontal="center" vertical="center"/>
    </xf>
    <xf numFmtId="179" fontId="50" fillId="0" borderId="74" xfId="54" applyNumberFormat="1" applyFont="1" applyBorder="1" applyAlignment="1">
      <alignment horizontal="left"/>
    </xf>
    <xf numFmtId="0" fontId="19" fillId="4" borderId="25" xfId="54" applyFill="1" applyBorder="1" applyAlignment="1">
      <alignment horizontal="left" vertical="top" wrapText="1"/>
    </xf>
    <xf numFmtId="0" fontId="19" fillId="4" borderId="26" xfId="54" applyFill="1" applyBorder="1" applyAlignment="1">
      <alignment horizontal="left" vertical="top" wrapText="1"/>
    </xf>
    <xf numFmtId="0" fontId="19" fillId="0" borderId="0" xfId="54" applyFill="1" applyBorder="1" applyAlignment="1">
      <alignment horizontal="left" wrapText="1"/>
    </xf>
    <xf numFmtId="0" fontId="41" fillId="55" borderId="102" xfId="0" applyFont="1" applyFill="1" applyBorder="1" applyAlignment="1">
      <alignment horizontal="center"/>
    </xf>
    <xf numFmtId="0" fontId="41" fillId="55" borderId="104" xfId="0" applyFont="1" applyFill="1" applyBorder="1" applyAlignment="1">
      <alignment horizontal="center"/>
    </xf>
    <xf numFmtId="0" fontId="41" fillId="55" borderId="101" xfId="0" applyFont="1" applyFill="1" applyBorder="1" applyAlignment="1">
      <alignment horizontal="center"/>
    </xf>
    <xf numFmtId="0" fontId="3" fillId="0" borderId="0" xfId="53" quotePrefix="1" applyFont="1" applyFill="1" applyBorder="1" applyAlignment="1">
      <alignment horizontal="center" vertical="center" wrapText="1"/>
    </xf>
    <xf numFmtId="0" fontId="3" fillId="0" borderId="0" xfId="53" quotePrefix="1" applyFont="1" applyFill="1" applyBorder="1" applyAlignment="1">
      <alignment horizontal="center"/>
    </xf>
    <xf numFmtId="0" fontId="15" fillId="0" borderId="71" xfId="0" applyFont="1" applyFill="1" applyBorder="1" applyAlignment="1">
      <alignment horizontal="center"/>
    </xf>
    <xf numFmtId="0" fontId="15" fillId="0" borderId="73" xfId="0" applyFont="1" applyFill="1" applyBorder="1" applyAlignment="1">
      <alignment horizontal="center"/>
    </xf>
    <xf numFmtId="0" fontId="15" fillId="0" borderId="72" xfId="0" applyFont="1" applyFill="1" applyBorder="1" applyAlignment="1">
      <alignment horizontal="center"/>
    </xf>
    <xf numFmtId="0" fontId="2" fillId="0" borderId="1" xfId="51" quotePrefix="1" applyFont="1" applyFill="1" applyBorder="1" applyAlignment="1">
      <alignment horizontal="center"/>
    </xf>
    <xf numFmtId="0" fontId="9" fillId="0" borderId="0" xfId="0" quotePrefix="1" applyFont="1" applyFill="1" applyAlignment="1">
      <alignment horizontal="center"/>
    </xf>
    <xf numFmtId="0" fontId="9" fillId="0" borderId="0" xfId="51" quotePrefix="1" applyFont="1" applyFill="1" applyAlignment="1">
      <alignment horizontal="center"/>
    </xf>
    <xf numFmtId="0" fontId="48" fillId="13" borderId="0" xfId="0" applyFont="1" applyFill="1" applyAlignment="1">
      <alignment horizontal="center" vertical="center"/>
    </xf>
    <xf numFmtId="179" fontId="50" fillId="0" borderId="74" xfId="0" applyNumberFormat="1" applyFont="1" applyBorder="1" applyAlignment="1">
      <alignment horizontal="left"/>
    </xf>
    <xf numFmtId="0" fontId="0" fillId="4" borderId="25" xfId="0" applyFill="1" applyBorder="1" applyAlignment="1">
      <alignment horizontal="left" vertical="top" wrapText="1"/>
    </xf>
    <xf numFmtId="0" fontId="0" fillId="4" borderId="26" xfId="0" applyFill="1" applyBorder="1" applyAlignment="1">
      <alignment horizontal="left" vertical="top" wrapText="1"/>
    </xf>
    <xf numFmtId="0" fontId="0" fillId="0" borderId="0" xfId="0" applyFill="1" applyBorder="1" applyAlignment="1">
      <alignment horizontal="left" wrapText="1"/>
    </xf>
    <xf numFmtId="39" fontId="3" fillId="0" borderId="0" xfId="3" applyNumberFormat="1" applyFont="1" applyFill="1" applyAlignment="1" applyProtection="1">
      <alignment wrapText="1"/>
    </xf>
    <xf numFmtId="0" fontId="3" fillId="0" borderId="0" xfId="4" applyFont="1" applyFill="1"/>
    <xf numFmtId="41" fontId="0" fillId="0" borderId="0" xfId="0" applyNumberFormat="1" applyFont="1" applyFill="1" applyAlignment="1">
      <alignment horizontal="right"/>
    </xf>
    <xf numFmtId="0" fontId="45" fillId="0" borderId="0" xfId="0" applyFont="1" applyFill="1"/>
  </cellXfs>
  <cellStyles count="59">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57"/>
    <cellStyle name="Currency" xfId="2" builtinId="4"/>
    <cellStyle name="Currency 2" xfId="52"/>
    <cellStyle name="Currency 3" xfId="56"/>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8" builtinId="8"/>
    <cellStyle name="Hyperlink 2" xfId="58"/>
    <cellStyle name="Input" xfId="18" builtinId="20" customBuiltin="1"/>
    <cellStyle name="Linked Cell" xfId="21" builtinId="24" customBuiltin="1"/>
    <cellStyle name="Neutral" xfId="17" builtinId="28" customBuiltin="1"/>
    <cellStyle name="Normal" xfId="0" builtinId="0"/>
    <cellStyle name="Normal 10 5" xfId="53"/>
    <cellStyle name="Normal 2" xfId="4"/>
    <cellStyle name="Normal 3" xfId="51"/>
    <cellStyle name="Normal 4" xfId="54"/>
    <cellStyle name="Normal 8" xfId="9"/>
    <cellStyle name="Normal_Monthly" xfId="3"/>
    <cellStyle name="Normal_Year To Date" xfId="6"/>
    <cellStyle name="Note" xfId="24" builtinId="10" customBuiltin="1"/>
    <cellStyle name="Output" xfId="19" builtinId="21" customBuiltin="1"/>
    <cellStyle name="Percent" xfId="7" builtinId="5"/>
    <cellStyle name="Percent 2" xfId="5"/>
    <cellStyle name="Percent 3" xfId="55"/>
    <cellStyle name="Title" xfId="10" builtinId="15" customBuiltin="1"/>
    <cellStyle name="Total" xfId="26" builtinId="25" customBuiltin="1"/>
    <cellStyle name="Warning Text" xfId="23" builtinId="11"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Building the 2-yr elec target'!A1"/><Relationship Id="rId2" Type="http://schemas.openxmlformats.org/officeDocument/2006/relationships/hyperlink" Target="#'Portfolio--2021 Specific'!A1"/><Relationship Id="rId1" Type="http://schemas.openxmlformats.org/officeDocument/2006/relationships/hyperlink" Target="#'Portfolio--2020-2021'!A1"/><Relationship Id="rId4" Type="http://schemas.openxmlformats.org/officeDocument/2006/relationships/hyperlink" Target="#'Building the 2-yr gas target'!A1"/></Relationships>
</file>

<file path=xl/drawings/_rels/drawing3.xml.rels><?xml version="1.0" encoding="UTF-8" standalone="yes"?>
<Relationships xmlns="http://schemas.openxmlformats.org/package/2006/relationships"><Relationship Id="rId3" Type="http://schemas.openxmlformats.org/officeDocument/2006/relationships/hyperlink" Target="#'Building the 2-yr elec target'!A1"/><Relationship Id="rId2" Type="http://schemas.openxmlformats.org/officeDocument/2006/relationships/hyperlink" Target="#'Portfolio--2019 Specific'!A1"/><Relationship Id="rId1" Type="http://schemas.openxmlformats.org/officeDocument/2006/relationships/hyperlink" Target="#'Portfolio--2018-2019'!A1"/><Relationship Id="rId4" Type="http://schemas.openxmlformats.org/officeDocument/2006/relationships/hyperlink" Target="#'Building the 2-yr gas target'!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647699</xdr:colOff>
      <xdr:row>2</xdr:row>
      <xdr:rowOff>209550</xdr:rowOff>
    </xdr:from>
    <xdr:to>
      <xdr:col>9</xdr:col>
      <xdr:colOff>671511</xdr:colOff>
      <xdr:row>4</xdr:row>
      <xdr:rowOff>156623</xdr:rowOff>
    </xdr:to>
    <xdr:grpSp>
      <xdr:nvGrpSpPr>
        <xdr:cNvPr id="2" name="Group 1"/>
        <xdr:cNvGrpSpPr/>
      </xdr:nvGrpSpPr>
      <xdr:grpSpPr>
        <a:xfrm>
          <a:off x="5509259" y="1169670"/>
          <a:ext cx="3734752" cy="1387253"/>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2020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63246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376311</xdr:colOff>
      <xdr:row>1</xdr:row>
      <xdr:rowOff>182880</xdr:rowOff>
    </xdr:from>
    <xdr:to>
      <xdr:col>8</xdr:col>
      <xdr:colOff>4983</xdr:colOff>
      <xdr:row>2</xdr:row>
      <xdr:rowOff>73563</xdr:rowOff>
    </xdr:to>
    <xdr:sp macro="" textlink="">
      <xdr:nvSpPr>
        <xdr:cNvPr id="7" name="Rectangle 6">
          <a:hlinkClick xmlns:r="http://schemas.openxmlformats.org/officeDocument/2006/relationships" r:id="rId1"/>
        </xdr:cNvPr>
        <xdr:cNvSpPr/>
      </xdr:nvSpPr>
      <xdr:spPr>
        <a:xfrm>
          <a:off x="4643511" y="325755"/>
          <a:ext cx="238272" cy="71658"/>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225376</xdr:colOff>
      <xdr:row>1</xdr:row>
      <xdr:rowOff>182881</xdr:rowOff>
    </xdr:from>
    <xdr:to>
      <xdr:col>8</xdr:col>
      <xdr:colOff>1126588</xdr:colOff>
      <xdr:row>2</xdr:row>
      <xdr:rowOff>81183</xdr:rowOff>
    </xdr:to>
    <xdr:sp macro="" textlink="">
      <xdr:nvSpPr>
        <xdr:cNvPr id="8" name="Rectangle 7">
          <a:hlinkClick xmlns:r="http://schemas.openxmlformats.org/officeDocument/2006/relationships" r:id="rId2"/>
        </xdr:cNvPr>
        <xdr:cNvSpPr/>
      </xdr:nvSpPr>
      <xdr:spPr>
        <a:xfrm>
          <a:off x="5102176" y="325756"/>
          <a:ext cx="386862" cy="79277"/>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2021 Portfolio view</a:t>
          </a:r>
        </a:p>
      </xdr:txBody>
    </xdr:sp>
    <xdr:clientData/>
  </xdr:twoCellAnchor>
  <xdr:twoCellAnchor>
    <xdr:from>
      <xdr:col>1</xdr:col>
      <xdr:colOff>327660</xdr:colOff>
      <xdr:row>78</xdr:row>
      <xdr:rowOff>78105</xdr:rowOff>
    </xdr:from>
    <xdr:to>
      <xdr:col>2</xdr:col>
      <xdr:colOff>365760</xdr:colOff>
      <xdr:row>82</xdr:row>
      <xdr:rowOff>0</xdr:rowOff>
    </xdr:to>
    <xdr:sp macro="" textlink="">
      <xdr:nvSpPr>
        <xdr:cNvPr id="9" name="Rectangle 8">
          <a:hlinkClick xmlns:r="http://schemas.openxmlformats.org/officeDocument/2006/relationships" r:id="rId3"/>
        </xdr:cNvPr>
        <xdr:cNvSpPr/>
      </xdr:nvSpPr>
      <xdr:spPr>
        <a:xfrm>
          <a:off x="937260" y="12708255"/>
          <a:ext cx="647700" cy="56959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401955</xdr:colOff>
      <xdr:row>78</xdr:row>
      <xdr:rowOff>76200</xdr:rowOff>
    </xdr:from>
    <xdr:to>
      <xdr:col>2</xdr:col>
      <xdr:colOff>838200</xdr:colOff>
      <xdr:row>82</xdr:row>
      <xdr:rowOff>0</xdr:rowOff>
    </xdr:to>
    <xdr:sp macro="" textlink="">
      <xdr:nvSpPr>
        <xdr:cNvPr id="10" name="Rectangle 9">
          <a:hlinkClick xmlns:r="http://schemas.openxmlformats.org/officeDocument/2006/relationships" r:id="rId4"/>
        </xdr:cNvPr>
        <xdr:cNvSpPr/>
      </xdr:nvSpPr>
      <xdr:spPr>
        <a:xfrm>
          <a:off x="1621155" y="12706350"/>
          <a:ext cx="207645" cy="5715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297180</xdr:colOff>
      <xdr:row>78</xdr:row>
      <xdr:rowOff>89535</xdr:rowOff>
    </xdr:from>
    <xdr:to>
      <xdr:col>2</xdr:col>
      <xdr:colOff>342900</xdr:colOff>
      <xdr:row>82</xdr:row>
      <xdr:rowOff>0</xdr:rowOff>
    </xdr:to>
    <xdr:sp macro="" textlink="">
      <xdr:nvSpPr>
        <xdr:cNvPr id="11" name="Rectangle 10">
          <a:hlinkClick xmlns:r="http://schemas.openxmlformats.org/officeDocument/2006/relationships" r:id="rId3"/>
        </xdr:cNvPr>
        <xdr:cNvSpPr/>
      </xdr:nvSpPr>
      <xdr:spPr>
        <a:xfrm>
          <a:off x="906780" y="12719685"/>
          <a:ext cx="655320" cy="55816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xdr:colOff>
      <xdr:row>33</xdr:row>
      <xdr:rowOff>66675</xdr:rowOff>
    </xdr:from>
    <xdr:to>
      <xdr:col>10</xdr:col>
      <xdr:colOff>666750</xdr:colOff>
      <xdr:row>39</xdr:row>
      <xdr:rowOff>47625</xdr:rowOff>
    </xdr:to>
    <xdr:cxnSp macro="">
      <xdr:nvCxnSpPr>
        <xdr:cNvPr id="2" name="Straight Arrow Connector 1"/>
        <xdr:cNvCxnSpPr/>
      </xdr:nvCxnSpPr>
      <xdr:spPr>
        <a:xfrm flipV="1">
          <a:off x="4924425" y="5410200"/>
          <a:ext cx="1781175" cy="95250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184888</xdr:colOff>
      <xdr:row>35</xdr:row>
      <xdr:rowOff>91894</xdr:rowOff>
    </xdr:from>
    <xdr:ext cx="2149191" cy="457279"/>
    <xdr:sp macro="" textlink="">
      <xdr:nvSpPr>
        <xdr:cNvPr id="3" name="TextBox 2"/>
        <xdr:cNvSpPr txBox="1"/>
      </xdr:nvSpPr>
      <xdr:spPr>
        <a:xfrm rot="19630069">
          <a:off x="5061688" y="5759269"/>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609599</xdr:colOff>
      <xdr:row>2</xdr:row>
      <xdr:rowOff>179070</xdr:rowOff>
    </xdr:from>
    <xdr:to>
      <xdr:col>10</xdr:col>
      <xdr:colOff>951</xdr:colOff>
      <xdr:row>4</xdr:row>
      <xdr:rowOff>156623</xdr:rowOff>
    </xdr:to>
    <xdr:grpSp>
      <xdr:nvGrpSpPr>
        <xdr:cNvPr id="2" name="Group 1"/>
        <xdr:cNvGrpSpPr/>
      </xdr:nvGrpSpPr>
      <xdr:grpSpPr>
        <a:xfrm>
          <a:off x="5471159" y="1139190"/>
          <a:ext cx="4260532" cy="975773"/>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2018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63246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376311</xdr:colOff>
      <xdr:row>1</xdr:row>
      <xdr:rowOff>182880</xdr:rowOff>
    </xdr:from>
    <xdr:to>
      <xdr:col>8</xdr:col>
      <xdr:colOff>4983</xdr:colOff>
      <xdr:row>2</xdr:row>
      <xdr:rowOff>73563</xdr:rowOff>
    </xdr:to>
    <xdr:sp macro="" textlink="">
      <xdr:nvSpPr>
        <xdr:cNvPr id="7" name="Rectangle 6">
          <a:hlinkClick xmlns:r="http://schemas.openxmlformats.org/officeDocument/2006/relationships" r:id="rId1"/>
        </xdr:cNvPr>
        <xdr:cNvSpPr/>
      </xdr:nvSpPr>
      <xdr:spPr>
        <a:xfrm>
          <a:off x="4643511" y="373380"/>
          <a:ext cx="238272" cy="8118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225376</xdr:colOff>
      <xdr:row>1</xdr:row>
      <xdr:rowOff>182881</xdr:rowOff>
    </xdr:from>
    <xdr:to>
      <xdr:col>8</xdr:col>
      <xdr:colOff>1126588</xdr:colOff>
      <xdr:row>2</xdr:row>
      <xdr:rowOff>81183</xdr:rowOff>
    </xdr:to>
    <xdr:sp macro="" textlink="">
      <xdr:nvSpPr>
        <xdr:cNvPr id="8" name="Rectangle 7">
          <a:hlinkClick xmlns:r="http://schemas.openxmlformats.org/officeDocument/2006/relationships" r:id="rId2"/>
        </xdr:cNvPr>
        <xdr:cNvSpPr/>
      </xdr:nvSpPr>
      <xdr:spPr>
        <a:xfrm>
          <a:off x="5102176" y="373381"/>
          <a:ext cx="386862" cy="888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2019 Portfolio view</a:t>
          </a:r>
        </a:p>
      </xdr:txBody>
    </xdr:sp>
    <xdr:clientData/>
  </xdr:twoCellAnchor>
  <xdr:twoCellAnchor>
    <xdr:from>
      <xdr:col>1</xdr:col>
      <xdr:colOff>327660</xdr:colOff>
      <xdr:row>77</xdr:row>
      <xdr:rowOff>78105</xdr:rowOff>
    </xdr:from>
    <xdr:to>
      <xdr:col>2</xdr:col>
      <xdr:colOff>365760</xdr:colOff>
      <xdr:row>81</xdr:row>
      <xdr:rowOff>0</xdr:rowOff>
    </xdr:to>
    <xdr:sp macro="" textlink="">
      <xdr:nvSpPr>
        <xdr:cNvPr id="9" name="Rectangle 8">
          <a:hlinkClick xmlns:r="http://schemas.openxmlformats.org/officeDocument/2006/relationships" r:id="rId3"/>
        </xdr:cNvPr>
        <xdr:cNvSpPr/>
      </xdr:nvSpPr>
      <xdr:spPr>
        <a:xfrm>
          <a:off x="937260" y="14746605"/>
          <a:ext cx="647700" cy="68389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401955</xdr:colOff>
      <xdr:row>77</xdr:row>
      <xdr:rowOff>76200</xdr:rowOff>
    </xdr:from>
    <xdr:to>
      <xdr:col>2</xdr:col>
      <xdr:colOff>838200</xdr:colOff>
      <xdr:row>81</xdr:row>
      <xdr:rowOff>0</xdr:rowOff>
    </xdr:to>
    <xdr:sp macro="" textlink="">
      <xdr:nvSpPr>
        <xdr:cNvPr id="10" name="Rectangle 9">
          <a:hlinkClick xmlns:r="http://schemas.openxmlformats.org/officeDocument/2006/relationships" r:id="rId4"/>
        </xdr:cNvPr>
        <xdr:cNvSpPr/>
      </xdr:nvSpPr>
      <xdr:spPr>
        <a:xfrm>
          <a:off x="1621155" y="14744700"/>
          <a:ext cx="207645" cy="6858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297180</xdr:colOff>
      <xdr:row>77</xdr:row>
      <xdr:rowOff>89535</xdr:rowOff>
    </xdr:from>
    <xdr:to>
      <xdr:col>2</xdr:col>
      <xdr:colOff>342900</xdr:colOff>
      <xdr:row>81</xdr:row>
      <xdr:rowOff>0</xdr:rowOff>
    </xdr:to>
    <xdr:sp macro="" textlink="">
      <xdr:nvSpPr>
        <xdr:cNvPr id="11" name="Rectangle 10">
          <a:hlinkClick xmlns:r="http://schemas.openxmlformats.org/officeDocument/2006/relationships" r:id="rId3"/>
        </xdr:cNvPr>
        <xdr:cNvSpPr/>
      </xdr:nvSpPr>
      <xdr:spPr>
        <a:xfrm>
          <a:off x="906780" y="14758035"/>
          <a:ext cx="655320" cy="67246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showGridLines="0" tabSelected="1" workbookViewId="0">
      <selection activeCell="R17" sqref="R17"/>
    </sheetView>
  </sheetViews>
  <sheetFormatPr defaultRowHeight="14.4" x14ac:dyDescent="0.3"/>
  <cols>
    <col min="1" max="1" width="4.33203125" customWidth="1"/>
    <col min="2" max="2" width="4.6640625" customWidth="1"/>
    <col min="3" max="3" width="3.88671875" customWidth="1"/>
    <col min="4" max="4" width="5.109375" customWidth="1"/>
    <col min="15" max="17" width="9.109375" style="320"/>
    <col min="18" max="18" width="15.33203125" bestFit="1" customWidth="1"/>
    <col min="19" max="19" width="2.6640625" bestFit="1" customWidth="1"/>
  </cols>
  <sheetData>
    <row r="2" spans="1:19" x14ac:dyDescent="0.3">
      <c r="A2" t="s">
        <v>466</v>
      </c>
    </row>
    <row r="3" spans="1:19" x14ac:dyDescent="0.3">
      <c r="K3" s="530" t="s">
        <v>460</v>
      </c>
      <c r="L3" s="530"/>
      <c r="M3" s="530"/>
      <c r="N3" s="530"/>
      <c r="O3" s="530"/>
      <c r="P3" s="530"/>
      <c r="Q3" s="530"/>
      <c r="R3" s="113" t="s">
        <v>461</v>
      </c>
    </row>
    <row r="4" spans="1:19" x14ac:dyDescent="0.3">
      <c r="A4" s="113">
        <v>1</v>
      </c>
      <c r="B4" t="s">
        <v>467</v>
      </c>
      <c r="R4" s="494">
        <f>SUM(R6:R17)</f>
        <v>89662038.306417882</v>
      </c>
      <c r="S4" s="529">
        <f>'CY Rev Req Non-449'!C12-R4</f>
        <v>0</v>
      </c>
    </row>
    <row r="6" spans="1:19" x14ac:dyDescent="0.3">
      <c r="B6" s="113" t="s">
        <v>6</v>
      </c>
      <c r="C6" t="s">
        <v>490</v>
      </c>
      <c r="K6" t="s">
        <v>451</v>
      </c>
      <c r="R6" s="528">
        <f>'CY Rev Req Non-449'!C8</f>
        <v>95554617.073616177</v>
      </c>
    </row>
    <row r="7" spans="1:19" s="320" customFormat="1" x14ac:dyDescent="0.3">
      <c r="B7" s="113"/>
    </row>
    <row r="8" spans="1:19" x14ac:dyDescent="0.3">
      <c r="B8" s="113" t="s">
        <v>7</v>
      </c>
      <c r="C8" t="s">
        <v>491</v>
      </c>
    </row>
    <row r="10" spans="1:19" x14ac:dyDescent="0.3">
      <c r="C10" s="113" t="s">
        <v>201</v>
      </c>
      <c r="D10" t="s">
        <v>492</v>
      </c>
    </row>
    <row r="11" spans="1:19" x14ac:dyDescent="0.3">
      <c r="D11" t="s">
        <v>493</v>
      </c>
    </row>
    <row r="12" spans="1:19" x14ac:dyDescent="0.3">
      <c r="D12" t="s">
        <v>456</v>
      </c>
    </row>
    <row r="13" spans="1:19" s="320" customFormat="1" x14ac:dyDescent="0.3"/>
    <row r="14" spans="1:19" x14ac:dyDescent="0.3">
      <c r="D14" s="113" t="s">
        <v>6</v>
      </c>
      <c r="E14" t="s">
        <v>452</v>
      </c>
      <c r="K14" t="s">
        <v>453</v>
      </c>
      <c r="R14" s="528">
        <f>'CY True-Up'!F10</f>
        <v>4875786.4456277937</v>
      </c>
    </row>
    <row r="15" spans="1:19" x14ac:dyDescent="0.3">
      <c r="D15" s="113" t="s">
        <v>7</v>
      </c>
      <c r="E15" t="s">
        <v>457</v>
      </c>
      <c r="K15" t="s">
        <v>455</v>
      </c>
      <c r="R15" s="528">
        <f>'CY True-Up'!F23</f>
        <v>1349135.1812118106</v>
      </c>
    </row>
    <row r="17" spans="1:19" x14ac:dyDescent="0.3">
      <c r="C17" s="113" t="s">
        <v>454</v>
      </c>
      <c r="D17" t="s">
        <v>458</v>
      </c>
      <c r="K17" s="320" t="s">
        <v>462</v>
      </c>
      <c r="R17" s="528">
        <f>'CY True-Up'!F15</f>
        <v>-12117500.394037899</v>
      </c>
    </row>
    <row r="18" spans="1:19" x14ac:dyDescent="0.3">
      <c r="D18" t="s">
        <v>494</v>
      </c>
    </row>
    <row r="19" spans="1:19" s="320" customFormat="1" x14ac:dyDescent="0.3">
      <c r="D19" s="320" t="s">
        <v>495</v>
      </c>
    </row>
    <row r="21" spans="1:19" x14ac:dyDescent="0.3">
      <c r="A21" s="113">
        <v>2</v>
      </c>
      <c r="B21" t="s">
        <v>464</v>
      </c>
    </row>
    <row r="22" spans="1:19" s="320" customFormat="1" x14ac:dyDescent="0.3">
      <c r="A22" s="113"/>
      <c r="B22" s="320" t="s">
        <v>465</v>
      </c>
      <c r="R22" s="494">
        <f>SUM(R24:R32)</f>
        <v>14232451.965266936</v>
      </c>
      <c r="S22" s="529">
        <f>'Variance Analysis'!D33-R22</f>
        <v>0</v>
      </c>
    </row>
    <row r="24" spans="1:19" x14ac:dyDescent="0.3">
      <c r="B24" s="113" t="s">
        <v>6</v>
      </c>
      <c r="C24" t="s">
        <v>496</v>
      </c>
      <c r="K24" t="s">
        <v>463</v>
      </c>
      <c r="R24" s="528">
        <f>Summary!C15</f>
        <v>12384148.169578284</v>
      </c>
    </row>
    <row r="25" spans="1:19" x14ac:dyDescent="0.3">
      <c r="R25" s="528"/>
    </row>
    <row r="26" spans="1:19" x14ac:dyDescent="0.3">
      <c r="B26" s="113" t="s">
        <v>7</v>
      </c>
      <c r="C26" t="s">
        <v>497</v>
      </c>
      <c r="R26" s="528"/>
    </row>
    <row r="27" spans="1:19" x14ac:dyDescent="0.3">
      <c r="R27" s="528"/>
    </row>
    <row r="28" spans="1:19" x14ac:dyDescent="0.3">
      <c r="C28" s="113" t="s">
        <v>201</v>
      </c>
      <c r="D28" t="s">
        <v>498</v>
      </c>
      <c r="K28" t="s">
        <v>468</v>
      </c>
      <c r="R28" s="528">
        <f>'Variance Analysis'!D16</f>
        <v>3874540.2843703926</v>
      </c>
    </row>
    <row r="29" spans="1:19" x14ac:dyDescent="0.3">
      <c r="R29" s="528"/>
    </row>
    <row r="30" spans="1:19" x14ac:dyDescent="0.3">
      <c r="C30" s="113" t="s">
        <v>454</v>
      </c>
      <c r="D30" t="s">
        <v>499</v>
      </c>
      <c r="K30" t="s">
        <v>469</v>
      </c>
      <c r="R30" s="528">
        <f>'Variance Analysis'!D20</f>
        <v>4200050.7864175215</v>
      </c>
    </row>
    <row r="31" spans="1:19" x14ac:dyDescent="0.3">
      <c r="R31" s="528"/>
    </row>
    <row r="32" spans="1:19" x14ac:dyDescent="0.3">
      <c r="C32" s="113" t="s">
        <v>459</v>
      </c>
      <c r="D32" t="s">
        <v>500</v>
      </c>
      <c r="K32" s="320" t="s">
        <v>470</v>
      </c>
      <c r="R32" s="528">
        <f>Summary!C19</f>
        <v>-6226287.2750992626</v>
      </c>
    </row>
    <row r="33" spans="1:18" x14ac:dyDescent="0.3">
      <c r="R33" s="528"/>
    </row>
    <row r="34" spans="1:18" x14ac:dyDescent="0.3">
      <c r="A34" s="531" t="s">
        <v>471</v>
      </c>
      <c r="B34" s="531"/>
      <c r="C34" s="531"/>
      <c r="D34" s="531"/>
      <c r="E34" s="531"/>
      <c r="F34" s="531"/>
      <c r="G34" s="531"/>
      <c r="H34" s="531"/>
      <c r="I34" s="531"/>
      <c r="J34" s="320"/>
      <c r="K34" s="320"/>
      <c r="L34" s="320"/>
      <c r="R34" s="528"/>
    </row>
    <row r="35" spans="1:18" x14ac:dyDescent="0.3">
      <c r="A35" s="532" t="s">
        <v>472</v>
      </c>
      <c r="B35" s="532"/>
      <c r="C35" s="532"/>
      <c r="D35" s="532"/>
      <c r="E35" s="532"/>
      <c r="F35" s="532"/>
      <c r="G35" s="532"/>
      <c r="H35" s="532"/>
      <c r="I35" s="532"/>
      <c r="J35" s="320"/>
      <c r="K35" s="320"/>
      <c r="L35" s="320"/>
    </row>
    <row r="36" spans="1:18" x14ac:dyDescent="0.3">
      <c r="A36" s="533" t="s">
        <v>473</v>
      </c>
      <c r="B36" s="533"/>
      <c r="C36" s="533"/>
      <c r="D36" s="533"/>
      <c r="E36" s="533"/>
      <c r="F36" s="533"/>
      <c r="G36" s="533"/>
      <c r="H36" s="533"/>
      <c r="I36" s="533"/>
      <c r="J36" s="320"/>
      <c r="K36" s="320"/>
      <c r="L36" s="3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F31"/>
  <sheetViews>
    <sheetView workbookViewId="0">
      <pane ySplit="5" topLeftCell="A6" activePane="bottomLeft" state="frozen"/>
      <selection activeCell="C19" sqref="C19"/>
      <selection pane="bottomLeft" activeCell="B13" sqref="B13"/>
    </sheetView>
  </sheetViews>
  <sheetFormatPr defaultColWidth="9.109375" defaultRowHeight="14.4" x14ac:dyDescent="0.3"/>
  <cols>
    <col min="1" max="1" width="44.33203125" style="86" bestFit="1" customWidth="1"/>
    <col min="2" max="2" width="13.6640625" style="86" bestFit="1" customWidth="1"/>
    <col min="3" max="3" width="14.44140625" style="86" bestFit="1" customWidth="1"/>
    <col min="4" max="4" width="9.88671875" style="86" bestFit="1" customWidth="1"/>
    <col min="5" max="5" width="9.109375" style="86"/>
    <col min="6" max="6" width="11.33203125" style="86" bestFit="1" customWidth="1"/>
    <col min="7" max="16384" width="9.109375" style="86"/>
  </cols>
  <sheetData>
    <row r="1" spans="1:6" x14ac:dyDescent="0.3">
      <c r="A1" s="488" t="s">
        <v>395</v>
      </c>
      <c r="B1" s="488"/>
      <c r="C1" s="489"/>
    </row>
    <row r="2" spans="1:6" x14ac:dyDescent="0.3">
      <c r="A2" s="488" t="s">
        <v>163</v>
      </c>
      <c r="B2" s="488"/>
      <c r="C2" s="489"/>
      <c r="F2" s="43"/>
    </row>
    <row r="3" spans="1:6" x14ac:dyDescent="0.3">
      <c r="A3" s="488" t="s">
        <v>627</v>
      </c>
      <c r="B3" s="488"/>
      <c r="C3" s="489"/>
    </row>
    <row r="4" spans="1:6" x14ac:dyDescent="0.3">
      <c r="A4" s="451"/>
      <c r="B4" s="488"/>
      <c r="C4" s="489"/>
    </row>
    <row r="5" spans="1:6" x14ac:dyDescent="0.3">
      <c r="A5" s="490" t="s">
        <v>2</v>
      </c>
      <c r="B5" s="491" t="s">
        <v>16</v>
      </c>
      <c r="C5" s="491"/>
    </row>
    <row r="7" spans="1:6" x14ac:dyDescent="0.3">
      <c r="A7" s="86" t="s">
        <v>164</v>
      </c>
      <c r="C7" s="324">
        <f>'Variance Analysis'!E10</f>
        <v>79200645.89478527</v>
      </c>
    </row>
    <row r="8" spans="1:6" x14ac:dyDescent="0.3">
      <c r="A8" s="86" t="s">
        <v>165</v>
      </c>
    </row>
    <row r="9" spans="1:6" x14ac:dyDescent="0.3">
      <c r="A9" s="96" t="s">
        <v>482</v>
      </c>
      <c r="B9" s="325">
        <f>('Variance Analysis'!C15+'Variance Analysis'!C19)</f>
        <v>6224921.6268396042</v>
      </c>
    </row>
    <row r="10" spans="1:6" x14ac:dyDescent="0.3">
      <c r="A10" s="96" t="s">
        <v>483</v>
      </c>
      <c r="B10" s="325">
        <f>('Variance Analysis'!C16+'Variance Analysis'!C20)</f>
        <v>-1849669.4439483099</v>
      </c>
      <c r="D10" s="1046"/>
      <c r="F10" s="98"/>
    </row>
    <row r="11" spans="1:6" x14ac:dyDescent="0.3">
      <c r="A11" s="96" t="s">
        <v>488</v>
      </c>
      <c r="B11" s="325"/>
      <c r="C11" s="98">
        <f>B9-B10</f>
        <v>8074591.0707879141</v>
      </c>
      <c r="D11" s="1046"/>
      <c r="F11" s="98"/>
    </row>
    <row r="12" spans="1:6" x14ac:dyDescent="0.3">
      <c r="A12" s="86" t="s">
        <v>166</v>
      </c>
      <c r="D12" s="1046"/>
    </row>
    <row r="13" spans="1:6" x14ac:dyDescent="0.3">
      <c r="A13" s="96" t="s">
        <v>484</v>
      </c>
      <c r="B13" s="98">
        <f>'Variance Analysis'!C25</f>
        <v>95554617.073616177</v>
      </c>
      <c r="D13" s="1046"/>
    </row>
    <row r="14" spans="1:6" x14ac:dyDescent="0.3">
      <c r="A14" s="96" t="s">
        <v>485</v>
      </c>
      <c r="B14" s="98">
        <f>'Variance Analysis'!C26</f>
        <v>83170468.904037893</v>
      </c>
      <c r="D14" s="1046"/>
    </row>
    <row r="15" spans="1:6" x14ac:dyDescent="0.3">
      <c r="A15" s="96" t="s">
        <v>488</v>
      </c>
      <c r="B15" s="98"/>
      <c r="C15" s="98">
        <f>B13-B14</f>
        <v>12384148.169578284</v>
      </c>
      <c r="D15" s="1046"/>
    </row>
    <row r="16" spans="1:6" x14ac:dyDescent="0.3">
      <c r="A16" s="1047" t="s">
        <v>167</v>
      </c>
      <c r="B16" s="98"/>
    </row>
    <row r="17" spans="1:3" x14ac:dyDescent="0.3">
      <c r="A17" s="96" t="s">
        <v>486</v>
      </c>
      <c r="B17" s="325">
        <f>'Variance Analysis'!C31</f>
        <v>-12117500.394037902</v>
      </c>
    </row>
    <row r="18" spans="1:3" x14ac:dyDescent="0.3">
      <c r="A18" s="96" t="s">
        <v>487</v>
      </c>
      <c r="B18" s="325">
        <f>'Variance Analysis'!B31</f>
        <v>-5891213.1189386398</v>
      </c>
    </row>
    <row r="19" spans="1:3" x14ac:dyDescent="0.3">
      <c r="A19" s="96" t="s">
        <v>488</v>
      </c>
      <c r="B19" s="325"/>
      <c r="C19" s="98">
        <f>B17-B18</f>
        <v>-6226287.2750992626</v>
      </c>
    </row>
    <row r="20" spans="1:3" x14ac:dyDescent="0.3">
      <c r="A20" s="96"/>
      <c r="B20" s="325"/>
      <c r="C20" s="98"/>
    </row>
    <row r="21" spans="1:3" x14ac:dyDescent="0.3">
      <c r="A21" s="1047" t="s">
        <v>182</v>
      </c>
      <c r="B21" s="325">
        <f>'Variance Analysis'!E33-'Variance Analysis'!D33</f>
        <v>711543.39508794062</v>
      </c>
      <c r="C21" s="98">
        <f>B21</f>
        <v>711543.39508794062</v>
      </c>
    </row>
    <row r="22" spans="1:3" x14ac:dyDescent="0.3">
      <c r="A22" s="96"/>
      <c r="B22" s="325"/>
      <c r="C22" s="99"/>
    </row>
    <row r="23" spans="1:3" x14ac:dyDescent="0.3">
      <c r="A23" s="1047" t="s">
        <v>168</v>
      </c>
      <c r="B23" s="325"/>
      <c r="C23" s="98">
        <f>SUM(C11:C22)</f>
        <v>14943995.360354876</v>
      </c>
    </row>
    <row r="24" spans="1:3" x14ac:dyDescent="0.3">
      <c r="C24" s="90"/>
    </row>
    <row r="25" spans="1:3" ht="15" thickBot="1" x14ac:dyDescent="0.35">
      <c r="A25" s="1047" t="s">
        <v>169</v>
      </c>
      <c r="C25" s="101">
        <f>C7+C23</f>
        <v>94144641.255140141</v>
      </c>
    </row>
    <row r="26" spans="1:3" ht="15" thickTop="1" x14ac:dyDescent="0.3">
      <c r="C26" s="1048">
        <f>C25-'Variance Analysis'!E35</f>
        <v>0</v>
      </c>
    </row>
    <row r="29" spans="1:3" x14ac:dyDescent="0.3">
      <c r="B29" s="98"/>
      <c r="C29" s="43"/>
    </row>
    <row r="31" spans="1:3" x14ac:dyDescent="0.3">
      <c r="B31" s="9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sheetPr>
  <dimension ref="A1:H50"/>
  <sheetViews>
    <sheetView workbookViewId="0">
      <pane ySplit="6" topLeftCell="A25" activePane="bottomLeft" state="frozen"/>
      <selection activeCell="C19" sqref="C19"/>
      <selection pane="bottomLeft" activeCell="C25" sqref="C25"/>
    </sheetView>
  </sheetViews>
  <sheetFormatPr defaultColWidth="9.109375" defaultRowHeight="14.4" x14ac:dyDescent="0.3"/>
  <cols>
    <col min="1" max="1" width="88.33203125" style="86" customWidth="1"/>
    <col min="2" max="3" width="15.44140625" style="86" bestFit="1" customWidth="1"/>
    <col min="4" max="4" width="17.6640625" style="86" bestFit="1" customWidth="1"/>
    <col min="5" max="5" width="14.88671875" style="86" bestFit="1" customWidth="1"/>
    <col min="6" max="6" width="13.33203125" style="86" bestFit="1" customWidth="1"/>
    <col min="7" max="7" width="10.109375" style="86" bestFit="1" customWidth="1"/>
    <col min="8" max="8" width="26" style="86" bestFit="1" customWidth="1"/>
    <col min="9" max="16384" width="9.109375" style="86"/>
  </cols>
  <sheetData>
    <row r="1" spans="1:7" x14ac:dyDescent="0.3">
      <c r="A1" s="488" t="s">
        <v>170</v>
      </c>
      <c r="B1" s="488"/>
      <c r="C1" s="488"/>
      <c r="D1" s="488"/>
      <c r="E1" s="488"/>
    </row>
    <row r="2" spans="1:7" x14ac:dyDescent="0.3">
      <c r="A2" s="488" t="s">
        <v>628</v>
      </c>
      <c r="B2" s="488"/>
      <c r="C2" s="488"/>
      <c r="D2" s="488"/>
      <c r="E2" s="488"/>
    </row>
    <row r="3" spans="1:7" x14ac:dyDescent="0.3">
      <c r="A3" s="488" t="s">
        <v>171</v>
      </c>
      <c r="B3" s="1049" t="s">
        <v>172</v>
      </c>
      <c r="C3" s="1049"/>
      <c r="D3" s="1049"/>
      <c r="E3" s="1049"/>
    </row>
    <row r="4" spans="1:7" x14ac:dyDescent="0.3">
      <c r="A4" s="451"/>
      <c r="B4" s="488"/>
      <c r="C4" s="488"/>
      <c r="D4" s="1049"/>
      <c r="E4" s="489" t="s">
        <v>173</v>
      </c>
    </row>
    <row r="5" spans="1:7" x14ac:dyDescent="0.3">
      <c r="A5" s="488"/>
      <c r="B5" s="488"/>
      <c r="C5" s="488"/>
      <c r="D5" s="488"/>
      <c r="E5" s="489" t="s">
        <v>174</v>
      </c>
    </row>
    <row r="6" spans="1:7" x14ac:dyDescent="0.3">
      <c r="A6" s="490" t="s">
        <v>2</v>
      </c>
      <c r="B6" s="491" t="s">
        <v>175</v>
      </c>
      <c r="C6" s="491"/>
      <c r="D6" s="490" t="s">
        <v>32</v>
      </c>
      <c r="E6" s="490" t="s">
        <v>176</v>
      </c>
    </row>
    <row r="7" spans="1:7" x14ac:dyDescent="0.3">
      <c r="B7" s="87"/>
      <c r="C7" s="87"/>
      <c r="D7" s="462" t="s">
        <v>396</v>
      </c>
      <c r="E7" s="87">
        <f>'CY Rev Req Non-449'!D8</f>
        <v>0.95238599999999995</v>
      </c>
      <c r="G7" s="89"/>
    </row>
    <row r="8" spans="1:7" x14ac:dyDescent="0.3">
      <c r="D8" s="462" t="s">
        <v>397</v>
      </c>
      <c r="E8" s="87">
        <f>'PY Rev Req Non-449 (UE-190149)'!D8</f>
        <v>0.95238599999999995</v>
      </c>
    </row>
    <row r="10" spans="1:7" x14ac:dyDescent="0.3">
      <c r="A10" s="86" t="s">
        <v>489</v>
      </c>
      <c r="D10" s="324">
        <f>'PY Rev Req Non-449 (UE-190149)'!C12</f>
        <v>75429586.341150954</v>
      </c>
      <c r="E10" s="324">
        <f>D10/ E8</f>
        <v>79200645.89478527</v>
      </c>
    </row>
    <row r="11" spans="1:7" x14ac:dyDescent="0.3">
      <c r="A11" s="86" t="s">
        <v>398</v>
      </c>
      <c r="D11" s="90"/>
      <c r="E11" s="99"/>
    </row>
    <row r="12" spans="1:7" x14ac:dyDescent="0.3">
      <c r="A12" s="91" t="s">
        <v>177</v>
      </c>
      <c r="B12" s="91"/>
      <c r="C12" s="91"/>
      <c r="D12" s="92"/>
      <c r="E12" s="92"/>
    </row>
    <row r="13" spans="1:7" x14ac:dyDescent="0.3">
      <c r="D13" s="92"/>
      <c r="E13" s="92"/>
    </row>
    <row r="14" spans="1:7" x14ac:dyDescent="0.3">
      <c r="A14" s="96" t="s">
        <v>178</v>
      </c>
      <c r="D14" s="92"/>
      <c r="E14" s="92"/>
    </row>
    <row r="15" spans="1:7" ht="28.8" x14ac:dyDescent="0.3">
      <c r="A15" s="93" t="s">
        <v>569</v>
      </c>
      <c r="C15" s="98">
        <f>'CY True-Up'!F10</f>
        <v>4875786.4456277937</v>
      </c>
      <c r="E15" s="98"/>
    </row>
    <row r="16" spans="1:7" x14ac:dyDescent="0.3">
      <c r="A16" s="94" t="s">
        <v>570</v>
      </c>
      <c r="C16" s="98">
        <f>'PY True-up '!F9</f>
        <v>1001246.1612574011</v>
      </c>
      <c r="D16" s="97">
        <f>C15-C16</f>
        <v>3874540.2843703926</v>
      </c>
      <c r="E16" s="95">
        <f>C15/$E$7-C16/$E$8</f>
        <v>4068245.7368865069</v>
      </c>
      <c r="F16" s="95"/>
      <c r="G16" s="95"/>
    </row>
    <row r="17" spans="1:8" x14ac:dyDescent="0.3">
      <c r="A17" s="94"/>
      <c r="C17" s="100"/>
      <c r="D17" s="92"/>
      <c r="E17" s="98"/>
    </row>
    <row r="18" spans="1:8" x14ac:dyDescent="0.3">
      <c r="A18" s="96" t="s">
        <v>179</v>
      </c>
      <c r="E18" s="98"/>
    </row>
    <row r="19" spans="1:8" x14ac:dyDescent="0.3">
      <c r="A19" s="94" t="s">
        <v>571</v>
      </c>
      <c r="C19" s="98">
        <f>'CY True-Up'!F23</f>
        <v>1349135.1812118106</v>
      </c>
      <c r="E19" s="98"/>
    </row>
    <row r="20" spans="1:8" x14ac:dyDescent="0.3">
      <c r="A20" s="94" t="s">
        <v>572</v>
      </c>
      <c r="B20" s="95"/>
      <c r="C20" s="98">
        <f>'PY True-up '!F22</f>
        <v>-2850915.605205711</v>
      </c>
      <c r="D20" s="98">
        <f>C19-C20</f>
        <v>4200050.7864175215</v>
      </c>
      <c r="E20" s="95">
        <f>C19/$E$7-C20/$E$8</f>
        <v>4410029.9525796492</v>
      </c>
      <c r="F20" s="95"/>
    </row>
    <row r="21" spans="1:8" x14ac:dyDescent="0.3">
      <c r="A21" s="96"/>
      <c r="B21" s="95"/>
      <c r="C21" s="100"/>
      <c r="E21" s="95"/>
      <c r="F21" s="95"/>
    </row>
    <row r="22" spans="1:8" x14ac:dyDescent="0.3">
      <c r="A22" s="91" t="s">
        <v>180</v>
      </c>
      <c r="B22" s="91"/>
      <c r="C22" s="91"/>
      <c r="D22" s="95"/>
      <c r="E22" s="95"/>
      <c r="F22" s="95"/>
    </row>
    <row r="23" spans="1:8" x14ac:dyDescent="0.3">
      <c r="F23" s="95"/>
    </row>
    <row r="24" spans="1:8" x14ac:dyDescent="0.3">
      <c r="A24" s="96" t="s">
        <v>573</v>
      </c>
    </row>
    <row r="25" spans="1:8" x14ac:dyDescent="0.3">
      <c r="A25" s="94" t="s">
        <v>574</v>
      </c>
      <c r="C25" s="98">
        <f>'CY Rev Req Non-449'!C8</f>
        <v>95554617.073616177</v>
      </c>
      <c r="D25" s="95"/>
      <c r="E25" s="95"/>
    </row>
    <row r="26" spans="1:8" x14ac:dyDescent="0.3">
      <c r="A26" s="94" t="s">
        <v>412</v>
      </c>
      <c r="C26" s="98">
        <f>'PY Rev Req Non-449 (UE-190149)'!C8</f>
        <v>83170468.904037893</v>
      </c>
      <c r="D26" s="97">
        <f>C25-C26</f>
        <v>12384148.169578284</v>
      </c>
      <c r="E26" s="95">
        <f>C25/$E$7-C26/$E$8</f>
        <v>13003286.6606379</v>
      </c>
    </row>
    <row r="27" spans="1:8" x14ac:dyDescent="0.3">
      <c r="A27" s="94"/>
      <c r="C27" s="100"/>
      <c r="D27" s="95"/>
      <c r="E27" s="95"/>
    </row>
    <row r="28" spans="1:8" x14ac:dyDescent="0.3">
      <c r="A28" s="96" t="s">
        <v>450</v>
      </c>
      <c r="B28" s="88" t="s">
        <v>449</v>
      </c>
      <c r="C28" s="88" t="s">
        <v>448</v>
      </c>
      <c r="D28" s="95"/>
      <c r="E28" s="95"/>
      <c r="H28" s="1050"/>
    </row>
    <row r="29" spans="1:8" x14ac:dyDescent="0.3">
      <c r="A29" s="94" t="s">
        <v>575</v>
      </c>
      <c r="B29" s="98">
        <f>'PY True-up '!E14</f>
        <v>86273169.950000003</v>
      </c>
      <c r="C29" s="98">
        <f>'CY True-Up'!E15</f>
        <v>71052968.50999999</v>
      </c>
      <c r="D29" s="95"/>
      <c r="E29" s="95"/>
    </row>
    <row r="30" spans="1:8" x14ac:dyDescent="0.3">
      <c r="A30" s="94" t="s">
        <v>576</v>
      </c>
      <c r="B30" s="98">
        <f>'PY True-up '!D14</f>
        <v>92164383.068938643</v>
      </c>
      <c r="C30" s="98">
        <f>'CY True-Up'!D15</f>
        <v>83170468.904037893</v>
      </c>
    </row>
    <row r="31" spans="1:8" x14ac:dyDescent="0.3">
      <c r="A31" s="96" t="s">
        <v>411</v>
      </c>
      <c r="B31" s="99">
        <f>B29-B30</f>
        <v>-5891213.1189386398</v>
      </c>
      <c r="C31" s="99">
        <f>C29-C30</f>
        <v>-12117500.394037902</v>
      </c>
      <c r="D31" s="454">
        <f>C31-B31</f>
        <v>-6226287.2750992626</v>
      </c>
      <c r="E31" s="454">
        <f>-(B31/E8-C31/E7)</f>
        <v>-6537566.9897491802</v>
      </c>
    </row>
    <row r="32" spans="1:8" x14ac:dyDescent="0.3">
      <c r="B32" s="100"/>
      <c r="C32" s="90"/>
      <c r="D32" s="456"/>
      <c r="E32" s="456"/>
    </row>
    <row r="33" spans="1:5" x14ac:dyDescent="0.3">
      <c r="A33" s="86" t="s">
        <v>181</v>
      </c>
      <c r="D33" s="455">
        <f>SUM(D15:D32)</f>
        <v>14232451.965266936</v>
      </c>
      <c r="E33" s="455">
        <f>SUM(E11:E32)</f>
        <v>14943995.360354876</v>
      </c>
    </row>
    <row r="34" spans="1:5" x14ac:dyDescent="0.3">
      <c r="D34" s="457"/>
      <c r="E34" s="457"/>
    </row>
    <row r="35" spans="1:5" ht="15" thickBot="1" x14ac:dyDescent="0.35">
      <c r="A35" s="86" t="s">
        <v>629</v>
      </c>
      <c r="D35" s="458">
        <f>D10+D33</f>
        <v>89662038.306417882</v>
      </c>
      <c r="E35" s="458">
        <f>E10+E33</f>
        <v>94144641.255140141</v>
      </c>
    </row>
    <row r="36" spans="1:5" ht="15" thickTop="1" x14ac:dyDescent="0.3">
      <c r="D36" s="98">
        <f>-'CY Rev Req Non-449'!C12+D35</f>
        <v>0</v>
      </c>
      <c r="E36" s="98">
        <f>-'CY Rev Req Non-449'!E12+E35</f>
        <v>0</v>
      </c>
    </row>
    <row r="37" spans="1:5" x14ac:dyDescent="0.3">
      <c r="B37" s="85"/>
      <c r="C37" s="85"/>
    </row>
    <row r="38" spans="1:5" x14ac:dyDescent="0.3">
      <c r="B38" s="85"/>
      <c r="C38" s="85"/>
    </row>
    <row r="39" spans="1:5" x14ac:dyDescent="0.3">
      <c r="B39" s="85"/>
      <c r="C39" s="85"/>
    </row>
    <row r="40" spans="1:5" x14ac:dyDescent="0.3">
      <c r="B40" s="85"/>
      <c r="C40" s="85"/>
    </row>
    <row r="41" spans="1:5" x14ac:dyDescent="0.3">
      <c r="B41" s="85"/>
      <c r="C41" s="85"/>
    </row>
    <row r="50" spans="2:3" x14ac:dyDescent="0.3">
      <c r="B50" s="1051"/>
      <c r="C50" s="105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43"/>
  <sheetViews>
    <sheetView workbookViewId="0">
      <pane ySplit="5" topLeftCell="A6" activePane="bottomLeft" state="frozen"/>
      <selection pane="bottomLeft" activeCell="D9" sqref="D9"/>
    </sheetView>
  </sheetViews>
  <sheetFormatPr defaultColWidth="9.109375" defaultRowHeight="13.2" x14ac:dyDescent="0.25"/>
  <cols>
    <col min="1" max="1" width="4" style="7" bestFit="1" customWidth="1"/>
    <col min="2" max="2" width="50.109375" style="7" customWidth="1"/>
    <col min="3" max="3" width="45.33203125" style="7" bestFit="1" customWidth="1"/>
    <col min="4" max="4" width="17" style="7" bestFit="1" customWidth="1"/>
    <col min="5" max="5" width="15.33203125" style="7" bestFit="1" customWidth="1"/>
    <col min="6" max="6" width="13.33203125" style="7" bestFit="1" customWidth="1"/>
    <col min="7" max="16384" width="9.109375" style="7"/>
  </cols>
  <sheetData>
    <row r="1" spans="1:6" x14ac:dyDescent="0.25">
      <c r="A1" s="7" t="s">
        <v>540</v>
      </c>
      <c r="C1" s="1042"/>
    </row>
    <row r="2" spans="1:6" ht="13.8" thickBot="1" x14ac:dyDescent="0.3">
      <c r="A2" s="7" t="s">
        <v>0</v>
      </c>
    </row>
    <row r="3" spans="1:6" ht="13.8" thickBot="1" x14ac:dyDescent="0.3">
      <c r="A3" s="1052" t="s">
        <v>625</v>
      </c>
      <c r="B3" s="1053"/>
    </row>
    <row r="4" spans="1:6" x14ac:dyDescent="0.25">
      <c r="A4" s="112"/>
      <c r="D4" s="4"/>
      <c r="E4" s="4"/>
      <c r="F4" s="5" t="s">
        <v>1</v>
      </c>
    </row>
    <row r="5" spans="1:6" x14ac:dyDescent="0.25">
      <c r="A5" s="3" t="s">
        <v>2</v>
      </c>
      <c r="B5" s="3"/>
      <c r="C5" s="3"/>
      <c r="D5" s="52" t="s">
        <v>3</v>
      </c>
      <c r="E5" s="52" t="s">
        <v>4</v>
      </c>
      <c r="F5" s="52" t="s">
        <v>5</v>
      </c>
    </row>
    <row r="6" spans="1:6" x14ac:dyDescent="0.25">
      <c r="D6" s="586" t="s">
        <v>6</v>
      </c>
      <c r="E6" s="586" t="s">
        <v>7</v>
      </c>
      <c r="F6" s="586" t="s">
        <v>8</v>
      </c>
    </row>
    <row r="7" spans="1:6" x14ac:dyDescent="0.25">
      <c r="A7" s="7">
        <v>1</v>
      </c>
      <c r="B7" s="53" t="s">
        <v>416</v>
      </c>
      <c r="C7" s="53"/>
    </row>
    <row r="8" spans="1:6" x14ac:dyDescent="0.25">
      <c r="A8" s="7">
        <f t="shared" ref="A8:A26" si="0">A7+1</f>
        <v>2</v>
      </c>
      <c r="B8" s="53"/>
      <c r="C8" s="53"/>
    </row>
    <row r="9" spans="1:6" x14ac:dyDescent="0.25">
      <c r="A9" s="7">
        <f t="shared" si="0"/>
        <v>3</v>
      </c>
      <c r="B9" s="7" t="s">
        <v>9</v>
      </c>
      <c r="C9" s="7" t="s">
        <v>417</v>
      </c>
      <c r="D9" s="23">
        <v>-92120526.966453403</v>
      </c>
      <c r="E9" s="23">
        <v>-91119280.805196002</v>
      </c>
      <c r="F9" s="103">
        <f>E9-D9</f>
        <v>1001246.1612574011</v>
      </c>
    </row>
    <row r="10" spans="1:6" x14ac:dyDescent="0.25">
      <c r="A10" s="7">
        <f t="shared" si="0"/>
        <v>4</v>
      </c>
      <c r="D10" s="50"/>
      <c r="E10" s="50"/>
      <c r="F10" s="104"/>
    </row>
    <row r="11" spans="1:6" x14ac:dyDescent="0.25">
      <c r="A11" s="7">
        <f t="shared" si="0"/>
        <v>5</v>
      </c>
      <c r="B11" s="7" t="s">
        <v>10</v>
      </c>
      <c r="D11" s="47"/>
      <c r="E11" s="47"/>
      <c r="F11" s="105"/>
    </row>
    <row r="12" spans="1:6" x14ac:dyDescent="0.25">
      <c r="A12" s="7">
        <f t="shared" si="0"/>
        <v>6</v>
      </c>
      <c r="B12" s="6" t="s">
        <v>418</v>
      </c>
      <c r="D12" s="1045">
        <v>83892176.315384135</v>
      </c>
      <c r="E12" s="1045">
        <v>77057414.920000002</v>
      </c>
      <c r="F12" s="106">
        <f>E12-D12</f>
        <v>-6834761.3953841329</v>
      </c>
    </row>
    <row r="13" spans="1:6" x14ac:dyDescent="0.25">
      <c r="A13" s="7">
        <f t="shared" si="0"/>
        <v>7</v>
      </c>
      <c r="B13" s="6" t="s">
        <v>419</v>
      </c>
      <c r="D13" s="56">
        <v>8272206.7535545025</v>
      </c>
      <c r="E13" s="1045">
        <v>9215755.0300000012</v>
      </c>
      <c r="F13" s="106">
        <f>E13-D13</f>
        <v>943548.27644549869</v>
      </c>
    </row>
    <row r="14" spans="1:6" x14ac:dyDescent="0.25">
      <c r="A14" s="7">
        <f t="shared" si="0"/>
        <v>8</v>
      </c>
      <c r="B14" s="6" t="s">
        <v>11</v>
      </c>
      <c r="D14" s="79">
        <v>92164383.068938643</v>
      </c>
      <c r="E14" s="79">
        <f>SUM(E12:E13)</f>
        <v>86273169.950000003</v>
      </c>
      <c r="F14" s="79">
        <f>SUM(F12:F13)</f>
        <v>-5891213.1189386342</v>
      </c>
    </row>
    <row r="15" spans="1:6" x14ac:dyDescent="0.25">
      <c r="A15" s="7">
        <f t="shared" si="0"/>
        <v>9</v>
      </c>
      <c r="D15" s="102"/>
      <c r="E15" s="102"/>
      <c r="F15" s="107"/>
    </row>
    <row r="16" spans="1:6" x14ac:dyDescent="0.25">
      <c r="A16" s="7">
        <f t="shared" si="0"/>
        <v>10</v>
      </c>
      <c r="B16" s="7" t="s">
        <v>420</v>
      </c>
      <c r="D16" s="106"/>
      <c r="E16" s="106"/>
      <c r="F16" s="102">
        <f>F9+F14</f>
        <v>-4889966.9576812331</v>
      </c>
    </row>
    <row r="17" spans="1:6" x14ac:dyDescent="0.25">
      <c r="A17" s="7">
        <f t="shared" si="0"/>
        <v>11</v>
      </c>
      <c r="D17" s="106"/>
      <c r="E17" s="106"/>
      <c r="F17" s="106"/>
    </row>
    <row r="18" spans="1:6" x14ac:dyDescent="0.25">
      <c r="A18" s="7">
        <f t="shared" si="0"/>
        <v>12</v>
      </c>
      <c r="B18" s="53" t="s">
        <v>421</v>
      </c>
      <c r="C18" s="53"/>
      <c r="D18" s="106"/>
      <c r="E18" s="106"/>
      <c r="F18" s="106"/>
    </row>
    <row r="19" spans="1:6" x14ac:dyDescent="0.25">
      <c r="A19" s="7">
        <f t="shared" si="0"/>
        <v>13</v>
      </c>
      <c r="B19" s="53"/>
      <c r="C19" s="53"/>
      <c r="D19" s="4"/>
      <c r="E19" s="4"/>
      <c r="F19" s="5" t="s">
        <v>1</v>
      </c>
    </row>
    <row r="20" spans="1:6" x14ac:dyDescent="0.25">
      <c r="A20" s="7">
        <f t="shared" si="0"/>
        <v>14</v>
      </c>
      <c r="B20" s="7" t="s">
        <v>354</v>
      </c>
      <c r="D20" s="52" t="s">
        <v>3</v>
      </c>
      <c r="E20" s="52" t="s">
        <v>4</v>
      </c>
      <c r="F20" s="52" t="s">
        <v>5</v>
      </c>
    </row>
    <row r="21" spans="1:6" x14ac:dyDescent="0.25">
      <c r="A21" s="7">
        <f t="shared" si="0"/>
        <v>15</v>
      </c>
      <c r="B21" s="6" t="s">
        <v>422</v>
      </c>
      <c r="C21" s="6"/>
    </row>
    <row r="22" spans="1:6" x14ac:dyDescent="0.25">
      <c r="A22" s="7">
        <f t="shared" si="0"/>
        <v>16</v>
      </c>
      <c r="B22" s="6" t="s">
        <v>423</v>
      </c>
      <c r="C22" s="6"/>
      <c r="D22" s="56">
        <v>-25406860.305173051</v>
      </c>
      <c r="E22" s="1045">
        <v>-28257775.910378762</v>
      </c>
      <c r="F22" s="102">
        <f>E22-D22</f>
        <v>-2850915.605205711</v>
      </c>
    </row>
    <row r="23" spans="1:6" x14ac:dyDescent="0.25">
      <c r="A23" s="7">
        <f t="shared" si="0"/>
        <v>17</v>
      </c>
      <c r="B23" s="6"/>
      <c r="C23" s="6"/>
      <c r="D23" s="56"/>
      <c r="E23" s="56"/>
      <c r="F23" s="102"/>
    </row>
    <row r="24" spans="1:6" x14ac:dyDescent="0.25">
      <c r="A24" s="7">
        <f t="shared" si="0"/>
        <v>18</v>
      </c>
      <c r="B24" s="6"/>
      <c r="C24" s="6"/>
      <c r="D24" s="56"/>
      <c r="E24" s="56"/>
      <c r="F24" s="102"/>
    </row>
    <row r="25" spans="1:6" x14ac:dyDescent="0.25">
      <c r="A25" s="7">
        <f t="shared" si="0"/>
        <v>19</v>
      </c>
      <c r="D25" s="106"/>
      <c r="E25" s="106"/>
      <c r="F25" s="107"/>
    </row>
    <row r="26" spans="1:6" ht="13.8" thickBot="1" x14ac:dyDescent="0.3">
      <c r="A26" s="7">
        <f t="shared" si="0"/>
        <v>20</v>
      </c>
      <c r="B26" s="7" t="s">
        <v>12</v>
      </c>
      <c r="D26" s="108"/>
      <c r="E26" s="106"/>
      <c r="F26" s="109">
        <f>SUM(F16:F25)</f>
        <v>-7740882.562886944</v>
      </c>
    </row>
    <row r="27" spans="1:6" ht="13.8" thickTop="1" x14ac:dyDescent="0.25"/>
    <row r="28" spans="1:6" x14ac:dyDescent="0.25">
      <c r="F28" s="106"/>
    </row>
    <row r="43" spans="4:4" x14ac:dyDescent="0.25">
      <c r="D43" s="7" t="s">
        <v>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39997558519241921"/>
  </sheetPr>
  <dimension ref="A1:J19"/>
  <sheetViews>
    <sheetView workbookViewId="0">
      <selection activeCell="C10" sqref="C10"/>
    </sheetView>
  </sheetViews>
  <sheetFormatPr defaultColWidth="9.109375" defaultRowHeight="13.2" x14ac:dyDescent="0.25"/>
  <cols>
    <col min="1" max="1" width="4.5546875" style="7" bestFit="1" customWidth="1"/>
    <col min="2" max="2" width="66.6640625" style="7" bestFit="1" customWidth="1"/>
    <col min="3" max="3" width="14.6640625" style="7" bestFit="1" customWidth="1"/>
    <col min="4" max="4" width="10.88671875" style="7" bestFit="1" customWidth="1"/>
    <col min="5" max="5" width="14.44140625" style="7" bestFit="1" customWidth="1"/>
    <col min="6" max="6" width="2.33203125" style="7" customWidth="1"/>
    <col min="7" max="7" width="9.109375" style="7"/>
    <col min="8" max="8" width="12.44140625" style="7" bestFit="1" customWidth="1"/>
    <col min="9" max="9" width="9.33203125" style="7" bestFit="1" customWidth="1"/>
    <col min="10" max="10" width="12.44140625" style="7" bestFit="1" customWidth="1"/>
    <col min="11" max="16384" width="9.109375" style="7"/>
  </cols>
  <sheetData>
    <row r="1" spans="1:10" x14ac:dyDescent="0.25">
      <c r="A1" s="38" t="s">
        <v>30</v>
      </c>
      <c r="B1" s="38"/>
      <c r="C1" s="38"/>
      <c r="D1" s="38"/>
      <c r="E1" s="38"/>
    </row>
    <row r="2" spans="1:10" x14ac:dyDescent="0.25">
      <c r="A2" s="38" t="s">
        <v>31</v>
      </c>
      <c r="B2" s="38"/>
      <c r="C2" s="38"/>
      <c r="D2" s="38"/>
      <c r="E2" s="38"/>
    </row>
    <row r="3" spans="1:10" x14ac:dyDescent="0.25">
      <c r="A3" s="39" t="s">
        <v>560</v>
      </c>
      <c r="B3" s="38"/>
      <c r="C3" s="38"/>
      <c r="D3" s="38"/>
      <c r="E3" s="38"/>
    </row>
    <row r="4" spans="1:10" x14ac:dyDescent="0.25">
      <c r="A4" s="1122"/>
      <c r="B4" s="1122"/>
      <c r="C4" s="1122"/>
      <c r="D4" s="1122"/>
      <c r="E4" s="1122"/>
    </row>
    <row r="5" spans="1:10" x14ac:dyDescent="0.25">
      <c r="A5" s="448"/>
      <c r="B5" s="448"/>
      <c r="C5" s="110"/>
      <c r="D5" s="110"/>
      <c r="E5" s="110"/>
    </row>
    <row r="6" spans="1:10" s="41" customFormat="1" ht="26.4" x14ac:dyDescent="0.25">
      <c r="A6" s="40" t="s">
        <v>17</v>
      </c>
      <c r="B6" s="40" t="s">
        <v>2</v>
      </c>
      <c r="C6" s="40" t="s">
        <v>32</v>
      </c>
      <c r="D6" s="40" t="s">
        <v>33</v>
      </c>
      <c r="E6" s="40" t="s">
        <v>16</v>
      </c>
      <c r="H6" s="7"/>
      <c r="I6" s="7"/>
      <c r="J6" s="7"/>
    </row>
    <row r="7" spans="1:10" x14ac:dyDescent="0.25">
      <c r="A7" s="42"/>
      <c r="B7" s="42"/>
      <c r="C7" s="42"/>
      <c r="D7" s="38"/>
    </row>
    <row r="8" spans="1:10" x14ac:dyDescent="0.25">
      <c r="A8" s="42">
        <v>1</v>
      </c>
      <c r="B8" s="17" t="s">
        <v>568</v>
      </c>
      <c r="C8" s="50">
        <f>'CY Rev Remove 449'!F11</f>
        <v>95554617.073616177</v>
      </c>
      <c r="D8" s="43">
        <f>'CY Conv Fctr (2017 GRC Tx Rfrm)'!E18</f>
        <v>0.95238599999999995</v>
      </c>
      <c r="E8" s="50">
        <f>+C8/D8</f>
        <v>100331816.1686713</v>
      </c>
    </row>
    <row r="9" spans="1:10" x14ac:dyDescent="0.25">
      <c r="A9" s="42"/>
      <c r="B9" s="17"/>
      <c r="C9" s="50"/>
      <c r="D9" s="43"/>
    </row>
    <row r="10" spans="1:10" x14ac:dyDescent="0.25">
      <c r="A10" s="42">
        <v>2</v>
      </c>
      <c r="B10" s="17" t="s">
        <v>414</v>
      </c>
      <c r="C10" s="50">
        <f>'CY Rev Remove 449'!F13</f>
        <v>-5892578.7671982944</v>
      </c>
      <c r="D10" s="43">
        <f>+$D$8</f>
        <v>0.95238599999999995</v>
      </c>
      <c r="E10" s="50">
        <f>+C10/D10</f>
        <v>-6187174.9135311674</v>
      </c>
    </row>
    <row r="11" spans="1:10" x14ac:dyDescent="0.25">
      <c r="A11" s="42"/>
      <c r="B11" s="42"/>
      <c r="C11" s="44"/>
      <c r="D11" s="43"/>
      <c r="E11" s="45"/>
    </row>
    <row r="12" spans="1:10" ht="13.8" thickBot="1" x14ac:dyDescent="0.3">
      <c r="A12" s="42">
        <v>3</v>
      </c>
      <c r="B12" s="19" t="s">
        <v>35</v>
      </c>
      <c r="C12" s="46">
        <f>SUM(C8:C11)</f>
        <v>89662038.306417882</v>
      </c>
      <c r="D12" s="43"/>
      <c r="E12" s="46">
        <f>SUM(E8:E11)</f>
        <v>94144641.255140126</v>
      </c>
    </row>
    <row r="13" spans="1:10" ht="13.8" thickTop="1" x14ac:dyDescent="0.25">
      <c r="A13" s="42"/>
      <c r="B13" s="42"/>
      <c r="C13" s="42"/>
      <c r="D13" s="43"/>
      <c r="E13" s="47"/>
      <c r="H13" s="47"/>
      <c r="J13" s="47"/>
    </row>
    <row r="14" spans="1:10" ht="14.4" x14ac:dyDescent="0.3">
      <c r="B14" s="450"/>
      <c r="C14" s="49"/>
      <c r="D14" s="322"/>
      <c r="E14" s="534"/>
    </row>
    <row r="15" spans="1:10" x14ac:dyDescent="0.25">
      <c r="F15" s="448"/>
    </row>
    <row r="19" spans="8:10" x14ac:dyDescent="0.25">
      <c r="H19" s="47"/>
      <c r="J19" s="47"/>
    </row>
  </sheetData>
  <mergeCells count="1">
    <mergeCell ref="A4:E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sheetPr>
  <dimension ref="A1:F41"/>
  <sheetViews>
    <sheetView workbookViewId="0">
      <selection activeCell="D11" sqref="D11"/>
    </sheetView>
  </sheetViews>
  <sheetFormatPr defaultColWidth="9.109375" defaultRowHeight="13.2" x14ac:dyDescent="0.25"/>
  <cols>
    <col min="1" max="1" width="8.33203125" style="7" bestFit="1" customWidth="1"/>
    <col min="2" max="2" width="8" style="586" bestFit="1" customWidth="1"/>
    <col min="3" max="3" width="58.109375" style="7" customWidth="1"/>
    <col min="4" max="4" width="13.5546875" style="7" bestFit="1" customWidth="1"/>
    <col min="5" max="5" width="12.109375" style="7" bestFit="1" customWidth="1"/>
    <col min="6" max="6" width="13.5546875" style="7" bestFit="1" customWidth="1"/>
    <col min="7" max="16384" width="9.109375" style="7"/>
  </cols>
  <sheetData>
    <row r="1" spans="1:6" x14ac:dyDescent="0.25">
      <c r="A1" s="1124" t="s">
        <v>14</v>
      </c>
      <c r="B1" s="1124"/>
      <c r="C1" s="1124"/>
      <c r="D1" s="1124"/>
      <c r="E1" s="1124"/>
      <c r="F1" s="1124"/>
    </row>
    <row r="2" spans="1:6" x14ac:dyDescent="0.25">
      <c r="A2" s="1124" t="s">
        <v>15</v>
      </c>
      <c r="B2" s="1124"/>
      <c r="C2" s="1124"/>
      <c r="D2" s="1124"/>
      <c r="E2" s="1124"/>
      <c r="F2" s="1124"/>
    </row>
    <row r="3" spans="1:6" x14ac:dyDescent="0.25">
      <c r="A3" s="1124" t="s">
        <v>16</v>
      </c>
      <c r="B3" s="1124"/>
      <c r="C3" s="1124"/>
      <c r="D3" s="1124"/>
      <c r="E3" s="1124"/>
      <c r="F3" s="1124"/>
    </row>
    <row r="4" spans="1:6" x14ac:dyDescent="0.25">
      <c r="A4" s="1124" t="s">
        <v>560</v>
      </c>
      <c r="B4" s="1124"/>
      <c r="C4" s="1124"/>
      <c r="D4" s="1124"/>
      <c r="E4" s="1124"/>
      <c r="F4" s="1124"/>
    </row>
    <row r="5" spans="1:6" x14ac:dyDescent="0.25">
      <c r="A5" s="110"/>
      <c r="B5" s="38"/>
      <c r="C5" s="38"/>
      <c r="D5" s="38"/>
      <c r="E5" s="38"/>
      <c r="F5" s="38"/>
    </row>
    <row r="6" spans="1:6" x14ac:dyDescent="0.25">
      <c r="A6" s="42" t="s">
        <v>17</v>
      </c>
      <c r="B6" s="42"/>
      <c r="C6" s="42" t="s">
        <v>2</v>
      </c>
      <c r="D6" s="42" t="s">
        <v>18</v>
      </c>
      <c r="E6" s="38" t="s">
        <v>19</v>
      </c>
      <c r="F6" s="42" t="s">
        <v>20</v>
      </c>
    </row>
    <row r="7" spans="1:6" x14ac:dyDescent="0.25">
      <c r="A7" s="42"/>
      <c r="B7" s="42"/>
      <c r="C7" s="42"/>
      <c r="D7" s="42" t="s">
        <v>6</v>
      </c>
      <c r="E7" s="38" t="s">
        <v>7</v>
      </c>
      <c r="F7" s="42" t="s">
        <v>21</v>
      </c>
    </row>
    <row r="8" spans="1:6" ht="13.8" thickBot="1" x14ac:dyDescent="0.3">
      <c r="A8" s="42"/>
      <c r="B8" s="42"/>
      <c r="C8" s="42"/>
      <c r="D8" s="42"/>
      <c r="E8" s="38"/>
      <c r="F8" s="42"/>
    </row>
    <row r="9" spans="1:6" x14ac:dyDescent="0.25">
      <c r="A9" s="8"/>
      <c r="B9" s="9"/>
      <c r="C9" s="10" t="s">
        <v>22</v>
      </c>
      <c r="D9" s="9"/>
      <c r="E9" s="11"/>
      <c r="F9" s="12"/>
    </row>
    <row r="10" spans="1:6" x14ac:dyDescent="0.25">
      <c r="A10" s="13"/>
      <c r="B10" s="42"/>
      <c r="C10" s="42"/>
      <c r="D10" s="42"/>
      <c r="E10" s="14"/>
      <c r="F10" s="15"/>
    </row>
    <row r="11" spans="1:6" x14ac:dyDescent="0.25">
      <c r="A11" s="16">
        <v>1</v>
      </c>
      <c r="B11" s="42"/>
      <c r="C11" s="17" t="s">
        <v>559</v>
      </c>
      <c r="D11" s="50">
        <f>'2020 Budget (Rvsd) UE-190905'!N80</f>
        <v>97697021.440515935</v>
      </c>
      <c r="E11" s="50">
        <f>-'2020 Budget (Rvsd) UE-190905'!N29</f>
        <v>-2142404.3668997576</v>
      </c>
      <c r="F11" s="33">
        <f>+D11+E11</f>
        <v>95554617.073616177</v>
      </c>
    </row>
    <row r="12" spans="1:6" x14ac:dyDescent="0.25">
      <c r="A12" s="16"/>
      <c r="B12" s="42"/>
      <c r="C12" s="17"/>
      <c r="D12" s="50"/>
      <c r="E12" s="14"/>
      <c r="F12" s="15"/>
    </row>
    <row r="13" spans="1:6" x14ac:dyDescent="0.25">
      <c r="A13" s="16">
        <v>2</v>
      </c>
      <c r="B13" s="18"/>
      <c r="C13" s="19" t="s">
        <v>561</v>
      </c>
      <c r="D13" s="102">
        <f>SUM(E13:F13)</f>
        <v>-5892578.7671982944</v>
      </c>
      <c r="E13" s="20" t="s">
        <v>23</v>
      </c>
      <c r="F13" s="21">
        <f>'CY True-Up'!F27</f>
        <v>-5892578.7671982944</v>
      </c>
    </row>
    <row r="14" spans="1:6" ht="12.75" customHeight="1" x14ac:dyDescent="0.25">
      <c r="A14" s="16"/>
      <c r="B14" s="42"/>
      <c r="C14" s="48"/>
      <c r="D14" s="45"/>
      <c r="E14" s="45"/>
      <c r="F14" s="22"/>
    </row>
    <row r="15" spans="1:6" x14ac:dyDescent="0.25">
      <c r="A15" s="16">
        <v>3</v>
      </c>
      <c r="B15" s="18" t="s">
        <v>24</v>
      </c>
      <c r="C15" s="19" t="s">
        <v>25</v>
      </c>
      <c r="D15" s="23">
        <f>SUM(D13,D11)</f>
        <v>91804442.673317641</v>
      </c>
      <c r="E15" s="23">
        <f>SUM(E13,E11)</f>
        <v>-2142404.3668997576</v>
      </c>
      <c r="F15" s="24">
        <f>SUM(F11:F14)</f>
        <v>89662038.306417882</v>
      </c>
    </row>
    <row r="16" spans="1:6" x14ac:dyDescent="0.25">
      <c r="A16" s="16"/>
      <c r="B16" s="18"/>
      <c r="C16" s="19"/>
      <c r="D16" s="50"/>
      <c r="E16" s="50"/>
      <c r="F16" s="33"/>
    </row>
    <row r="17" spans="1:6" ht="13.8" thickBot="1" x14ac:dyDescent="0.3">
      <c r="A17" s="25"/>
      <c r="B17" s="26"/>
      <c r="C17" s="27"/>
      <c r="D17" s="27"/>
      <c r="E17" s="27"/>
      <c r="F17" s="28"/>
    </row>
    <row r="18" spans="1:6" x14ac:dyDescent="0.25">
      <c r="A18" s="42"/>
      <c r="C18" s="7" t="s">
        <v>393</v>
      </c>
    </row>
    <row r="19" spans="1:6" ht="13.8" thickBot="1" x14ac:dyDescent="0.3">
      <c r="A19" s="42"/>
    </row>
    <row r="20" spans="1:6" x14ac:dyDescent="0.25">
      <c r="A20" s="29"/>
      <c r="B20" s="9"/>
      <c r="C20" s="10" t="s">
        <v>16</v>
      </c>
      <c r="D20" s="30"/>
      <c r="E20" s="30"/>
      <c r="F20" s="12"/>
    </row>
    <row r="21" spans="1:6" x14ac:dyDescent="0.25">
      <c r="A21" s="16"/>
      <c r="B21" s="42"/>
      <c r="C21" s="48"/>
      <c r="D21" s="48"/>
      <c r="E21" s="48"/>
      <c r="F21" s="15"/>
    </row>
    <row r="22" spans="1:6" x14ac:dyDescent="0.25">
      <c r="A22" s="16">
        <v>4</v>
      </c>
      <c r="B22" s="42"/>
      <c r="C22" s="48" t="s">
        <v>392</v>
      </c>
      <c r="D22" s="1054">
        <f>'CY Conv Fctr (2017 GRC Tx Rfrm)'!E18</f>
        <v>0.95238599999999995</v>
      </c>
      <c r="E22" s="1054">
        <f>D22</f>
        <v>0.95238599999999995</v>
      </c>
      <c r="F22" s="1055">
        <f>E22</f>
        <v>0.95238599999999995</v>
      </c>
    </row>
    <row r="23" spans="1:6" x14ac:dyDescent="0.25">
      <c r="A23" s="16"/>
      <c r="B23" s="42"/>
      <c r="C23" s="48"/>
      <c r="D23" s="48"/>
      <c r="E23" s="48"/>
      <c r="F23" s="15"/>
    </row>
    <row r="24" spans="1:6" x14ac:dyDescent="0.25">
      <c r="A24" s="16">
        <v>5</v>
      </c>
      <c r="B24" s="18" t="s">
        <v>26</v>
      </c>
      <c r="C24" s="17" t="s">
        <v>415</v>
      </c>
      <c r="D24" s="50">
        <f>D11/D22</f>
        <v>102581328.83149894</v>
      </c>
      <c r="E24" s="50">
        <f>+E11/E22</f>
        <v>-2249512.6628276329</v>
      </c>
      <c r="F24" s="33">
        <f>D24+E24</f>
        <v>100331816.16867131</v>
      </c>
    </row>
    <row r="25" spans="1:6" x14ac:dyDescent="0.25">
      <c r="A25" s="16"/>
      <c r="B25" s="18"/>
      <c r="C25" s="19"/>
      <c r="D25" s="31"/>
      <c r="E25" s="31"/>
      <c r="F25" s="21"/>
    </row>
    <row r="26" spans="1:6" x14ac:dyDescent="0.25">
      <c r="A26" s="16">
        <v>6</v>
      </c>
      <c r="B26" s="18" t="s">
        <v>27</v>
      </c>
      <c r="C26" s="19" t="s">
        <v>562</v>
      </c>
      <c r="D26" s="102">
        <f>D13/D22</f>
        <v>-6187174.9135311674</v>
      </c>
      <c r="E26" s="20" t="s">
        <v>23</v>
      </c>
      <c r="F26" s="21">
        <f>F13/F22</f>
        <v>-6187174.9135311674</v>
      </c>
    </row>
    <row r="27" spans="1:6" ht="14.4" x14ac:dyDescent="0.3">
      <c r="A27" s="16"/>
      <c r="B27" s="18"/>
      <c r="C27" s="19"/>
      <c r="D27" s="459"/>
      <c r="E27" s="460"/>
      <c r="F27" s="461"/>
    </row>
    <row r="28" spans="1:6" x14ac:dyDescent="0.25">
      <c r="A28" s="16">
        <v>7</v>
      </c>
      <c r="B28" s="18" t="s">
        <v>28</v>
      </c>
      <c r="C28" s="19" t="s">
        <v>29</v>
      </c>
      <c r="D28" s="23">
        <f>SUM(D24:D27)</f>
        <v>96394153.917967767</v>
      </c>
      <c r="E28" s="23">
        <f>SUM(E24:E27)</f>
        <v>-2249512.6628276329</v>
      </c>
      <c r="F28" s="24">
        <f>SUM(F24:F27)</f>
        <v>94144641.255140141</v>
      </c>
    </row>
    <row r="29" spans="1:6" x14ac:dyDescent="0.25">
      <c r="A29" s="16"/>
      <c r="B29" s="18"/>
      <c r="C29" s="32"/>
      <c r="D29" s="50"/>
      <c r="E29" s="50"/>
      <c r="F29" s="33"/>
    </row>
    <row r="30" spans="1:6" ht="13.8" thickBot="1" x14ac:dyDescent="0.3">
      <c r="A30" s="34"/>
      <c r="B30" s="35"/>
      <c r="C30" s="35"/>
      <c r="D30" s="35"/>
      <c r="E30" s="35"/>
      <c r="F30" s="36"/>
    </row>
    <row r="31" spans="1:6" x14ac:dyDescent="0.25">
      <c r="A31" s="37"/>
      <c r="B31" s="37"/>
      <c r="C31" s="37"/>
      <c r="D31" s="37"/>
      <c r="E31" s="37"/>
      <c r="F31" s="37"/>
    </row>
    <row r="32" spans="1:6" x14ac:dyDescent="0.25">
      <c r="A32" s="37"/>
    </row>
    <row r="33" spans="1:6" ht="14.4" x14ac:dyDescent="0.3">
      <c r="A33" s="37"/>
      <c r="B33" s="449"/>
      <c r="C33" s="449"/>
      <c r="D33" s="449"/>
      <c r="E33" s="449"/>
      <c r="F33" s="449"/>
    </row>
    <row r="34" spans="1:6" ht="43.5" customHeight="1" x14ac:dyDescent="0.25">
      <c r="A34" s="37"/>
      <c r="B34" s="1125" t="s">
        <v>622</v>
      </c>
      <c r="C34" s="1125"/>
      <c r="D34" s="1125"/>
      <c r="E34" s="1125"/>
      <c r="F34" s="1125"/>
    </row>
    <row r="35" spans="1:6" ht="37.5" customHeight="1" x14ac:dyDescent="0.25">
      <c r="A35" s="37"/>
      <c r="B35" s="1125"/>
      <c r="C35" s="1125"/>
      <c r="D35" s="1125"/>
      <c r="E35" s="1125"/>
      <c r="F35" s="1125"/>
    </row>
    <row r="37" spans="1:6" ht="15" customHeight="1" x14ac:dyDescent="0.25">
      <c r="B37" s="1123" t="s">
        <v>577</v>
      </c>
      <c r="C37" s="1123"/>
      <c r="D37" s="1123"/>
      <c r="E37" s="1123"/>
      <c r="F37" s="1123"/>
    </row>
    <row r="38" spans="1:6" x14ac:dyDescent="0.25">
      <c r="B38" s="1123"/>
      <c r="C38" s="1123"/>
      <c r="D38" s="1123"/>
      <c r="E38" s="1123"/>
      <c r="F38" s="1123"/>
    </row>
    <row r="41" spans="1:6" x14ac:dyDescent="0.25">
      <c r="D41" s="47"/>
    </row>
  </sheetData>
  <mergeCells count="6">
    <mergeCell ref="B37:F38"/>
    <mergeCell ref="A1:F1"/>
    <mergeCell ref="A2:F2"/>
    <mergeCell ref="A3:F3"/>
    <mergeCell ref="A4:F4"/>
    <mergeCell ref="B34:F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96"/>
  <sheetViews>
    <sheetView showGridLines="0" topLeftCell="H1" zoomScaleNormal="100" workbookViewId="0">
      <pane ySplit="5" topLeftCell="A78" activePane="bottomLeft" state="frozen"/>
      <selection activeCell="D43" sqref="D43"/>
      <selection pane="bottomLeft" activeCell="N80" sqref="N80"/>
    </sheetView>
  </sheetViews>
  <sheetFormatPr defaultColWidth="9.109375" defaultRowHeight="13.2" x14ac:dyDescent="0.25"/>
  <cols>
    <col min="1" max="1" width="4.88671875" style="587" customWidth="1"/>
    <col min="2" max="2" width="5.88671875" style="587" customWidth="1"/>
    <col min="3" max="3" width="12.6640625" style="588" customWidth="1"/>
    <col min="4" max="4" width="6.33203125" style="587" customWidth="1"/>
    <col min="5" max="5" width="6.109375" style="587" customWidth="1"/>
    <col min="6" max="6" width="35" style="587" customWidth="1"/>
    <col min="7" max="7" width="16.44140625" style="587" customWidth="1"/>
    <col min="8" max="8" width="18.5546875" style="587" customWidth="1"/>
    <col min="9" max="9" width="19.109375" style="587" customWidth="1"/>
    <col min="10" max="10" width="16.88671875" style="587" customWidth="1"/>
    <col min="11" max="11" width="19.5546875" style="587" customWidth="1"/>
    <col min="12" max="12" width="9.109375" style="587"/>
    <col min="13" max="14" width="18.5546875" style="587" customWidth="1"/>
    <col min="15" max="16384" width="9.109375" style="587"/>
  </cols>
  <sheetData>
    <row r="1" spans="1:14" s="986" customFormat="1" ht="33.6" customHeight="1" x14ac:dyDescent="0.3">
      <c r="C1" s="987"/>
      <c r="G1" s="1130">
        <v>2020</v>
      </c>
      <c r="H1" s="1130"/>
      <c r="I1" s="1130"/>
      <c r="J1" s="1126" t="s">
        <v>593</v>
      </c>
      <c r="K1" s="1127"/>
      <c r="M1" s="1126" t="s">
        <v>592</v>
      </c>
      <c r="N1" s="1127"/>
    </row>
    <row r="2" spans="1:14" ht="42" customHeight="1" thickBot="1" x14ac:dyDescent="0.35">
      <c r="E2" s="985"/>
      <c r="F2" s="984" t="s">
        <v>366</v>
      </c>
      <c r="I2" s="983"/>
      <c r="J2" s="1128"/>
      <c r="K2" s="1129"/>
      <c r="M2" s="1128"/>
      <c r="N2" s="1129"/>
    </row>
    <row r="3" spans="1:14" ht="17.25" customHeight="1" thickBot="1" x14ac:dyDescent="0.35">
      <c r="B3" s="982" t="s">
        <v>183</v>
      </c>
      <c r="C3" s="981"/>
      <c r="D3" s="1131">
        <v>43887.571011689812</v>
      </c>
      <c r="E3" s="1131"/>
      <c r="F3" s="1131"/>
      <c r="G3" s="980"/>
      <c r="H3" s="979"/>
      <c r="I3" s="978"/>
      <c r="J3" s="977"/>
      <c r="K3" s="977"/>
      <c r="M3" s="976"/>
      <c r="N3" s="976"/>
    </row>
    <row r="4" spans="1:14" ht="96.6" x14ac:dyDescent="0.3">
      <c r="A4" s="661"/>
      <c r="B4" s="975" t="s">
        <v>184</v>
      </c>
      <c r="C4" s="972" t="s">
        <v>185</v>
      </c>
      <c r="D4" s="974" t="s">
        <v>186</v>
      </c>
      <c r="E4" s="973"/>
      <c r="F4" s="972"/>
      <c r="G4" s="971" t="s">
        <v>187</v>
      </c>
      <c r="H4" s="971" t="s">
        <v>188</v>
      </c>
      <c r="I4" s="971" t="s">
        <v>189</v>
      </c>
      <c r="J4" s="971" t="s">
        <v>297</v>
      </c>
      <c r="K4" s="970" t="s">
        <v>367</v>
      </c>
      <c r="M4" s="969" t="s">
        <v>591</v>
      </c>
      <c r="N4" s="968" t="s">
        <v>590</v>
      </c>
    </row>
    <row r="5" spans="1:14" ht="16.2" thickBot="1" x14ac:dyDescent="0.3">
      <c r="A5" s="661"/>
      <c r="B5" s="625"/>
      <c r="C5" s="967"/>
      <c r="D5" s="966" t="s">
        <v>368</v>
      </c>
      <c r="E5" s="965"/>
      <c r="F5" s="965"/>
      <c r="G5" s="964"/>
      <c r="H5" s="964"/>
      <c r="I5" s="964"/>
      <c r="J5" s="964"/>
      <c r="K5" s="963"/>
      <c r="M5" s="962"/>
      <c r="N5" s="961"/>
    </row>
    <row r="6" spans="1:14" ht="15.6" x14ac:dyDescent="0.3">
      <c r="A6" s="661"/>
      <c r="B6" s="960"/>
      <c r="C6" s="959"/>
      <c r="D6" s="958" t="s">
        <v>190</v>
      </c>
      <c r="E6" s="958"/>
      <c r="F6" s="958"/>
      <c r="G6" s="956"/>
      <c r="H6" s="957"/>
      <c r="I6" s="956"/>
      <c r="J6" s="956"/>
      <c r="K6" s="955"/>
      <c r="M6" s="954"/>
      <c r="N6" s="953"/>
    </row>
    <row r="7" spans="1:14" ht="14.4" x14ac:dyDescent="0.3">
      <c r="A7" s="661"/>
      <c r="B7" s="739" t="s">
        <v>6</v>
      </c>
      <c r="C7" s="754">
        <v>201</v>
      </c>
      <c r="D7" s="952" t="s">
        <v>191</v>
      </c>
      <c r="E7" s="907"/>
      <c r="F7" s="906"/>
      <c r="G7" s="930">
        <v>1965.8721</v>
      </c>
      <c r="H7" s="931">
        <v>6149015.801500001</v>
      </c>
      <c r="I7" s="930">
        <v>25007.23</v>
      </c>
      <c r="J7" s="951">
        <v>1272180.7555</v>
      </c>
      <c r="K7" s="950"/>
      <c r="M7" s="929"/>
      <c r="N7" s="928">
        <f t="shared" ref="N7:N21" si="0">H7+M7</f>
        <v>6149015.801500001</v>
      </c>
    </row>
    <row r="8" spans="1:14" ht="14.4" x14ac:dyDescent="0.3">
      <c r="A8" s="661"/>
      <c r="B8" s="731" t="s">
        <v>7</v>
      </c>
      <c r="C8" s="738">
        <v>214</v>
      </c>
      <c r="D8" s="810" t="s">
        <v>369</v>
      </c>
      <c r="E8" s="809"/>
      <c r="F8" s="801"/>
      <c r="G8" s="949">
        <f>SUM(G9:G17)</f>
        <v>102580.88047</v>
      </c>
      <c r="H8" s="901">
        <f>SUM(H9:H17)</f>
        <v>17250917.449999999</v>
      </c>
      <c r="I8" s="886">
        <f>SUM(I9:I17)</f>
        <v>2701926.5</v>
      </c>
      <c r="J8" s="901">
        <f>SUM(J9:J17)</f>
        <v>7147688.5899999999</v>
      </c>
      <c r="K8" s="772"/>
      <c r="M8" s="948">
        <f>SUM(M9:M17)</f>
        <v>0</v>
      </c>
      <c r="N8" s="947">
        <f t="shared" si="0"/>
        <v>17250917.449999999</v>
      </c>
    </row>
    <row r="9" spans="1:14" s="933" customFormat="1" x14ac:dyDescent="0.25">
      <c r="A9" s="946"/>
      <c r="B9" s="945" t="s">
        <v>132</v>
      </c>
      <c r="C9" s="944"/>
      <c r="D9" s="943"/>
      <c r="E9" s="942" t="s">
        <v>192</v>
      </c>
      <c r="F9" s="941"/>
      <c r="G9" s="940">
        <v>31185.377550000001</v>
      </c>
      <c r="H9" s="938">
        <v>6511511.3000000007</v>
      </c>
      <c r="I9" s="939"/>
      <c r="J9" s="938"/>
      <c r="K9" s="937"/>
      <c r="L9" s="936"/>
      <c r="M9" s="935"/>
      <c r="N9" s="934">
        <f t="shared" si="0"/>
        <v>6511511.3000000007</v>
      </c>
    </row>
    <row r="10" spans="1:14" s="933" customFormat="1" x14ac:dyDescent="0.25">
      <c r="A10" s="946"/>
      <c r="B10" s="945" t="s">
        <v>133</v>
      </c>
      <c r="C10" s="944"/>
      <c r="D10" s="943"/>
      <c r="E10" s="942" t="s">
        <v>193</v>
      </c>
      <c r="F10" s="941"/>
      <c r="G10" s="940">
        <v>12434.05</v>
      </c>
      <c r="H10" s="938">
        <v>5004919.5</v>
      </c>
      <c r="I10" s="939">
        <v>565225</v>
      </c>
      <c r="J10" s="938">
        <v>2188169.5</v>
      </c>
      <c r="K10" s="937"/>
      <c r="L10" s="936"/>
      <c r="M10" s="935"/>
      <c r="N10" s="934">
        <f t="shared" si="0"/>
        <v>5004919.5</v>
      </c>
    </row>
    <row r="11" spans="1:14" s="933" customFormat="1" x14ac:dyDescent="0.25">
      <c r="A11" s="946"/>
      <c r="B11" s="945" t="s">
        <v>194</v>
      </c>
      <c r="C11" s="944"/>
      <c r="D11" s="943"/>
      <c r="E11" s="942" t="s">
        <v>195</v>
      </c>
      <c r="F11" s="941"/>
      <c r="G11" s="940">
        <v>1000</v>
      </c>
      <c r="H11" s="938">
        <v>442459.75</v>
      </c>
      <c r="I11" s="939">
        <v>53800</v>
      </c>
      <c r="J11" s="938">
        <v>328959.75</v>
      </c>
      <c r="K11" s="937"/>
      <c r="L11" s="936"/>
      <c r="M11" s="935"/>
      <c r="N11" s="934">
        <f t="shared" si="0"/>
        <v>442459.75</v>
      </c>
    </row>
    <row r="12" spans="1:14" s="933" customFormat="1" x14ac:dyDescent="0.25">
      <c r="A12" s="946"/>
      <c r="B12" s="945" t="s">
        <v>196</v>
      </c>
      <c r="C12" s="944"/>
      <c r="D12" s="943"/>
      <c r="E12" s="942" t="s">
        <v>197</v>
      </c>
      <c r="F12" s="941"/>
      <c r="G12" s="940">
        <v>3657.1774</v>
      </c>
      <c r="H12" s="938">
        <v>1225694.5999999999</v>
      </c>
      <c r="I12" s="939">
        <v>0</v>
      </c>
      <c r="J12" s="938">
        <v>0</v>
      </c>
      <c r="K12" s="937"/>
      <c r="L12" s="936"/>
      <c r="M12" s="935"/>
      <c r="N12" s="934">
        <f t="shared" si="0"/>
        <v>1225694.5999999999</v>
      </c>
    </row>
    <row r="13" spans="1:14" s="933" customFormat="1" x14ac:dyDescent="0.25">
      <c r="A13" s="946"/>
      <c r="B13" s="945" t="s">
        <v>198</v>
      </c>
      <c r="C13" s="944"/>
      <c r="D13" s="943"/>
      <c r="E13" s="942" t="s">
        <v>199</v>
      </c>
      <c r="F13" s="941"/>
      <c r="G13" s="940">
        <v>2002.73128</v>
      </c>
      <c r="H13" s="938">
        <v>1028298.79</v>
      </c>
      <c r="I13" s="939">
        <v>6003.6</v>
      </c>
      <c r="J13" s="938">
        <v>0</v>
      </c>
      <c r="K13" s="937"/>
      <c r="L13" s="936"/>
      <c r="M13" s="935"/>
      <c r="N13" s="934">
        <f t="shared" si="0"/>
        <v>1028298.79</v>
      </c>
    </row>
    <row r="14" spans="1:14" s="933" customFormat="1" x14ac:dyDescent="0.25">
      <c r="A14" s="946"/>
      <c r="B14" s="945" t="s">
        <v>200</v>
      </c>
      <c r="C14" s="944"/>
      <c r="D14" s="943"/>
      <c r="E14" s="942" t="s">
        <v>550</v>
      </c>
      <c r="F14" s="941"/>
      <c r="G14" s="940">
        <v>781.88743999999997</v>
      </c>
      <c r="H14" s="938">
        <v>260517.16</v>
      </c>
      <c r="I14" s="939">
        <v>315223.80000000005</v>
      </c>
      <c r="J14" s="938">
        <v>1281820.75</v>
      </c>
      <c r="K14" s="937"/>
      <c r="L14" s="936"/>
      <c r="M14" s="935"/>
      <c r="N14" s="934">
        <f t="shared" si="0"/>
        <v>260517.16</v>
      </c>
    </row>
    <row r="15" spans="1:14" s="933" customFormat="1" x14ac:dyDescent="0.25">
      <c r="A15" s="946"/>
      <c r="B15" s="945" t="s">
        <v>201</v>
      </c>
      <c r="C15" s="944"/>
      <c r="D15" s="943"/>
      <c r="E15" s="942" t="s">
        <v>204</v>
      </c>
      <c r="F15" s="941"/>
      <c r="G15" s="940">
        <v>2581.9947999999999</v>
      </c>
      <c r="H15" s="938">
        <v>662875.44999999995</v>
      </c>
      <c r="I15" s="939">
        <v>72138.699999999983</v>
      </c>
      <c r="J15" s="938">
        <v>267798.99</v>
      </c>
      <c r="K15" s="937"/>
      <c r="L15" s="936"/>
      <c r="M15" s="935"/>
      <c r="N15" s="934">
        <f t="shared" si="0"/>
        <v>662875.44999999995</v>
      </c>
    </row>
    <row r="16" spans="1:14" s="933" customFormat="1" x14ac:dyDescent="0.25">
      <c r="A16" s="946"/>
      <c r="B16" s="945" t="s">
        <v>203</v>
      </c>
      <c r="C16" s="944"/>
      <c r="D16" s="943"/>
      <c r="E16" s="942" t="s">
        <v>206</v>
      </c>
      <c r="F16" s="941"/>
      <c r="G16" s="940">
        <v>2061.2620000000002</v>
      </c>
      <c r="H16" s="938">
        <v>747078.1</v>
      </c>
      <c r="I16" s="939">
        <v>347675.4</v>
      </c>
      <c r="J16" s="938">
        <v>2081666.8999999997</v>
      </c>
      <c r="K16" s="937"/>
      <c r="L16" s="936"/>
      <c r="M16" s="935"/>
      <c r="N16" s="934">
        <f t="shared" si="0"/>
        <v>747078.1</v>
      </c>
    </row>
    <row r="17" spans="1:14" s="933" customFormat="1" x14ac:dyDescent="0.25">
      <c r="A17" s="946"/>
      <c r="B17" s="945" t="s">
        <v>205</v>
      </c>
      <c r="C17" s="944"/>
      <c r="D17" s="943"/>
      <c r="E17" s="942" t="s">
        <v>208</v>
      </c>
      <c r="F17" s="941"/>
      <c r="G17" s="940">
        <v>46876.4</v>
      </c>
      <c r="H17" s="938">
        <v>1367562.7999999991</v>
      </c>
      <c r="I17" s="939">
        <v>1341860</v>
      </c>
      <c r="J17" s="938">
        <v>999272.7</v>
      </c>
      <c r="K17" s="937"/>
      <c r="L17" s="936"/>
      <c r="M17" s="935"/>
      <c r="N17" s="934">
        <f t="shared" si="0"/>
        <v>1367562.7999999991</v>
      </c>
    </row>
    <row r="18" spans="1:14" ht="14.4" x14ac:dyDescent="0.3">
      <c r="A18" s="661"/>
      <c r="B18" s="731" t="s">
        <v>589</v>
      </c>
      <c r="C18" s="738">
        <v>215</v>
      </c>
      <c r="D18" s="932" t="s">
        <v>371</v>
      </c>
      <c r="E18" s="907"/>
      <c r="F18" s="906"/>
      <c r="G18" s="930">
        <v>723.85</v>
      </c>
      <c r="H18" s="931">
        <v>514254.41000000003</v>
      </c>
      <c r="I18" s="930">
        <v>25930</v>
      </c>
      <c r="J18" s="901">
        <v>145643.66</v>
      </c>
      <c r="K18" s="772"/>
      <c r="M18" s="929"/>
      <c r="N18" s="928">
        <f t="shared" si="0"/>
        <v>514254.41000000003</v>
      </c>
    </row>
    <row r="19" spans="1:14" ht="14.4" x14ac:dyDescent="0.3">
      <c r="A19" s="661"/>
      <c r="B19" s="731" t="s">
        <v>209</v>
      </c>
      <c r="C19" s="738" t="s">
        <v>551</v>
      </c>
      <c r="D19" s="932" t="s">
        <v>552</v>
      </c>
      <c r="E19" s="907"/>
      <c r="F19" s="906"/>
      <c r="G19" s="930">
        <v>0</v>
      </c>
      <c r="H19" s="931">
        <v>43738.33</v>
      </c>
      <c r="I19" s="930">
        <v>0</v>
      </c>
      <c r="J19" s="901">
        <v>43738.33</v>
      </c>
      <c r="K19" s="772"/>
      <c r="M19" s="929"/>
      <c r="N19" s="928">
        <f t="shared" si="0"/>
        <v>43738.33</v>
      </c>
    </row>
    <row r="20" spans="1:14" ht="14.4" x14ac:dyDescent="0.3">
      <c r="A20" s="661"/>
      <c r="B20" s="731" t="s">
        <v>210</v>
      </c>
      <c r="C20" s="738">
        <v>217</v>
      </c>
      <c r="D20" s="810" t="s">
        <v>372</v>
      </c>
      <c r="E20" s="836"/>
      <c r="F20" s="835"/>
      <c r="G20" s="886">
        <v>15736.24012</v>
      </c>
      <c r="H20" s="927">
        <v>7389025.5366600007</v>
      </c>
      <c r="I20" s="886">
        <v>26854.68</v>
      </c>
      <c r="J20" s="901">
        <v>272562.43199999997</v>
      </c>
      <c r="K20" s="772"/>
      <c r="M20" s="926"/>
      <c r="N20" s="925">
        <f t="shared" si="0"/>
        <v>7389025.5366600007</v>
      </c>
    </row>
    <row r="21" spans="1:14" ht="14.4" x14ac:dyDescent="0.3">
      <c r="A21" s="661"/>
      <c r="B21" s="765" t="s">
        <v>211</v>
      </c>
      <c r="C21" s="924">
        <v>218</v>
      </c>
      <c r="D21" s="923" t="s">
        <v>373</v>
      </c>
      <c r="E21" s="922"/>
      <c r="F21" s="922"/>
      <c r="G21" s="921">
        <v>5112</v>
      </c>
      <c r="H21" s="920">
        <v>1975725.55</v>
      </c>
      <c r="I21" s="919">
        <v>45600</v>
      </c>
      <c r="J21" s="918">
        <v>400714.53</v>
      </c>
      <c r="K21" s="917"/>
      <c r="M21" s="916"/>
      <c r="N21" s="915">
        <f t="shared" si="0"/>
        <v>1975725.55</v>
      </c>
    </row>
    <row r="22" spans="1:14" x14ac:dyDescent="0.25">
      <c r="A22" s="661"/>
      <c r="B22" s="671" t="s">
        <v>212</v>
      </c>
      <c r="C22" s="670"/>
      <c r="D22" s="719" t="s">
        <v>213</v>
      </c>
      <c r="E22" s="719"/>
      <c r="F22" s="719"/>
      <c r="G22" s="877">
        <f>G7+G8+SUM(G18:G21)</f>
        <v>126118.84268999999</v>
      </c>
      <c r="H22" s="876">
        <f>H7+H8+SUM(H18:H21)</f>
        <v>33322677.078160003</v>
      </c>
      <c r="I22" s="820">
        <f>I7+I8+SUM(I18:I21)</f>
        <v>2825318.41</v>
      </c>
      <c r="J22" s="876">
        <f>J7+J8+SUM(J18:J21)</f>
        <v>9282528.2974999994</v>
      </c>
      <c r="K22" s="664"/>
      <c r="M22" s="874">
        <f>M7+M8+SUM(M18:M21)</f>
        <v>0</v>
      </c>
      <c r="N22" s="873">
        <f>N7+N8+SUM(N18:N21)</f>
        <v>33322677.078160003</v>
      </c>
    </row>
    <row r="23" spans="1:14" x14ac:dyDescent="0.25">
      <c r="A23" s="661"/>
      <c r="B23" s="765"/>
      <c r="C23" s="645"/>
      <c r="D23" s="858"/>
      <c r="E23" s="625"/>
      <c r="F23" s="625"/>
      <c r="G23" s="819"/>
      <c r="H23" s="856"/>
      <c r="I23" s="857"/>
      <c r="J23" s="856"/>
      <c r="K23" s="855"/>
      <c r="M23" s="854"/>
      <c r="N23" s="853"/>
    </row>
    <row r="24" spans="1:14" ht="15.6" x14ac:dyDescent="0.3">
      <c r="A24" s="661"/>
      <c r="B24" s="914"/>
      <c r="C24" s="913"/>
      <c r="D24" s="912" t="s">
        <v>214</v>
      </c>
      <c r="E24" s="912"/>
      <c r="F24" s="912"/>
      <c r="G24" s="911"/>
      <c r="H24" s="911"/>
      <c r="I24" s="911"/>
      <c r="J24" s="911"/>
      <c r="K24" s="910"/>
      <c r="M24" s="909"/>
      <c r="N24" s="908"/>
    </row>
    <row r="25" spans="1:14" x14ac:dyDescent="0.25">
      <c r="A25" s="661"/>
      <c r="B25" s="807" t="s">
        <v>215</v>
      </c>
      <c r="C25" s="754">
        <v>250</v>
      </c>
      <c r="D25" s="907" t="s">
        <v>216</v>
      </c>
      <c r="E25" s="907"/>
      <c r="F25" s="906"/>
      <c r="G25" s="893">
        <v>64500</v>
      </c>
      <c r="H25" s="892">
        <v>17748239.778864175</v>
      </c>
      <c r="I25" s="893">
        <v>325000</v>
      </c>
      <c r="J25" s="892">
        <v>1491920</v>
      </c>
      <c r="K25" s="722">
        <f t="array" ref="K25:K33">H25:H33+J25:J33</f>
        <v>19240159.778864175</v>
      </c>
      <c r="M25" s="905"/>
      <c r="N25" s="904">
        <f t="shared" ref="N25:N32" si="1">H25+M25</f>
        <v>17748239.778864175</v>
      </c>
    </row>
    <row r="26" spans="1:14" x14ac:dyDescent="0.25">
      <c r="A26" s="661"/>
      <c r="B26" s="777" t="s">
        <v>217</v>
      </c>
      <c r="C26" s="738">
        <v>251</v>
      </c>
      <c r="D26" s="836" t="s">
        <v>218</v>
      </c>
      <c r="E26" s="836"/>
      <c r="F26" s="835"/>
      <c r="G26" s="902">
        <v>17500</v>
      </c>
      <c r="H26" s="903">
        <v>4666298</v>
      </c>
      <c r="I26" s="902">
        <v>100000</v>
      </c>
      <c r="J26" s="903">
        <v>525342</v>
      </c>
      <c r="K26" s="831">
        <v>5191640</v>
      </c>
      <c r="M26" s="900"/>
      <c r="N26" s="899">
        <f t="shared" si="1"/>
        <v>4666298</v>
      </c>
    </row>
    <row r="27" spans="1:14" x14ac:dyDescent="0.25">
      <c r="A27" s="661"/>
      <c r="B27" s="807" t="s">
        <v>219</v>
      </c>
      <c r="C27" s="738">
        <v>253</v>
      </c>
      <c r="D27" s="836" t="s">
        <v>374</v>
      </c>
      <c r="E27" s="836"/>
      <c r="F27" s="835"/>
      <c r="G27" s="902">
        <v>14000</v>
      </c>
      <c r="H27" s="903">
        <v>1500843.7784615385</v>
      </c>
      <c r="I27" s="902">
        <v>570000</v>
      </c>
      <c r="J27" s="903">
        <v>563816.50558208954</v>
      </c>
      <c r="K27" s="831">
        <v>2064660.284043628</v>
      </c>
      <c r="M27" s="900"/>
      <c r="N27" s="899">
        <f t="shared" si="1"/>
        <v>1500843.7784615385</v>
      </c>
    </row>
    <row r="28" spans="1:14" ht="14.4" x14ac:dyDescent="0.3">
      <c r="A28" s="661"/>
      <c r="B28" s="807" t="s">
        <v>220</v>
      </c>
      <c r="C28" s="738" t="s">
        <v>161</v>
      </c>
      <c r="D28" s="836" t="s">
        <v>375</v>
      </c>
      <c r="E28" s="836"/>
      <c r="F28" s="835"/>
      <c r="G28" s="902">
        <f>G29+G30</f>
        <v>5118.3590000000004</v>
      </c>
      <c r="H28" s="903">
        <f>H29+H30</f>
        <v>3091810.9760302091</v>
      </c>
      <c r="I28" s="902"/>
      <c r="J28" s="901"/>
      <c r="K28" s="831">
        <v>3091810.9760302091</v>
      </c>
      <c r="M28" s="900">
        <f>M29+M30</f>
        <v>0</v>
      </c>
      <c r="N28" s="899">
        <f t="shared" si="1"/>
        <v>3091810.9760302091</v>
      </c>
    </row>
    <row r="29" spans="1:14" x14ac:dyDescent="0.25">
      <c r="A29" s="661"/>
      <c r="B29" s="807" t="s">
        <v>221</v>
      </c>
      <c r="C29" s="897" t="s">
        <v>161</v>
      </c>
      <c r="D29" s="810"/>
      <c r="E29" s="896" t="s">
        <v>376</v>
      </c>
      <c r="G29" s="898">
        <v>3966.1570000000002</v>
      </c>
      <c r="H29" s="894">
        <v>2142404.3668997576</v>
      </c>
      <c r="I29" s="893"/>
      <c r="J29" s="892"/>
      <c r="K29" s="831">
        <v>2142404.3668997576</v>
      </c>
      <c r="M29" s="891"/>
      <c r="N29" s="890">
        <f t="shared" si="1"/>
        <v>2142404.3668997576</v>
      </c>
    </row>
    <row r="30" spans="1:14" x14ac:dyDescent="0.25">
      <c r="A30" s="661"/>
      <c r="B30" s="807" t="s">
        <v>223</v>
      </c>
      <c r="C30" s="897" t="s">
        <v>161</v>
      </c>
      <c r="D30" s="836"/>
      <c r="E30" s="896" t="s">
        <v>377</v>
      </c>
      <c r="F30" s="835"/>
      <c r="G30" s="895">
        <v>1152.202</v>
      </c>
      <c r="H30" s="894">
        <v>949406.60913045122</v>
      </c>
      <c r="I30" s="893"/>
      <c r="J30" s="892"/>
      <c r="K30" s="831">
        <v>949406.60913045122</v>
      </c>
      <c r="M30" s="891"/>
      <c r="N30" s="890">
        <f t="shared" si="1"/>
        <v>949406.60913045122</v>
      </c>
    </row>
    <row r="31" spans="1:14" ht="14.4" x14ac:dyDescent="0.3">
      <c r="A31" s="661"/>
      <c r="B31" s="777" t="s">
        <v>225</v>
      </c>
      <c r="C31" s="889" t="s">
        <v>222</v>
      </c>
      <c r="D31" s="888" t="s">
        <v>121</v>
      </c>
      <c r="E31" s="887"/>
      <c r="F31" s="835"/>
      <c r="G31" s="833">
        <v>0</v>
      </c>
      <c r="H31" s="742">
        <v>0</v>
      </c>
      <c r="I31" s="886">
        <v>0</v>
      </c>
      <c r="J31" s="742">
        <v>0</v>
      </c>
      <c r="K31" s="885">
        <v>0</v>
      </c>
      <c r="M31" s="747"/>
      <c r="N31" s="746">
        <f t="shared" si="1"/>
        <v>0</v>
      </c>
    </row>
    <row r="32" spans="1:14" x14ac:dyDescent="0.25">
      <c r="A32" s="661"/>
      <c r="B32" s="807" t="s">
        <v>227</v>
      </c>
      <c r="C32" s="884">
        <v>262</v>
      </c>
      <c r="D32" s="883" t="s">
        <v>224</v>
      </c>
      <c r="E32" s="883"/>
      <c r="F32" s="882"/>
      <c r="G32" s="881">
        <v>26401.434490000003</v>
      </c>
      <c r="H32" s="880">
        <v>10742758.517999999</v>
      </c>
      <c r="I32" s="881">
        <v>538832</v>
      </c>
      <c r="J32" s="880">
        <v>2021695.422</v>
      </c>
      <c r="K32" s="831">
        <v>12764453.939999999</v>
      </c>
      <c r="M32" s="879"/>
      <c r="N32" s="878">
        <f t="shared" si="1"/>
        <v>10742758.517999999</v>
      </c>
    </row>
    <row r="33" spans="1:14" x14ac:dyDescent="0.25">
      <c r="A33" s="661"/>
      <c r="B33" s="671" t="s">
        <v>228</v>
      </c>
      <c r="C33" s="670"/>
      <c r="D33" s="719" t="s">
        <v>226</v>
      </c>
      <c r="E33" s="719"/>
      <c r="F33" s="719"/>
      <c r="G33" s="877">
        <f>SUM(G25:G28)+SUM(G31:G32)</f>
        <v>127519.79349</v>
      </c>
      <c r="H33" s="876">
        <f>SUM(H25:H28)+SUM(H31:H32)</f>
        <v>37749951.051355921</v>
      </c>
      <c r="I33" s="877">
        <f>SUM(I25:I32)</f>
        <v>1533832</v>
      </c>
      <c r="J33" s="876">
        <f>SUM(J25:J32)</f>
        <v>4602773.9275820898</v>
      </c>
      <c r="K33" s="875">
        <v>42352724.978938013</v>
      </c>
      <c r="M33" s="874">
        <f>SUM(M25:M28)+SUM(M31:M32)</f>
        <v>0</v>
      </c>
      <c r="N33" s="873">
        <f>SUM(N25:N28)+SUM(N31:N32)</f>
        <v>37749951.051355921</v>
      </c>
    </row>
    <row r="34" spans="1:14" x14ac:dyDescent="0.25">
      <c r="A34" s="661"/>
      <c r="B34" s="765"/>
      <c r="C34" s="645"/>
      <c r="D34" s="858"/>
      <c r="E34" s="625"/>
      <c r="F34" s="625"/>
      <c r="G34" s="819"/>
      <c r="H34" s="856"/>
      <c r="I34" s="857"/>
      <c r="J34" s="856"/>
      <c r="K34" s="855"/>
      <c r="M34" s="854"/>
      <c r="N34" s="853"/>
    </row>
    <row r="35" spans="1:14" ht="16.2" thickBot="1" x14ac:dyDescent="0.35">
      <c r="A35" s="661"/>
      <c r="B35" s="872"/>
      <c r="C35" s="871"/>
      <c r="D35" s="870" t="s">
        <v>378</v>
      </c>
      <c r="E35" s="870"/>
      <c r="F35" s="870"/>
      <c r="G35" s="869"/>
      <c r="H35" s="869"/>
      <c r="I35" s="869"/>
      <c r="J35" s="869"/>
      <c r="K35" s="868"/>
      <c r="L35" s="791"/>
      <c r="M35" s="867"/>
      <c r="N35" s="866"/>
    </row>
    <row r="36" spans="1:14" ht="15" thickBot="1" x14ac:dyDescent="0.35">
      <c r="A36" s="661"/>
      <c r="B36" s="845" t="s">
        <v>229</v>
      </c>
      <c r="C36" s="693">
        <v>249</v>
      </c>
      <c r="D36" s="692" t="s">
        <v>51</v>
      </c>
      <c r="E36" s="691"/>
      <c r="F36" s="690"/>
      <c r="G36" s="865">
        <v>5740</v>
      </c>
      <c r="H36" s="842">
        <v>0</v>
      </c>
      <c r="I36" s="841">
        <v>150000</v>
      </c>
      <c r="J36" s="688">
        <v>88350</v>
      </c>
      <c r="K36" s="685">
        <f t="array" ref="K36:K38">H36:H38+J36:J38</f>
        <v>88350</v>
      </c>
      <c r="L36" s="791"/>
      <c r="M36" s="864">
        <v>1400975</v>
      </c>
      <c r="N36" s="838">
        <f>H36+M36</f>
        <v>1400975</v>
      </c>
    </row>
    <row r="37" spans="1:14" ht="14.4" x14ac:dyDescent="0.3">
      <c r="A37" s="661"/>
      <c r="B37" s="828" t="s">
        <v>232</v>
      </c>
      <c r="C37" s="827">
        <v>249</v>
      </c>
      <c r="D37" s="863" t="s">
        <v>588</v>
      </c>
      <c r="E37" s="606"/>
      <c r="F37" s="606"/>
      <c r="G37" s="862">
        <v>1800</v>
      </c>
      <c r="H37" s="861">
        <v>606280</v>
      </c>
      <c r="I37" s="823">
        <v>10000</v>
      </c>
      <c r="J37" s="643">
        <v>12562.5</v>
      </c>
      <c r="K37" s="821">
        <v>618842.5</v>
      </c>
      <c r="L37" s="791"/>
      <c r="M37" s="860"/>
      <c r="N37" s="859">
        <f>H37+M37</f>
        <v>606280</v>
      </c>
    </row>
    <row r="38" spans="1:14" ht="14.4" x14ac:dyDescent="0.3">
      <c r="A38" s="661"/>
      <c r="B38" s="671" t="s">
        <v>234</v>
      </c>
      <c r="C38" s="670"/>
      <c r="D38" s="719" t="s">
        <v>230</v>
      </c>
      <c r="E38" s="719"/>
      <c r="F38" s="719"/>
      <c r="G38" s="820">
        <f>SUM(G36:G37)</f>
        <v>7540</v>
      </c>
      <c r="H38" s="769">
        <f>SUM(H36:H37)</f>
        <v>606280</v>
      </c>
      <c r="I38" s="820">
        <f>SUM(I36:I37)</f>
        <v>160000</v>
      </c>
      <c r="J38" s="769">
        <f>SUM(J36:J37)</f>
        <v>100912.5</v>
      </c>
      <c r="K38" s="664">
        <v>707192.5</v>
      </c>
      <c r="L38" s="791"/>
      <c r="M38" s="767">
        <f>SUM(M36:M37)</f>
        <v>1400975</v>
      </c>
      <c r="N38" s="766">
        <f>SUM(N36:N37)</f>
        <v>2007255</v>
      </c>
    </row>
    <row r="39" spans="1:14" ht="14.4" x14ac:dyDescent="0.3">
      <c r="A39" s="661"/>
      <c r="B39" s="765"/>
      <c r="C39" s="645"/>
      <c r="D39" s="858"/>
      <c r="E39" s="625"/>
      <c r="F39" s="625"/>
      <c r="G39" s="819"/>
      <c r="H39" s="856"/>
      <c r="I39" s="857"/>
      <c r="J39" s="856"/>
      <c r="K39" s="855"/>
      <c r="L39" s="791"/>
      <c r="M39" s="854"/>
      <c r="N39" s="853"/>
    </row>
    <row r="40" spans="1:14" ht="15.6" x14ac:dyDescent="0.3">
      <c r="A40" s="661"/>
      <c r="B40" s="852"/>
      <c r="C40" s="851"/>
      <c r="D40" s="850" t="s">
        <v>231</v>
      </c>
      <c r="E40" s="850"/>
      <c r="F40" s="850"/>
      <c r="G40" s="849"/>
      <c r="H40" s="849"/>
      <c r="I40" s="849"/>
      <c r="J40" s="849"/>
      <c r="K40" s="848"/>
      <c r="M40" s="847"/>
      <c r="N40" s="846"/>
    </row>
    <row r="41" spans="1:14" ht="15" x14ac:dyDescent="0.4">
      <c r="A41" s="661"/>
      <c r="B41" s="845" t="s">
        <v>235</v>
      </c>
      <c r="C41" s="693" t="s">
        <v>153</v>
      </c>
      <c r="D41" s="844" t="s">
        <v>380</v>
      </c>
      <c r="E41" s="844"/>
      <c r="F41" s="844"/>
      <c r="G41" s="843">
        <v>12702</v>
      </c>
      <c r="H41" s="842">
        <v>4457205</v>
      </c>
      <c r="I41" s="841"/>
      <c r="J41" s="840"/>
      <c r="K41" s="685">
        <f t="array" ref="K41:K45">H41:H45+J41:J45</f>
        <v>4457205</v>
      </c>
      <c r="M41" s="839"/>
      <c r="N41" s="838">
        <f>H41+M41</f>
        <v>4457205</v>
      </c>
    </row>
    <row r="42" spans="1:14" x14ac:dyDescent="0.25">
      <c r="A42" s="661"/>
      <c r="B42" s="777" t="s">
        <v>237</v>
      </c>
      <c r="C42" s="738"/>
      <c r="D42" s="837" t="s">
        <v>298</v>
      </c>
      <c r="E42" s="836"/>
      <c r="F42" s="835"/>
      <c r="G42" s="833"/>
      <c r="H42" s="834"/>
      <c r="I42" s="833">
        <v>0</v>
      </c>
      <c r="J42" s="832">
        <v>983444</v>
      </c>
      <c r="K42" s="831">
        <v>983444</v>
      </c>
      <c r="M42" s="830"/>
      <c r="N42" s="829">
        <f>H42+M42</f>
        <v>0</v>
      </c>
    </row>
    <row r="43" spans="1:14" x14ac:dyDescent="0.25">
      <c r="A43" s="661"/>
      <c r="B43" s="777" t="s">
        <v>240</v>
      </c>
      <c r="C43" s="738">
        <v>219</v>
      </c>
      <c r="D43" s="837" t="s">
        <v>553</v>
      </c>
      <c r="E43" s="836"/>
      <c r="F43" s="835"/>
      <c r="G43" s="833">
        <v>0</v>
      </c>
      <c r="H43" s="834">
        <v>445892.37</v>
      </c>
      <c r="I43" s="833">
        <v>0</v>
      </c>
      <c r="J43" s="832">
        <v>191096.73</v>
      </c>
      <c r="K43" s="831">
        <v>636989.1</v>
      </c>
      <c r="M43" s="830"/>
      <c r="N43" s="829">
        <f>H43+M43</f>
        <v>445892.37</v>
      </c>
    </row>
    <row r="44" spans="1:14" ht="15" x14ac:dyDescent="0.4">
      <c r="A44" s="661"/>
      <c r="B44" s="828" t="s">
        <v>241</v>
      </c>
      <c r="C44" s="827" t="s">
        <v>381</v>
      </c>
      <c r="D44" s="826" t="s">
        <v>236</v>
      </c>
      <c r="E44" s="825"/>
      <c r="F44" s="824"/>
      <c r="G44" s="823">
        <v>750</v>
      </c>
      <c r="H44" s="643">
        <v>0</v>
      </c>
      <c r="I44" s="823"/>
      <c r="J44" s="822"/>
      <c r="K44" s="821">
        <v>0</v>
      </c>
      <c r="M44" s="704"/>
      <c r="N44" s="703">
        <f>H44+M44</f>
        <v>0</v>
      </c>
    </row>
    <row r="45" spans="1:14" x14ac:dyDescent="0.25">
      <c r="A45" s="661"/>
      <c r="B45" s="671" t="s">
        <v>243</v>
      </c>
      <c r="C45" s="670"/>
      <c r="D45" s="719" t="s">
        <v>238</v>
      </c>
      <c r="E45" s="719"/>
      <c r="F45" s="719"/>
      <c r="G45" s="820">
        <f>SUM(G41:G44)</f>
        <v>13452</v>
      </c>
      <c r="H45" s="665">
        <f>SUM(H41:H44)</f>
        <v>4903097.37</v>
      </c>
      <c r="I45" s="820">
        <f>SUM(I41:I44)</f>
        <v>0</v>
      </c>
      <c r="J45" s="665">
        <f>SUM(J41:J44)</f>
        <v>1174540.73</v>
      </c>
      <c r="K45" s="664">
        <v>6077638.0999999996</v>
      </c>
      <c r="M45" s="663">
        <f>SUM(M41:M44)</f>
        <v>0</v>
      </c>
      <c r="N45" s="662">
        <f>SUM(N41:N44)</f>
        <v>4903097.37</v>
      </c>
    </row>
    <row r="46" spans="1:14" x14ac:dyDescent="0.25">
      <c r="A46" s="661"/>
      <c r="B46" s="765"/>
      <c r="C46" s="645"/>
      <c r="D46" s="625"/>
      <c r="E46" s="625"/>
      <c r="F46" s="625"/>
      <c r="G46" s="819"/>
      <c r="H46" s="762"/>
      <c r="I46" s="763"/>
      <c r="J46" s="762"/>
      <c r="K46" s="818"/>
      <c r="M46" s="642"/>
      <c r="N46" s="641"/>
    </row>
    <row r="47" spans="1:14" ht="15.6" x14ac:dyDescent="0.3">
      <c r="A47" s="661"/>
      <c r="B47" s="817"/>
      <c r="C47" s="816"/>
      <c r="D47" s="815" t="s">
        <v>239</v>
      </c>
      <c r="E47" s="815"/>
      <c r="F47" s="815"/>
      <c r="G47" s="814"/>
      <c r="H47" s="814"/>
      <c r="I47" s="814"/>
      <c r="J47" s="814"/>
      <c r="K47" s="813"/>
      <c r="M47" s="812"/>
      <c r="N47" s="811"/>
    </row>
    <row r="48" spans="1:14" s="782" customFormat="1" ht="14.4" x14ac:dyDescent="0.3">
      <c r="A48" s="787"/>
      <c r="B48" s="777" t="s">
        <v>245</v>
      </c>
      <c r="C48" s="786"/>
      <c r="D48" s="781" t="s">
        <v>261</v>
      </c>
      <c r="F48" s="779"/>
      <c r="G48" s="784"/>
      <c r="H48" s="735">
        <v>1060689.21</v>
      </c>
      <c r="I48" s="743"/>
      <c r="J48" s="735">
        <v>158493.79</v>
      </c>
      <c r="K48" s="772">
        <f t="array" ref="K48:K61">H48:H61+J48:J61</f>
        <v>1219183</v>
      </c>
      <c r="L48" s="783"/>
      <c r="M48" s="733"/>
      <c r="N48" s="732">
        <f t="shared" ref="N48:N60" si="2">H48+M48</f>
        <v>1060689.21</v>
      </c>
    </row>
    <row r="49" spans="1:14" s="790" customFormat="1" ht="14.4" x14ac:dyDescent="0.3">
      <c r="A49" s="794"/>
      <c r="B49" s="777" t="s">
        <v>247</v>
      </c>
      <c r="C49" s="793"/>
      <c r="D49" s="781" t="s">
        <v>257</v>
      </c>
      <c r="E49" s="809"/>
      <c r="F49" s="808"/>
      <c r="G49" s="792"/>
      <c r="H49" s="742">
        <v>634067.86499999999</v>
      </c>
      <c r="I49" s="743"/>
      <c r="J49" s="742">
        <v>101413.39</v>
      </c>
      <c r="K49" s="772">
        <v>735481.255</v>
      </c>
      <c r="L49" s="791"/>
      <c r="M49" s="747"/>
      <c r="N49" s="746">
        <f t="shared" si="2"/>
        <v>634067.86499999999</v>
      </c>
    </row>
    <row r="50" spans="1:14" ht="14.4" x14ac:dyDescent="0.3">
      <c r="A50" s="661"/>
      <c r="B50" s="731" t="s">
        <v>249</v>
      </c>
      <c r="C50" s="730"/>
      <c r="D50" s="729" t="s">
        <v>281</v>
      </c>
      <c r="E50" s="810"/>
      <c r="F50" s="727"/>
      <c r="G50" s="736"/>
      <c r="H50" s="735">
        <v>585778.39</v>
      </c>
      <c r="I50" s="734"/>
      <c r="J50" s="735">
        <v>86229.61</v>
      </c>
      <c r="K50" s="772">
        <v>672008</v>
      </c>
      <c r="M50" s="733"/>
      <c r="N50" s="732">
        <f t="shared" si="2"/>
        <v>585778.39</v>
      </c>
    </row>
    <row r="51" spans="1:14" s="790" customFormat="1" ht="14.4" x14ac:dyDescent="0.3">
      <c r="A51" s="794"/>
      <c r="B51" s="777" t="s">
        <v>250</v>
      </c>
      <c r="C51" s="793"/>
      <c r="D51" s="781" t="s">
        <v>259</v>
      </c>
      <c r="E51" s="809"/>
      <c r="F51" s="808"/>
      <c r="G51" s="792"/>
      <c r="H51" s="742">
        <v>412859.46</v>
      </c>
      <c r="I51" s="743"/>
      <c r="J51" s="742">
        <v>61898.54</v>
      </c>
      <c r="K51" s="772">
        <v>474758</v>
      </c>
      <c r="L51" s="791"/>
      <c r="M51" s="747"/>
      <c r="N51" s="746">
        <f t="shared" si="2"/>
        <v>412859.46</v>
      </c>
    </row>
    <row r="52" spans="1:14" s="790" customFormat="1" ht="14.4" x14ac:dyDescent="0.3">
      <c r="A52" s="794"/>
      <c r="B52" s="807" t="s">
        <v>252</v>
      </c>
      <c r="C52" s="806"/>
      <c r="D52" s="774" t="s">
        <v>554</v>
      </c>
      <c r="E52" s="774"/>
      <c r="F52" s="805"/>
      <c r="G52" s="743"/>
      <c r="H52" s="742">
        <v>118000</v>
      </c>
      <c r="I52" s="743"/>
      <c r="J52" s="742">
        <v>22000</v>
      </c>
      <c r="K52" s="772">
        <v>140000</v>
      </c>
      <c r="L52" s="791"/>
      <c r="M52" s="747"/>
      <c r="N52" s="746">
        <f t="shared" si="2"/>
        <v>118000</v>
      </c>
    </row>
    <row r="53" spans="1:14" s="790" customFormat="1" ht="14.4" x14ac:dyDescent="0.3">
      <c r="A53" s="794"/>
      <c r="B53" s="777" t="s">
        <v>254</v>
      </c>
      <c r="C53" s="804"/>
      <c r="D53" s="803" t="s">
        <v>555</v>
      </c>
      <c r="E53" s="802"/>
      <c r="F53" s="801"/>
      <c r="G53" s="800"/>
      <c r="H53" s="799">
        <v>211.5</v>
      </c>
      <c r="I53" s="800"/>
      <c r="J53" s="799">
        <v>211.5</v>
      </c>
      <c r="K53" s="772">
        <v>423</v>
      </c>
      <c r="L53" s="791"/>
      <c r="M53" s="798"/>
      <c r="N53" s="797">
        <f t="shared" si="2"/>
        <v>211.5</v>
      </c>
    </row>
    <row r="54" spans="1:14" s="782" customFormat="1" ht="14.4" x14ac:dyDescent="0.3">
      <c r="A54" s="787"/>
      <c r="B54" s="777" t="s">
        <v>256</v>
      </c>
      <c r="C54" s="786"/>
      <c r="D54" s="774" t="s">
        <v>255</v>
      </c>
      <c r="E54" s="796"/>
      <c r="F54" s="779"/>
      <c r="G54" s="784"/>
      <c r="H54" s="742">
        <v>347995.8</v>
      </c>
      <c r="I54" s="742"/>
      <c r="J54" s="742">
        <v>157920</v>
      </c>
      <c r="K54" s="772">
        <v>505915.8</v>
      </c>
      <c r="L54" s="783"/>
      <c r="M54" s="747"/>
      <c r="N54" s="746">
        <f t="shared" si="2"/>
        <v>347995.8</v>
      </c>
    </row>
    <row r="55" spans="1:14" s="770" customFormat="1" ht="14.4" x14ac:dyDescent="0.3">
      <c r="A55" s="778"/>
      <c r="B55" s="777" t="s">
        <v>258</v>
      </c>
      <c r="C55" s="776"/>
      <c r="D55" s="774" t="s">
        <v>242</v>
      </c>
      <c r="F55" s="795"/>
      <c r="G55" s="773"/>
      <c r="H55" s="742">
        <v>1377884.4300000002</v>
      </c>
      <c r="I55" s="742"/>
      <c r="J55" s="742">
        <v>201774.57</v>
      </c>
      <c r="K55" s="772">
        <v>1579659.0000000002</v>
      </c>
      <c r="L55" s="771"/>
      <c r="M55" s="747"/>
      <c r="N55" s="746">
        <f t="shared" si="2"/>
        <v>1377884.4300000002</v>
      </c>
    </row>
    <row r="56" spans="1:14" s="790" customFormat="1" ht="15" thickBot="1" x14ac:dyDescent="0.35">
      <c r="A56" s="794"/>
      <c r="B56" s="777" t="s">
        <v>260</v>
      </c>
      <c r="C56" s="793"/>
      <c r="D56" s="774" t="s">
        <v>263</v>
      </c>
      <c r="E56" s="774"/>
      <c r="F56" s="774"/>
      <c r="G56" s="792"/>
      <c r="H56" s="742">
        <v>1032233.405</v>
      </c>
      <c r="I56" s="743"/>
      <c r="J56" s="742">
        <v>238058.88</v>
      </c>
      <c r="K56" s="772">
        <v>1270292.2850000001</v>
      </c>
      <c r="L56" s="791"/>
      <c r="M56" s="741"/>
      <c r="N56" s="746">
        <f t="shared" si="2"/>
        <v>1032233.405</v>
      </c>
    </row>
    <row r="57" spans="1:14" s="782" customFormat="1" ht="15" thickBot="1" x14ac:dyDescent="0.35">
      <c r="A57" s="787"/>
      <c r="B57" s="777" t="s">
        <v>262</v>
      </c>
      <c r="C57" s="786"/>
      <c r="D57" s="774" t="s">
        <v>556</v>
      </c>
      <c r="E57" s="789"/>
      <c r="F57" s="785"/>
      <c r="G57" s="784"/>
      <c r="H57" s="742">
        <v>644875.15</v>
      </c>
      <c r="I57" s="742"/>
      <c r="J57" s="742">
        <v>265519.19</v>
      </c>
      <c r="K57" s="772">
        <v>910394.34000000008</v>
      </c>
      <c r="L57" s="783"/>
      <c r="M57" s="788">
        <v>690992</v>
      </c>
      <c r="N57" s="746">
        <f t="shared" si="2"/>
        <v>1335867.1499999999</v>
      </c>
    </row>
    <row r="58" spans="1:14" s="782" customFormat="1" ht="14.4" x14ac:dyDescent="0.3">
      <c r="A58" s="787"/>
      <c r="B58" s="777" t="s">
        <v>264</v>
      </c>
      <c r="C58" s="786"/>
      <c r="D58" s="774" t="s">
        <v>253</v>
      </c>
      <c r="F58" s="785"/>
      <c r="G58" s="784"/>
      <c r="H58" s="742">
        <v>315790.26949999999</v>
      </c>
      <c r="I58" s="742"/>
      <c r="J58" s="742">
        <v>46833.980500000005</v>
      </c>
      <c r="K58" s="772">
        <v>362624.25</v>
      </c>
      <c r="L58" s="783"/>
      <c r="M58" s="750"/>
      <c r="N58" s="746">
        <f t="shared" si="2"/>
        <v>315790.26949999999</v>
      </c>
    </row>
    <row r="59" spans="1:14" s="770" customFormat="1" ht="14.4" x14ac:dyDescent="0.3">
      <c r="A59" s="778"/>
      <c r="B59" s="777" t="s">
        <v>266</v>
      </c>
      <c r="C59" s="776"/>
      <c r="D59" s="781" t="s">
        <v>244</v>
      </c>
      <c r="E59" s="780"/>
      <c r="F59" s="779"/>
      <c r="G59" s="773"/>
      <c r="H59" s="742">
        <v>384923.03150000004</v>
      </c>
      <c r="I59" s="742"/>
      <c r="J59" s="742">
        <v>57649.4185</v>
      </c>
      <c r="K59" s="772">
        <v>442572.45000000007</v>
      </c>
      <c r="L59" s="771"/>
      <c r="M59" s="747"/>
      <c r="N59" s="746">
        <f t="shared" si="2"/>
        <v>384923.03150000004</v>
      </c>
    </row>
    <row r="60" spans="1:14" s="770" customFormat="1" ht="14.4" x14ac:dyDescent="0.3">
      <c r="A60" s="778"/>
      <c r="B60" s="777" t="s">
        <v>267</v>
      </c>
      <c r="C60" s="776"/>
      <c r="D60" s="774" t="s">
        <v>246</v>
      </c>
      <c r="E60" s="775"/>
      <c r="F60" s="774"/>
      <c r="G60" s="773"/>
      <c r="H60" s="742">
        <v>0</v>
      </c>
      <c r="I60" s="742"/>
      <c r="J60" s="742">
        <v>0</v>
      </c>
      <c r="K60" s="772">
        <v>0</v>
      </c>
      <c r="L60" s="771"/>
      <c r="M60" s="747"/>
      <c r="N60" s="746">
        <f t="shared" si="2"/>
        <v>0</v>
      </c>
    </row>
    <row r="61" spans="1:14" x14ac:dyDescent="0.25">
      <c r="A61" s="661"/>
      <c r="B61" s="671" t="s">
        <v>270</v>
      </c>
      <c r="C61" s="670"/>
      <c r="D61" s="719" t="s">
        <v>268</v>
      </c>
      <c r="E61" s="719"/>
      <c r="F61" s="719"/>
      <c r="G61" s="718"/>
      <c r="H61" s="769">
        <f>SUM(H48:H60)</f>
        <v>6915308.5109999999</v>
      </c>
      <c r="I61" s="666"/>
      <c r="J61" s="769">
        <f>SUM(J48:J60)</f>
        <v>1398002.8689999999</v>
      </c>
      <c r="K61" s="768">
        <v>8313311.3799999999</v>
      </c>
      <c r="M61" s="767">
        <f>SUM(M48:M60)</f>
        <v>690992</v>
      </c>
      <c r="N61" s="766">
        <f>SUM(N48:N60)</f>
        <v>7606300.5109999999</v>
      </c>
    </row>
    <row r="62" spans="1:14" x14ac:dyDescent="0.25">
      <c r="A62" s="661"/>
      <c r="B62" s="765"/>
      <c r="C62" s="645"/>
      <c r="D62" s="625"/>
      <c r="E62" s="764"/>
      <c r="F62" s="625"/>
      <c r="G62" s="763"/>
      <c r="H62" s="762"/>
      <c r="I62" s="763"/>
      <c r="J62" s="762"/>
      <c r="K62" s="717"/>
      <c r="M62" s="642"/>
      <c r="N62" s="641"/>
    </row>
    <row r="63" spans="1:14" ht="15.6" x14ac:dyDescent="0.3">
      <c r="A63" s="661"/>
      <c r="B63" s="761"/>
      <c r="C63" s="760"/>
      <c r="D63" s="759" t="s">
        <v>269</v>
      </c>
      <c r="E63" s="759"/>
      <c r="F63" s="759"/>
      <c r="G63" s="758"/>
      <c r="H63" s="758"/>
      <c r="I63" s="758"/>
      <c r="J63" s="758"/>
      <c r="K63" s="757"/>
      <c r="M63" s="756"/>
      <c r="N63" s="755"/>
    </row>
    <row r="64" spans="1:14" x14ac:dyDescent="0.25">
      <c r="A64" s="661"/>
      <c r="B64" s="739" t="s">
        <v>272</v>
      </c>
      <c r="C64" s="754"/>
      <c r="D64" s="753" t="s">
        <v>271</v>
      </c>
      <c r="E64" s="753"/>
      <c r="F64" s="753"/>
      <c r="G64" s="752"/>
      <c r="H64" s="748">
        <v>408539.82</v>
      </c>
      <c r="I64" s="751"/>
      <c r="J64" s="748">
        <v>61046.18</v>
      </c>
      <c r="K64" s="722">
        <f t="array" ref="K64">H64:H68+J64:J68</f>
        <v>469586</v>
      </c>
      <c r="M64" s="750"/>
      <c r="N64" s="749">
        <f>H64+M64</f>
        <v>408539.82</v>
      </c>
    </row>
    <row r="65" spans="1:14" ht="15" x14ac:dyDescent="0.4">
      <c r="A65" s="661"/>
      <c r="B65" s="731" t="s">
        <v>274</v>
      </c>
      <c r="C65" s="738"/>
      <c r="D65" s="737" t="s">
        <v>273</v>
      </c>
      <c r="E65" s="737"/>
      <c r="F65" s="737"/>
      <c r="G65" s="745"/>
      <c r="H65" s="742">
        <v>730185.86749999993</v>
      </c>
      <c r="I65" s="743"/>
      <c r="J65" s="748">
        <v>56809.3825</v>
      </c>
      <c r="K65" s="722">
        <f t="array" ref="K65">H65:H69+J65:J69</f>
        <v>786995.24999999988</v>
      </c>
      <c r="M65" s="747"/>
      <c r="N65" s="746">
        <f>H65+M65</f>
        <v>730185.86749999993</v>
      </c>
    </row>
    <row r="66" spans="1:14" ht="15" x14ac:dyDescent="0.4">
      <c r="A66" s="661"/>
      <c r="B66" s="731" t="s">
        <v>276</v>
      </c>
      <c r="C66" s="738"/>
      <c r="D66" s="737" t="s">
        <v>275</v>
      </c>
      <c r="E66" s="737"/>
      <c r="F66" s="737"/>
      <c r="G66" s="745"/>
      <c r="H66" s="744">
        <v>166829.44</v>
      </c>
      <c r="I66" s="743"/>
      <c r="J66" s="742">
        <v>25635.760000000002</v>
      </c>
      <c r="K66" s="722">
        <f t="array" ref="K66">H66:H70+J66:J70</f>
        <v>192465.2</v>
      </c>
      <c r="M66" s="741"/>
      <c r="N66" s="740">
        <f>H66+M66</f>
        <v>166829.44</v>
      </c>
    </row>
    <row r="67" spans="1:14" x14ac:dyDescent="0.25">
      <c r="A67" s="661"/>
      <c r="B67" s="739" t="s">
        <v>278</v>
      </c>
      <c r="C67" s="738"/>
      <c r="D67" s="737" t="s">
        <v>277</v>
      </c>
      <c r="E67" s="737"/>
      <c r="F67" s="737"/>
      <c r="G67" s="736"/>
      <c r="H67" s="735">
        <v>2000828.0525</v>
      </c>
      <c r="I67" s="734"/>
      <c r="J67" s="723">
        <v>380192.69750000001</v>
      </c>
      <c r="K67" s="722">
        <f t="array" ref="K67">H67:H71+J67:J71</f>
        <v>2381020.75</v>
      </c>
      <c r="M67" s="733"/>
      <c r="N67" s="732">
        <f>H67+M67</f>
        <v>2000828.0525</v>
      </c>
    </row>
    <row r="68" spans="1:14" x14ac:dyDescent="0.25">
      <c r="A68" s="661"/>
      <c r="B68" s="731" t="s">
        <v>280</v>
      </c>
      <c r="C68" s="730"/>
      <c r="D68" s="729" t="s">
        <v>279</v>
      </c>
      <c r="E68" s="728"/>
      <c r="F68" s="727"/>
      <c r="G68" s="726"/>
      <c r="H68" s="725">
        <v>90000</v>
      </c>
      <c r="I68" s="724"/>
      <c r="J68" s="723"/>
      <c r="K68" s="722">
        <f t="array" ref="K68">H68:H72+J68:J72</f>
        <v>90000</v>
      </c>
      <c r="M68" s="721"/>
      <c r="N68" s="720">
        <f>H68+M68</f>
        <v>90000</v>
      </c>
    </row>
    <row r="69" spans="1:14" x14ac:dyDescent="0.25">
      <c r="A69" s="661"/>
      <c r="B69" s="671" t="s">
        <v>282</v>
      </c>
      <c r="C69" s="670"/>
      <c r="D69" s="719" t="s">
        <v>283</v>
      </c>
      <c r="E69" s="719"/>
      <c r="F69" s="719"/>
      <c r="G69" s="718"/>
      <c r="H69" s="665">
        <f>SUM(H64:H68)</f>
        <v>3396383.1799999997</v>
      </c>
      <c r="I69" s="666"/>
      <c r="J69" s="665">
        <f>SUM(J64:J68)</f>
        <v>523684.02</v>
      </c>
      <c r="K69" s="674">
        <f>H69+J69</f>
        <v>3920067.1999999997</v>
      </c>
      <c r="M69" s="663">
        <f>SUM(M64:M68)</f>
        <v>0</v>
      </c>
      <c r="N69" s="662">
        <f>SUM(N64:N68)</f>
        <v>3396383.1799999997</v>
      </c>
    </row>
    <row r="70" spans="1:14" x14ac:dyDescent="0.25">
      <c r="A70" s="661"/>
      <c r="B70" s="708"/>
      <c r="C70" s="707"/>
      <c r="D70" s="606"/>
      <c r="E70" s="606"/>
      <c r="F70" s="606"/>
      <c r="G70" s="644"/>
      <c r="H70" s="643"/>
      <c r="I70" s="644"/>
      <c r="J70" s="643"/>
      <c r="K70" s="717"/>
      <c r="M70" s="704"/>
      <c r="N70" s="703"/>
    </row>
    <row r="71" spans="1:14" ht="13.8" x14ac:dyDescent="0.25">
      <c r="A71" s="661"/>
      <c r="B71" s="716" t="s">
        <v>284</v>
      </c>
      <c r="C71" s="715" t="s">
        <v>382</v>
      </c>
      <c r="D71" s="715"/>
      <c r="E71" s="714"/>
      <c r="F71" s="714"/>
      <c r="G71" s="713">
        <f>G22+G33+G38+G45</f>
        <v>274630.63617999997</v>
      </c>
      <c r="H71" s="712">
        <f>H22+H33+H38+H45+H61+H69</f>
        <v>86893697.190515935</v>
      </c>
      <c r="I71" s="713">
        <f>I22+I33+I38+I45</f>
        <v>4519150.41</v>
      </c>
      <c r="J71" s="712">
        <f>J22+J33+J38+J45+J61+J69</f>
        <v>17082442.344082087</v>
      </c>
      <c r="K71" s="711">
        <f>H71+J71</f>
        <v>103976139.53459802</v>
      </c>
      <c r="M71" s="710">
        <f>M22+M33+M38+M45+M61+M69</f>
        <v>2091967</v>
      </c>
      <c r="N71" s="709">
        <f>N22+N33+N38+N45+N61+N69</f>
        <v>88985664.190515935</v>
      </c>
    </row>
    <row r="72" spans="1:14" x14ac:dyDescent="0.25">
      <c r="A72" s="661"/>
      <c r="B72" s="708"/>
      <c r="C72" s="707"/>
      <c r="D72" s="606"/>
      <c r="E72" s="606"/>
      <c r="F72" s="606"/>
      <c r="G72" s="706"/>
      <c r="H72" s="643"/>
      <c r="I72" s="644"/>
      <c r="J72" s="643"/>
      <c r="K72" s="705"/>
      <c r="M72" s="704"/>
      <c r="N72" s="703"/>
    </row>
    <row r="73" spans="1:14" ht="15.6" x14ac:dyDescent="0.3">
      <c r="A73" s="661"/>
      <c r="B73" s="702"/>
      <c r="C73" s="701"/>
      <c r="D73" s="700" t="s">
        <v>587</v>
      </c>
      <c r="E73" s="699"/>
      <c r="F73" s="699"/>
      <c r="G73" s="698"/>
      <c r="H73" s="698"/>
      <c r="I73" s="698"/>
      <c r="J73" s="698"/>
      <c r="K73" s="697"/>
      <c r="M73" s="696"/>
      <c r="N73" s="695"/>
    </row>
    <row r="74" spans="1:14" x14ac:dyDescent="0.25">
      <c r="A74" s="661"/>
      <c r="B74" s="694" t="s">
        <v>286</v>
      </c>
      <c r="C74" s="693" t="s">
        <v>152</v>
      </c>
      <c r="D74" s="692" t="s">
        <v>120</v>
      </c>
      <c r="E74" s="691"/>
      <c r="F74" s="690"/>
      <c r="G74" s="689"/>
      <c r="H74" s="688">
        <v>1429257.25</v>
      </c>
      <c r="I74" s="687"/>
      <c r="J74" s="686"/>
      <c r="K74" s="685">
        <f t="array" ref="K74:K76">H74:H76+J74:J76</f>
        <v>1429257.25</v>
      </c>
      <c r="M74" s="684"/>
      <c r="N74" s="683">
        <f>H74+M74</f>
        <v>1429257.25</v>
      </c>
    </row>
    <row r="75" spans="1:14" x14ac:dyDescent="0.25">
      <c r="A75" s="661"/>
      <c r="B75" s="682" t="s">
        <v>287</v>
      </c>
      <c r="C75" s="681" t="s">
        <v>557</v>
      </c>
      <c r="D75" s="680" t="s">
        <v>558</v>
      </c>
      <c r="E75" s="679"/>
      <c r="F75" s="678"/>
      <c r="G75" s="676"/>
      <c r="H75" s="677">
        <v>282100</v>
      </c>
      <c r="I75" s="676"/>
      <c r="J75" s="675">
        <v>120900</v>
      </c>
      <c r="K75" s="674">
        <v>403000</v>
      </c>
      <c r="M75" s="673"/>
      <c r="N75" s="672">
        <f>H75+M75</f>
        <v>282100</v>
      </c>
    </row>
    <row r="76" spans="1:14" x14ac:dyDescent="0.25">
      <c r="A76" s="661"/>
      <c r="B76" s="671" t="s">
        <v>288</v>
      </c>
      <c r="C76" s="670"/>
      <c r="D76" s="669" t="s">
        <v>586</v>
      </c>
      <c r="E76" s="668"/>
      <c r="F76" s="667"/>
      <c r="G76" s="666"/>
      <c r="H76" s="665">
        <f>SUM(H74:H75)</f>
        <v>1711357.25</v>
      </c>
      <c r="I76" s="666"/>
      <c r="J76" s="665">
        <f>SUM(J74:J75)</f>
        <v>120900</v>
      </c>
      <c r="K76" s="664">
        <v>1832257.25</v>
      </c>
      <c r="M76" s="663">
        <f>SUM(M74:M75)</f>
        <v>0</v>
      </c>
      <c r="N76" s="662">
        <f>SUM(N74:N75)</f>
        <v>1711357.25</v>
      </c>
    </row>
    <row r="77" spans="1:14" ht="13.8" thickBot="1" x14ac:dyDescent="0.3">
      <c r="A77" s="661"/>
      <c r="B77" s="660"/>
      <c r="C77" s="660"/>
      <c r="D77" s="659"/>
      <c r="E77" s="659"/>
      <c r="F77" s="659"/>
      <c r="G77" s="658"/>
      <c r="H77" s="657"/>
      <c r="I77" s="658"/>
      <c r="J77" s="657"/>
      <c r="K77" s="656"/>
      <c r="M77" s="655"/>
      <c r="N77" s="654"/>
    </row>
    <row r="78" spans="1:14" ht="13.8" thickBot="1" x14ac:dyDescent="0.3">
      <c r="B78" s="653"/>
      <c r="C78" s="645"/>
      <c r="D78" s="652" t="s">
        <v>580</v>
      </c>
      <c r="E78" s="648"/>
      <c r="F78" s="648"/>
      <c r="G78" s="651" t="s">
        <v>13</v>
      </c>
      <c r="H78" s="649"/>
      <c r="I78" s="650"/>
      <c r="J78" s="649"/>
      <c r="K78" s="649"/>
      <c r="L78" s="648"/>
      <c r="M78" s="647">
        <v>7000000</v>
      </c>
      <c r="N78" s="646">
        <f>H78+M78</f>
        <v>7000000</v>
      </c>
    </row>
    <row r="79" spans="1:14" ht="13.8" thickBot="1" x14ac:dyDescent="0.3">
      <c r="C79" s="645"/>
      <c r="D79" s="606"/>
      <c r="E79" s="606"/>
      <c r="F79" s="606"/>
      <c r="G79" s="644"/>
      <c r="H79" s="643"/>
      <c r="I79" s="644"/>
      <c r="J79" s="643"/>
      <c r="K79" s="643"/>
      <c r="M79" s="642"/>
      <c r="N79" s="641"/>
    </row>
    <row r="80" spans="1:14" ht="14.4" thickBot="1" x14ac:dyDescent="0.3">
      <c r="B80" s="590" t="s">
        <v>290</v>
      </c>
      <c r="C80" s="631"/>
      <c r="D80" s="640" t="s">
        <v>585</v>
      </c>
      <c r="E80" s="639"/>
      <c r="F80" s="638"/>
      <c r="G80" s="637">
        <f>G71</f>
        <v>274630.63617999997</v>
      </c>
      <c r="H80" s="635">
        <f>H71+H76</f>
        <v>88605054.440515935</v>
      </c>
      <c r="I80" s="636">
        <f>I71</f>
        <v>4519150.41</v>
      </c>
      <c r="J80" s="635">
        <f>J71+J76</f>
        <v>17203342.344082087</v>
      </c>
      <c r="K80" s="634">
        <f>H80+J80</f>
        <v>105808396.78459802</v>
      </c>
      <c r="L80" s="625"/>
      <c r="M80" s="633">
        <f>M71+M76+M78</f>
        <v>9091967</v>
      </c>
      <c r="N80" s="632">
        <f>N71+N76+N78</f>
        <v>97697021.440515935</v>
      </c>
    </row>
    <row r="81" spans="2:14" ht="13.8" x14ac:dyDescent="0.25">
      <c r="B81" s="590"/>
      <c r="C81" s="631"/>
      <c r="D81" s="630"/>
      <c r="E81" s="629"/>
      <c r="F81" s="629"/>
      <c r="G81" s="628">
        <f>G80/8760</f>
        <v>31.350529244292233</v>
      </c>
      <c r="H81" s="626"/>
      <c r="I81" s="627"/>
      <c r="J81" s="626"/>
      <c r="K81" s="623"/>
      <c r="L81" s="625"/>
      <c r="M81" s="624"/>
      <c r="N81" s="623"/>
    </row>
    <row r="82" spans="2:14" ht="13.8" x14ac:dyDescent="0.25">
      <c r="B82" s="607"/>
      <c r="C82" s="622"/>
      <c r="D82" s="621"/>
      <c r="E82" s="621"/>
      <c r="F82" s="621"/>
      <c r="G82" s="620"/>
      <c r="H82" s="618"/>
      <c r="I82" s="619"/>
      <c r="J82" s="618"/>
      <c r="K82" s="617"/>
      <c r="M82" s="616"/>
      <c r="N82" s="615"/>
    </row>
    <row r="83" spans="2:14" ht="14.4" x14ac:dyDescent="0.3">
      <c r="B83" s="607" t="s">
        <v>292</v>
      </c>
      <c r="E83" s="614" t="s">
        <v>294</v>
      </c>
      <c r="F83" s="613"/>
      <c r="G83" s="612"/>
      <c r="H83" s="611">
        <f>(H38+H61)/H71</f>
        <v>8.6560806527874942E-2</v>
      </c>
      <c r="I83" s="610"/>
      <c r="J83" s="608">
        <f>(J38+J61)/J71</f>
        <v>8.7745963885502182E-2</v>
      </c>
      <c r="K83" s="593"/>
      <c r="M83" s="609"/>
      <c r="N83" s="608"/>
    </row>
    <row r="84" spans="2:14" x14ac:dyDescent="0.25">
      <c r="B84" s="607"/>
      <c r="F84" s="587" t="s">
        <v>295</v>
      </c>
      <c r="G84" s="593"/>
      <c r="H84" s="604"/>
      <c r="I84" s="593"/>
      <c r="J84" s="604"/>
      <c r="K84" s="593"/>
      <c r="M84" s="603"/>
      <c r="N84" s="602"/>
    </row>
    <row r="85" spans="2:14" x14ac:dyDescent="0.25">
      <c r="B85" s="607"/>
      <c r="F85" s="587" t="s">
        <v>296</v>
      </c>
      <c r="G85" s="593"/>
      <c r="H85" s="604"/>
      <c r="I85" s="593"/>
      <c r="J85" s="604"/>
      <c r="K85" s="593"/>
      <c r="M85" s="603"/>
      <c r="N85" s="602"/>
    </row>
    <row r="86" spans="2:14" x14ac:dyDescent="0.25">
      <c r="E86" s="606"/>
      <c r="F86" s="606"/>
      <c r="G86" s="605"/>
      <c r="H86" s="604"/>
      <c r="I86" s="593"/>
      <c r="J86" s="604"/>
      <c r="K86" s="593"/>
      <c r="M86" s="603"/>
      <c r="N86" s="602"/>
    </row>
    <row r="87" spans="2:14" ht="26.25" customHeight="1" x14ac:dyDescent="0.25">
      <c r="B87" s="590" t="s">
        <v>293</v>
      </c>
      <c r="E87" s="1132" t="s">
        <v>300</v>
      </c>
      <c r="F87" s="1133"/>
      <c r="G87" s="1133"/>
      <c r="H87" s="600">
        <f>(H48+H50+SUM(H67:H68))/(H22+H33)</f>
        <v>5.2584176930808184E-2</v>
      </c>
      <c r="I87" s="601"/>
      <c r="J87" s="600">
        <f>(J48+J50+SUM(J67:J68))/(J22+J33)</f>
        <v>4.5005581252035416E-2</v>
      </c>
      <c r="K87" s="593"/>
      <c r="M87" s="599"/>
      <c r="N87" s="598"/>
    </row>
    <row r="88" spans="2:14" ht="21" customHeight="1" x14ac:dyDescent="0.3">
      <c r="B88" s="590" t="s">
        <v>584</v>
      </c>
      <c r="E88" s="597" t="s">
        <v>301</v>
      </c>
      <c r="F88" s="596"/>
      <c r="G88" s="596"/>
      <c r="H88" s="594">
        <f>(H48+H50+SUM(H67:H68))</f>
        <v>3737295.6524999999</v>
      </c>
      <c r="I88" s="595"/>
      <c r="J88" s="594">
        <f>(J48+J50+SUM(J67:J68))</f>
        <v>624916.09750000003</v>
      </c>
      <c r="K88" s="593"/>
      <c r="M88" s="592"/>
      <c r="N88" s="591"/>
    </row>
    <row r="89" spans="2:14" ht="27" customHeight="1" x14ac:dyDescent="0.25">
      <c r="B89" s="590"/>
      <c r="F89" s="1134" t="s">
        <v>583</v>
      </c>
      <c r="G89" s="1134"/>
      <c r="H89" s="1134"/>
      <c r="I89" s="1134"/>
      <c r="J89" s="1134"/>
    </row>
    <row r="90" spans="2:14" ht="18.75" customHeight="1" x14ac:dyDescent="0.25">
      <c r="F90" s="1134" t="s">
        <v>582</v>
      </c>
      <c r="G90" s="1134"/>
      <c r="H90" s="1134"/>
      <c r="I90" s="1134"/>
      <c r="J90" s="1134"/>
    </row>
    <row r="91" spans="2:14" x14ac:dyDescent="0.25">
      <c r="B91" s="590"/>
    </row>
    <row r="96" spans="2:14" ht="14.4" x14ac:dyDescent="0.3">
      <c r="C96" s="587"/>
      <c r="H96" s="589"/>
      <c r="M96" s="589"/>
      <c r="N96" s="589"/>
    </row>
  </sheetData>
  <mergeCells count="7">
    <mergeCell ref="F90:J90"/>
    <mergeCell ref="J1:K2"/>
    <mergeCell ref="M1:N2"/>
    <mergeCell ref="G1:I1"/>
    <mergeCell ref="D3:F3"/>
    <mergeCell ref="E87:G87"/>
    <mergeCell ref="F89:J89"/>
  </mergeCells>
  <hyperlinks>
    <hyperlink ref="G4" location="'2020 Sector View Electric'!A1" display="MWh Savings"/>
    <hyperlink ref="H4" location="'2020 Sector View Electric'!A1" display="Electric Rider Budget"/>
    <hyperlink ref="I4" location="'2020 Sector View Gas'!A1" display="Therm Savings"/>
    <hyperlink ref="J4" location="'2020 Sector View Gas'!A1" display="Gas Rider Budget"/>
  </hyperlinks>
  <pageMargins left="0.28000000000000003" right="0.3" top="0.75" bottom="0.75" header="0.3" footer="0.3"/>
  <pageSetup paperSize="17" scale="80" orientation="portrait" r:id="rId1"/>
  <headerFooter>
    <oddHeader>&amp;R&amp;G</oddHeader>
    <oddFooter>&amp;R&amp;G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39997558519241921"/>
  </sheetPr>
  <dimension ref="A1:E21"/>
  <sheetViews>
    <sheetView workbookViewId="0">
      <selection activeCell="E18" sqref="E18"/>
    </sheetView>
  </sheetViews>
  <sheetFormatPr defaultColWidth="9.109375" defaultRowHeight="13.2" x14ac:dyDescent="0.25"/>
  <cols>
    <col min="1" max="1" width="5" style="362" bestFit="1" customWidth="1"/>
    <col min="2" max="2" width="61.6640625" style="362" bestFit="1" customWidth="1"/>
    <col min="3" max="3" width="2.109375" style="362" customWidth="1"/>
    <col min="4" max="4" width="7.33203125" style="362" bestFit="1" customWidth="1"/>
    <col min="5" max="5" width="13" style="362" customWidth="1"/>
    <col min="6" max="16384" width="9.109375" style="362"/>
  </cols>
  <sheetData>
    <row r="1" spans="1:5" x14ac:dyDescent="0.25">
      <c r="A1" s="502"/>
      <c r="B1" s="502"/>
      <c r="C1" s="502"/>
      <c r="D1" s="502"/>
      <c r="E1" s="503" t="s">
        <v>445</v>
      </c>
    </row>
    <row r="2" spans="1:5" x14ac:dyDescent="0.25">
      <c r="A2" s="502"/>
      <c r="B2" s="502"/>
      <c r="C2" s="502"/>
      <c r="D2" s="502"/>
      <c r="E2" s="503"/>
    </row>
    <row r="3" spans="1:5" x14ac:dyDescent="0.25">
      <c r="A3" s="504" t="s">
        <v>122</v>
      </c>
      <c r="B3" s="505"/>
      <c r="C3" s="505"/>
      <c r="D3" s="505"/>
      <c r="E3" s="505"/>
    </row>
    <row r="4" spans="1:5" x14ac:dyDescent="0.25">
      <c r="A4" s="506" t="s">
        <v>441</v>
      </c>
      <c r="B4" s="506"/>
      <c r="C4" s="506"/>
      <c r="D4" s="506"/>
      <c r="E4" s="506"/>
    </row>
    <row r="5" spans="1:5" ht="14.4" x14ac:dyDescent="0.3">
      <c r="A5" s="507" t="s">
        <v>446</v>
      </c>
      <c r="B5" s="508"/>
      <c r="C5" s="509"/>
      <c r="D5" s="508"/>
      <c r="E5" s="510"/>
    </row>
    <row r="6" spans="1:5" x14ac:dyDescent="0.25">
      <c r="A6" s="505" t="s">
        <v>365</v>
      </c>
      <c r="B6" s="505"/>
      <c r="C6" s="505"/>
      <c r="D6" s="505"/>
      <c r="E6" s="505"/>
    </row>
    <row r="7" spans="1:5" x14ac:dyDescent="0.25">
      <c r="A7" s="504" t="s">
        <v>447</v>
      </c>
      <c r="B7" s="505"/>
      <c r="C7" s="505"/>
      <c r="D7" s="505"/>
      <c r="E7" s="505"/>
    </row>
    <row r="8" spans="1:5" x14ac:dyDescent="0.25">
      <c r="A8" s="511"/>
      <c r="B8" s="511"/>
      <c r="C8" s="511"/>
      <c r="D8" s="511"/>
      <c r="E8" s="511"/>
    </row>
    <row r="9" spans="1:5" x14ac:dyDescent="0.25">
      <c r="A9" s="512" t="s">
        <v>123</v>
      </c>
      <c r="B9" s="511"/>
      <c r="C9" s="511"/>
      <c r="D9" s="511"/>
      <c r="E9" s="511"/>
    </row>
    <row r="10" spans="1:5" x14ac:dyDescent="0.25">
      <c r="A10" s="513" t="s">
        <v>124</v>
      </c>
      <c r="B10" s="514" t="s">
        <v>125</v>
      </c>
      <c r="C10" s="515"/>
      <c r="D10" s="515"/>
      <c r="E10" s="516" t="s">
        <v>126</v>
      </c>
    </row>
    <row r="11" spans="1:5" x14ac:dyDescent="0.25">
      <c r="A11" s="517"/>
      <c r="B11" s="517"/>
      <c r="C11" s="517"/>
      <c r="D11" s="517"/>
      <c r="E11" s="518"/>
    </row>
    <row r="12" spans="1:5" x14ac:dyDescent="0.25">
      <c r="A12" s="519">
        <v>1</v>
      </c>
      <c r="B12" s="520" t="s">
        <v>127</v>
      </c>
      <c r="C12" s="517"/>
      <c r="D12" s="517"/>
      <c r="E12" s="521">
        <v>7.1570000000000002E-3</v>
      </c>
    </row>
    <row r="13" spans="1:5" x14ac:dyDescent="0.25">
      <c r="A13" s="519">
        <v>2</v>
      </c>
      <c r="B13" s="520" t="s">
        <v>128</v>
      </c>
      <c r="C13" s="517"/>
      <c r="D13" s="517"/>
      <c r="E13" s="521">
        <v>2E-3</v>
      </c>
    </row>
    <row r="14" spans="1:5" ht="14.4" x14ac:dyDescent="0.3">
      <c r="A14" s="519">
        <v>3</v>
      </c>
      <c r="B14" s="520" t="str">
        <f>"STATE UTILITY TAX ( "&amp;D14*100&amp;"% - ( LINE 1 * "&amp;D14*100&amp;"% )  )"</f>
        <v>STATE UTILITY TAX ( 3.8734% - ( LINE 1 * 3.8734% )  )</v>
      </c>
      <c r="C14" s="522"/>
      <c r="D14" s="523">
        <v>3.8733999999999998E-2</v>
      </c>
      <c r="E14" s="524">
        <f>ROUND(D14-(D14*E12),6)</f>
        <v>3.8456999999999998E-2</v>
      </c>
    </row>
    <row r="15" spans="1:5" x14ac:dyDescent="0.25">
      <c r="A15" s="519">
        <v>4</v>
      </c>
      <c r="B15" s="520"/>
      <c r="C15" s="517"/>
      <c r="D15" s="517"/>
      <c r="E15" s="525"/>
    </row>
    <row r="16" spans="1:5" x14ac:dyDescent="0.25">
      <c r="A16" s="519">
        <v>5</v>
      </c>
      <c r="B16" s="520" t="s">
        <v>129</v>
      </c>
      <c r="C16" s="517"/>
      <c r="D16" s="517"/>
      <c r="E16" s="521">
        <f>ROUND(SUM(E12:E14),6)</f>
        <v>4.7613999999999997E-2</v>
      </c>
    </row>
    <row r="17" spans="1:5" x14ac:dyDescent="0.25">
      <c r="A17" s="519">
        <v>6</v>
      </c>
      <c r="B17" s="517"/>
      <c r="C17" s="517"/>
      <c r="D17" s="517"/>
      <c r="E17" s="521"/>
    </row>
    <row r="18" spans="1:5" x14ac:dyDescent="0.25">
      <c r="A18" s="519">
        <v>7</v>
      </c>
      <c r="B18" s="517" t="str">
        <f>"CONVERSION FACTOR EXCLUDING FEDERAL INCOME TAX ( 1 - LINE "&amp;A16&amp;" )"</f>
        <v>CONVERSION FACTOR EXCLUDING FEDERAL INCOME TAX ( 1 - LINE 5 )</v>
      </c>
      <c r="C18" s="517"/>
      <c r="D18" s="517"/>
      <c r="E18" s="521">
        <f>ROUND(1-E16,6)</f>
        <v>0.95238599999999995</v>
      </c>
    </row>
    <row r="19" spans="1:5" ht="14.4" thickBot="1" x14ac:dyDescent="0.35">
      <c r="A19" s="519">
        <v>8</v>
      </c>
      <c r="B19" s="520" t="str">
        <f>"FEDERAL INCOME TAX ( LINE "&amp;A18&amp;"  * "&amp;D19*100&amp;"% )"</f>
        <v>FEDERAL INCOME TAX ( LINE 7  * 21% )</v>
      </c>
      <c r="C19" s="517"/>
      <c r="D19" s="526">
        <v>0.21</v>
      </c>
      <c r="E19" s="527">
        <f>ROUND((E18)*D19,6)</f>
        <v>0.20000100000000001</v>
      </c>
    </row>
    <row r="20" spans="1:5" ht="15" thickTop="1" thickBot="1" x14ac:dyDescent="0.35">
      <c r="A20" s="519">
        <v>9</v>
      </c>
      <c r="B20" s="520" t="str">
        <f>"CONVERSION FACTOR INCL FEDERAL INCOME TAX ( LINE "&amp;A18&amp;" - LINE "&amp;A19&amp;" ) "</f>
        <v xml:space="preserve">CONVERSION FACTOR INCL FEDERAL INCOME TAX ( LINE 7 - LINE 8 ) </v>
      </c>
      <c r="C20" s="517"/>
      <c r="D20" s="517"/>
      <c r="E20" s="527">
        <f>E18-E19</f>
        <v>0.75238499999999997</v>
      </c>
    </row>
    <row r="21" spans="1:5" ht="13.8" thickTop="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sheetPr>
  <dimension ref="A1:I44"/>
  <sheetViews>
    <sheetView workbookViewId="0">
      <selection activeCell="D23" sqref="D23"/>
    </sheetView>
  </sheetViews>
  <sheetFormatPr defaultColWidth="9.109375" defaultRowHeight="13.2" x14ac:dyDescent="0.25"/>
  <cols>
    <col min="1" max="1" width="4" style="7" bestFit="1" customWidth="1"/>
    <col min="2" max="2" width="50.109375" style="7" customWidth="1"/>
    <col min="3" max="3" width="45.33203125" style="7" bestFit="1" customWidth="1"/>
    <col min="4" max="4" width="17" style="7" bestFit="1" customWidth="1"/>
    <col min="5" max="5" width="15.33203125" style="7" bestFit="1" customWidth="1"/>
    <col min="6" max="6" width="14.109375" style="7" customWidth="1"/>
    <col min="7" max="7" width="11.6640625" style="7" customWidth="1"/>
    <col min="8" max="8" width="10.88671875" style="7" bestFit="1" customWidth="1"/>
    <col min="9" max="16384" width="9.109375" style="7"/>
  </cols>
  <sheetData>
    <row r="1" spans="1:9" x14ac:dyDescent="0.25">
      <c r="A1" s="53" t="s">
        <v>564</v>
      </c>
      <c r="C1" s="1042"/>
    </row>
    <row r="2" spans="1:9" x14ac:dyDescent="0.25">
      <c r="A2" s="53" t="s">
        <v>0</v>
      </c>
    </row>
    <row r="3" spans="1:9" x14ac:dyDescent="0.25">
      <c r="A3" s="53"/>
      <c r="F3" s="5" t="s">
        <v>1</v>
      </c>
    </row>
    <row r="4" spans="1:9" ht="13.8" thickBot="1" x14ac:dyDescent="0.3">
      <c r="A4" s="53"/>
      <c r="F4" s="1043" t="s">
        <v>5</v>
      </c>
    </row>
    <row r="5" spans="1:9" x14ac:dyDescent="0.25">
      <c r="A5" s="112"/>
      <c r="D5" s="4"/>
      <c r="E5" s="4"/>
      <c r="F5" s="5" t="s">
        <v>435</v>
      </c>
    </row>
    <row r="6" spans="1:9" x14ac:dyDescent="0.25">
      <c r="A6" s="3" t="s">
        <v>2</v>
      </c>
      <c r="B6" s="3"/>
      <c r="C6" s="3"/>
      <c r="D6" s="52" t="s">
        <v>3</v>
      </c>
      <c r="E6" s="52" t="s">
        <v>4</v>
      </c>
      <c r="F6" s="52" t="s">
        <v>436</v>
      </c>
    </row>
    <row r="7" spans="1:9" x14ac:dyDescent="0.25">
      <c r="D7" s="586" t="s">
        <v>6</v>
      </c>
      <c r="E7" s="586" t="s">
        <v>7</v>
      </c>
      <c r="F7" s="586" t="s">
        <v>8</v>
      </c>
    </row>
    <row r="8" spans="1:9" x14ac:dyDescent="0.25">
      <c r="A8" s="7">
        <v>1</v>
      </c>
      <c r="B8" s="53" t="s">
        <v>563</v>
      </c>
      <c r="C8" s="53"/>
    </row>
    <row r="9" spans="1:9" x14ac:dyDescent="0.25">
      <c r="A9" s="7">
        <f t="shared" ref="A9:A27" si="0">A8+1</f>
        <v>2</v>
      </c>
      <c r="B9" s="53"/>
      <c r="C9" s="53"/>
      <c r="G9" s="1044"/>
      <c r="H9" s="1044"/>
    </row>
    <row r="10" spans="1:9" x14ac:dyDescent="0.25">
      <c r="A10" s="7">
        <f t="shared" si="0"/>
        <v>3</v>
      </c>
      <c r="B10" s="7" t="s">
        <v>9</v>
      </c>
      <c r="C10" s="7" t="s">
        <v>581</v>
      </c>
      <c r="D10" s="23">
        <f>-'PY Rev Req Non-449 (UE-190149)'!C12</f>
        <v>-75429586.341150954</v>
      </c>
      <c r="E10" s="23">
        <f>'2019 Collections'!C6</f>
        <v>-70553799.895523161</v>
      </c>
      <c r="F10" s="103">
        <f>E10-D10</f>
        <v>4875786.4456277937</v>
      </c>
      <c r="G10" s="535"/>
      <c r="H10" s="535"/>
      <c r="I10" s="536"/>
    </row>
    <row r="11" spans="1:9" x14ac:dyDescent="0.25">
      <c r="A11" s="7">
        <f t="shared" si="0"/>
        <v>4</v>
      </c>
      <c r="D11" s="50"/>
      <c r="E11" s="50"/>
      <c r="F11" s="104"/>
    </row>
    <row r="12" spans="1:9" x14ac:dyDescent="0.25">
      <c r="A12" s="7">
        <f t="shared" si="0"/>
        <v>5</v>
      </c>
      <c r="B12" s="7" t="s">
        <v>10</v>
      </c>
      <c r="D12" s="47"/>
      <c r="E12" s="47"/>
      <c r="F12" s="105"/>
    </row>
    <row r="13" spans="1:9" x14ac:dyDescent="0.25">
      <c r="A13" s="7">
        <f t="shared" si="0"/>
        <v>6</v>
      </c>
      <c r="B13" s="6" t="s">
        <v>565</v>
      </c>
      <c r="D13" s="1045">
        <f>D15-D14</f>
        <v>81873170.810000509</v>
      </c>
      <c r="E13" s="1045">
        <f>'PY Actual Program Costs'!D10</f>
        <v>70010501.339999989</v>
      </c>
      <c r="F13" s="106">
        <f>E13-D13</f>
        <v>-11862669.47000052</v>
      </c>
    </row>
    <row r="14" spans="1:9" x14ac:dyDescent="0.25">
      <c r="A14" s="7">
        <f t="shared" si="0"/>
        <v>7</v>
      </c>
      <c r="B14" s="6" t="s">
        <v>566</v>
      </c>
      <c r="D14" s="56">
        <f>'2019 Budget UE-171087'!H30</f>
        <v>1297298.0940373777</v>
      </c>
      <c r="E14" s="1045">
        <f>'PY Actual Program Costs'!D9</f>
        <v>1042467.17</v>
      </c>
      <c r="F14" s="106">
        <f>E14-D14</f>
        <v>-254830.9240373777</v>
      </c>
    </row>
    <row r="15" spans="1:9" x14ac:dyDescent="0.25">
      <c r="A15" s="7">
        <f t="shared" si="0"/>
        <v>8</v>
      </c>
      <c r="B15" s="6" t="s">
        <v>11</v>
      </c>
      <c r="D15" s="79">
        <f>'2019 Budget UE-171087'!O81</f>
        <v>83170468.904037893</v>
      </c>
      <c r="E15" s="79">
        <f>SUM(E13:E14)</f>
        <v>71052968.50999999</v>
      </c>
      <c r="F15" s="79">
        <f>SUM(F13:F14)</f>
        <v>-12117500.394037899</v>
      </c>
    </row>
    <row r="16" spans="1:9" x14ac:dyDescent="0.25">
      <c r="A16" s="7">
        <f t="shared" si="0"/>
        <v>9</v>
      </c>
      <c r="D16" s="102">
        <f>'PY Rev Req Non-449 (UE-190149)'!C8-D15</f>
        <v>0</v>
      </c>
      <c r="E16" s="102">
        <f>'PY Actual Program Costs'!D6-E15</f>
        <v>0</v>
      </c>
      <c r="F16" s="107"/>
    </row>
    <row r="17" spans="1:9" x14ac:dyDescent="0.25">
      <c r="A17" s="7">
        <f t="shared" si="0"/>
        <v>10</v>
      </c>
      <c r="B17" s="7" t="s">
        <v>420</v>
      </c>
      <c r="D17" s="106"/>
      <c r="E17" s="106"/>
      <c r="F17" s="102">
        <f>F10+F15</f>
        <v>-7241713.948410105</v>
      </c>
    </row>
    <row r="18" spans="1:9" x14ac:dyDescent="0.25">
      <c r="A18" s="7">
        <f t="shared" si="0"/>
        <v>11</v>
      </c>
      <c r="D18" s="106"/>
      <c r="E18" s="106"/>
      <c r="F18" s="106"/>
    </row>
    <row r="19" spans="1:9" x14ac:dyDescent="0.25">
      <c r="A19" s="7">
        <f t="shared" si="0"/>
        <v>12</v>
      </c>
      <c r="B19" s="53" t="s">
        <v>421</v>
      </c>
      <c r="C19" s="53"/>
      <c r="D19" s="106"/>
      <c r="E19" s="106"/>
      <c r="F19" s="106"/>
    </row>
    <row r="20" spans="1:9" x14ac:dyDescent="0.25">
      <c r="A20" s="7">
        <f t="shared" si="0"/>
        <v>13</v>
      </c>
      <c r="B20" s="53"/>
      <c r="C20" s="53"/>
      <c r="D20" s="4"/>
      <c r="E20" s="4"/>
      <c r="F20" s="5" t="s">
        <v>1</v>
      </c>
    </row>
    <row r="21" spans="1:9" x14ac:dyDescent="0.25">
      <c r="A21" s="7">
        <f t="shared" si="0"/>
        <v>14</v>
      </c>
      <c r="B21" s="7" t="s">
        <v>354</v>
      </c>
      <c r="D21" s="52" t="s">
        <v>3</v>
      </c>
      <c r="E21" s="52" t="s">
        <v>4</v>
      </c>
      <c r="F21" s="52" t="s">
        <v>5</v>
      </c>
    </row>
    <row r="22" spans="1:9" x14ac:dyDescent="0.25">
      <c r="A22" s="7">
        <f t="shared" si="0"/>
        <v>15</v>
      </c>
      <c r="B22" s="6" t="s">
        <v>567</v>
      </c>
      <c r="C22" s="6"/>
      <c r="G22" s="1044"/>
      <c r="H22" s="1044"/>
    </row>
    <row r="23" spans="1:9" x14ac:dyDescent="0.25">
      <c r="A23" s="7">
        <f t="shared" si="0"/>
        <v>16</v>
      </c>
      <c r="B23" s="6" t="s">
        <v>623</v>
      </c>
      <c r="C23" s="6"/>
      <c r="D23" s="56">
        <f>-'PY Est - Actual v Est'!B10</f>
        <v>-25956916.976874344</v>
      </c>
      <c r="E23" s="1045">
        <f>-'PY Est - Actual v Est'!C10</f>
        <v>-24607781.795662533</v>
      </c>
      <c r="F23" s="102">
        <f>E23-D23</f>
        <v>1349135.1812118106</v>
      </c>
      <c r="G23" s="535"/>
      <c r="H23" s="535"/>
      <c r="I23" s="536"/>
    </row>
    <row r="24" spans="1:9" x14ac:dyDescent="0.25">
      <c r="A24" s="7">
        <f t="shared" si="0"/>
        <v>17</v>
      </c>
      <c r="B24" s="6"/>
      <c r="C24" s="6"/>
      <c r="D24" s="56"/>
      <c r="E24" s="56"/>
      <c r="F24" s="102"/>
    </row>
    <row r="25" spans="1:9" x14ac:dyDescent="0.25">
      <c r="A25" s="7">
        <f t="shared" si="0"/>
        <v>18</v>
      </c>
      <c r="B25" s="6"/>
      <c r="C25" s="6"/>
      <c r="D25" s="56"/>
      <c r="E25" s="56"/>
      <c r="F25" s="102"/>
    </row>
    <row r="26" spans="1:9" x14ac:dyDescent="0.25">
      <c r="A26" s="7">
        <f t="shared" si="0"/>
        <v>19</v>
      </c>
      <c r="D26" s="106"/>
      <c r="E26" s="106"/>
      <c r="F26" s="107"/>
    </row>
    <row r="27" spans="1:9" ht="13.8" thickBot="1" x14ac:dyDescent="0.3">
      <c r="A27" s="7">
        <f t="shared" si="0"/>
        <v>20</v>
      </c>
      <c r="B27" s="7" t="s">
        <v>12</v>
      </c>
      <c r="D27" s="108"/>
      <c r="E27" s="106"/>
      <c r="F27" s="109">
        <f>SUM(F17:F26)</f>
        <v>-5892578.7671982944</v>
      </c>
    </row>
    <row r="28" spans="1:9" ht="13.8" thickTop="1" x14ac:dyDescent="0.25"/>
    <row r="29" spans="1:9" x14ac:dyDescent="0.25">
      <c r="F29" s="106"/>
    </row>
    <row r="32" spans="1:9" x14ac:dyDescent="0.25">
      <c r="D32" s="536"/>
    </row>
    <row r="33" spans="4:9" x14ac:dyDescent="0.25">
      <c r="D33" s="536"/>
      <c r="E33" s="536"/>
      <c r="F33" s="536"/>
      <c r="G33" s="536"/>
      <c r="H33" s="536"/>
    </row>
    <row r="34" spans="4:9" x14ac:dyDescent="0.25">
      <c r="D34" s="536"/>
      <c r="E34" s="535"/>
      <c r="F34" s="535"/>
      <c r="G34" s="535"/>
      <c r="H34" s="537"/>
      <c r="I34" s="536"/>
    </row>
    <row r="44" spans="4:9" x14ac:dyDescent="0.25">
      <c r="D44" s="7" t="s">
        <v>13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5" sqref="I35"/>
    </sheetView>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39997558519241921"/>
  </sheetPr>
  <dimension ref="A1:F15"/>
  <sheetViews>
    <sheetView workbookViewId="0">
      <selection activeCell="L23" sqref="L23"/>
    </sheetView>
  </sheetViews>
  <sheetFormatPr defaultColWidth="9.109375" defaultRowHeight="13.2" x14ac:dyDescent="0.25"/>
  <cols>
    <col min="1" max="1" width="4.5546875" style="7" bestFit="1" customWidth="1"/>
    <col min="2" max="2" width="57.44140625" style="7" customWidth="1"/>
    <col min="3" max="3" width="14.6640625" style="7" bestFit="1" customWidth="1"/>
    <col min="4" max="4" width="10.88671875" style="7" bestFit="1" customWidth="1"/>
    <col min="5" max="5" width="14.44140625" style="7" bestFit="1" customWidth="1"/>
    <col min="6" max="6" width="2.33203125" style="7" customWidth="1"/>
    <col min="7" max="16384" width="9.109375" style="7"/>
  </cols>
  <sheetData>
    <row r="1" spans="1:6" ht="13.2" customHeight="1" x14ac:dyDescent="0.25">
      <c r="A1" s="38" t="s">
        <v>30</v>
      </c>
      <c r="B1" s="38"/>
      <c r="C1" s="38"/>
      <c r="D1" s="38"/>
      <c r="E1" s="38"/>
    </row>
    <row r="2" spans="1:6" x14ac:dyDescent="0.25">
      <c r="A2" s="38" t="s">
        <v>31</v>
      </c>
      <c r="B2" s="38"/>
      <c r="C2" s="38"/>
      <c r="D2" s="38"/>
      <c r="E2" s="38"/>
    </row>
    <row r="3" spans="1:6" ht="13.8" thickBot="1" x14ac:dyDescent="0.3">
      <c r="A3" s="39" t="s">
        <v>413</v>
      </c>
      <c r="B3" s="38"/>
      <c r="C3" s="38"/>
      <c r="D3" s="38"/>
      <c r="E3" s="38"/>
    </row>
    <row r="4" spans="1:6" ht="13.2" customHeight="1" thickBot="1" x14ac:dyDescent="0.3">
      <c r="A4" s="1135" t="s">
        <v>625</v>
      </c>
      <c r="B4" s="1136"/>
      <c r="C4" s="1136"/>
      <c r="D4" s="1136"/>
      <c r="E4" s="1137"/>
    </row>
    <row r="5" spans="1:6" ht="13.2" customHeight="1" x14ac:dyDescent="0.25">
      <c r="A5" s="586"/>
      <c r="B5" s="586"/>
      <c r="C5" s="110"/>
      <c r="D5" s="110"/>
      <c r="E5" s="110"/>
    </row>
    <row r="6" spans="1:6" s="41" customFormat="1" ht="26.4" customHeight="1" x14ac:dyDescent="0.25">
      <c r="A6" s="40" t="s">
        <v>17</v>
      </c>
      <c r="B6" s="40" t="s">
        <v>2</v>
      </c>
      <c r="C6" s="40" t="s">
        <v>32</v>
      </c>
      <c r="D6" s="40" t="s">
        <v>33</v>
      </c>
      <c r="E6" s="40" t="s">
        <v>16</v>
      </c>
    </row>
    <row r="7" spans="1:6" ht="13.2" customHeight="1" x14ac:dyDescent="0.25">
      <c r="A7" s="42"/>
      <c r="B7" s="42"/>
      <c r="C7" s="42"/>
      <c r="D7" s="38"/>
    </row>
    <row r="8" spans="1:6" ht="13.2" customHeight="1" x14ac:dyDescent="0.25">
      <c r="A8" s="42">
        <v>1</v>
      </c>
      <c r="B8" s="17" t="s">
        <v>394</v>
      </c>
      <c r="C8" s="50">
        <v>83170468.904037893</v>
      </c>
      <c r="D8" s="43">
        <v>0.95238599999999995</v>
      </c>
      <c r="E8" s="50">
        <f>+C8/D8</f>
        <v>87328529.508033395</v>
      </c>
    </row>
    <row r="9" spans="1:6" ht="13.2" customHeight="1" x14ac:dyDescent="0.25">
      <c r="A9" s="42"/>
      <c r="B9" s="17"/>
      <c r="C9" s="50"/>
      <c r="D9" s="43"/>
    </row>
    <row r="10" spans="1:6" ht="13.2" customHeight="1" x14ac:dyDescent="0.25">
      <c r="A10" s="42">
        <v>2</v>
      </c>
      <c r="B10" s="17" t="s">
        <v>34</v>
      </c>
      <c r="C10" s="50">
        <v>-7740882.562886944</v>
      </c>
      <c r="D10" s="43">
        <f>+$D$8</f>
        <v>0.95238599999999995</v>
      </c>
      <c r="E10" s="50">
        <f>+C10/D10</f>
        <v>-8127883.6132481415</v>
      </c>
    </row>
    <row r="11" spans="1:6" ht="13.2" customHeight="1" x14ac:dyDescent="0.25">
      <c r="A11" s="42"/>
      <c r="B11" s="42"/>
      <c r="C11" s="44"/>
      <c r="D11" s="43"/>
      <c r="E11" s="45"/>
    </row>
    <row r="12" spans="1:6" ht="13.95" customHeight="1" thickBot="1" x14ac:dyDescent="0.3">
      <c r="A12" s="42">
        <v>3</v>
      </c>
      <c r="B12" s="19" t="s">
        <v>35</v>
      </c>
      <c r="C12" s="46">
        <f>SUM(C8:C11)</f>
        <v>75429586.341150954</v>
      </c>
      <c r="D12" s="43"/>
      <c r="E12" s="46">
        <f>SUM(E8:E11)</f>
        <v>79200645.894785255</v>
      </c>
    </row>
    <row r="13" spans="1:6" ht="13.8" thickTop="1" x14ac:dyDescent="0.25">
      <c r="A13" s="42"/>
      <c r="B13" s="42"/>
      <c r="C13" s="42"/>
      <c r="D13" s="43"/>
      <c r="E13" s="47"/>
    </row>
    <row r="14" spans="1:6" ht="14.4" x14ac:dyDescent="0.3">
      <c r="B14" s="48"/>
      <c r="C14" s="49"/>
      <c r="D14" s="322"/>
      <c r="E14" s="50"/>
    </row>
    <row r="15" spans="1:6" x14ac:dyDescent="0.25">
      <c r="F15" s="586"/>
    </row>
  </sheetData>
  <mergeCells count="1">
    <mergeCell ref="A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N4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8.88671875" defaultRowHeight="14.4" x14ac:dyDescent="0.3"/>
  <cols>
    <col min="1" max="1" width="3" style="72" bestFit="1" customWidth="1"/>
    <col min="2" max="2" width="66.109375" style="72" customWidth="1"/>
    <col min="3" max="3" width="16.88671875" style="72" bestFit="1" customWidth="1"/>
    <col min="4" max="4" width="21.44140625" style="72" bestFit="1" customWidth="1"/>
    <col min="5" max="5" width="16.88671875" style="72" bestFit="1" customWidth="1"/>
    <col min="6" max="6" width="14.33203125" style="72" bestFit="1" customWidth="1"/>
    <col min="7" max="7" width="3.5546875" style="72" customWidth="1"/>
    <col min="8" max="8" width="12.88671875" style="72" bestFit="1" customWidth="1"/>
    <col min="9" max="9" width="10.33203125" style="72" bestFit="1" customWidth="1"/>
    <col min="10" max="10" width="12.88671875" style="72" bestFit="1" customWidth="1"/>
    <col min="11" max="11" width="11" style="72" bestFit="1" customWidth="1"/>
    <col min="12" max="12" width="12.88671875" style="72" bestFit="1" customWidth="1"/>
    <col min="13" max="13" width="10.33203125" style="72" bestFit="1" customWidth="1"/>
    <col min="14" max="14" width="12.88671875" style="72" bestFit="1" customWidth="1"/>
    <col min="15" max="16384" width="8.88671875" style="72"/>
  </cols>
  <sheetData>
    <row r="1" spans="1:5" x14ac:dyDescent="0.3">
      <c r="A1" s="7"/>
      <c r="B1" s="7"/>
      <c r="C1" s="52" t="s">
        <v>76</v>
      </c>
      <c r="D1" s="52" t="s">
        <v>77</v>
      </c>
      <c r="E1" s="52" t="s">
        <v>78</v>
      </c>
    </row>
    <row r="2" spans="1:5" x14ac:dyDescent="0.3">
      <c r="A2" s="7"/>
      <c r="B2" s="53"/>
      <c r="C2" s="7"/>
      <c r="D2" s="7"/>
      <c r="E2" s="7"/>
    </row>
    <row r="3" spans="1:5" x14ac:dyDescent="0.3">
      <c r="A3" s="7">
        <v>1</v>
      </c>
      <c r="B3" s="53" t="s">
        <v>548</v>
      </c>
      <c r="C3" s="7"/>
      <c r="D3" s="7"/>
      <c r="E3" s="7"/>
    </row>
    <row r="4" spans="1:5" x14ac:dyDescent="0.3">
      <c r="A4" s="7">
        <v>2</v>
      </c>
      <c r="B4" s="6" t="s">
        <v>549</v>
      </c>
      <c r="C4" s="61">
        <f>C21</f>
        <v>-52254412.08928182</v>
      </c>
      <c r="D4" s="61">
        <f>D21</f>
        <v>-1545606.41071818</v>
      </c>
      <c r="E4" s="61">
        <f>E21</f>
        <v>-53800018.5</v>
      </c>
    </row>
    <row r="5" spans="1:5" x14ac:dyDescent="0.3">
      <c r="A5" s="7">
        <v>3</v>
      </c>
      <c r="B5" s="6" t="s">
        <v>541</v>
      </c>
      <c r="C5" s="56">
        <f>C33</f>
        <v>-18299387.806241345</v>
      </c>
      <c r="D5" s="56">
        <f>D33</f>
        <v>-498276.92085368396</v>
      </c>
      <c r="E5" s="56">
        <f>E33</f>
        <v>-18797664.72709503</v>
      </c>
    </row>
    <row r="6" spans="1:5" ht="15" thickBot="1" x14ac:dyDescent="0.35">
      <c r="A6" s="7">
        <v>4</v>
      </c>
      <c r="B6" s="7" t="s">
        <v>79</v>
      </c>
      <c r="C6" s="58">
        <f>SUM(C4:C5)</f>
        <v>-70553799.895523161</v>
      </c>
      <c r="D6" s="58">
        <f>SUM(D4:D5)</f>
        <v>-2043883.331571864</v>
      </c>
      <c r="E6" s="58">
        <f>SUM(E4:E5)</f>
        <v>-72597683.227095038</v>
      </c>
    </row>
    <row r="7" spans="1:5" ht="15" thickTop="1" x14ac:dyDescent="0.3">
      <c r="A7" s="7">
        <v>5</v>
      </c>
      <c r="B7" s="7"/>
      <c r="C7" s="7"/>
      <c r="D7" s="7"/>
      <c r="E7" s="7"/>
    </row>
    <row r="8" spans="1:5" ht="17.399999999999999" x14ac:dyDescent="0.3">
      <c r="A8" s="7">
        <v>6</v>
      </c>
      <c r="B8" s="452"/>
      <c r="C8" s="7"/>
      <c r="D8" s="7"/>
      <c r="E8" s="7"/>
    </row>
    <row r="9" spans="1:5" x14ac:dyDescent="0.3">
      <c r="A9" s="7">
        <v>7</v>
      </c>
      <c r="B9" s="7"/>
      <c r="C9" s="7"/>
      <c r="D9" s="7"/>
      <c r="E9" s="7"/>
    </row>
    <row r="10" spans="1:5" x14ac:dyDescent="0.3">
      <c r="A10" s="7">
        <v>8</v>
      </c>
      <c r="B10" s="7"/>
      <c r="C10" s="7"/>
      <c r="D10" s="7"/>
      <c r="E10" s="7"/>
    </row>
    <row r="11" spans="1:5" x14ac:dyDescent="0.3">
      <c r="A11" s="7">
        <v>9</v>
      </c>
      <c r="B11" s="54" t="s">
        <v>80</v>
      </c>
      <c r="C11" s="7"/>
      <c r="D11" s="7"/>
      <c r="E11" s="7"/>
    </row>
    <row r="12" spans="1:5" x14ac:dyDescent="0.3">
      <c r="A12" s="7">
        <v>10</v>
      </c>
      <c r="B12" s="55">
        <v>43616</v>
      </c>
      <c r="C12" s="56"/>
      <c r="D12" s="56"/>
      <c r="E12" s="56">
        <f>'AC 1820621'!I13</f>
        <v>-4822772.2900000066</v>
      </c>
    </row>
    <row r="13" spans="1:5" x14ac:dyDescent="0.3">
      <c r="A13" s="7">
        <v>11</v>
      </c>
      <c r="B13" s="55">
        <v>43646</v>
      </c>
      <c r="C13" s="56"/>
      <c r="D13" s="56"/>
      <c r="E13" s="56">
        <f>'AC 1820621'!D10</f>
        <v>-5410363.8100000005</v>
      </c>
    </row>
    <row r="14" spans="1:5" x14ac:dyDescent="0.3">
      <c r="A14" s="7">
        <v>12</v>
      </c>
      <c r="B14" s="55">
        <v>43677</v>
      </c>
      <c r="C14" s="56"/>
      <c r="D14" s="56"/>
      <c r="E14" s="56">
        <f>'AC 1820621'!D11</f>
        <v>-5260547.4999999991</v>
      </c>
    </row>
    <row r="15" spans="1:5" x14ac:dyDescent="0.3">
      <c r="A15" s="7">
        <v>13</v>
      </c>
      <c r="B15" s="55">
        <v>43708</v>
      </c>
      <c r="C15" s="56"/>
      <c r="D15" s="56"/>
      <c r="E15" s="56">
        <f>'AC 1820621'!D12</f>
        <v>-5792118.6699999999</v>
      </c>
    </row>
    <row r="16" spans="1:5" x14ac:dyDescent="0.3">
      <c r="A16" s="7">
        <v>14</v>
      </c>
      <c r="B16" s="55">
        <v>43738</v>
      </c>
      <c r="C16" s="56"/>
      <c r="D16" s="56"/>
      <c r="E16" s="56">
        <f>'AC 1820621'!D13</f>
        <v>-5136249.91</v>
      </c>
    </row>
    <row r="17" spans="1:14" x14ac:dyDescent="0.3">
      <c r="A17" s="7">
        <v>15</v>
      </c>
      <c r="B17" s="55">
        <v>43769</v>
      </c>
      <c r="C17" s="56"/>
      <c r="D17" s="56"/>
      <c r="E17" s="56">
        <f>'AC 1820621'!D14</f>
        <v>-6096888.4299999997</v>
      </c>
    </row>
    <row r="18" spans="1:14" x14ac:dyDescent="0.3">
      <c r="A18" s="7">
        <v>16</v>
      </c>
      <c r="B18" s="55">
        <v>43799</v>
      </c>
      <c r="C18" s="56"/>
      <c r="D18" s="56"/>
      <c r="E18" s="56">
        <f>'AC 1820621'!D15</f>
        <v>-6371822.8000000007</v>
      </c>
    </row>
    <row r="19" spans="1:14" x14ac:dyDescent="0.3">
      <c r="A19" s="7">
        <v>17</v>
      </c>
      <c r="B19" s="55">
        <v>43830</v>
      </c>
      <c r="C19" s="56"/>
      <c r="D19" s="56"/>
      <c r="E19" s="56">
        <f>'AC 1820621'!D16</f>
        <v>-7626479.7600000007</v>
      </c>
    </row>
    <row r="20" spans="1:14" x14ac:dyDescent="0.3">
      <c r="A20" s="7">
        <v>18</v>
      </c>
      <c r="B20" s="55">
        <v>43861</v>
      </c>
      <c r="C20" s="56"/>
      <c r="D20" s="84"/>
      <c r="E20" s="56">
        <f>'AC 1820621'!D28</f>
        <v>-7282775.3300000001</v>
      </c>
    </row>
    <row r="21" spans="1:14" ht="15" thickBot="1" x14ac:dyDescent="0.35">
      <c r="A21" s="7">
        <v>19</v>
      </c>
      <c r="B21" s="57"/>
      <c r="C21" s="58">
        <f>E21-D21</f>
        <v>-52254412.08928182</v>
      </c>
      <c r="D21" s="58">
        <f>-'258 Cons Tbl 19-20'!N21</f>
        <v>-1545606.41071818</v>
      </c>
      <c r="E21" s="58">
        <f>SUM(E12:E20)</f>
        <v>-53800018.5</v>
      </c>
    </row>
    <row r="22" spans="1:14" ht="15" thickTop="1" x14ac:dyDescent="0.3">
      <c r="A22" s="7">
        <v>20</v>
      </c>
      <c r="B22" s="54" t="s">
        <v>81</v>
      </c>
      <c r="C22" s="56"/>
      <c r="D22" s="59" t="s">
        <v>82</v>
      </c>
      <c r="E22" s="56"/>
    </row>
    <row r="23" spans="1:14" x14ac:dyDescent="0.3">
      <c r="A23" s="7">
        <v>21</v>
      </c>
      <c r="B23" s="57" t="str">
        <f>"Totals are based on average total composite rate of "&amp;DOLLAR('PY COS'!F50,6)&amp;" per kWh x"</f>
        <v>Totals are based on average total composite rate of $0.003414 per kWh x</v>
      </c>
      <c r="C23" s="56"/>
      <c r="D23" s="56"/>
      <c r="E23" s="56"/>
    </row>
    <row r="24" spans="1:14" x14ac:dyDescent="0.3">
      <c r="A24" s="7">
        <v>22</v>
      </c>
      <c r="B24" s="57" t="str">
        <f>'Variance Analysis'!E7&amp;" conversion factor in existing Sch 120 from UE-190149"</f>
        <v>0.952386 conversion factor in existing Sch 120 from UE-190149</v>
      </c>
      <c r="C24" s="56"/>
      <c r="D24" s="56"/>
      <c r="E24" s="56"/>
    </row>
    <row r="25" spans="1:14" x14ac:dyDescent="0.3">
      <c r="A25" s="7">
        <v>23</v>
      </c>
      <c r="B25" s="57" t="s">
        <v>620</v>
      </c>
      <c r="C25" s="56"/>
      <c r="D25" s="56"/>
      <c r="E25" s="56"/>
    </row>
    <row r="26" spans="1:14" x14ac:dyDescent="0.3">
      <c r="A26" s="7">
        <v>24</v>
      </c>
      <c r="B26" s="1037">
        <f>'PY COS'!F50</f>
        <v>3.4143038099999998E-3</v>
      </c>
      <c r="C26" s="7"/>
      <c r="D26" s="7"/>
      <c r="E26" s="7"/>
      <c r="F26" s="1037"/>
      <c r="G26" s="70"/>
      <c r="H26" s="70"/>
      <c r="I26" s="70"/>
      <c r="J26" s="70"/>
      <c r="K26" s="70"/>
      <c r="L26" s="70"/>
      <c r="M26" s="70"/>
      <c r="N26" s="70"/>
    </row>
    <row r="27" spans="1:14" x14ac:dyDescent="0.3">
      <c r="A27" s="7">
        <v>25</v>
      </c>
      <c r="B27" s="1038">
        <v>43889</v>
      </c>
      <c r="C27" s="61"/>
      <c r="D27" s="61"/>
      <c r="E27" s="7"/>
      <c r="F27" s="70"/>
      <c r="G27" s="70"/>
      <c r="H27" s="70"/>
      <c r="I27" s="70"/>
      <c r="J27" s="70"/>
      <c r="K27" s="70"/>
      <c r="L27" s="70"/>
      <c r="M27" s="70"/>
      <c r="N27" s="70"/>
    </row>
    <row r="28" spans="1:14" x14ac:dyDescent="0.3">
      <c r="A28" s="7">
        <v>26</v>
      </c>
      <c r="B28" s="62">
        <f>'F2019 Load Forecast'!S21</f>
        <v>1932287</v>
      </c>
      <c r="C28" s="61">
        <f>E28-D28</f>
        <v>-6430495.2585870959</v>
      </c>
      <c r="D28" s="61">
        <f>-'258 Cons Tbl 19-20'!H27</f>
        <v>-166919.60752637399</v>
      </c>
      <c r="E28" s="61">
        <f>-B28*B$26*1000</f>
        <v>-6597414.8661134699</v>
      </c>
      <c r="F28" s="1039"/>
      <c r="G28" s="70"/>
      <c r="H28" s="1040"/>
      <c r="I28" s="1040"/>
      <c r="J28" s="1040"/>
      <c r="K28" s="70"/>
      <c r="L28" s="1040"/>
      <c r="M28" s="1040"/>
      <c r="N28" s="1040"/>
    </row>
    <row r="29" spans="1:14" x14ac:dyDescent="0.3">
      <c r="A29" s="7">
        <v>27</v>
      </c>
      <c r="B29" s="1038">
        <v>43921</v>
      </c>
      <c r="C29" s="61"/>
      <c r="D29" s="61"/>
      <c r="E29" s="61"/>
      <c r="F29" s="1039"/>
      <c r="G29" s="70"/>
      <c r="H29" s="1040"/>
      <c r="I29" s="1040"/>
      <c r="J29" s="1040"/>
      <c r="K29" s="70"/>
      <c r="L29" s="1040"/>
      <c r="M29" s="1040"/>
      <c r="N29" s="1040"/>
    </row>
    <row r="30" spans="1:14" x14ac:dyDescent="0.3">
      <c r="A30" s="7">
        <v>28</v>
      </c>
      <c r="B30" s="62">
        <f>'F2019 Load Forecast'!S22</f>
        <v>1913907</v>
      </c>
      <c r="C30" s="56">
        <f>E30-D30</f>
        <v>-6364895.4909101697</v>
      </c>
      <c r="D30" s="56">
        <f>-'258 Cons Tbl 19-20'!I27</f>
        <v>-169764.47117549999</v>
      </c>
      <c r="E30" s="56">
        <f>-B30*B$26*1000</f>
        <v>-6534659.9620856699</v>
      </c>
      <c r="F30" s="1039"/>
      <c r="G30" s="70"/>
      <c r="H30" s="31"/>
      <c r="I30" s="31"/>
      <c r="J30" s="31"/>
      <c r="K30" s="70"/>
      <c r="L30" s="31"/>
      <c r="M30" s="31"/>
      <c r="N30" s="31"/>
    </row>
    <row r="31" spans="1:14" x14ac:dyDescent="0.3">
      <c r="A31" s="7">
        <v>29</v>
      </c>
      <c r="B31" s="1038">
        <v>43951</v>
      </c>
      <c r="C31" s="56"/>
      <c r="D31" s="56"/>
      <c r="E31" s="56"/>
      <c r="F31" s="1039"/>
      <c r="G31" s="70"/>
      <c r="H31" s="31"/>
      <c r="I31" s="31"/>
      <c r="J31" s="31"/>
      <c r="K31" s="70"/>
      <c r="L31" s="31"/>
      <c r="M31" s="31"/>
      <c r="N31" s="31"/>
    </row>
    <row r="32" spans="1:14" x14ac:dyDescent="0.3">
      <c r="A32" s="7">
        <v>30</v>
      </c>
      <c r="B32" s="62">
        <f>'F2019 Load Forecast'!S23</f>
        <v>1659369</v>
      </c>
      <c r="C32" s="56">
        <f>E32-D32</f>
        <v>-5503997.0567440791</v>
      </c>
      <c r="D32" s="56">
        <f>-'258 Cons Tbl 19-20'!J27</f>
        <v>-161592.84215180998</v>
      </c>
      <c r="E32" s="56">
        <f>-B32*B$26*1000</f>
        <v>-5665589.8988958895</v>
      </c>
      <c r="F32" s="1039"/>
      <c r="G32" s="70"/>
      <c r="H32" s="31"/>
      <c r="I32" s="31"/>
      <c r="J32" s="31"/>
      <c r="K32" s="70"/>
      <c r="L32" s="31"/>
      <c r="M32" s="31"/>
      <c r="N32" s="31"/>
    </row>
    <row r="33" spans="1:14" ht="15" thickBot="1" x14ac:dyDescent="0.35">
      <c r="A33" s="7">
        <v>31</v>
      </c>
      <c r="B33" s="7"/>
      <c r="C33" s="58">
        <f>E33-D33</f>
        <v>-18299387.806241345</v>
      </c>
      <c r="D33" s="58">
        <f>SUM(D28:D32)</f>
        <v>-498276.92085368396</v>
      </c>
      <c r="E33" s="58">
        <f>SUM(E27:E32)</f>
        <v>-18797664.72709503</v>
      </c>
      <c r="F33" s="70"/>
      <c r="G33" s="70"/>
      <c r="H33" s="50"/>
      <c r="I33" s="50"/>
      <c r="J33" s="50"/>
      <c r="K33" s="70"/>
      <c r="L33" s="50"/>
      <c r="M33" s="50"/>
      <c r="N33" s="50"/>
    </row>
    <row r="34" spans="1:14" ht="15" thickTop="1" x14ac:dyDescent="0.3">
      <c r="A34" s="7">
        <v>32</v>
      </c>
      <c r="B34" s="62"/>
      <c r="C34" s="56"/>
      <c r="D34" s="63" t="s">
        <v>82</v>
      </c>
      <c r="E34" s="7"/>
    </row>
    <row r="35" spans="1:14" x14ac:dyDescent="0.3">
      <c r="A35" s="7">
        <v>33</v>
      </c>
      <c r="B35" s="7"/>
      <c r="C35" s="56"/>
      <c r="D35" s="56"/>
      <c r="E35" s="56"/>
    </row>
    <row r="36" spans="1:14" x14ac:dyDescent="0.3">
      <c r="A36" s="7">
        <v>34</v>
      </c>
      <c r="B36" s="7" t="s">
        <v>83</v>
      </c>
    </row>
    <row r="39" spans="1:14" x14ac:dyDescent="0.3">
      <c r="B39" s="51"/>
    </row>
    <row r="40" spans="1:14" x14ac:dyDescent="0.3">
      <c r="B40"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39997558519241921"/>
  </sheetPr>
  <dimension ref="A1:J53"/>
  <sheetViews>
    <sheetView workbookViewId="0">
      <selection activeCell="H20" sqref="H20"/>
    </sheetView>
  </sheetViews>
  <sheetFormatPr defaultColWidth="11.5546875" defaultRowHeight="13.2" x14ac:dyDescent="0.25"/>
  <cols>
    <col min="1" max="1" width="19.109375" style="358" bestFit="1" customWidth="1"/>
    <col min="2" max="3" width="13.6640625" style="358" bestFit="1" customWidth="1"/>
    <col min="4" max="4" width="13.44140625" style="358" bestFit="1" customWidth="1"/>
    <col min="5" max="5" width="16.6640625" style="358" bestFit="1" customWidth="1"/>
    <col min="6" max="6" width="1.33203125" style="358" customWidth="1"/>
    <col min="7" max="8" width="11.5546875" style="358"/>
    <col min="9" max="9" width="22" style="358" bestFit="1" customWidth="1"/>
    <col min="10" max="10" width="45.88671875" style="358" bestFit="1" customWidth="1"/>
    <col min="11" max="14" width="11.5546875" style="358"/>
    <col min="15" max="15" width="22" style="358" bestFit="1" customWidth="1"/>
    <col min="16" max="16" width="45.88671875" style="358" bestFit="1" customWidth="1"/>
    <col min="17" max="16384" width="11.5546875" style="358"/>
  </cols>
  <sheetData>
    <row r="1" spans="1:10" ht="14.4" x14ac:dyDescent="0.3">
      <c r="A1" s="479">
        <v>18230621</v>
      </c>
      <c r="B1" s="465" t="s">
        <v>410</v>
      </c>
      <c r="J1" s="358" t="s">
        <v>437</v>
      </c>
    </row>
    <row r="2" spans="1:10" ht="14.4" x14ac:dyDescent="0.3">
      <c r="A2" s="578" t="s">
        <v>433</v>
      </c>
      <c r="G2" s="320"/>
      <c r="I2" s="320"/>
      <c r="J2" s="320"/>
    </row>
    <row r="3" spans="1:10" ht="14.4" x14ac:dyDescent="0.3">
      <c r="A3" s="359" t="s">
        <v>84</v>
      </c>
      <c r="B3" s="359" t="s">
        <v>85</v>
      </c>
      <c r="C3" s="359" t="s">
        <v>86</v>
      </c>
      <c r="D3" s="359" t="s">
        <v>87</v>
      </c>
      <c r="E3" s="359" t="s">
        <v>88</v>
      </c>
      <c r="G3" s="320"/>
      <c r="H3" s="320"/>
      <c r="I3" s="320"/>
      <c r="J3" s="320"/>
    </row>
    <row r="4" spans="1:10" ht="14.4" x14ac:dyDescent="0.3">
      <c r="A4" s="218" t="s">
        <v>89</v>
      </c>
      <c r="B4" s="360">
        <v>0</v>
      </c>
      <c r="C4" s="360">
        <v>0</v>
      </c>
      <c r="D4" s="360">
        <v>0</v>
      </c>
      <c r="E4" s="360">
        <v>-68591861.140000001</v>
      </c>
      <c r="G4" s="481" t="s">
        <v>405</v>
      </c>
      <c r="H4" s="481" t="s">
        <v>406</v>
      </c>
      <c r="I4" s="481" t="s">
        <v>407</v>
      </c>
      <c r="J4" s="481" t="s">
        <v>352</v>
      </c>
    </row>
    <row r="5" spans="1:10" ht="14.4" x14ac:dyDescent="0.3">
      <c r="A5" s="218" t="s">
        <v>90</v>
      </c>
      <c r="B5" s="360">
        <v>5979959.54</v>
      </c>
      <c r="C5" s="360">
        <v>15106781.32</v>
      </c>
      <c r="D5" s="360">
        <f>+B5-C5</f>
        <v>-9126821.7800000012</v>
      </c>
      <c r="E5" s="360">
        <f>+E4+D5</f>
        <v>-77718682.920000002</v>
      </c>
      <c r="G5" s="1152">
        <v>20190430</v>
      </c>
      <c r="H5" s="1152" t="s">
        <v>507</v>
      </c>
      <c r="I5" s="1153">
        <v>5223526.51</v>
      </c>
      <c r="J5" s="1152" t="s">
        <v>508</v>
      </c>
    </row>
    <row r="6" spans="1:10" ht="14.4" x14ac:dyDescent="0.3">
      <c r="A6" s="218" t="s">
        <v>91</v>
      </c>
      <c r="B6" s="360">
        <v>6259281.0800000001</v>
      </c>
      <c r="C6" s="360">
        <v>15596658.199999999</v>
      </c>
      <c r="D6" s="360">
        <f t="shared" ref="D6:D16" si="0">+B6-C6</f>
        <v>-9337377.1199999992</v>
      </c>
      <c r="E6" s="360">
        <f t="shared" ref="E6:E16" si="1">+E5+D6</f>
        <v>-87056060.040000007</v>
      </c>
      <c r="G6" s="1152"/>
      <c r="H6" s="1152"/>
      <c r="I6" s="1153"/>
      <c r="J6" s="1154"/>
    </row>
    <row r="7" spans="1:10" ht="14.4" x14ac:dyDescent="0.3">
      <c r="A7" s="218" t="s">
        <v>92</v>
      </c>
      <c r="B7" s="360">
        <v>6321644.0599999996</v>
      </c>
      <c r="C7" s="360">
        <v>14783440.18</v>
      </c>
      <c r="D7" s="360">
        <f t="shared" si="0"/>
        <v>-8461796.120000001</v>
      </c>
      <c r="E7" s="360">
        <f t="shared" si="1"/>
        <v>-95517856.160000011</v>
      </c>
      <c r="G7" s="1152">
        <v>20190531</v>
      </c>
      <c r="H7" s="1152" t="s">
        <v>507</v>
      </c>
      <c r="I7" s="1153">
        <v>91086586.069999993</v>
      </c>
      <c r="J7" s="1152" t="s">
        <v>509</v>
      </c>
    </row>
    <row r="8" spans="1:10" ht="14.4" x14ac:dyDescent="0.3">
      <c r="A8" s="218" t="s">
        <v>93</v>
      </c>
      <c r="B8" s="360">
        <v>5457640.0899999999</v>
      </c>
      <c r="C8" s="360">
        <v>12721096.99</v>
      </c>
      <c r="D8" s="360">
        <f t="shared" si="0"/>
        <v>-7263456.9000000004</v>
      </c>
      <c r="E8" s="360">
        <f t="shared" si="1"/>
        <v>-102781313.06000002</v>
      </c>
      <c r="G8" s="1152">
        <v>20190531</v>
      </c>
      <c r="H8" s="1152" t="s">
        <v>507</v>
      </c>
      <c r="I8" s="1153">
        <v>-6281149.1500000004</v>
      </c>
      <c r="J8" s="1152" t="s">
        <v>510</v>
      </c>
    </row>
    <row r="9" spans="1:10" ht="14.4" x14ac:dyDescent="0.3">
      <c r="A9" s="218" t="s">
        <v>94</v>
      </c>
      <c r="B9" s="360">
        <v>96310112.579999998</v>
      </c>
      <c r="C9" s="360">
        <v>10046298.800000001</v>
      </c>
      <c r="D9" s="360">
        <f t="shared" si="0"/>
        <v>86263813.780000001</v>
      </c>
      <c r="E9" s="360">
        <f t="shared" si="1"/>
        <v>-16517499.280000016</v>
      </c>
      <c r="G9" s="1152">
        <v>20190531</v>
      </c>
      <c r="H9" s="1152" t="s">
        <v>507</v>
      </c>
      <c r="I9" s="1153">
        <v>-3765149.65</v>
      </c>
      <c r="J9" s="1152" t="s">
        <v>511</v>
      </c>
    </row>
    <row r="10" spans="1:10" ht="14.4" x14ac:dyDescent="0.3">
      <c r="A10" s="218" t="s">
        <v>95</v>
      </c>
      <c r="B10" s="360">
        <v>3765149.65</v>
      </c>
      <c r="C10" s="360">
        <v>9175513.4600000009</v>
      </c>
      <c r="D10" s="360">
        <f t="shared" si="0"/>
        <v>-5410363.8100000005</v>
      </c>
      <c r="E10" s="360">
        <f t="shared" si="1"/>
        <v>-21927863.090000018</v>
      </c>
      <c r="G10" s="482" t="s">
        <v>353</v>
      </c>
      <c r="H10" s="482"/>
      <c r="I10" s="480">
        <f>SUM(I5:I9)</f>
        <v>86263813.779999986</v>
      </c>
      <c r="J10" s="482" t="s">
        <v>408</v>
      </c>
    </row>
    <row r="11" spans="1:10" ht="14.4" x14ac:dyDescent="0.3">
      <c r="A11" s="218" t="s">
        <v>96</v>
      </c>
      <c r="B11" s="360">
        <v>3758905.7</v>
      </c>
      <c r="C11" s="360">
        <v>9019453.1999999993</v>
      </c>
      <c r="D11" s="360">
        <f t="shared" si="0"/>
        <v>-5260547.4999999991</v>
      </c>
      <c r="E11" s="360">
        <f t="shared" si="1"/>
        <v>-27188410.590000018</v>
      </c>
      <c r="G11" s="483"/>
      <c r="H11" s="483"/>
      <c r="I11" s="480">
        <f>I10</f>
        <v>86263813.779999986</v>
      </c>
      <c r="J11" s="483"/>
    </row>
    <row r="12" spans="1:10" ht="14.4" x14ac:dyDescent="0.3">
      <c r="A12" s="218" t="s">
        <v>97</v>
      </c>
      <c r="B12" s="360">
        <v>3857740.72</v>
      </c>
      <c r="C12" s="360">
        <v>9649859.3900000006</v>
      </c>
      <c r="D12" s="360">
        <f t="shared" si="0"/>
        <v>-5792118.6699999999</v>
      </c>
      <c r="E12" s="360">
        <f t="shared" si="1"/>
        <v>-32980529.26000002</v>
      </c>
      <c r="G12" s="320"/>
      <c r="H12" s="358" t="s">
        <v>403</v>
      </c>
      <c r="I12" s="360">
        <f>-I7-I6</f>
        <v>-91086586.069999993</v>
      </c>
    </row>
    <row r="13" spans="1:10" ht="14.4" x14ac:dyDescent="0.3">
      <c r="A13" s="218" t="s">
        <v>98</v>
      </c>
      <c r="B13" s="360">
        <v>4379682</v>
      </c>
      <c r="C13" s="360">
        <v>9515931.9100000001</v>
      </c>
      <c r="D13" s="360">
        <f t="shared" si="0"/>
        <v>-5136249.91</v>
      </c>
      <c r="E13" s="360">
        <f t="shared" si="1"/>
        <v>-38116779.170000017</v>
      </c>
      <c r="G13" s="320"/>
      <c r="H13" s="358" t="s">
        <v>404</v>
      </c>
      <c r="I13" s="360">
        <f>I11+I12</f>
        <v>-4822772.2900000066</v>
      </c>
      <c r="J13" s="358" t="s">
        <v>409</v>
      </c>
    </row>
    <row r="14" spans="1:10" ht="14.4" x14ac:dyDescent="0.3">
      <c r="A14" s="218" t="s">
        <v>99</v>
      </c>
      <c r="B14" s="360">
        <v>4169516.01</v>
      </c>
      <c r="C14" s="360">
        <v>10266404.439999999</v>
      </c>
      <c r="D14" s="360">
        <f t="shared" si="0"/>
        <v>-6096888.4299999997</v>
      </c>
      <c r="E14" s="360">
        <f t="shared" si="1"/>
        <v>-44213667.600000016</v>
      </c>
    </row>
    <row r="15" spans="1:10" ht="14.4" x14ac:dyDescent="0.3">
      <c r="A15" s="218" t="s">
        <v>100</v>
      </c>
      <c r="B15" s="360">
        <v>4779618.75</v>
      </c>
      <c r="C15" s="360">
        <v>11151441.550000001</v>
      </c>
      <c r="D15" s="360">
        <f t="shared" si="0"/>
        <v>-6371822.8000000007</v>
      </c>
      <c r="E15" s="360">
        <f t="shared" si="1"/>
        <v>-50585490.400000021</v>
      </c>
      <c r="H15" s="320"/>
      <c r="I15" s="320"/>
    </row>
    <row r="16" spans="1:10" ht="14.4" x14ac:dyDescent="0.3">
      <c r="A16" s="218" t="s">
        <v>101</v>
      </c>
      <c r="B16" s="360">
        <v>5327931.46</v>
      </c>
      <c r="C16" s="360">
        <v>12954411.220000001</v>
      </c>
      <c r="D16" s="360">
        <f t="shared" si="0"/>
        <v>-7626479.7600000007</v>
      </c>
      <c r="E16" s="360">
        <f t="shared" si="1"/>
        <v>-58211970.160000019</v>
      </c>
      <c r="H16" s="320"/>
      <c r="I16" s="320"/>
    </row>
    <row r="17" spans="1:9" ht="14.4" x14ac:dyDescent="0.3">
      <c r="A17" s="218" t="s">
        <v>102</v>
      </c>
      <c r="B17" s="360">
        <v>0</v>
      </c>
      <c r="C17" s="360">
        <v>0</v>
      </c>
      <c r="D17" s="360">
        <v>0</v>
      </c>
      <c r="E17" s="360">
        <f>+E16</f>
        <v>-58211970.160000019</v>
      </c>
      <c r="H17" s="320"/>
      <c r="I17" s="320"/>
    </row>
    <row r="18" spans="1:9" ht="14.4" x14ac:dyDescent="0.3">
      <c r="A18" s="218" t="s">
        <v>103</v>
      </c>
      <c r="B18" s="360">
        <v>0</v>
      </c>
      <c r="C18" s="360">
        <v>0</v>
      </c>
      <c r="D18" s="360">
        <v>0</v>
      </c>
      <c r="E18" s="360"/>
      <c r="H18" s="320"/>
      <c r="I18" s="320"/>
    </row>
    <row r="19" spans="1:9" ht="14.4" x14ac:dyDescent="0.3">
      <c r="A19" s="218" t="s">
        <v>104</v>
      </c>
      <c r="B19" s="360">
        <v>0</v>
      </c>
      <c r="C19" s="360">
        <v>0</v>
      </c>
      <c r="D19" s="360">
        <v>0</v>
      </c>
      <c r="E19" s="360"/>
      <c r="H19" s="320"/>
      <c r="I19" s="320"/>
    </row>
    <row r="20" spans="1:9" ht="14.4" x14ac:dyDescent="0.3">
      <c r="A20" s="218" t="s">
        <v>105</v>
      </c>
      <c r="B20" s="360">
        <v>0</v>
      </c>
      <c r="C20" s="360">
        <v>0</v>
      </c>
      <c r="D20" s="360">
        <v>0</v>
      </c>
      <c r="E20" s="360"/>
      <c r="H20" s="320"/>
      <c r="I20" s="320"/>
    </row>
    <row r="21" spans="1:9" ht="14.4" x14ac:dyDescent="0.3">
      <c r="A21" s="218" t="s">
        <v>78</v>
      </c>
      <c r="B21" s="360">
        <f>SUM(B4:B20)</f>
        <v>150367181.64000002</v>
      </c>
      <c r="C21" s="360">
        <f>SUM(C4:C20)</f>
        <v>139987290.66000003</v>
      </c>
      <c r="D21" s="360">
        <f>SUM(D4:D20)</f>
        <v>10379890.979999993</v>
      </c>
      <c r="E21" s="360"/>
      <c r="H21" s="320"/>
      <c r="I21" s="320"/>
    </row>
    <row r="22" spans="1:9" ht="14.4" x14ac:dyDescent="0.3">
      <c r="H22" s="320"/>
      <c r="I22" s="320"/>
    </row>
    <row r="23" spans="1:9" ht="14.4" x14ac:dyDescent="0.3">
      <c r="H23" s="320"/>
      <c r="I23" s="320"/>
    </row>
    <row r="24" spans="1:9" ht="14.4" x14ac:dyDescent="0.3">
      <c r="H24" s="320"/>
      <c r="I24" s="320"/>
    </row>
    <row r="25" spans="1:9" ht="14.4" x14ac:dyDescent="0.3">
      <c r="A25" s="578" t="s">
        <v>512</v>
      </c>
      <c r="H25" s="320"/>
      <c r="I25" s="320"/>
    </row>
    <row r="26" spans="1:9" ht="14.4" x14ac:dyDescent="0.3">
      <c r="A26" s="319" t="s">
        <v>84</v>
      </c>
      <c r="B26" s="319" t="s">
        <v>85</v>
      </c>
      <c r="C26" s="319" t="s">
        <v>86</v>
      </c>
      <c r="D26" s="319" t="s">
        <v>87</v>
      </c>
      <c r="E26" s="319" t="s">
        <v>88</v>
      </c>
      <c r="H26" s="320"/>
      <c r="I26" s="320"/>
    </row>
    <row r="27" spans="1:9" ht="14.4" x14ac:dyDescent="0.3">
      <c r="A27" s="318" t="s">
        <v>89</v>
      </c>
      <c r="B27" s="323">
        <v>0</v>
      </c>
      <c r="C27" s="323">
        <v>0</v>
      </c>
      <c r="D27" s="323">
        <v>0</v>
      </c>
      <c r="E27" s="323">
        <f>E16</f>
        <v>-58211970.160000019</v>
      </c>
      <c r="H27" s="320"/>
      <c r="I27" s="320"/>
    </row>
    <row r="28" spans="1:9" ht="14.4" x14ac:dyDescent="0.3">
      <c r="A28" s="492" t="s">
        <v>90</v>
      </c>
      <c r="B28" s="493">
        <v>5534046.3300000001</v>
      </c>
      <c r="C28" s="493">
        <v>12816821.66</v>
      </c>
      <c r="D28" s="360">
        <f>+B28-C28</f>
        <v>-7282775.3300000001</v>
      </c>
      <c r="E28" s="360">
        <f>+E27+D28</f>
        <v>-65494745.490000017</v>
      </c>
      <c r="H28" s="320"/>
      <c r="I28" s="320"/>
    </row>
    <row r="29" spans="1:9" ht="14.4" x14ac:dyDescent="0.3">
      <c r="A29" s="318" t="s">
        <v>91</v>
      </c>
      <c r="B29" s="323">
        <v>0</v>
      </c>
      <c r="C29" s="323">
        <v>0</v>
      </c>
      <c r="D29" s="323">
        <v>0</v>
      </c>
      <c r="E29" s="360">
        <f t="shared" ref="E29:E39" si="2">+E28+D29</f>
        <v>-65494745.490000017</v>
      </c>
      <c r="H29" s="320"/>
      <c r="I29" s="320"/>
    </row>
    <row r="30" spans="1:9" ht="14.4" x14ac:dyDescent="0.3">
      <c r="A30" s="318" t="s">
        <v>92</v>
      </c>
      <c r="B30" s="323">
        <v>0</v>
      </c>
      <c r="C30" s="323">
        <v>0</v>
      </c>
      <c r="D30" s="323">
        <v>0</v>
      </c>
      <c r="E30" s="360">
        <f t="shared" si="2"/>
        <v>-65494745.490000017</v>
      </c>
      <c r="H30" s="320"/>
      <c r="I30" s="320"/>
    </row>
    <row r="31" spans="1:9" ht="14.4" x14ac:dyDescent="0.3">
      <c r="A31" s="318" t="s">
        <v>93</v>
      </c>
      <c r="B31" s="323">
        <v>0</v>
      </c>
      <c r="C31" s="323">
        <v>0</v>
      </c>
      <c r="D31" s="323">
        <v>0</v>
      </c>
      <c r="E31" s="360">
        <f t="shared" si="2"/>
        <v>-65494745.490000017</v>
      </c>
      <c r="H31" s="320"/>
      <c r="I31" s="320"/>
    </row>
    <row r="32" spans="1:9" ht="14.4" x14ac:dyDescent="0.3">
      <c r="A32" s="318" t="s">
        <v>94</v>
      </c>
      <c r="B32" s="323">
        <v>0</v>
      </c>
      <c r="C32" s="323">
        <v>0</v>
      </c>
      <c r="D32" s="323">
        <v>0</v>
      </c>
      <c r="E32" s="360">
        <f t="shared" si="2"/>
        <v>-65494745.490000017</v>
      </c>
      <c r="H32" s="320"/>
      <c r="I32" s="320"/>
    </row>
    <row r="33" spans="1:9" ht="14.4" x14ac:dyDescent="0.3">
      <c r="A33" s="318" t="s">
        <v>95</v>
      </c>
      <c r="B33" s="323">
        <v>0</v>
      </c>
      <c r="C33" s="323">
        <v>0</v>
      </c>
      <c r="D33" s="323">
        <v>0</v>
      </c>
      <c r="E33" s="360">
        <f t="shared" si="2"/>
        <v>-65494745.490000017</v>
      </c>
      <c r="H33" s="320"/>
      <c r="I33" s="320"/>
    </row>
    <row r="34" spans="1:9" ht="14.4" x14ac:dyDescent="0.3">
      <c r="A34" s="318" t="s">
        <v>96</v>
      </c>
      <c r="B34" s="323">
        <v>0</v>
      </c>
      <c r="C34" s="323">
        <v>0</v>
      </c>
      <c r="D34" s="323">
        <v>0</v>
      </c>
      <c r="E34" s="360">
        <f t="shared" si="2"/>
        <v>-65494745.490000017</v>
      </c>
      <c r="H34" s="320"/>
      <c r="I34" s="320"/>
    </row>
    <row r="35" spans="1:9" ht="14.4" x14ac:dyDescent="0.3">
      <c r="A35" s="318" t="s">
        <v>97</v>
      </c>
      <c r="B35" s="323">
        <v>0</v>
      </c>
      <c r="C35" s="323">
        <v>0</v>
      </c>
      <c r="D35" s="323">
        <v>0</v>
      </c>
      <c r="E35" s="360">
        <f t="shared" si="2"/>
        <v>-65494745.490000017</v>
      </c>
      <c r="H35" s="320"/>
      <c r="I35" s="320"/>
    </row>
    <row r="36" spans="1:9" ht="14.4" x14ac:dyDescent="0.3">
      <c r="A36" s="318" t="s">
        <v>98</v>
      </c>
      <c r="B36" s="323">
        <v>0</v>
      </c>
      <c r="C36" s="323">
        <v>0</v>
      </c>
      <c r="D36" s="323">
        <v>0</v>
      </c>
      <c r="E36" s="360">
        <f t="shared" si="2"/>
        <v>-65494745.490000017</v>
      </c>
      <c r="H36" s="320"/>
      <c r="I36" s="320"/>
    </row>
    <row r="37" spans="1:9" ht="14.4" x14ac:dyDescent="0.3">
      <c r="A37" s="318" t="s">
        <v>99</v>
      </c>
      <c r="B37" s="323">
        <v>0</v>
      </c>
      <c r="C37" s="323">
        <v>0</v>
      </c>
      <c r="D37" s="323">
        <v>0</v>
      </c>
      <c r="E37" s="360">
        <f t="shared" si="2"/>
        <v>-65494745.490000017</v>
      </c>
      <c r="H37" s="320"/>
      <c r="I37" s="320"/>
    </row>
    <row r="38" spans="1:9" ht="14.4" x14ac:dyDescent="0.3">
      <c r="A38" s="318" t="s">
        <v>100</v>
      </c>
      <c r="B38" s="323">
        <v>0</v>
      </c>
      <c r="C38" s="323">
        <v>0</v>
      </c>
      <c r="D38" s="323">
        <v>0</v>
      </c>
      <c r="E38" s="360">
        <f t="shared" si="2"/>
        <v>-65494745.490000017</v>
      </c>
      <c r="H38" s="320"/>
      <c r="I38" s="320"/>
    </row>
    <row r="39" spans="1:9" ht="14.4" x14ac:dyDescent="0.3">
      <c r="A39" s="318" t="s">
        <v>101</v>
      </c>
      <c r="B39" s="323">
        <v>0</v>
      </c>
      <c r="C39" s="323">
        <v>0</v>
      </c>
      <c r="D39" s="323">
        <v>0</v>
      </c>
      <c r="E39" s="360">
        <f t="shared" si="2"/>
        <v>-65494745.490000017</v>
      </c>
      <c r="H39" s="320"/>
      <c r="I39" s="320"/>
    </row>
    <row r="40" spans="1:9" ht="14.4" x14ac:dyDescent="0.3">
      <c r="A40" s="318" t="s">
        <v>102</v>
      </c>
      <c r="B40" s="323">
        <v>0</v>
      </c>
      <c r="C40" s="323">
        <v>0</v>
      </c>
      <c r="D40" s="323">
        <v>0</v>
      </c>
      <c r="E40" s="323"/>
      <c r="H40" s="320"/>
      <c r="I40" s="320"/>
    </row>
    <row r="41" spans="1:9" ht="14.4" x14ac:dyDescent="0.3">
      <c r="A41" s="318" t="s">
        <v>103</v>
      </c>
      <c r="B41" s="323">
        <v>0</v>
      </c>
      <c r="C41" s="323">
        <v>0</v>
      </c>
      <c r="D41" s="323">
        <v>0</v>
      </c>
      <c r="E41" s="323"/>
      <c r="H41" s="320"/>
      <c r="I41" s="320"/>
    </row>
    <row r="42" spans="1:9" ht="14.4" x14ac:dyDescent="0.3">
      <c r="A42" s="318" t="s">
        <v>104</v>
      </c>
      <c r="B42" s="323">
        <v>0</v>
      </c>
      <c r="C42" s="323">
        <v>0</v>
      </c>
      <c r="D42" s="323">
        <v>0</v>
      </c>
      <c r="E42" s="323"/>
      <c r="H42" s="320"/>
      <c r="I42" s="320"/>
    </row>
    <row r="43" spans="1:9" ht="14.4" x14ac:dyDescent="0.3">
      <c r="A43" s="318" t="s">
        <v>105</v>
      </c>
      <c r="B43" s="323">
        <v>0</v>
      </c>
      <c r="C43" s="323">
        <v>0</v>
      </c>
      <c r="D43" s="323">
        <v>0</v>
      </c>
      <c r="E43" s="323"/>
      <c r="H43" s="320"/>
      <c r="I43" s="320"/>
    </row>
    <row r="44" spans="1:9" ht="14.4" x14ac:dyDescent="0.3">
      <c r="A44" s="318" t="s">
        <v>78</v>
      </c>
      <c r="B44" s="323">
        <f>SUM(B27:B43)</f>
        <v>5534046.3300000001</v>
      </c>
      <c r="C44" s="323">
        <f>SUM(C27:C43)</f>
        <v>12816821.66</v>
      </c>
      <c r="D44" s="323">
        <f>SUM(D27:D43)</f>
        <v>-7282775.3300000001</v>
      </c>
      <c r="E44" s="323"/>
      <c r="H44" s="74"/>
      <c r="I44" s="320"/>
    </row>
    <row r="45" spans="1:9" x14ac:dyDescent="0.25">
      <c r="B45" s="361"/>
      <c r="C45" s="361"/>
      <c r="D45" s="361"/>
      <c r="E45" s="361"/>
      <c r="H45" s="74"/>
      <c r="I45" s="74"/>
    </row>
    <row r="46" spans="1:9" ht="14.4" x14ac:dyDescent="0.3">
      <c r="H46" s="74"/>
      <c r="I46" s="320"/>
    </row>
    <row r="47" spans="1:9" ht="14.4" x14ac:dyDescent="0.3">
      <c r="H47" s="74"/>
      <c r="I47" s="320"/>
    </row>
    <row r="48" spans="1:9" ht="14.4" x14ac:dyDescent="0.3">
      <c r="H48" s="74"/>
      <c r="I48" s="320"/>
    </row>
    <row r="49" spans="8:9" ht="14.4" x14ac:dyDescent="0.3">
      <c r="H49" s="74"/>
      <c r="I49" s="320"/>
    </row>
    <row r="50" spans="8:9" ht="14.4" x14ac:dyDescent="0.3">
      <c r="I50" s="320"/>
    </row>
    <row r="51" spans="8:9" ht="14.4" x14ac:dyDescent="0.3">
      <c r="I51" s="320"/>
    </row>
    <row r="52" spans="8:9" ht="14.4" x14ac:dyDescent="0.3">
      <c r="I52" s="320"/>
    </row>
    <row r="53" spans="8:9" ht="14.4" x14ac:dyDescent="0.3">
      <c r="I53" s="32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N51"/>
  <sheetViews>
    <sheetView workbookViewId="0">
      <pane xSplit="3" ySplit="4" topLeftCell="D20" activePane="bottomRight" state="frozen"/>
      <selection sqref="A1:XFD1048576"/>
      <selection pane="topRight" sqref="A1:XFD1048576"/>
      <selection pane="bottomLeft" sqref="A1:XFD1048576"/>
      <selection pane="bottomRight" activeCell="H20" sqref="H20"/>
    </sheetView>
  </sheetViews>
  <sheetFormatPr defaultColWidth="9.109375" defaultRowHeight="13.2" x14ac:dyDescent="0.25"/>
  <cols>
    <col min="1" max="1" width="4.44140625" style="988" bestFit="1" customWidth="1"/>
    <col min="2" max="2" width="32.6640625" style="988" customWidth="1"/>
    <col min="3" max="3" width="11" style="990" bestFit="1" customWidth="1"/>
    <col min="4" max="4" width="15" style="989" bestFit="1" customWidth="1"/>
    <col min="5" max="5" width="17.6640625" style="989" bestFit="1" customWidth="1"/>
    <col min="6" max="6" width="12.33203125" style="988" customWidth="1"/>
    <col min="7" max="7" width="15.44140625" style="989" bestFit="1" customWidth="1"/>
    <col min="8" max="8" width="13.5546875" style="988" bestFit="1" customWidth="1"/>
    <col min="9" max="9" width="11.33203125" style="988" bestFit="1" customWidth="1"/>
    <col min="10" max="10" width="3.33203125" style="988" customWidth="1"/>
    <col min="11" max="11" width="12.33203125" style="988" bestFit="1" customWidth="1"/>
    <col min="12" max="12" width="13.5546875" style="988" bestFit="1" customWidth="1"/>
    <col min="13" max="13" width="13.44140625" style="988" bestFit="1" customWidth="1"/>
    <col min="14" max="14" width="12.88671875" style="988" bestFit="1" customWidth="1"/>
    <col min="15" max="16384" width="9.109375" style="988"/>
  </cols>
  <sheetData>
    <row r="1" spans="1:14" x14ac:dyDescent="0.25">
      <c r="A1" s="1036"/>
      <c r="B1" s="1034" t="s">
        <v>619</v>
      </c>
      <c r="C1" s="1034"/>
      <c r="D1" s="1035"/>
      <c r="E1" s="1035"/>
      <c r="F1" s="1034"/>
      <c r="G1" s="1035"/>
      <c r="H1" s="1034"/>
      <c r="I1" s="1033"/>
    </row>
    <row r="2" spans="1:14" x14ac:dyDescent="0.25">
      <c r="A2" s="1029"/>
      <c r="B2" s="1031" t="s">
        <v>618</v>
      </c>
      <c r="C2" s="1031"/>
      <c r="D2" s="1032"/>
      <c r="E2" s="1032"/>
      <c r="F2" s="1031"/>
      <c r="G2" s="1032"/>
      <c r="H2" s="1031"/>
      <c r="I2" s="1030"/>
    </row>
    <row r="3" spans="1:14" x14ac:dyDescent="0.25">
      <c r="A3" s="1029"/>
      <c r="I3" s="1014"/>
      <c r="K3" s="1138" t="s">
        <v>617</v>
      </c>
      <c r="L3" s="1138"/>
      <c r="M3" s="1138"/>
      <c r="N3" s="1138"/>
    </row>
    <row r="4" spans="1:14" s="1019" customFormat="1" ht="66" x14ac:dyDescent="0.25">
      <c r="A4" s="1028" t="s">
        <v>385</v>
      </c>
      <c r="B4" s="1027" t="s">
        <v>130</v>
      </c>
      <c r="C4" s="1027" t="s">
        <v>131</v>
      </c>
      <c r="D4" s="1026" t="s">
        <v>546</v>
      </c>
      <c r="E4" s="1026" t="s">
        <v>547</v>
      </c>
      <c r="F4" s="1025" t="s">
        <v>545</v>
      </c>
      <c r="G4" s="1026" t="s">
        <v>616</v>
      </c>
      <c r="H4" s="1025" t="s">
        <v>615</v>
      </c>
      <c r="I4" s="1024" t="s">
        <v>614</v>
      </c>
      <c r="K4" s="1019" t="s">
        <v>613</v>
      </c>
      <c r="L4" s="1019" t="s">
        <v>612</v>
      </c>
      <c r="M4" s="1020" t="s">
        <v>611</v>
      </c>
      <c r="N4" s="1020" t="s">
        <v>610</v>
      </c>
    </row>
    <row r="5" spans="1:14" s="1019" customFormat="1" x14ac:dyDescent="0.25">
      <c r="A5" s="1023"/>
      <c r="D5" s="1022" t="s">
        <v>6</v>
      </c>
      <c r="E5" s="1022" t="s">
        <v>7</v>
      </c>
      <c r="F5" s="1019" t="s">
        <v>132</v>
      </c>
      <c r="G5" s="1022" t="s">
        <v>609</v>
      </c>
      <c r="H5" s="1019" t="s">
        <v>608</v>
      </c>
      <c r="I5" s="1021" t="s">
        <v>607</v>
      </c>
      <c r="K5" s="1019" t="s">
        <v>606</v>
      </c>
      <c r="L5" s="1020" t="s">
        <v>605</v>
      </c>
      <c r="M5" s="1019" t="s">
        <v>201</v>
      </c>
      <c r="N5" s="1019" t="s">
        <v>203</v>
      </c>
    </row>
    <row r="6" spans="1:14" x14ac:dyDescent="0.25">
      <c r="A6" s="1013">
        <v>1</v>
      </c>
      <c r="I6" s="1014"/>
    </row>
    <row r="7" spans="1:14" x14ac:dyDescent="0.25">
      <c r="A7" s="1013">
        <f t="shared" ref="A7:A33" si="0">+A6+1</f>
        <v>2</v>
      </c>
      <c r="B7" s="1012" t="s">
        <v>51</v>
      </c>
      <c r="C7" s="990">
        <v>7</v>
      </c>
      <c r="D7" s="989">
        <v>10838149000</v>
      </c>
      <c r="E7" s="996">
        <v>1059981000</v>
      </c>
      <c r="F7" s="998">
        <v>3.9050000000000001E-3</v>
      </c>
      <c r="G7" s="996">
        <f>+F7*$D7+$E7</f>
        <v>1102303971.845</v>
      </c>
      <c r="H7" s="996">
        <f>+G7-E7</f>
        <v>42322971.845000029</v>
      </c>
      <c r="I7" s="1016">
        <f>IF(E7=0,"n/a",+H7/E7)</f>
        <v>3.9928047620664923E-2</v>
      </c>
      <c r="K7" s="996">
        <f>+L7-H7</f>
        <v>7044.6360888332129</v>
      </c>
      <c r="L7" s="996">
        <f>SUM(M7:N7)</f>
        <v>42330016.481088862</v>
      </c>
      <c r="M7" s="996">
        <v>46674096.121852696</v>
      </c>
      <c r="N7" s="996">
        <v>-4344079.6407638332</v>
      </c>
    </row>
    <row r="8" spans="1:14" x14ac:dyDescent="0.25">
      <c r="A8" s="1013">
        <f t="shared" si="0"/>
        <v>3</v>
      </c>
      <c r="B8" s="1012"/>
      <c r="E8" s="996"/>
      <c r="F8" s="998"/>
      <c r="G8" s="996"/>
      <c r="H8" s="996"/>
      <c r="I8" s="1016"/>
    </row>
    <row r="9" spans="1:14" x14ac:dyDescent="0.25">
      <c r="A9" s="1013">
        <f t="shared" si="0"/>
        <v>4</v>
      </c>
      <c r="B9" s="1017" t="s">
        <v>134</v>
      </c>
      <c r="C9" s="1015" t="s">
        <v>386</v>
      </c>
      <c r="D9" s="989">
        <v>3117609000</v>
      </c>
      <c r="E9" s="996">
        <v>310808000</v>
      </c>
      <c r="F9" s="998">
        <v>3.3280000000000002E-3</v>
      </c>
      <c r="G9" s="996">
        <f>+F9*$D9+$E9</f>
        <v>321183402.75199997</v>
      </c>
      <c r="H9" s="996">
        <f>+G9-E9</f>
        <v>10375402.751999974</v>
      </c>
      <c r="I9" s="1011">
        <f>IF(E9=0,"n/a",+H9/E9)</f>
        <v>3.3382032483076286E-2</v>
      </c>
      <c r="K9" s="996">
        <f>+L9-H9</f>
        <v>2197.89716055803</v>
      </c>
      <c r="L9" s="996">
        <f>SUM(M9:N9)</f>
        <v>10377600.649160532</v>
      </c>
      <c r="M9" s="996">
        <v>11442592.526027294</v>
      </c>
      <c r="N9" s="996">
        <v>-1064991.8768667621</v>
      </c>
    </row>
    <row r="10" spans="1:14" x14ac:dyDescent="0.25">
      <c r="A10" s="1013">
        <f t="shared" si="0"/>
        <v>5</v>
      </c>
      <c r="B10" s="1018" t="s">
        <v>135</v>
      </c>
      <c r="C10" s="1015" t="s">
        <v>387</v>
      </c>
      <c r="D10" s="989">
        <v>3283168000</v>
      </c>
      <c r="E10" s="996">
        <v>304933000</v>
      </c>
      <c r="F10" s="998">
        <v>3.179E-3</v>
      </c>
      <c r="G10" s="996">
        <f>+F10*$D10+$E10</f>
        <v>315370191.07200003</v>
      </c>
      <c r="H10" s="996">
        <f>+G10-E10</f>
        <v>10437191.072000027</v>
      </c>
      <c r="I10" s="1011">
        <f>IF(E10=0,"n/a",+H10/E10)</f>
        <v>3.4227817494334907E-2</v>
      </c>
      <c r="K10" s="996">
        <f>+L10-H10</f>
        <v>-1719.1883748099208</v>
      </c>
      <c r="L10" s="996">
        <f>SUM(M10:N10)</f>
        <v>10435471.883625217</v>
      </c>
      <c r="M10" s="996">
        <v>11506402.743566465</v>
      </c>
      <c r="N10" s="996">
        <v>-1070930.8599412483</v>
      </c>
    </row>
    <row r="11" spans="1:14" x14ac:dyDescent="0.25">
      <c r="A11" s="1013">
        <f t="shared" si="0"/>
        <v>6</v>
      </c>
      <c r="B11" s="1018" t="s">
        <v>136</v>
      </c>
      <c r="C11" s="1015" t="s">
        <v>388</v>
      </c>
      <c r="D11" s="989">
        <v>1942526000</v>
      </c>
      <c r="E11" s="996">
        <v>163047000</v>
      </c>
      <c r="F11" s="998">
        <v>3.4890000000000003E-3</v>
      </c>
      <c r="G11" s="996">
        <f>+F11*$D11+$E11</f>
        <v>169824473.21399999</v>
      </c>
      <c r="H11" s="996">
        <f>+G11-E11</f>
        <v>6777473.2139999866</v>
      </c>
      <c r="I11" s="1011">
        <f>IF(E11=0,"n/a",+H11/E11)</f>
        <v>4.1567604518942307E-2</v>
      </c>
      <c r="K11" s="996">
        <f>+L11-H11</f>
        <v>-873.80973160546273</v>
      </c>
      <c r="L11" s="996">
        <f>SUM(M11:N11)</f>
        <v>6776599.4042683812</v>
      </c>
      <c r="M11" s="996">
        <v>7472041.7865988063</v>
      </c>
      <c r="N11" s="996">
        <v>-695442.38233042497</v>
      </c>
    </row>
    <row r="12" spans="1:14" x14ac:dyDescent="0.25">
      <c r="A12" s="1013">
        <f t="shared" si="0"/>
        <v>7</v>
      </c>
      <c r="B12" s="1018" t="s">
        <v>137</v>
      </c>
      <c r="C12" s="990">
        <v>29</v>
      </c>
      <c r="D12" s="989">
        <v>16292000</v>
      </c>
      <c r="E12" s="996">
        <v>1226000</v>
      </c>
      <c r="F12" s="998">
        <v>2.601E-3</v>
      </c>
      <c r="G12" s="996">
        <f>+F12*$D12+$E12</f>
        <v>1268375.4920000001</v>
      </c>
      <c r="H12" s="996">
        <f>+G12-E12</f>
        <v>42375.492000000086</v>
      </c>
      <c r="I12" s="1011">
        <f>IF(E12=0,"n/a",+H12/E12)</f>
        <v>3.4564022838499256E-2</v>
      </c>
      <c r="K12" s="996">
        <f>+L12-H12</f>
        <v>0.80816404607321601</v>
      </c>
      <c r="L12" s="996">
        <f>SUM(M12:N12)</f>
        <v>42376.300164046159</v>
      </c>
      <c r="M12" s="996">
        <v>46725.129625895563</v>
      </c>
      <c r="N12" s="996">
        <v>-4348.8294618494019</v>
      </c>
    </row>
    <row r="13" spans="1:14" x14ac:dyDescent="0.25">
      <c r="A13" s="1013">
        <f t="shared" si="0"/>
        <v>8</v>
      </c>
      <c r="B13" s="1012"/>
      <c r="E13" s="996"/>
      <c r="F13" s="998"/>
      <c r="G13" s="996"/>
      <c r="H13" s="996"/>
      <c r="I13" s="1016"/>
    </row>
    <row r="14" spans="1:14" x14ac:dyDescent="0.25">
      <c r="A14" s="1013">
        <f t="shared" si="0"/>
        <v>9</v>
      </c>
      <c r="B14" s="1012" t="s">
        <v>138</v>
      </c>
      <c r="D14" s="989">
        <f>SUM(D9:D13)</f>
        <v>8359595000</v>
      </c>
      <c r="E14" s="996">
        <f>SUM(E9:E13)</f>
        <v>780014000</v>
      </c>
      <c r="F14" s="998">
        <f>ROUND(SUMPRODUCT($D9:$D12,F9:F12)/$D14,6)</f>
        <v>3.3050000000000002E-3</v>
      </c>
      <c r="G14" s="996">
        <f>SUM(G9:G13)</f>
        <v>807646442.52999997</v>
      </c>
      <c r="H14" s="996">
        <f>SUM(H9:H12)</f>
        <v>27632442.529999986</v>
      </c>
      <c r="I14" s="1011">
        <f>IF(E14=0,"n/a",+H14/E14)</f>
        <v>3.5425572528185373E-2</v>
      </c>
    </row>
    <row r="15" spans="1:14" x14ac:dyDescent="0.25">
      <c r="A15" s="1013">
        <f t="shared" si="0"/>
        <v>10</v>
      </c>
      <c r="B15" s="1012"/>
      <c r="E15" s="996"/>
      <c r="F15" s="998"/>
      <c r="G15" s="996"/>
      <c r="H15" s="996"/>
      <c r="I15" s="1016"/>
    </row>
    <row r="16" spans="1:14" x14ac:dyDescent="0.25">
      <c r="A16" s="1013">
        <f t="shared" si="0"/>
        <v>11</v>
      </c>
      <c r="B16" s="1018" t="s">
        <v>139</v>
      </c>
      <c r="C16" s="1015" t="s">
        <v>389</v>
      </c>
      <c r="D16" s="989">
        <v>1420073000</v>
      </c>
      <c r="E16" s="996">
        <v>116478000</v>
      </c>
      <c r="F16" s="998">
        <v>3.1519999999999999E-3</v>
      </c>
      <c r="G16" s="996">
        <f>+F16*$D16+$E16</f>
        <v>120954070.096</v>
      </c>
      <c r="H16" s="996">
        <f>+G16-E16</f>
        <v>4476070.0960000008</v>
      </c>
      <c r="I16" s="1011">
        <f>IF(E16=0,"n/a",+H16/E16)</f>
        <v>3.8428459417229013E-2</v>
      </c>
      <c r="K16" s="996">
        <f>+L16-H16</f>
        <v>504.93763032834977</v>
      </c>
      <c r="L16" s="996">
        <f>SUM(M16:N16)</f>
        <v>4476575.0336303292</v>
      </c>
      <c r="M16" s="996">
        <v>4935979.4960082984</v>
      </c>
      <c r="N16" s="996">
        <v>-459404.46237796877</v>
      </c>
    </row>
    <row r="17" spans="1:14" x14ac:dyDescent="0.25">
      <c r="A17" s="1013">
        <f t="shared" si="0"/>
        <v>12</v>
      </c>
      <c r="B17" s="1018" t="s">
        <v>140</v>
      </c>
      <c r="C17" s="990">
        <v>35</v>
      </c>
      <c r="D17" s="989">
        <v>5174000</v>
      </c>
      <c r="E17" s="996">
        <v>287000</v>
      </c>
      <c r="F17" s="998">
        <v>2.369E-3</v>
      </c>
      <c r="G17" s="996">
        <f>+F17*$D17+$E17</f>
        <v>299257.20600000001</v>
      </c>
      <c r="H17" s="996">
        <f>+G17-E17</f>
        <v>12257.206000000006</v>
      </c>
      <c r="I17" s="1011">
        <f>IF(E17=0,"n/a",+H17/E17)</f>
        <v>4.2708034843205595E-2</v>
      </c>
      <c r="K17" s="996">
        <f>+L17-H17</f>
        <v>-0.88728297747911711</v>
      </c>
      <c r="L17" s="996">
        <f>SUM(M17:N17)</f>
        <v>12256.318717022526</v>
      </c>
      <c r="M17" s="996">
        <v>13514.112335721366</v>
      </c>
      <c r="N17" s="996">
        <v>-1257.7936186988388</v>
      </c>
    </row>
    <row r="18" spans="1:14" x14ac:dyDescent="0.25">
      <c r="A18" s="1013">
        <f t="shared" si="0"/>
        <v>13</v>
      </c>
      <c r="B18" s="1018" t="s">
        <v>141</v>
      </c>
      <c r="C18" s="990">
        <v>43</v>
      </c>
      <c r="D18" s="989">
        <v>127202000</v>
      </c>
      <c r="E18" s="996">
        <v>11685000</v>
      </c>
      <c r="F18" s="998">
        <v>2.6159999999999998E-3</v>
      </c>
      <c r="G18" s="996">
        <f>+F18*$D18+$E18</f>
        <v>12017760.432</v>
      </c>
      <c r="H18" s="996">
        <f>+G18-E18</f>
        <v>332760.43200000003</v>
      </c>
      <c r="I18" s="1011">
        <f>IF(E18=0,"n/a",+H18/E18)</f>
        <v>2.8477572272143776E-2</v>
      </c>
      <c r="K18" s="996">
        <f>+L18-H18</f>
        <v>78.708175333449617</v>
      </c>
      <c r="L18" s="996">
        <f>SUM(M18:N18)</f>
        <v>332839.14017533348</v>
      </c>
      <c r="M18" s="996">
        <v>366996.45577975712</v>
      </c>
      <c r="N18" s="996">
        <v>-34157.315604423624</v>
      </c>
    </row>
    <row r="19" spans="1:14" x14ac:dyDescent="0.25">
      <c r="A19" s="1013">
        <f t="shared" si="0"/>
        <v>14</v>
      </c>
      <c r="B19" s="1004"/>
      <c r="E19" s="996"/>
      <c r="F19" s="998"/>
      <c r="G19" s="996"/>
      <c r="H19" s="996"/>
      <c r="I19" s="1016"/>
      <c r="L19" s="996"/>
    </row>
    <row r="20" spans="1:14" x14ac:dyDescent="0.25">
      <c r="A20" s="1013">
        <f t="shared" si="0"/>
        <v>15</v>
      </c>
      <c r="B20" s="1004" t="s">
        <v>143</v>
      </c>
      <c r="D20" s="989">
        <f>SUM(D16:D19)</f>
        <v>1552449000</v>
      </c>
      <c r="E20" s="996">
        <f>SUM(E16:E19)</f>
        <v>128450000</v>
      </c>
      <c r="F20" s="998">
        <f>ROUND(SUMPRODUCT($D16:$D18,F16:F18)/$D20,6)</f>
        <v>3.1050000000000001E-3</v>
      </c>
      <c r="G20" s="996">
        <f>SUM(G16:G19)</f>
        <v>133271087.734</v>
      </c>
      <c r="H20" s="996">
        <f>SUM(H16:H18)</f>
        <v>4821087.7340000011</v>
      </c>
      <c r="I20" s="1011">
        <f>IF(E20=0,"n/a",+H20/E20)</f>
        <v>3.7532796683534458E-2</v>
      </c>
      <c r="L20" s="996"/>
    </row>
    <row r="21" spans="1:14" x14ac:dyDescent="0.25">
      <c r="A21" s="1013">
        <f t="shared" si="0"/>
        <v>16</v>
      </c>
      <c r="B21" s="1004"/>
      <c r="E21" s="996"/>
      <c r="F21" s="998"/>
      <c r="G21" s="996"/>
      <c r="H21" s="996"/>
      <c r="I21" s="1016"/>
      <c r="L21" s="996"/>
    </row>
    <row r="22" spans="1:14" x14ac:dyDescent="0.25">
      <c r="A22" s="1013">
        <f t="shared" si="0"/>
        <v>17</v>
      </c>
      <c r="B22" s="1004" t="s">
        <v>144</v>
      </c>
      <c r="C22" s="990">
        <v>40</v>
      </c>
      <c r="D22" s="989">
        <v>586597000</v>
      </c>
      <c r="E22" s="996">
        <v>44394000</v>
      </c>
      <c r="F22" s="998">
        <v>3.5920000000000001E-3</v>
      </c>
      <c r="G22" s="996">
        <f>+F22*$D22+$E22</f>
        <v>46501056.424000002</v>
      </c>
      <c r="H22" s="996">
        <f>+G22-E22</f>
        <v>2107056.4240000024</v>
      </c>
      <c r="I22" s="1011">
        <f>IF(E22=0,"n/a",+H22/E22)</f>
        <v>4.7462639635986903E-2</v>
      </c>
      <c r="K22" s="996">
        <f>+L22-H22</f>
        <v>426.32633234048262</v>
      </c>
      <c r="L22" s="996">
        <f>SUM(M22:N22)</f>
        <v>2107482.7503323429</v>
      </c>
      <c r="M22" s="996">
        <v>2323761.2607144443</v>
      </c>
      <c r="N22" s="996">
        <v>-216278.51038210135</v>
      </c>
    </row>
    <row r="23" spans="1:14" x14ac:dyDescent="0.25">
      <c r="A23" s="1013">
        <f t="shared" si="0"/>
        <v>18</v>
      </c>
      <c r="B23" s="1004"/>
      <c r="E23" s="996"/>
      <c r="F23" s="998"/>
      <c r="G23" s="996"/>
      <c r="H23" s="996"/>
      <c r="I23" s="1016"/>
      <c r="L23" s="996"/>
    </row>
    <row r="24" spans="1:14" x14ac:dyDescent="0.25">
      <c r="A24" s="1013">
        <f t="shared" si="0"/>
        <v>19</v>
      </c>
      <c r="B24" s="1018" t="s">
        <v>145</v>
      </c>
      <c r="C24" s="990">
        <v>46</v>
      </c>
      <c r="D24" s="989">
        <v>76029000</v>
      </c>
      <c r="E24" s="996">
        <v>5254000</v>
      </c>
      <c r="F24" s="998">
        <v>2.0509999999999999E-3</v>
      </c>
      <c r="G24" s="996">
        <f>+F24*$D24+$E24</f>
        <v>5409935.4790000003</v>
      </c>
      <c r="H24" s="996">
        <f>+G24-E24</f>
        <v>155935.47900000028</v>
      </c>
      <c r="I24" s="1011">
        <f>IF(E24=0,"n/a",+H24/E24)</f>
        <v>2.9679383136657838E-2</v>
      </c>
      <c r="K24" s="996">
        <f>+L24-H24</f>
        <v>-33.762632151047001</v>
      </c>
      <c r="L24" s="996">
        <f>SUM(M24:N24)</f>
        <v>155901.71636784924</v>
      </c>
      <c r="M24" s="996">
        <v>171900.98894872045</v>
      </c>
      <c r="N24" s="996">
        <v>-15999.272580871209</v>
      </c>
    </row>
    <row r="25" spans="1:14" x14ac:dyDescent="0.25">
      <c r="A25" s="1013">
        <f t="shared" si="0"/>
        <v>20</v>
      </c>
      <c r="B25" s="1017" t="s">
        <v>146</v>
      </c>
      <c r="C25" s="990">
        <v>49</v>
      </c>
      <c r="D25" s="989">
        <v>606297000</v>
      </c>
      <c r="E25" s="996">
        <v>40691000</v>
      </c>
      <c r="F25" s="998">
        <v>3.0800000000000003E-3</v>
      </c>
      <c r="G25" s="996">
        <f>+F25*$D25+$E25</f>
        <v>42558394.759999998</v>
      </c>
      <c r="H25" s="996">
        <f>+G25-E25</f>
        <v>1867394.7599999979</v>
      </c>
      <c r="I25" s="1011">
        <f>IF(E25=0,"n/a",+H25/E25)</f>
        <v>4.5892083261654858E-2</v>
      </c>
      <c r="K25" s="996">
        <f>+L25-H25</f>
        <v>-226.53325947932899</v>
      </c>
      <c r="L25" s="996">
        <f>SUM(M25:N25)</f>
        <v>1867168.2267405186</v>
      </c>
      <c r="M25" s="996">
        <v>2058784.6765779117</v>
      </c>
      <c r="N25" s="996">
        <v>-191616.44983739324</v>
      </c>
    </row>
    <row r="26" spans="1:14" x14ac:dyDescent="0.25">
      <c r="A26" s="1013">
        <f t="shared" si="0"/>
        <v>21</v>
      </c>
      <c r="B26" s="1012"/>
      <c r="E26" s="996"/>
      <c r="F26" s="998"/>
      <c r="G26" s="996"/>
      <c r="H26" s="996"/>
      <c r="I26" s="1016"/>
      <c r="L26" s="996"/>
    </row>
    <row r="27" spans="1:14" x14ac:dyDescent="0.25">
      <c r="A27" s="1013">
        <f t="shared" si="0"/>
        <v>22</v>
      </c>
      <c r="B27" s="1012" t="s">
        <v>147</v>
      </c>
      <c r="D27" s="989">
        <f>SUM(D24:D26)</f>
        <v>682326000</v>
      </c>
      <c r="E27" s="996">
        <f>SUM(E24:E26)</f>
        <v>45945000</v>
      </c>
      <c r="F27" s="998">
        <f>ROUND(SUMPRODUCT($D24:$D25,F24:F25)/$D27,6)</f>
        <v>2.9650000000000002E-3</v>
      </c>
      <c r="G27" s="989">
        <f>SUM(G24:G26)</f>
        <v>47968330.239</v>
      </c>
      <c r="H27" s="996">
        <f>SUM(H24:H26)</f>
        <v>2023330.2389999982</v>
      </c>
      <c r="I27" s="1011">
        <f>IF(E27=0,"n/a",+H27/E27)</f>
        <v>4.4038094221351576E-2</v>
      </c>
      <c r="L27" s="996"/>
    </row>
    <row r="28" spans="1:14" x14ac:dyDescent="0.25">
      <c r="A28" s="1013">
        <f t="shared" si="0"/>
        <v>23</v>
      </c>
      <c r="B28" s="1012"/>
      <c r="E28" s="996"/>
      <c r="F28" s="998"/>
      <c r="H28" s="996"/>
      <c r="I28" s="1011"/>
      <c r="L28" s="996"/>
    </row>
    <row r="29" spans="1:14" x14ac:dyDescent="0.25">
      <c r="A29" s="1013">
        <f t="shared" si="0"/>
        <v>24</v>
      </c>
      <c r="B29" s="1012" t="s">
        <v>390</v>
      </c>
      <c r="C29" s="990" t="s">
        <v>142</v>
      </c>
      <c r="D29" s="989">
        <v>2024995000</v>
      </c>
      <c r="E29" s="996">
        <v>8621000</v>
      </c>
      <c r="F29" s="998">
        <v>1.047E-3</v>
      </c>
      <c r="G29" s="996">
        <f>+F29*$D29+$E29</f>
        <v>10741169.765000001</v>
      </c>
      <c r="H29" s="996">
        <f>+G29-E29</f>
        <v>2120169.7650000006</v>
      </c>
      <c r="I29" s="1011">
        <f>IF(E29=0,"n/a",+H29/E29)</f>
        <v>0.24593083922978778</v>
      </c>
      <c r="K29" s="996">
        <f>+L29-H29</f>
        <v>0</v>
      </c>
      <c r="L29" s="996">
        <f>SUM(M29:N29)</f>
        <v>2120169.7650000001</v>
      </c>
      <c r="M29" s="996">
        <v>2120169.7650000001</v>
      </c>
      <c r="N29" s="996">
        <v>0</v>
      </c>
    </row>
    <row r="30" spans="1:14" x14ac:dyDescent="0.25">
      <c r="A30" s="1013">
        <f t="shared" si="0"/>
        <v>25</v>
      </c>
      <c r="E30" s="996"/>
      <c r="F30" s="998"/>
      <c r="G30" s="996"/>
      <c r="H30" s="996"/>
      <c r="I30" s="1016"/>
      <c r="L30" s="996"/>
    </row>
    <row r="31" spans="1:14" x14ac:dyDescent="0.25">
      <c r="A31" s="1013">
        <f t="shared" si="0"/>
        <v>26</v>
      </c>
      <c r="B31" s="988" t="s">
        <v>148</v>
      </c>
      <c r="C31" s="1015" t="s">
        <v>391</v>
      </c>
      <c r="D31" s="989">
        <v>71427000</v>
      </c>
      <c r="E31" s="996">
        <v>17368000</v>
      </c>
      <c r="F31" s="998">
        <v>4.0090000000000004E-3</v>
      </c>
      <c r="G31" s="996">
        <f>+F31*$D31+$E31</f>
        <v>17654350.842999998</v>
      </c>
      <c r="H31" s="996">
        <f>+G31-E31</f>
        <v>286350.84299999848</v>
      </c>
      <c r="I31" s="1011">
        <f>IF(E31=0,"n/a",+H31/E31)</f>
        <v>1.6487266409488627E-2</v>
      </c>
      <c r="K31" s="996">
        <f>+L31-H31</f>
        <v>-2.8379322533146478</v>
      </c>
      <c r="L31" s="996">
        <f>SUM(M31:N31)</f>
        <v>286348.00506774517</v>
      </c>
      <c r="M31" s="996">
        <v>315734.20999738079</v>
      </c>
      <c r="N31" s="996">
        <v>-29386.20492963562</v>
      </c>
    </row>
    <row r="32" spans="1:14" x14ac:dyDescent="0.25">
      <c r="A32" s="1013">
        <f t="shared" si="0"/>
        <v>27</v>
      </c>
      <c r="E32" s="996"/>
      <c r="F32" s="998"/>
      <c r="G32" s="996"/>
      <c r="H32" s="996"/>
      <c r="I32" s="1014"/>
      <c r="L32" s="996"/>
    </row>
    <row r="33" spans="1:14" x14ac:dyDescent="0.25">
      <c r="A33" s="1013">
        <f t="shared" si="0"/>
        <v>28</v>
      </c>
      <c r="B33" s="1012" t="s">
        <v>78</v>
      </c>
      <c r="D33" s="989">
        <f>SUM(D7,D14,D20,D22,D27,D29,D31)</f>
        <v>24115538000</v>
      </c>
      <c r="E33" s="996">
        <f>SUM(E7,E14,E20,E22,E27,E29,E31)</f>
        <v>2084773000</v>
      </c>
      <c r="F33" s="998">
        <f>ROUND(($D7*F7+$D14*F14+$D20*F20+$D22*F22+$D27*F27+$D29*F29+$D31*F31)/$D33,6)</f>
        <v>3.372E-3</v>
      </c>
      <c r="G33" s="996">
        <f>SUM(G7,G14,G20,G22,G27,G29,G31)</f>
        <v>2166086409.3800001</v>
      </c>
      <c r="H33" s="996">
        <f>SUM(H7,H14,H20,H22,H27,H29,H31)</f>
        <v>81313409.38000001</v>
      </c>
      <c r="I33" s="1011">
        <f>IF(E33=0,"n/a",+H33/E33)</f>
        <v>3.9003483535137884E-2</v>
      </c>
      <c r="K33" s="996">
        <f>SUM(K7:K31)</f>
        <v>7396.2943381630448</v>
      </c>
      <c r="L33" s="996">
        <f>SUM(L7:L31)</f>
        <v>81320805.674338177</v>
      </c>
      <c r="M33" s="996">
        <f>SUM(M7:M31)</f>
        <v>89448699.273033395</v>
      </c>
      <c r="N33" s="996">
        <f>SUM(N7:N31)</f>
        <v>-8127893.5986952102</v>
      </c>
    </row>
    <row r="34" spans="1:14" ht="13.8" thickBot="1" x14ac:dyDescent="0.3">
      <c r="A34" s="1010"/>
      <c r="B34" s="1007"/>
      <c r="C34" s="1009"/>
      <c r="D34" s="1008"/>
      <c r="E34" s="1008"/>
      <c r="F34" s="1007"/>
      <c r="G34" s="1008"/>
      <c r="H34" s="1007"/>
      <c r="I34" s="1006"/>
    </row>
    <row r="35" spans="1:14" x14ac:dyDescent="0.25">
      <c r="K35" s="996"/>
    </row>
    <row r="36" spans="1:14" ht="13.2" customHeight="1" x14ac:dyDescent="0.25">
      <c r="B36" s="1139" t="s">
        <v>604</v>
      </c>
      <c r="C36" s="1139"/>
      <c r="D36" s="1139"/>
      <c r="E36" s="1139"/>
      <c r="F36" s="1139"/>
      <c r="G36" s="1139"/>
      <c r="H36" s="1139"/>
      <c r="I36" s="1139"/>
      <c r="J36" s="1005"/>
      <c r="K36" s="1005"/>
    </row>
    <row r="37" spans="1:14" x14ac:dyDescent="0.25">
      <c r="K37" s="996"/>
    </row>
    <row r="38" spans="1:14" x14ac:dyDescent="0.25">
      <c r="B38" s="1004" t="s">
        <v>603</v>
      </c>
      <c r="D38" s="1002"/>
      <c r="E38" s="1003"/>
      <c r="H38" s="996">
        <v>79200635.909338191</v>
      </c>
      <c r="K38" s="996"/>
    </row>
    <row r="39" spans="1:14" x14ac:dyDescent="0.25">
      <c r="B39" s="1004" t="s">
        <v>602</v>
      </c>
      <c r="D39" s="1002"/>
      <c r="E39" s="1002"/>
      <c r="H39" s="996">
        <v>2120169.7650000001</v>
      </c>
      <c r="I39" s="996"/>
    </row>
    <row r="40" spans="1:14" x14ac:dyDescent="0.25">
      <c r="B40" s="1004"/>
      <c r="D40" s="1002"/>
      <c r="E40" s="1002"/>
      <c r="H40" s="996">
        <f>SUM(H38:H39)</f>
        <v>81320805.674338192</v>
      </c>
      <c r="I40" s="996"/>
    </row>
    <row r="41" spans="1:14" x14ac:dyDescent="0.25">
      <c r="B41" s="1004" t="s">
        <v>601</v>
      </c>
      <c r="D41" s="1002"/>
      <c r="E41" s="1003"/>
      <c r="H41" s="996">
        <f>+H40-H33</f>
        <v>7396.2943381816149</v>
      </c>
    </row>
    <row r="42" spans="1:14" x14ac:dyDescent="0.25">
      <c r="D42" s="1002"/>
      <c r="E42" s="1002"/>
    </row>
    <row r="43" spans="1:14" x14ac:dyDescent="0.25">
      <c r="D43" s="1002"/>
      <c r="E43" s="1002"/>
    </row>
    <row r="44" spans="1:14" x14ac:dyDescent="0.25">
      <c r="A44" s="1000" t="s">
        <v>600</v>
      </c>
      <c r="B44" s="1000"/>
      <c r="C44" s="1000"/>
      <c r="D44" s="1001"/>
      <c r="E44" s="1001"/>
      <c r="F44" s="1000"/>
      <c r="G44" s="1001"/>
      <c r="H44" s="1000"/>
      <c r="I44" s="1000"/>
      <c r="J44" s="1000"/>
      <c r="K44" s="1000"/>
      <c r="L44" s="1000"/>
      <c r="M44" s="1000"/>
    </row>
    <row r="45" spans="1:14" x14ac:dyDescent="0.25">
      <c r="G45" s="999" t="s">
        <v>481</v>
      </c>
    </row>
    <row r="46" spans="1:14" x14ac:dyDescent="0.25">
      <c r="B46" s="988" t="s">
        <v>599</v>
      </c>
      <c r="D46" s="989">
        <f>D33</f>
        <v>24115538000</v>
      </c>
      <c r="F46" s="998">
        <f>ROUND(H46/D46,6)</f>
        <v>3.372E-3</v>
      </c>
      <c r="G46" s="997">
        <f>F33-F46</f>
        <v>0</v>
      </c>
      <c r="H46" s="996">
        <f>H33</f>
        <v>81313409.38000001</v>
      </c>
    </row>
    <row r="47" spans="1:14" x14ac:dyDescent="0.25">
      <c r="B47" s="988" t="s">
        <v>480</v>
      </c>
      <c r="D47" s="989">
        <f>-D29</f>
        <v>-2024995000</v>
      </c>
      <c r="F47" s="998">
        <f>-ROUND(H47/D47,6)</f>
        <v>-1.047E-3</v>
      </c>
      <c r="G47" s="997">
        <f>F29+F47</f>
        <v>0</v>
      </c>
      <c r="H47" s="996">
        <f>-H29</f>
        <v>-2120169.7650000006</v>
      </c>
    </row>
    <row r="48" spans="1:14" ht="13.8" thickBot="1" x14ac:dyDescent="0.3">
      <c r="B48" s="988" t="s">
        <v>598</v>
      </c>
      <c r="D48" s="995">
        <f>SUM(D46:D47)</f>
        <v>22090543000</v>
      </c>
      <c r="F48" s="992">
        <f>ROUND(H48/D48,6)</f>
        <v>3.5850000000000001E-3</v>
      </c>
      <c r="H48" s="994">
        <f>SUM(H46:H47)</f>
        <v>79193239.61500001</v>
      </c>
    </row>
    <row r="49" spans="2:7" ht="13.8" thickTop="1" x14ac:dyDescent="0.25">
      <c r="B49" s="988" t="s">
        <v>597</v>
      </c>
      <c r="F49" s="993">
        <v>0.95238599999999995</v>
      </c>
    </row>
    <row r="50" spans="2:7" ht="13.8" thickBot="1" x14ac:dyDescent="0.3">
      <c r="B50" s="988" t="s">
        <v>596</v>
      </c>
      <c r="F50" s="1041">
        <f>F48*F49</f>
        <v>3.4143038099999998E-3</v>
      </c>
      <c r="G50" s="989" t="s">
        <v>621</v>
      </c>
    </row>
    <row r="51" spans="2:7" ht="13.8" thickTop="1" x14ac:dyDescent="0.25">
      <c r="E51" s="991"/>
      <c r="F51" s="991"/>
    </row>
  </sheetData>
  <mergeCells count="2">
    <mergeCell ref="K3:N3"/>
    <mergeCell ref="B36:I36"/>
  </mergeCells>
  <printOptions horizontalCentered="1"/>
  <pageMargins left="0.7" right="0.7" top="0.75" bottom="0.75" header="0.3" footer="0.3"/>
  <pageSetup scale="64" orientation="landscape" r:id="rId1"/>
  <headerFooter alignWithMargins="0">
    <oddHeader>&amp;RAdvice No. 2019-xx
Electric Schedule 120 Rate Design Workpapers
Page &amp;P of &amp;N</oddHeader>
    <oddFooter>&amp;L&amp;F
&amp;A&amp;R&amp;D</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S55"/>
  <sheetViews>
    <sheetView workbookViewId="0">
      <pane xSplit="4" ySplit="6" topLeftCell="E7" activePane="bottomRight" state="frozen"/>
      <selection activeCell="J21" sqref="J21"/>
      <selection pane="topRight" activeCell="J21" sqref="J21"/>
      <selection pane="bottomLeft" activeCell="J21" sqref="J21"/>
      <selection pane="bottomRight"/>
    </sheetView>
  </sheetViews>
  <sheetFormatPr defaultColWidth="8.88671875" defaultRowHeight="14.4" x14ac:dyDescent="0.3"/>
  <cols>
    <col min="1" max="1" width="8.88671875" style="72" customWidth="1"/>
    <col min="2" max="2" width="6.33203125" style="72" bestFit="1" customWidth="1"/>
    <col min="3" max="3" width="9.6640625" style="72" bestFit="1" customWidth="1"/>
    <col min="4" max="4" width="8.88671875" style="72"/>
    <col min="5" max="5" width="11.44140625" style="72" bestFit="1" customWidth="1"/>
    <col min="6" max="6" width="10.6640625" style="72" bestFit="1" customWidth="1"/>
    <col min="7" max="7" width="10.44140625" style="72" bestFit="1" customWidth="1"/>
    <col min="8" max="8" width="9" style="72" bestFit="1" customWidth="1"/>
    <col min="9" max="9" width="6.88671875" style="72" bestFit="1" customWidth="1"/>
    <col min="10" max="10" width="13.5546875" style="72" bestFit="1" customWidth="1"/>
    <col min="11" max="11" width="10.44140625" style="72" bestFit="1" customWidth="1"/>
    <col min="12" max="12" width="11.44140625" style="72" bestFit="1" customWidth="1"/>
    <col min="13" max="13" width="13.109375" style="72" bestFit="1" customWidth="1"/>
    <col min="14" max="14" width="19.33203125" style="72" bestFit="1" customWidth="1"/>
    <col min="15" max="15" width="11.44140625" style="72" bestFit="1" customWidth="1"/>
    <col min="16" max="16" width="8.88671875" style="72"/>
    <col min="17" max="17" width="10.5546875" style="72" bestFit="1" customWidth="1"/>
    <col min="18" max="18" width="8.88671875" style="72"/>
    <col min="19" max="19" width="10.5546875" style="72" bestFit="1" customWidth="1"/>
    <col min="20" max="16384" width="8.88671875" style="72"/>
  </cols>
  <sheetData>
    <row r="1" spans="1:15" ht="31.2" x14ac:dyDescent="0.6">
      <c r="A1" s="585" t="s">
        <v>595</v>
      </c>
    </row>
    <row r="2" spans="1:15" ht="21" x14ac:dyDescent="0.4">
      <c r="A2" s="1063" t="s">
        <v>106</v>
      </c>
    </row>
    <row r="3" spans="1:15" ht="15" thickBot="1" x14ac:dyDescent="0.35">
      <c r="A3" s="72" t="s">
        <v>544</v>
      </c>
    </row>
    <row r="4" spans="1:15" x14ac:dyDescent="0.3">
      <c r="E4" s="1140" t="s">
        <v>107</v>
      </c>
      <c r="F4" s="1141"/>
      <c r="G4" s="1141"/>
      <c r="H4" s="1141"/>
      <c r="I4" s="1141"/>
      <c r="J4" s="1141"/>
      <c r="K4" s="1141"/>
      <c r="L4" s="1141"/>
      <c r="M4" s="1141"/>
      <c r="N4" s="1141"/>
      <c r="O4" s="1142"/>
    </row>
    <row r="5" spans="1:15" x14ac:dyDescent="0.3">
      <c r="A5" s="67" t="s">
        <v>108</v>
      </c>
      <c r="B5" s="67" t="s">
        <v>109</v>
      </c>
      <c r="C5" s="67" t="s">
        <v>110</v>
      </c>
      <c r="E5" s="68" t="s">
        <v>51</v>
      </c>
      <c r="F5" s="66" t="s">
        <v>52</v>
      </c>
      <c r="G5" s="66" t="s">
        <v>53</v>
      </c>
      <c r="H5" s="66" t="s">
        <v>111</v>
      </c>
      <c r="I5" s="66" t="s">
        <v>112</v>
      </c>
      <c r="J5" s="66" t="s">
        <v>113</v>
      </c>
      <c r="K5" s="66" t="s">
        <v>114</v>
      </c>
      <c r="L5" s="66" t="s">
        <v>115</v>
      </c>
      <c r="M5" s="66" t="s">
        <v>116</v>
      </c>
      <c r="N5" s="66" t="s">
        <v>117</v>
      </c>
      <c r="O5" s="69" t="s">
        <v>118</v>
      </c>
    </row>
    <row r="6" spans="1:15" x14ac:dyDescent="0.3">
      <c r="E6" s="71"/>
      <c r="F6" s="70"/>
      <c r="G6" s="70"/>
      <c r="H6" s="70"/>
      <c r="I6" s="70"/>
      <c r="J6" s="70"/>
      <c r="K6" s="70"/>
      <c r="L6" s="70"/>
      <c r="M6" s="70"/>
      <c r="N6" s="70"/>
      <c r="O6" s="65"/>
    </row>
    <row r="7" spans="1:15" ht="15" thickBot="1" x14ac:dyDescent="0.35"/>
    <row r="8" spans="1:15" x14ac:dyDescent="0.3">
      <c r="A8" s="67">
        <v>2019</v>
      </c>
      <c r="B8" s="67">
        <v>1</v>
      </c>
      <c r="C8" s="1064">
        <f t="shared" ref="C8:C55" si="0">DATE(A8,B8,1)</f>
        <v>43466</v>
      </c>
      <c r="E8" s="1065">
        <v>1206095</v>
      </c>
      <c r="F8" s="1066">
        <v>775619</v>
      </c>
      <c r="G8" s="1066">
        <v>106266</v>
      </c>
      <c r="H8" s="1066">
        <v>5992</v>
      </c>
      <c r="I8" s="1066">
        <v>878</v>
      </c>
      <c r="J8" s="1066">
        <f t="shared" ref="J8:J48" si="1">SUM(E8:I8)</f>
        <v>2094850</v>
      </c>
      <c r="K8" s="1066">
        <f t="shared" ref="K8:K55" si="2">L8-J8</f>
        <v>160102</v>
      </c>
      <c r="L8" s="1066">
        <f>ROUND(J8/0.929, 0)</f>
        <v>2254952</v>
      </c>
      <c r="M8" s="1066">
        <v>2180</v>
      </c>
      <c r="N8" s="1066">
        <f>ROUND(M8/0.929-M8, 0)</f>
        <v>167</v>
      </c>
      <c r="O8" s="1067">
        <f t="shared" ref="O8:O48" si="3">SUM(L8:N8)</f>
        <v>2257299</v>
      </c>
    </row>
    <row r="9" spans="1:15" x14ac:dyDescent="0.3">
      <c r="A9" s="67">
        <f t="shared" ref="A9:A55" si="4">IF(B9=1,A8+1,A8)</f>
        <v>2019</v>
      </c>
      <c r="B9" s="67">
        <f t="shared" ref="B9:B55" si="5">IF(B8=12,1,B8+1)</f>
        <v>2</v>
      </c>
      <c r="C9" s="1064">
        <f t="shared" si="0"/>
        <v>43497</v>
      </c>
      <c r="E9" s="1068">
        <v>1058429</v>
      </c>
      <c r="F9" s="1069">
        <v>669604</v>
      </c>
      <c r="G9" s="1069">
        <v>87050</v>
      </c>
      <c r="H9" s="1069">
        <v>5791</v>
      </c>
      <c r="I9" s="1069">
        <v>878</v>
      </c>
      <c r="J9" s="1069">
        <f t="shared" si="1"/>
        <v>1821752</v>
      </c>
      <c r="K9" s="1069">
        <f t="shared" si="2"/>
        <v>139230</v>
      </c>
      <c r="L9" s="1069">
        <f t="shared" ref="L9:L55" si="6">ROUND(J9/0.929, 0)</f>
        <v>1960982</v>
      </c>
      <c r="M9" s="1069">
        <v>2294</v>
      </c>
      <c r="N9" s="1069">
        <f t="shared" ref="N9:N55" si="7">ROUND(M9/0.929-M9, 0)</f>
        <v>175</v>
      </c>
      <c r="O9" s="1070">
        <f t="shared" si="3"/>
        <v>1963451</v>
      </c>
    </row>
    <row r="10" spans="1:15" x14ac:dyDescent="0.3">
      <c r="A10" s="67">
        <f t="shared" si="4"/>
        <v>2019</v>
      </c>
      <c r="B10" s="67">
        <f t="shared" si="5"/>
        <v>3</v>
      </c>
      <c r="C10" s="1064">
        <f t="shared" si="0"/>
        <v>43525</v>
      </c>
      <c r="E10" s="1068">
        <v>1050844</v>
      </c>
      <c r="F10" s="1069">
        <v>753718</v>
      </c>
      <c r="G10" s="1069">
        <v>104846</v>
      </c>
      <c r="H10" s="1069">
        <v>6793</v>
      </c>
      <c r="I10" s="1069">
        <v>855</v>
      </c>
      <c r="J10" s="1069">
        <f t="shared" si="1"/>
        <v>1917056</v>
      </c>
      <c r="K10" s="1069">
        <f t="shared" si="2"/>
        <v>146513</v>
      </c>
      <c r="L10" s="1069">
        <f t="shared" si="6"/>
        <v>2063569</v>
      </c>
      <c r="M10" s="1069">
        <v>2205</v>
      </c>
      <c r="N10" s="1069">
        <f t="shared" si="7"/>
        <v>169</v>
      </c>
      <c r="O10" s="1070">
        <f t="shared" si="3"/>
        <v>2065943</v>
      </c>
    </row>
    <row r="11" spans="1:15" x14ac:dyDescent="0.3">
      <c r="A11" s="67">
        <f t="shared" si="4"/>
        <v>2019</v>
      </c>
      <c r="B11" s="67">
        <f t="shared" si="5"/>
        <v>4</v>
      </c>
      <c r="C11" s="1064">
        <f t="shared" si="0"/>
        <v>43556</v>
      </c>
      <c r="E11" s="1068">
        <v>866429</v>
      </c>
      <c r="F11" s="1069">
        <v>692307</v>
      </c>
      <c r="G11" s="1069">
        <v>97221</v>
      </c>
      <c r="H11" s="1069">
        <v>6075</v>
      </c>
      <c r="I11" s="1069">
        <v>634</v>
      </c>
      <c r="J11" s="1069">
        <f t="shared" si="1"/>
        <v>1662666</v>
      </c>
      <c r="K11" s="1069">
        <f t="shared" si="2"/>
        <v>127071</v>
      </c>
      <c r="L11" s="1069">
        <f t="shared" si="6"/>
        <v>1789737</v>
      </c>
      <c r="M11" s="1069">
        <v>2046</v>
      </c>
      <c r="N11" s="1069">
        <f t="shared" si="7"/>
        <v>156</v>
      </c>
      <c r="O11" s="1070">
        <f t="shared" si="3"/>
        <v>1791939</v>
      </c>
    </row>
    <row r="12" spans="1:15" x14ac:dyDescent="0.3">
      <c r="A12" s="67">
        <f t="shared" si="4"/>
        <v>2019</v>
      </c>
      <c r="B12" s="67">
        <f t="shared" si="5"/>
        <v>5</v>
      </c>
      <c r="C12" s="1064">
        <f t="shared" si="0"/>
        <v>43586</v>
      </c>
      <c r="E12" s="1068">
        <v>741451</v>
      </c>
      <c r="F12" s="1069">
        <v>685587</v>
      </c>
      <c r="G12" s="1069">
        <v>101132</v>
      </c>
      <c r="H12" s="1069">
        <v>6253</v>
      </c>
      <c r="I12" s="1069">
        <v>495</v>
      </c>
      <c r="J12" s="1069">
        <f t="shared" si="1"/>
        <v>1534918</v>
      </c>
      <c r="K12" s="1069">
        <f t="shared" si="2"/>
        <v>117308</v>
      </c>
      <c r="L12" s="1069">
        <f t="shared" si="6"/>
        <v>1652226</v>
      </c>
      <c r="M12" s="1069">
        <v>2037</v>
      </c>
      <c r="N12" s="1069">
        <f t="shared" si="7"/>
        <v>156</v>
      </c>
      <c r="O12" s="1070">
        <f t="shared" si="3"/>
        <v>1654419</v>
      </c>
    </row>
    <row r="13" spans="1:15" x14ac:dyDescent="0.3">
      <c r="A13" s="67">
        <f t="shared" si="4"/>
        <v>2019</v>
      </c>
      <c r="B13" s="67">
        <f t="shared" si="5"/>
        <v>6</v>
      </c>
      <c r="C13" s="1064">
        <f t="shared" si="0"/>
        <v>43617</v>
      </c>
      <c r="E13" s="1068">
        <v>685013</v>
      </c>
      <c r="F13" s="1069">
        <v>682100</v>
      </c>
      <c r="G13" s="1069">
        <v>99525</v>
      </c>
      <c r="H13" s="1069">
        <v>6162</v>
      </c>
      <c r="I13" s="1069">
        <v>368</v>
      </c>
      <c r="J13" s="1069">
        <f t="shared" si="1"/>
        <v>1473168</v>
      </c>
      <c r="K13" s="1069">
        <f t="shared" si="2"/>
        <v>112589</v>
      </c>
      <c r="L13" s="1069">
        <f t="shared" si="6"/>
        <v>1585757</v>
      </c>
      <c r="M13" s="1069">
        <v>1680</v>
      </c>
      <c r="N13" s="1069">
        <f t="shared" si="7"/>
        <v>128</v>
      </c>
      <c r="O13" s="1070">
        <f t="shared" si="3"/>
        <v>1587565</v>
      </c>
    </row>
    <row r="14" spans="1:15" x14ac:dyDescent="0.3">
      <c r="A14" s="67">
        <f t="shared" si="4"/>
        <v>2019</v>
      </c>
      <c r="B14" s="67">
        <f t="shared" si="5"/>
        <v>7</v>
      </c>
      <c r="C14" s="1064">
        <f t="shared" si="0"/>
        <v>43647</v>
      </c>
      <c r="E14" s="1068">
        <v>703728</v>
      </c>
      <c r="F14" s="1069">
        <v>723630</v>
      </c>
      <c r="G14" s="1069">
        <v>100616</v>
      </c>
      <c r="H14" s="1069">
        <v>5932</v>
      </c>
      <c r="I14" s="1069">
        <v>320</v>
      </c>
      <c r="J14" s="1069">
        <f t="shared" si="1"/>
        <v>1534226</v>
      </c>
      <c r="K14" s="1069">
        <f t="shared" si="2"/>
        <v>117255</v>
      </c>
      <c r="L14" s="1069">
        <f t="shared" si="6"/>
        <v>1651481</v>
      </c>
      <c r="M14" s="1069">
        <v>2694</v>
      </c>
      <c r="N14" s="1069">
        <f t="shared" si="7"/>
        <v>206</v>
      </c>
      <c r="O14" s="1070">
        <f t="shared" si="3"/>
        <v>1654381</v>
      </c>
    </row>
    <row r="15" spans="1:15" x14ac:dyDescent="0.3">
      <c r="A15" s="67">
        <f t="shared" si="4"/>
        <v>2019</v>
      </c>
      <c r="B15" s="67">
        <f t="shared" si="5"/>
        <v>8</v>
      </c>
      <c r="C15" s="1064">
        <f t="shared" si="0"/>
        <v>43678</v>
      </c>
      <c r="E15" s="1068">
        <v>690751</v>
      </c>
      <c r="F15" s="1069">
        <v>737726</v>
      </c>
      <c r="G15" s="1069">
        <v>105005</v>
      </c>
      <c r="H15" s="1069">
        <v>6146</v>
      </c>
      <c r="I15" s="1069">
        <v>308</v>
      </c>
      <c r="J15" s="1069">
        <f t="shared" si="1"/>
        <v>1539936</v>
      </c>
      <c r="K15" s="1069">
        <f t="shared" si="2"/>
        <v>117692</v>
      </c>
      <c r="L15" s="1069">
        <f t="shared" si="6"/>
        <v>1657628</v>
      </c>
      <c r="M15" s="1069">
        <v>1538</v>
      </c>
      <c r="N15" s="1069">
        <f t="shared" si="7"/>
        <v>118</v>
      </c>
      <c r="O15" s="1070">
        <f t="shared" si="3"/>
        <v>1659284</v>
      </c>
    </row>
    <row r="16" spans="1:15" x14ac:dyDescent="0.3">
      <c r="A16" s="67">
        <f t="shared" si="4"/>
        <v>2019</v>
      </c>
      <c r="B16" s="67">
        <f t="shared" si="5"/>
        <v>9</v>
      </c>
      <c r="C16" s="1064">
        <f t="shared" si="0"/>
        <v>43709</v>
      </c>
      <c r="E16" s="1068">
        <v>681697</v>
      </c>
      <c r="F16" s="1069">
        <v>695218</v>
      </c>
      <c r="G16" s="1069">
        <v>99157</v>
      </c>
      <c r="H16" s="1069">
        <v>6418</v>
      </c>
      <c r="I16" s="1069">
        <v>359</v>
      </c>
      <c r="J16" s="1069">
        <f t="shared" si="1"/>
        <v>1482849</v>
      </c>
      <c r="K16" s="1069">
        <f t="shared" si="2"/>
        <v>113329</v>
      </c>
      <c r="L16" s="1069">
        <f t="shared" si="6"/>
        <v>1596178</v>
      </c>
      <c r="M16" s="1069">
        <v>1338</v>
      </c>
      <c r="N16" s="1069">
        <f t="shared" si="7"/>
        <v>102</v>
      </c>
      <c r="O16" s="1070">
        <f t="shared" si="3"/>
        <v>1597618</v>
      </c>
    </row>
    <row r="17" spans="1:19" x14ac:dyDescent="0.3">
      <c r="A17" s="67">
        <f t="shared" si="4"/>
        <v>2019</v>
      </c>
      <c r="B17" s="67">
        <f t="shared" si="5"/>
        <v>10</v>
      </c>
      <c r="C17" s="1064">
        <f t="shared" si="0"/>
        <v>43739</v>
      </c>
      <c r="E17" s="1068">
        <v>840345</v>
      </c>
      <c r="F17" s="1069">
        <v>721816</v>
      </c>
      <c r="G17" s="1069">
        <v>101691</v>
      </c>
      <c r="H17" s="1069">
        <v>6457</v>
      </c>
      <c r="I17" s="1069">
        <v>518</v>
      </c>
      <c r="J17" s="1069">
        <f t="shared" si="1"/>
        <v>1670827</v>
      </c>
      <c r="K17" s="1069">
        <f t="shared" si="2"/>
        <v>127695</v>
      </c>
      <c r="L17" s="1069">
        <f t="shared" si="6"/>
        <v>1798522</v>
      </c>
      <c r="M17" s="1069">
        <v>1718</v>
      </c>
      <c r="N17" s="1069">
        <f t="shared" si="7"/>
        <v>131</v>
      </c>
      <c r="O17" s="1070">
        <f t="shared" si="3"/>
        <v>1800371</v>
      </c>
    </row>
    <row r="18" spans="1:19" x14ac:dyDescent="0.3">
      <c r="A18" s="67">
        <f t="shared" si="4"/>
        <v>2019</v>
      </c>
      <c r="B18" s="67">
        <f t="shared" si="5"/>
        <v>11</v>
      </c>
      <c r="C18" s="1064">
        <f t="shared" si="0"/>
        <v>43770</v>
      </c>
      <c r="E18" s="1068">
        <v>1034560</v>
      </c>
      <c r="F18" s="1069">
        <v>752383</v>
      </c>
      <c r="G18" s="1069">
        <v>96379</v>
      </c>
      <c r="H18" s="1069">
        <v>6691</v>
      </c>
      <c r="I18" s="1069">
        <v>731</v>
      </c>
      <c r="J18" s="1069">
        <f t="shared" si="1"/>
        <v>1890744</v>
      </c>
      <c r="K18" s="1069">
        <f t="shared" si="2"/>
        <v>144503</v>
      </c>
      <c r="L18" s="1069">
        <f t="shared" si="6"/>
        <v>2035247</v>
      </c>
      <c r="M18" s="1069">
        <v>1710</v>
      </c>
      <c r="N18" s="1069">
        <f t="shared" si="7"/>
        <v>131</v>
      </c>
      <c r="O18" s="1070">
        <f t="shared" si="3"/>
        <v>2037088</v>
      </c>
      <c r="Q18" s="67" t="s">
        <v>474</v>
      </c>
    </row>
    <row r="19" spans="1:19" x14ac:dyDescent="0.3">
      <c r="A19" s="67">
        <f t="shared" si="4"/>
        <v>2019</v>
      </c>
      <c r="B19" s="67">
        <f t="shared" si="5"/>
        <v>12</v>
      </c>
      <c r="C19" s="1064">
        <f t="shared" si="0"/>
        <v>43800</v>
      </c>
      <c r="E19" s="1068">
        <v>1304074</v>
      </c>
      <c r="F19" s="1069">
        <v>820745</v>
      </c>
      <c r="G19" s="1069">
        <v>96664</v>
      </c>
      <c r="H19" s="1069">
        <v>6849</v>
      </c>
      <c r="I19" s="1069">
        <v>1045</v>
      </c>
      <c r="J19" s="1069">
        <f t="shared" si="1"/>
        <v>2229377</v>
      </c>
      <c r="K19" s="1069">
        <f t="shared" si="2"/>
        <v>170383</v>
      </c>
      <c r="L19" s="1069">
        <f t="shared" si="6"/>
        <v>2399760</v>
      </c>
      <c r="M19" s="1069">
        <v>1596</v>
      </c>
      <c r="N19" s="1069">
        <f t="shared" si="7"/>
        <v>122</v>
      </c>
      <c r="O19" s="1070">
        <f t="shared" si="3"/>
        <v>2401478</v>
      </c>
      <c r="Q19" s="67" t="s">
        <v>475</v>
      </c>
      <c r="R19" s="67" t="s">
        <v>477</v>
      </c>
      <c r="S19" s="67" t="s">
        <v>478</v>
      </c>
    </row>
    <row r="20" spans="1:19" x14ac:dyDescent="0.3">
      <c r="A20" s="67">
        <f t="shared" si="4"/>
        <v>2020</v>
      </c>
      <c r="B20" s="67">
        <f t="shared" si="5"/>
        <v>1</v>
      </c>
      <c r="C20" s="1064">
        <f t="shared" si="0"/>
        <v>43831</v>
      </c>
      <c r="E20" s="1068">
        <v>1252327</v>
      </c>
      <c r="F20" s="1069">
        <v>796365</v>
      </c>
      <c r="G20" s="1069">
        <v>107841</v>
      </c>
      <c r="H20" s="1069">
        <v>6467</v>
      </c>
      <c r="I20" s="1069">
        <v>906</v>
      </c>
      <c r="J20" s="1069">
        <f t="shared" si="1"/>
        <v>2163906</v>
      </c>
      <c r="K20" s="1069">
        <f t="shared" si="2"/>
        <v>165379</v>
      </c>
      <c r="L20" s="1069">
        <f t="shared" si="6"/>
        <v>2329285</v>
      </c>
      <c r="M20" s="1069">
        <v>2243</v>
      </c>
      <c r="N20" s="1069">
        <f t="shared" si="7"/>
        <v>171</v>
      </c>
      <c r="O20" s="1070">
        <f t="shared" si="3"/>
        <v>2331699</v>
      </c>
      <c r="Q20" s="67" t="s">
        <v>476</v>
      </c>
      <c r="R20" s="67" t="s">
        <v>112</v>
      </c>
      <c r="S20" s="67" t="s">
        <v>479</v>
      </c>
    </row>
    <row r="21" spans="1:19" x14ac:dyDescent="0.3">
      <c r="A21" s="67">
        <f t="shared" si="4"/>
        <v>2020</v>
      </c>
      <c r="B21" s="67">
        <f t="shared" si="5"/>
        <v>2</v>
      </c>
      <c r="C21" s="1064">
        <f t="shared" si="0"/>
        <v>43862</v>
      </c>
      <c r="E21" s="1068">
        <v>1088361</v>
      </c>
      <c r="F21" s="1069">
        <v>739978</v>
      </c>
      <c r="G21" s="1069">
        <v>97799</v>
      </c>
      <c r="H21" s="1069">
        <v>6149</v>
      </c>
      <c r="I21" s="1069">
        <v>870</v>
      </c>
      <c r="J21" s="1069">
        <f t="shared" si="1"/>
        <v>1933157</v>
      </c>
      <c r="K21" s="1069">
        <f t="shared" si="2"/>
        <v>147744</v>
      </c>
      <c r="L21" s="1069">
        <f t="shared" si="6"/>
        <v>2080901</v>
      </c>
      <c r="M21" s="1069">
        <v>2439</v>
      </c>
      <c r="N21" s="1069">
        <f t="shared" si="7"/>
        <v>186</v>
      </c>
      <c r="O21" s="1070">
        <f t="shared" si="3"/>
        <v>2083526</v>
      </c>
      <c r="Q21" s="1071">
        <f>J21</f>
        <v>1933157</v>
      </c>
      <c r="R21" s="1071">
        <f>-I21</f>
        <v>-870</v>
      </c>
      <c r="S21" s="1071">
        <f>SUM(Q21:R21)</f>
        <v>1932287</v>
      </c>
    </row>
    <row r="22" spans="1:19" x14ac:dyDescent="0.3">
      <c r="A22" s="67">
        <f t="shared" si="4"/>
        <v>2020</v>
      </c>
      <c r="B22" s="67">
        <f t="shared" si="5"/>
        <v>3</v>
      </c>
      <c r="C22" s="1064">
        <f t="shared" si="0"/>
        <v>43891</v>
      </c>
      <c r="E22" s="1068">
        <v>1049153</v>
      </c>
      <c r="F22" s="1069">
        <v>755885</v>
      </c>
      <c r="G22" s="1069">
        <v>102162</v>
      </c>
      <c r="H22" s="1069">
        <v>6707</v>
      </c>
      <c r="I22" s="1069">
        <v>869</v>
      </c>
      <c r="J22" s="1069">
        <f t="shared" si="1"/>
        <v>1914776</v>
      </c>
      <c r="K22" s="1069">
        <f t="shared" si="2"/>
        <v>146339</v>
      </c>
      <c r="L22" s="1069">
        <f t="shared" si="6"/>
        <v>2061115</v>
      </c>
      <c r="M22" s="1069">
        <v>2263</v>
      </c>
      <c r="N22" s="1069">
        <f t="shared" si="7"/>
        <v>173</v>
      </c>
      <c r="O22" s="1070">
        <f t="shared" si="3"/>
        <v>2063551</v>
      </c>
      <c r="Q22" s="1071">
        <f>J22</f>
        <v>1914776</v>
      </c>
      <c r="R22" s="1071">
        <f>-I22</f>
        <v>-869</v>
      </c>
      <c r="S22" s="1071">
        <f>SUM(Q22:R22)</f>
        <v>1913907</v>
      </c>
    </row>
    <row r="23" spans="1:19" x14ac:dyDescent="0.3">
      <c r="A23" s="67">
        <f t="shared" si="4"/>
        <v>2020</v>
      </c>
      <c r="B23" s="67">
        <f t="shared" si="5"/>
        <v>4</v>
      </c>
      <c r="C23" s="1064">
        <f t="shared" si="0"/>
        <v>43922</v>
      </c>
      <c r="E23" s="1068">
        <v>864607</v>
      </c>
      <c r="F23" s="1069">
        <v>692529</v>
      </c>
      <c r="G23" s="1069">
        <v>96274</v>
      </c>
      <c r="H23" s="1069">
        <v>5959</v>
      </c>
      <c r="I23" s="1069">
        <v>635</v>
      </c>
      <c r="J23" s="1069">
        <f t="shared" si="1"/>
        <v>1660004</v>
      </c>
      <c r="K23" s="1069">
        <f t="shared" si="2"/>
        <v>126868</v>
      </c>
      <c r="L23" s="1069">
        <f t="shared" si="6"/>
        <v>1786872</v>
      </c>
      <c r="M23" s="1069">
        <v>2101</v>
      </c>
      <c r="N23" s="1069">
        <f t="shared" si="7"/>
        <v>161</v>
      </c>
      <c r="O23" s="1070">
        <f t="shared" si="3"/>
        <v>1789134</v>
      </c>
      <c r="Q23" s="1071">
        <f>J23</f>
        <v>1660004</v>
      </c>
      <c r="R23" s="1071">
        <f>-I23</f>
        <v>-635</v>
      </c>
      <c r="S23" s="1071">
        <f>SUM(Q23:R23)</f>
        <v>1659369</v>
      </c>
    </row>
    <row r="24" spans="1:19" x14ac:dyDescent="0.3">
      <c r="A24" s="67">
        <f t="shared" si="4"/>
        <v>2020</v>
      </c>
      <c r="B24" s="67">
        <f t="shared" si="5"/>
        <v>5</v>
      </c>
      <c r="C24" s="1064">
        <f t="shared" si="0"/>
        <v>43952</v>
      </c>
      <c r="E24" s="1068">
        <v>737952</v>
      </c>
      <c r="F24" s="1069">
        <v>684306</v>
      </c>
      <c r="G24" s="1069">
        <v>99904</v>
      </c>
      <c r="H24" s="1069">
        <v>6128</v>
      </c>
      <c r="I24" s="1069">
        <v>497</v>
      </c>
      <c r="J24" s="1069">
        <f t="shared" si="1"/>
        <v>1528787</v>
      </c>
      <c r="K24" s="1069">
        <f t="shared" si="2"/>
        <v>116839</v>
      </c>
      <c r="L24" s="1069">
        <f t="shared" si="6"/>
        <v>1645626</v>
      </c>
      <c r="M24" s="1069">
        <v>2097</v>
      </c>
      <c r="N24" s="1069">
        <f t="shared" si="7"/>
        <v>160</v>
      </c>
      <c r="O24" s="1070">
        <f t="shared" si="3"/>
        <v>1647883</v>
      </c>
    </row>
    <row r="25" spans="1:19" x14ac:dyDescent="0.3">
      <c r="A25" s="67">
        <f t="shared" si="4"/>
        <v>2020</v>
      </c>
      <c r="B25" s="67">
        <f t="shared" si="5"/>
        <v>6</v>
      </c>
      <c r="C25" s="1064">
        <f t="shared" si="0"/>
        <v>43983</v>
      </c>
      <c r="E25" s="1068">
        <v>680006</v>
      </c>
      <c r="F25" s="1069">
        <v>679830</v>
      </c>
      <c r="G25" s="1069">
        <v>98136</v>
      </c>
      <c r="H25" s="1069">
        <v>6040</v>
      </c>
      <c r="I25" s="1069">
        <v>370</v>
      </c>
      <c r="J25" s="1069">
        <f t="shared" si="1"/>
        <v>1464382</v>
      </c>
      <c r="K25" s="1069">
        <f t="shared" si="2"/>
        <v>111917</v>
      </c>
      <c r="L25" s="1069">
        <f t="shared" si="6"/>
        <v>1576299</v>
      </c>
      <c r="M25" s="1069">
        <v>1727</v>
      </c>
      <c r="N25" s="1069">
        <f t="shared" si="7"/>
        <v>132</v>
      </c>
      <c r="O25" s="1070">
        <f t="shared" si="3"/>
        <v>1578158</v>
      </c>
    </row>
    <row r="26" spans="1:19" x14ac:dyDescent="0.3">
      <c r="A26" s="67">
        <f t="shared" si="4"/>
        <v>2020</v>
      </c>
      <c r="B26" s="67">
        <f t="shared" si="5"/>
        <v>7</v>
      </c>
      <c r="C26" s="1064">
        <f t="shared" si="0"/>
        <v>44013</v>
      </c>
      <c r="E26" s="1068">
        <v>696924</v>
      </c>
      <c r="F26" s="1069">
        <v>720395</v>
      </c>
      <c r="G26" s="1069">
        <v>98987</v>
      </c>
      <c r="H26" s="1069">
        <v>5817</v>
      </c>
      <c r="I26" s="1069">
        <v>321</v>
      </c>
      <c r="J26" s="1069">
        <f t="shared" si="1"/>
        <v>1522444</v>
      </c>
      <c r="K26" s="1069">
        <f t="shared" si="2"/>
        <v>116355</v>
      </c>
      <c r="L26" s="1069">
        <f t="shared" si="6"/>
        <v>1638799</v>
      </c>
      <c r="M26" s="1069">
        <v>2779</v>
      </c>
      <c r="N26" s="1069">
        <f t="shared" si="7"/>
        <v>212</v>
      </c>
      <c r="O26" s="1070">
        <f t="shared" si="3"/>
        <v>1641790</v>
      </c>
    </row>
    <row r="27" spans="1:19" x14ac:dyDescent="0.3">
      <c r="A27" s="67">
        <f t="shared" si="4"/>
        <v>2020</v>
      </c>
      <c r="B27" s="67">
        <f t="shared" si="5"/>
        <v>8</v>
      </c>
      <c r="C27" s="1064">
        <f t="shared" si="0"/>
        <v>44044</v>
      </c>
      <c r="E27" s="1068">
        <v>682562</v>
      </c>
      <c r="F27" s="1069">
        <v>732436</v>
      </c>
      <c r="G27" s="1069">
        <v>103104</v>
      </c>
      <c r="H27" s="1069">
        <v>6030</v>
      </c>
      <c r="I27" s="1069">
        <v>309</v>
      </c>
      <c r="J27" s="1069">
        <f t="shared" si="1"/>
        <v>1524441</v>
      </c>
      <c r="K27" s="1069">
        <f t="shared" si="2"/>
        <v>116507</v>
      </c>
      <c r="L27" s="1069">
        <f t="shared" si="6"/>
        <v>1640948</v>
      </c>
      <c r="M27" s="1069">
        <v>1579</v>
      </c>
      <c r="N27" s="1069">
        <f t="shared" si="7"/>
        <v>121</v>
      </c>
      <c r="O27" s="1070">
        <f t="shared" si="3"/>
        <v>1642648</v>
      </c>
    </row>
    <row r="28" spans="1:19" x14ac:dyDescent="0.3">
      <c r="A28" s="67">
        <f t="shared" si="4"/>
        <v>2020</v>
      </c>
      <c r="B28" s="67">
        <f t="shared" si="5"/>
        <v>9</v>
      </c>
      <c r="C28" s="1064">
        <f t="shared" si="0"/>
        <v>44075</v>
      </c>
      <c r="E28" s="1068">
        <v>672654</v>
      </c>
      <c r="F28" s="1069">
        <v>687924</v>
      </c>
      <c r="G28" s="1069">
        <v>97267</v>
      </c>
      <c r="H28" s="1069">
        <v>6316</v>
      </c>
      <c r="I28" s="1069">
        <v>360</v>
      </c>
      <c r="J28" s="1069">
        <f t="shared" si="1"/>
        <v>1464521</v>
      </c>
      <c r="K28" s="1069">
        <f t="shared" si="2"/>
        <v>111928</v>
      </c>
      <c r="L28" s="1069">
        <f t="shared" si="6"/>
        <v>1576449</v>
      </c>
      <c r="M28" s="1069">
        <v>1377</v>
      </c>
      <c r="N28" s="1069">
        <f t="shared" si="7"/>
        <v>105</v>
      </c>
      <c r="O28" s="1070">
        <f t="shared" si="3"/>
        <v>1577931</v>
      </c>
    </row>
    <row r="29" spans="1:19" x14ac:dyDescent="0.3">
      <c r="A29" s="67">
        <f t="shared" si="4"/>
        <v>2020</v>
      </c>
      <c r="B29" s="67">
        <f t="shared" si="5"/>
        <v>10</v>
      </c>
      <c r="C29" s="1064">
        <f t="shared" si="0"/>
        <v>44105</v>
      </c>
      <c r="E29" s="1068">
        <v>830134</v>
      </c>
      <c r="F29" s="1069">
        <v>712486</v>
      </c>
      <c r="G29" s="1069">
        <v>99670</v>
      </c>
      <c r="H29" s="1069">
        <v>6360</v>
      </c>
      <c r="I29" s="1069">
        <v>520</v>
      </c>
      <c r="J29" s="1069">
        <f t="shared" si="1"/>
        <v>1649170</v>
      </c>
      <c r="K29" s="1069">
        <f t="shared" si="2"/>
        <v>126040</v>
      </c>
      <c r="L29" s="1069">
        <f t="shared" si="6"/>
        <v>1775210</v>
      </c>
      <c r="M29" s="1069">
        <v>1767</v>
      </c>
      <c r="N29" s="1069">
        <f t="shared" si="7"/>
        <v>135</v>
      </c>
      <c r="O29" s="1070">
        <f t="shared" si="3"/>
        <v>1777112</v>
      </c>
    </row>
    <row r="30" spans="1:19" x14ac:dyDescent="0.3">
      <c r="A30" s="67">
        <f t="shared" si="4"/>
        <v>2020</v>
      </c>
      <c r="B30" s="67">
        <f t="shared" si="5"/>
        <v>11</v>
      </c>
      <c r="C30" s="1064">
        <f t="shared" si="0"/>
        <v>44136</v>
      </c>
      <c r="E30" s="1068">
        <v>1024677</v>
      </c>
      <c r="F30" s="1069">
        <v>741691</v>
      </c>
      <c r="G30" s="1069">
        <v>94363</v>
      </c>
      <c r="H30" s="1069">
        <v>6599</v>
      </c>
      <c r="I30" s="1069">
        <v>732</v>
      </c>
      <c r="J30" s="1069">
        <f t="shared" si="1"/>
        <v>1868062</v>
      </c>
      <c r="K30" s="1069">
        <f t="shared" si="2"/>
        <v>142769</v>
      </c>
      <c r="L30" s="1069">
        <f t="shared" si="6"/>
        <v>2010831</v>
      </c>
      <c r="M30" s="1069">
        <v>1763</v>
      </c>
      <c r="N30" s="1069">
        <f t="shared" si="7"/>
        <v>135</v>
      </c>
      <c r="O30" s="1070">
        <f t="shared" si="3"/>
        <v>2012729</v>
      </c>
    </row>
    <row r="31" spans="1:19" x14ac:dyDescent="0.3">
      <c r="A31" s="67">
        <f t="shared" si="4"/>
        <v>2020</v>
      </c>
      <c r="B31" s="67">
        <f t="shared" si="5"/>
        <v>12</v>
      </c>
      <c r="C31" s="1064">
        <f t="shared" si="0"/>
        <v>44166</v>
      </c>
      <c r="E31" s="1068">
        <v>1293747</v>
      </c>
      <c r="F31" s="1069">
        <v>807947</v>
      </c>
      <c r="G31" s="1069">
        <v>94725</v>
      </c>
      <c r="H31" s="1069">
        <v>6767</v>
      </c>
      <c r="I31" s="1069">
        <v>1046</v>
      </c>
      <c r="J31" s="1069">
        <f t="shared" si="1"/>
        <v>2204232</v>
      </c>
      <c r="K31" s="1069">
        <f t="shared" si="2"/>
        <v>168461</v>
      </c>
      <c r="L31" s="1069">
        <f t="shared" si="6"/>
        <v>2372693</v>
      </c>
      <c r="M31" s="1069">
        <v>1649</v>
      </c>
      <c r="N31" s="1069">
        <f t="shared" si="7"/>
        <v>126</v>
      </c>
      <c r="O31" s="1070">
        <f t="shared" si="3"/>
        <v>2374468</v>
      </c>
    </row>
    <row r="32" spans="1:19" x14ac:dyDescent="0.3">
      <c r="A32" s="67">
        <f t="shared" si="4"/>
        <v>2021</v>
      </c>
      <c r="B32" s="67">
        <f t="shared" si="5"/>
        <v>1</v>
      </c>
      <c r="C32" s="1064">
        <f t="shared" si="0"/>
        <v>44197</v>
      </c>
      <c r="E32" s="1068">
        <v>1242287</v>
      </c>
      <c r="F32" s="1069">
        <v>783271</v>
      </c>
      <c r="G32" s="1069">
        <v>105481</v>
      </c>
      <c r="H32" s="1069">
        <v>6380</v>
      </c>
      <c r="I32" s="1069">
        <v>907</v>
      </c>
      <c r="J32" s="1069">
        <f t="shared" si="1"/>
        <v>2138326</v>
      </c>
      <c r="K32" s="1069">
        <f t="shared" si="2"/>
        <v>163424</v>
      </c>
      <c r="L32" s="1069">
        <f t="shared" si="6"/>
        <v>2301750</v>
      </c>
      <c r="M32" s="1069">
        <v>2243</v>
      </c>
      <c r="N32" s="1069">
        <f t="shared" si="7"/>
        <v>171</v>
      </c>
      <c r="O32" s="1070">
        <f t="shared" si="3"/>
        <v>2304164</v>
      </c>
    </row>
    <row r="33" spans="1:15" x14ac:dyDescent="0.3">
      <c r="A33" s="67">
        <f t="shared" si="4"/>
        <v>2021</v>
      </c>
      <c r="B33" s="67">
        <f t="shared" si="5"/>
        <v>2</v>
      </c>
      <c r="C33" s="1064">
        <f t="shared" si="0"/>
        <v>44228</v>
      </c>
      <c r="E33" s="1068">
        <v>1038557</v>
      </c>
      <c r="F33" s="1069">
        <v>702686</v>
      </c>
      <c r="G33" s="1069">
        <v>90596</v>
      </c>
      <c r="H33" s="1069">
        <v>5888</v>
      </c>
      <c r="I33" s="1069">
        <v>853</v>
      </c>
      <c r="J33" s="1069">
        <f t="shared" si="1"/>
        <v>1838580</v>
      </c>
      <c r="K33" s="1069">
        <f t="shared" si="2"/>
        <v>140516</v>
      </c>
      <c r="L33" s="1069">
        <f t="shared" si="6"/>
        <v>1979096</v>
      </c>
      <c r="M33" s="1069">
        <v>2355</v>
      </c>
      <c r="N33" s="1069">
        <f t="shared" si="7"/>
        <v>180</v>
      </c>
      <c r="O33" s="1070">
        <f t="shared" si="3"/>
        <v>1981631</v>
      </c>
    </row>
    <row r="34" spans="1:15" x14ac:dyDescent="0.3">
      <c r="A34" s="67">
        <f t="shared" si="4"/>
        <v>2021</v>
      </c>
      <c r="B34" s="67">
        <f t="shared" si="5"/>
        <v>3</v>
      </c>
      <c r="C34" s="1064">
        <f t="shared" si="0"/>
        <v>44256</v>
      </c>
      <c r="E34" s="1068">
        <v>1040176</v>
      </c>
      <c r="F34" s="1069">
        <v>743740</v>
      </c>
      <c r="G34" s="1069">
        <v>101773</v>
      </c>
      <c r="H34" s="1069">
        <v>6560</v>
      </c>
      <c r="I34" s="1069">
        <v>858</v>
      </c>
      <c r="J34" s="1069">
        <f t="shared" si="1"/>
        <v>1893107</v>
      </c>
      <c r="K34" s="1069">
        <f t="shared" si="2"/>
        <v>144683</v>
      </c>
      <c r="L34" s="1069">
        <f t="shared" si="6"/>
        <v>2037790</v>
      </c>
      <c r="M34" s="1069">
        <v>2263</v>
      </c>
      <c r="N34" s="1069">
        <f t="shared" si="7"/>
        <v>173</v>
      </c>
      <c r="O34" s="1070">
        <f t="shared" si="3"/>
        <v>2040226</v>
      </c>
    </row>
    <row r="35" spans="1:15" x14ac:dyDescent="0.3">
      <c r="A35" s="67">
        <f t="shared" si="4"/>
        <v>2021</v>
      </c>
      <c r="B35" s="67">
        <f t="shared" si="5"/>
        <v>4</v>
      </c>
      <c r="C35" s="1064">
        <f t="shared" si="0"/>
        <v>44287</v>
      </c>
      <c r="E35" s="1068">
        <v>852976</v>
      </c>
      <c r="F35" s="1069">
        <v>679885</v>
      </c>
      <c r="G35" s="1069">
        <v>94275</v>
      </c>
      <c r="H35" s="1069">
        <v>5868</v>
      </c>
      <c r="I35" s="1069">
        <v>636</v>
      </c>
      <c r="J35" s="1069">
        <f t="shared" si="1"/>
        <v>1633640</v>
      </c>
      <c r="K35" s="1069">
        <f t="shared" si="2"/>
        <v>124853</v>
      </c>
      <c r="L35" s="1069">
        <f t="shared" si="6"/>
        <v>1758493</v>
      </c>
      <c r="M35" s="1069">
        <v>2101</v>
      </c>
      <c r="N35" s="1069">
        <f t="shared" si="7"/>
        <v>161</v>
      </c>
      <c r="O35" s="1070">
        <f t="shared" si="3"/>
        <v>1760755</v>
      </c>
    </row>
    <row r="36" spans="1:15" x14ac:dyDescent="0.3">
      <c r="A36" s="67">
        <f t="shared" si="4"/>
        <v>2021</v>
      </c>
      <c r="B36" s="67">
        <f t="shared" si="5"/>
        <v>5</v>
      </c>
      <c r="C36" s="1064">
        <f t="shared" si="0"/>
        <v>44317</v>
      </c>
      <c r="E36" s="1068">
        <v>726028</v>
      </c>
      <c r="F36" s="1069">
        <v>671545</v>
      </c>
      <c r="G36" s="1069">
        <v>97817</v>
      </c>
      <c r="H36" s="1069">
        <v>6030</v>
      </c>
      <c r="I36" s="1069">
        <v>498</v>
      </c>
      <c r="J36" s="1069">
        <f t="shared" si="1"/>
        <v>1501918</v>
      </c>
      <c r="K36" s="1069">
        <f t="shared" si="2"/>
        <v>114786</v>
      </c>
      <c r="L36" s="1069">
        <f t="shared" si="6"/>
        <v>1616704</v>
      </c>
      <c r="M36" s="1069">
        <v>2097</v>
      </c>
      <c r="N36" s="1069">
        <f t="shared" si="7"/>
        <v>160</v>
      </c>
      <c r="O36" s="1070">
        <f t="shared" si="3"/>
        <v>1618961</v>
      </c>
    </row>
    <row r="37" spans="1:15" x14ac:dyDescent="0.3">
      <c r="A37" s="67">
        <f t="shared" si="4"/>
        <v>2021</v>
      </c>
      <c r="B37" s="67">
        <f t="shared" si="5"/>
        <v>6</v>
      </c>
      <c r="C37" s="1064">
        <f t="shared" si="0"/>
        <v>44348</v>
      </c>
      <c r="E37" s="1068">
        <v>667852</v>
      </c>
      <c r="F37" s="1069">
        <v>666714</v>
      </c>
      <c r="G37" s="1069">
        <v>96130</v>
      </c>
      <c r="H37" s="1069">
        <v>5944</v>
      </c>
      <c r="I37" s="1069">
        <v>371</v>
      </c>
      <c r="J37" s="1069">
        <f t="shared" si="1"/>
        <v>1437011</v>
      </c>
      <c r="K37" s="1069">
        <f t="shared" si="2"/>
        <v>109825</v>
      </c>
      <c r="L37" s="1069">
        <f t="shared" si="6"/>
        <v>1546836</v>
      </c>
      <c r="M37" s="1069">
        <v>1727</v>
      </c>
      <c r="N37" s="1069">
        <f t="shared" si="7"/>
        <v>132</v>
      </c>
      <c r="O37" s="1070">
        <f t="shared" si="3"/>
        <v>1548695</v>
      </c>
    </row>
    <row r="38" spans="1:15" x14ac:dyDescent="0.3">
      <c r="A38" s="67">
        <f t="shared" si="4"/>
        <v>2021</v>
      </c>
      <c r="B38" s="67">
        <f t="shared" si="5"/>
        <v>7</v>
      </c>
      <c r="C38" s="1064">
        <f t="shared" si="0"/>
        <v>44378</v>
      </c>
      <c r="E38" s="1068">
        <v>683820</v>
      </c>
      <c r="F38" s="1069">
        <v>705581</v>
      </c>
      <c r="G38" s="1069">
        <v>96956</v>
      </c>
      <c r="H38" s="1069">
        <v>5727</v>
      </c>
      <c r="I38" s="1069">
        <v>322</v>
      </c>
      <c r="J38" s="1069">
        <f t="shared" si="1"/>
        <v>1492406</v>
      </c>
      <c r="K38" s="1069">
        <f t="shared" si="2"/>
        <v>114059</v>
      </c>
      <c r="L38" s="1069">
        <f t="shared" si="6"/>
        <v>1606465</v>
      </c>
      <c r="M38" s="1069">
        <v>2779</v>
      </c>
      <c r="N38" s="1069">
        <f t="shared" si="7"/>
        <v>212</v>
      </c>
      <c r="O38" s="1070">
        <f t="shared" si="3"/>
        <v>1609456</v>
      </c>
    </row>
    <row r="39" spans="1:15" x14ac:dyDescent="0.3">
      <c r="A39" s="67">
        <f t="shared" si="4"/>
        <v>2021</v>
      </c>
      <c r="B39" s="67">
        <f t="shared" si="5"/>
        <v>8</v>
      </c>
      <c r="C39" s="1064">
        <f t="shared" si="0"/>
        <v>44409</v>
      </c>
      <c r="E39" s="1068">
        <v>669508</v>
      </c>
      <c r="F39" s="1069">
        <v>716393</v>
      </c>
      <c r="G39" s="1069">
        <v>100965</v>
      </c>
      <c r="H39" s="1069">
        <v>5938</v>
      </c>
      <c r="I39" s="1069">
        <v>310</v>
      </c>
      <c r="J39" s="1069">
        <f t="shared" si="1"/>
        <v>1493114</v>
      </c>
      <c r="K39" s="1069">
        <f t="shared" si="2"/>
        <v>114113</v>
      </c>
      <c r="L39" s="1069">
        <f t="shared" si="6"/>
        <v>1607227</v>
      </c>
      <c r="M39" s="1069">
        <v>1579</v>
      </c>
      <c r="N39" s="1069">
        <f t="shared" si="7"/>
        <v>121</v>
      </c>
      <c r="O39" s="1070">
        <f t="shared" si="3"/>
        <v>1608927</v>
      </c>
    </row>
    <row r="40" spans="1:15" x14ac:dyDescent="0.3">
      <c r="A40" s="67">
        <f t="shared" si="4"/>
        <v>2021</v>
      </c>
      <c r="B40" s="67">
        <f t="shared" si="5"/>
        <v>9</v>
      </c>
      <c r="C40" s="1064">
        <f t="shared" si="0"/>
        <v>44440</v>
      </c>
      <c r="E40" s="1068">
        <v>660419</v>
      </c>
      <c r="F40" s="1069">
        <v>671233</v>
      </c>
      <c r="G40" s="1069">
        <v>95293</v>
      </c>
      <c r="H40" s="1069">
        <v>6236</v>
      </c>
      <c r="I40" s="1069">
        <v>361</v>
      </c>
      <c r="J40" s="1069">
        <f t="shared" si="1"/>
        <v>1433542</v>
      </c>
      <c r="K40" s="1069">
        <f t="shared" si="2"/>
        <v>109560</v>
      </c>
      <c r="L40" s="1069">
        <f t="shared" si="6"/>
        <v>1543102</v>
      </c>
      <c r="M40" s="1069">
        <v>1377</v>
      </c>
      <c r="N40" s="1069">
        <f t="shared" si="7"/>
        <v>105</v>
      </c>
      <c r="O40" s="1070">
        <f t="shared" si="3"/>
        <v>1544584</v>
      </c>
    </row>
    <row r="41" spans="1:15" x14ac:dyDescent="0.3">
      <c r="A41" s="67">
        <f t="shared" si="4"/>
        <v>2021</v>
      </c>
      <c r="B41" s="67">
        <f t="shared" si="5"/>
        <v>10</v>
      </c>
      <c r="C41" s="1064">
        <f t="shared" si="0"/>
        <v>44470</v>
      </c>
      <c r="E41" s="1068">
        <v>818095</v>
      </c>
      <c r="F41" s="1069">
        <v>693617</v>
      </c>
      <c r="G41" s="1069">
        <v>97655</v>
      </c>
      <c r="H41" s="1069">
        <v>6284</v>
      </c>
      <c r="I41" s="1069">
        <v>521</v>
      </c>
      <c r="J41" s="1069">
        <f t="shared" si="1"/>
        <v>1616172</v>
      </c>
      <c r="K41" s="1069">
        <f t="shared" si="2"/>
        <v>123518</v>
      </c>
      <c r="L41" s="1069">
        <f t="shared" si="6"/>
        <v>1739690</v>
      </c>
      <c r="M41" s="1069">
        <v>1767</v>
      </c>
      <c r="N41" s="1069">
        <f t="shared" si="7"/>
        <v>135</v>
      </c>
      <c r="O41" s="1070">
        <f t="shared" si="3"/>
        <v>1741592</v>
      </c>
    </row>
    <row r="42" spans="1:15" x14ac:dyDescent="0.3">
      <c r="A42" s="67">
        <f t="shared" si="4"/>
        <v>2021</v>
      </c>
      <c r="B42" s="67">
        <f t="shared" si="5"/>
        <v>11</v>
      </c>
      <c r="C42" s="1064">
        <f t="shared" si="0"/>
        <v>44501</v>
      </c>
      <c r="E42" s="1068">
        <v>1014477</v>
      </c>
      <c r="F42" s="1069">
        <v>721795</v>
      </c>
      <c r="G42" s="1069">
        <v>92403</v>
      </c>
      <c r="H42" s="1069">
        <v>6527</v>
      </c>
      <c r="I42" s="1069">
        <v>733</v>
      </c>
      <c r="J42" s="1069">
        <f t="shared" si="1"/>
        <v>1835935</v>
      </c>
      <c r="K42" s="1069">
        <f t="shared" si="2"/>
        <v>140314</v>
      </c>
      <c r="L42" s="1069">
        <f t="shared" si="6"/>
        <v>1976249</v>
      </c>
      <c r="M42" s="1069">
        <v>1763</v>
      </c>
      <c r="N42" s="1069">
        <f t="shared" si="7"/>
        <v>135</v>
      </c>
      <c r="O42" s="1070">
        <f t="shared" si="3"/>
        <v>1978147</v>
      </c>
    </row>
    <row r="43" spans="1:15" x14ac:dyDescent="0.3">
      <c r="A43" s="67">
        <f t="shared" si="4"/>
        <v>2021</v>
      </c>
      <c r="B43" s="67">
        <f t="shared" si="5"/>
        <v>12</v>
      </c>
      <c r="C43" s="1064">
        <f t="shared" si="0"/>
        <v>44531</v>
      </c>
      <c r="E43" s="1068">
        <v>1284457</v>
      </c>
      <c r="F43" s="1069">
        <v>785686</v>
      </c>
      <c r="G43" s="1069">
        <v>92622</v>
      </c>
      <c r="H43" s="1069">
        <v>6704</v>
      </c>
      <c r="I43" s="1069">
        <v>1047</v>
      </c>
      <c r="J43" s="1069">
        <f t="shared" si="1"/>
        <v>2170516</v>
      </c>
      <c r="K43" s="1069">
        <f t="shared" si="2"/>
        <v>165884</v>
      </c>
      <c r="L43" s="1069">
        <f t="shared" si="6"/>
        <v>2336400</v>
      </c>
      <c r="M43" s="1069">
        <v>1649</v>
      </c>
      <c r="N43" s="1069">
        <f t="shared" si="7"/>
        <v>126</v>
      </c>
      <c r="O43" s="1070">
        <f t="shared" si="3"/>
        <v>2338175</v>
      </c>
    </row>
    <row r="44" spans="1:15" x14ac:dyDescent="0.3">
      <c r="A44" s="67">
        <f t="shared" si="4"/>
        <v>2022</v>
      </c>
      <c r="B44" s="67">
        <f t="shared" si="5"/>
        <v>1</v>
      </c>
      <c r="C44" s="1064">
        <f t="shared" si="0"/>
        <v>44562</v>
      </c>
      <c r="E44" s="1068">
        <v>1234304</v>
      </c>
      <c r="F44" s="1069">
        <v>761959</v>
      </c>
      <c r="G44" s="1069">
        <v>103077</v>
      </c>
      <c r="H44" s="1069">
        <v>6315</v>
      </c>
      <c r="I44" s="1069">
        <v>908</v>
      </c>
      <c r="J44" s="1069">
        <f t="shared" si="1"/>
        <v>2106563</v>
      </c>
      <c r="K44" s="1069">
        <f t="shared" si="2"/>
        <v>160997</v>
      </c>
      <c r="L44" s="1069">
        <f t="shared" si="6"/>
        <v>2267560</v>
      </c>
      <c r="M44" s="1069">
        <v>2243</v>
      </c>
      <c r="N44" s="1069">
        <f t="shared" si="7"/>
        <v>171</v>
      </c>
      <c r="O44" s="1070">
        <f t="shared" si="3"/>
        <v>2269974</v>
      </c>
    </row>
    <row r="45" spans="1:15" x14ac:dyDescent="0.3">
      <c r="A45" s="67">
        <f t="shared" si="4"/>
        <v>2022</v>
      </c>
      <c r="B45" s="67">
        <f t="shared" si="5"/>
        <v>2</v>
      </c>
      <c r="C45" s="1064">
        <f t="shared" si="0"/>
        <v>44593</v>
      </c>
      <c r="E45" s="1068">
        <v>1032155</v>
      </c>
      <c r="F45" s="1069">
        <v>683341</v>
      </c>
      <c r="G45" s="1069">
        <v>88480</v>
      </c>
      <c r="H45" s="1069">
        <v>5825</v>
      </c>
      <c r="I45" s="1069">
        <v>853</v>
      </c>
      <c r="J45" s="1069">
        <f t="shared" si="1"/>
        <v>1810654</v>
      </c>
      <c r="K45" s="1069">
        <f t="shared" si="2"/>
        <v>138382</v>
      </c>
      <c r="L45" s="1069">
        <f t="shared" si="6"/>
        <v>1949036</v>
      </c>
      <c r="M45" s="1069">
        <v>2355</v>
      </c>
      <c r="N45" s="1069">
        <f t="shared" si="7"/>
        <v>180</v>
      </c>
      <c r="O45" s="1070">
        <f t="shared" si="3"/>
        <v>1951571</v>
      </c>
    </row>
    <row r="46" spans="1:15" x14ac:dyDescent="0.3">
      <c r="A46" s="67">
        <f t="shared" si="4"/>
        <v>2022</v>
      </c>
      <c r="B46" s="67">
        <f t="shared" si="5"/>
        <v>3</v>
      </c>
      <c r="C46" s="1064">
        <f t="shared" si="0"/>
        <v>44621</v>
      </c>
      <c r="E46" s="1068">
        <v>1032830</v>
      </c>
      <c r="F46" s="1069">
        <v>720828</v>
      </c>
      <c r="G46" s="1069">
        <v>99203</v>
      </c>
      <c r="H46" s="1069">
        <v>6486</v>
      </c>
      <c r="I46" s="1069">
        <v>859</v>
      </c>
      <c r="J46" s="1069">
        <f t="shared" si="1"/>
        <v>1860206</v>
      </c>
      <c r="K46" s="1069">
        <f t="shared" si="2"/>
        <v>142169</v>
      </c>
      <c r="L46" s="1069">
        <f t="shared" si="6"/>
        <v>2002375</v>
      </c>
      <c r="M46" s="1069">
        <v>2263</v>
      </c>
      <c r="N46" s="1069">
        <f t="shared" si="7"/>
        <v>173</v>
      </c>
      <c r="O46" s="1070">
        <f t="shared" si="3"/>
        <v>2004811</v>
      </c>
    </row>
    <row r="47" spans="1:15" x14ac:dyDescent="0.3">
      <c r="A47" s="67">
        <f t="shared" si="4"/>
        <v>2022</v>
      </c>
      <c r="B47" s="67">
        <f t="shared" si="5"/>
        <v>4</v>
      </c>
      <c r="C47" s="1064">
        <f t="shared" si="0"/>
        <v>44652</v>
      </c>
      <c r="E47" s="1068">
        <v>845206</v>
      </c>
      <c r="F47" s="1069">
        <v>656757</v>
      </c>
      <c r="G47" s="1069">
        <v>91721</v>
      </c>
      <c r="H47" s="1069">
        <v>5803</v>
      </c>
      <c r="I47" s="1069">
        <v>637</v>
      </c>
      <c r="J47" s="1069">
        <f t="shared" si="1"/>
        <v>1600124</v>
      </c>
      <c r="K47" s="1069">
        <f t="shared" si="2"/>
        <v>122292</v>
      </c>
      <c r="L47" s="1069">
        <f t="shared" si="6"/>
        <v>1722416</v>
      </c>
      <c r="M47" s="1069">
        <v>2101</v>
      </c>
      <c r="N47" s="1069">
        <f t="shared" si="7"/>
        <v>161</v>
      </c>
      <c r="O47" s="1070">
        <f t="shared" si="3"/>
        <v>1724678</v>
      </c>
    </row>
    <row r="48" spans="1:15" x14ac:dyDescent="0.3">
      <c r="A48" s="67">
        <f t="shared" si="4"/>
        <v>2022</v>
      </c>
      <c r="B48" s="67">
        <f t="shared" si="5"/>
        <v>5</v>
      </c>
      <c r="C48" s="1064">
        <f t="shared" si="0"/>
        <v>44682</v>
      </c>
      <c r="E48" s="1068">
        <v>718484</v>
      </c>
      <c r="F48" s="1069">
        <v>648508</v>
      </c>
      <c r="G48" s="1069">
        <v>94972</v>
      </c>
      <c r="H48" s="1069">
        <v>5961</v>
      </c>
      <c r="I48" s="1069">
        <v>499</v>
      </c>
      <c r="J48" s="1069">
        <f t="shared" si="1"/>
        <v>1468424</v>
      </c>
      <c r="K48" s="1069">
        <f t="shared" si="2"/>
        <v>112226</v>
      </c>
      <c r="L48" s="1069">
        <f t="shared" si="6"/>
        <v>1580650</v>
      </c>
      <c r="M48" s="1069">
        <v>2097</v>
      </c>
      <c r="N48" s="1069">
        <f t="shared" si="7"/>
        <v>160</v>
      </c>
      <c r="O48" s="1070">
        <f t="shared" si="3"/>
        <v>1582907</v>
      </c>
    </row>
    <row r="49" spans="1:15" x14ac:dyDescent="0.3">
      <c r="A49" s="67">
        <f t="shared" si="4"/>
        <v>2022</v>
      </c>
      <c r="B49" s="67">
        <f t="shared" si="5"/>
        <v>6</v>
      </c>
      <c r="C49" s="1064">
        <f t="shared" si="0"/>
        <v>44713</v>
      </c>
      <c r="E49" s="1068">
        <v>660692</v>
      </c>
      <c r="F49" s="1069">
        <v>644118</v>
      </c>
      <c r="G49" s="1069">
        <v>93117</v>
      </c>
      <c r="H49" s="1069">
        <v>5878</v>
      </c>
      <c r="I49" s="1069">
        <v>371</v>
      </c>
      <c r="J49" s="1069">
        <f t="shared" ref="J49:J55" si="8">SUM(E49:I49)</f>
        <v>1404176</v>
      </c>
      <c r="K49" s="1069">
        <f t="shared" si="2"/>
        <v>107316</v>
      </c>
      <c r="L49" s="1069">
        <f t="shared" si="6"/>
        <v>1511492</v>
      </c>
      <c r="M49" s="1069">
        <v>1727</v>
      </c>
      <c r="N49" s="1069">
        <f t="shared" si="7"/>
        <v>132</v>
      </c>
      <c r="O49" s="1070">
        <f t="shared" ref="O49:O55" si="9">SUM(L49:N49)</f>
        <v>1513351</v>
      </c>
    </row>
    <row r="50" spans="1:15" x14ac:dyDescent="0.3">
      <c r="A50" s="67">
        <f t="shared" si="4"/>
        <v>2022</v>
      </c>
      <c r="B50" s="67">
        <f t="shared" si="5"/>
        <v>7</v>
      </c>
      <c r="C50" s="1064">
        <f t="shared" si="0"/>
        <v>44743</v>
      </c>
      <c r="E50" s="1068">
        <v>676735</v>
      </c>
      <c r="F50" s="1069">
        <v>682018</v>
      </c>
      <c r="G50" s="1069">
        <v>93751</v>
      </c>
      <c r="H50" s="1069">
        <v>5666</v>
      </c>
      <c r="I50" s="1069">
        <v>323</v>
      </c>
      <c r="J50" s="1069">
        <f t="shared" si="8"/>
        <v>1458493</v>
      </c>
      <c r="K50" s="1069">
        <f t="shared" si="2"/>
        <v>111467</v>
      </c>
      <c r="L50" s="1069">
        <f t="shared" si="6"/>
        <v>1569960</v>
      </c>
      <c r="M50" s="1069">
        <v>2779</v>
      </c>
      <c r="N50" s="1069">
        <f t="shared" si="7"/>
        <v>212</v>
      </c>
      <c r="O50" s="1070">
        <f t="shared" si="9"/>
        <v>1572951</v>
      </c>
    </row>
    <row r="51" spans="1:15" x14ac:dyDescent="0.3">
      <c r="A51" s="67">
        <f t="shared" si="4"/>
        <v>2022</v>
      </c>
      <c r="B51" s="67">
        <f t="shared" si="5"/>
        <v>8</v>
      </c>
      <c r="C51" s="1064">
        <f t="shared" si="0"/>
        <v>44774</v>
      </c>
      <c r="E51" s="1068">
        <v>663238</v>
      </c>
      <c r="F51" s="1069">
        <v>693440</v>
      </c>
      <c r="G51" s="1069">
        <v>97548</v>
      </c>
      <c r="H51" s="1069">
        <v>5879</v>
      </c>
      <c r="I51" s="1069">
        <v>311</v>
      </c>
      <c r="J51" s="1069">
        <f t="shared" si="8"/>
        <v>1460416</v>
      </c>
      <c r="K51" s="1069">
        <f t="shared" si="2"/>
        <v>111614</v>
      </c>
      <c r="L51" s="1069">
        <f t="shared" si="6"/>
        <v>1572030</v>
      </c>
      <c r="M51" s="1069">
        <v>1579</v>
      </c>
      <c r="N51" s="1069">
        <f t="shared" si="7"/>
        <v>121</v>
      </c>
      <c r="O51" s="1070">
        <f t="shared" si="9"/>
        <v>1573730</v>
      </c>
    </row>
    <row r="52" spans="1:15" x14ac:dyDescent="0.3">
      <c r="A52" s="67">
        <f t="shared" si="4"/>
        <v>2022</v>
      </c>
      <c r="B52" s="67">
        <f t="shared" si="5"/>
        <v>9</v>
      </c>
      <c r="C52" s="1064">
        <f t="shared" si="0"/>
        <v>44805</v>
      </c>
      <c r="E52" s="1068">
        <v>655582</v>
      </c>
      <c r="F52" s="1069">
        <v>650105</v>
      </c>
      <c r="G52" s="1069">
        <v>91952</v>
      </c>
      <c r="H52" s="1069">
        <v>6187</v>
      </c>
      <c r="I52" s="1069">
        <v>362</v>
      </c>
      <c r="J52" s="1069">
        <f t="shared" si="8"/>
        <v>1404188</v>
      </c>
      <c r="K52" s="1069">
        <f t="shared" si="2"/>
        <v>107317</v>
      </c>
      <c r="L52" s="1069">
        <f t="shared" si="6"/>
        <v>1511505</v>
      </c>
      <c r="M52" s="1069">
        <v>1377</v>
      </c>
      <c r="N52" s="1069">
        <f t="shared" si="7"/>
        <v>105</v>
      </c>
      <c r="O52" s="1070">
        <f t="shared" si="9"/>
        <v>1512987</v>
      </c>
    </row>
    <row r="53" spans="1:15" x14ac:dyDescent="0.3">
      <c r="A53" s="67">
        <f t="shared" si="4"/>
        <v>2022</v>
      </c>
      <c r="B53" s="67">
        <f t="shared" si="5"/>
        <v>10</v>
      </c>
      <c r="C53" s="1064">
        <f t="shared" si="0"/>
        <v>44835</v>
      </c>
      <c r="E53" s="1068">
        <v>814794</v>
      </c>
      <c r="F53" s="1069">
        <v>672883</v>
      </c>
      <c r="G53" s="1069">
        <v>94125</v>
      </c>
      <c r="H53" s="1069">
        <v>6240</v>
      </c>
      <c r="I53" s="1069">
        <v>521</v>
      </c>
      <c r="J53" s="1069">
        <f t="shared" si="8"/>
        <v>1588563</v>
      </c>
      <c r="K53" s="1069">
        <f t="shared" si="2"/>
        <v>121408</v>
      </c>
      <c r="L53" s="1069">
        <f t="shared" si="6"/>
        <v>1709971</v>
      </c>
      <c r="M53" s="1069">
        <v>1767</v>
      </c>
      <c r="N53" s="1069">
        <f t="shared" si="7"/>
        <v>135</v>
      </c>
      <c r="O53" s="1070">
        <f t="shared" si="9"/>
        <v>1711873</v>
      </c>
    </row>
    <row r="54" spans="1:15" x14ac:dyDescent="0.3">
      <c r="A54" s="67">
        <f t="shared" si="4"/>
        <v>2022</v>
      </c>
      <c r="B54" s="67">
        <f t="shared" si="5"/>
        <v>11</v>
      </c>
      <c r="C54" s="1064">
        <f t="shared" si="0"/>
        <v>44866</v>
      </c>
      <c r="E54" s="1068">
        <v>1013732</v>
      </c>
      <c r="F54" s="1069">
        <v>703207</v>
      </c>
      <c r="G54" s="1069">
        <v>88905</v>
      </c>
      <c r="H54" s="1069">
        <v>6488</v>
      </c>
      <c r="I54" s="1069">
        <v>733</v>
      </c>
      <c r="J54" s="1069">
        <f t="shared" si="8"/>
        <v>1813065</v>
      </c>
      <c r="K54" s="1069">
        <f t="shared" si="2"/>
        <v>138566</v>
      </c>
      <c r="L54" s="1069">
        <f t="shared" si="6"/>
        <v>1951631</v>
      </c>
      <c r="M54" s="1069">
        <v>1763</v>
      </c>
      <c r="N54" s="1069">
        <f t="shared" si="7"/>
        <v>135</v>
      </c>
      <c r="O54" s="1070">
        <f t="shared" si="9"/>
        <v>1953529</v>
      </c>
    </row>
    <row r="55" spans="1:15" x14ac:dyDescent="0.3">
      <c r="A55" s="67">
        <f t="shared" si="4"/>
        <v>2022</v>
      </c>
      <c r="B55" s="67">
        <f t="shared" si="5"/>
        <v>12</v>
      </c>
      <c r="C55" s="1064">
        <f t="shared" si="0"/>
        <v>44896</v>
      </c>
      <c r="E55" s="1068">
        <v>1286102</v>
      </c>
      <c r="F55" s="1069">
        <v>767789</v>
      </c>
      <c r="G55" s="1069">
        <v>88906</v>
      </c>
      <c r="H55" s="1069">
        <v>6676</v>
      </c>
      <c r="I55" s="1069">
        <v>1048</v>
      </c>
      <c r="J55" s="1069">
        <f t="shared" si="8"/>
        <v>2150521</v>
      </c>
      <c r="K55" s="1069">
        <f t="shared" si="2"/>
        <v>164356</v>
      </c>
      <c r="L55" s="1069">
        <f t="shared" si="6"/>
        <v>2314877</v>
      </c>
      <c r="M55" s="1069">
        <v>1649</v>
      </c>
      <c r="N55" s="1069">
        <f t="shared" si="7"/>
        <v>126</v>
      </c>
      <c r="O55" s="1070">
        <f t="shared" si="9"/>
        <v>2316652</v>
      </c>
    </row>
  </sheetData>
  <mergeCells count="1">
    <mergeCell ref="E4:O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40"/>
  <sheetViews>
    <sheetView zoomScale="80" zoomScaleNormal="80" workbookViewId="0">
      <selection activeCell="A2" sqref="A2"/>
    </sheetView>
  </sheetViews>
  <sheetFormatPr defaultColWidth="9.109375" defaultRowHeight="13.8" x14ac:dyDescent="0.25"/>
  <cols>
    <col min="1" max="1" width="10.6640625" style="1073" bestFit="1" customWidth="1"/>
    <col min="2" max="2" width="25.88671875" style="1073" bestFit="1" customWidth="1"/>
    <col min="3" max="3" width="13.33203125" style="1073" bestFit="1" customWidth="1"/>
    <col min="4" max="4" width="13.6640625" style="1073" bestFit="1" customWidth="1"/>
    <col min="5" max="5" width="13.33203125" style="1073" bestFit="1" customWidth="1"/>
    <col min="6" max="6" width="15" style="1073" customWidth="1"/>
    <col min="7" max="7" width="12.33203125" style="1073" bestFit="1" customWidth="1"/>
    <col min="8" max="8" width="13.33203125" style="1073" bestFit="1" customWidth="1"/>
    <col min="9" max="9" width="13.6640625" style="1073" bestFit="1" customWidth="1"/>
    <col min="10" max="10" width="13.33203125" style="1073" bestFit="1" customWidth="1"/>
    <col min="11" max="13" width="12.44140625" style="1073" bestFit="1" customWidth="1"/>
    <col min="14" max="14" width="15" style="1073" bestFit="1" customWidth="1"/>
    <col min="15" max="15" width="11" style="1073" bestFit="1" customWidth="1"/>
    <col min="16" max="16384" width="9.109375" style="1073"/>
  </cols>
  <sheetData>
    <row r="1" spans="1:15" ht="14.4" x14ac:dyDescent="0.3">
      <c r="A1" s="1143" t="s">
        <v>36</v>
      </c>
      <c r="B1" s="1143"/>
      <c r="C1" s="1143"/>
      <c r="D1" s="1143"/>
      <c r="E1" s="1143"/>
      <c r="F1" s="1143"/>
      <c r="G1" s="1143"/>
      <c r="H1" s="1143"/>
      <c r="I1" s="1143"/>
      <c r="J1" s="1143"/>
      <c r="K1" s="1143"/>
      <c r="L1" s="1072"/>
      <c r="M1" s="1072"/>
      <c r="N1" s="1072"/>
      <c r="O1" s="1072"/>
    </row>
    <row r="2" spans="1:15" ht="14.4" x14ac:dyDescent="0.3">
      <c r="A2" s="1072"/>
      <c r="B2" s="1072"/>
      <c r="C2" s="1072"/>
      <c r="D2" s="1072"/>
      <c r="E2" s="1072"/>
      <c r="F2" s="1072"/>
      <c r="G2" s="1072"/>
      <c r="H2" s="1072"/>
      <c r="I2" s="1072"/>
      <c r="J2" s="1072"/>
      <c r="K2" s="1072"/>
      <c r="L2" s="1072"/>
      <c r="M2" s="1072"/>
      <c r="N2" s="1072"/>
      <c r="O2" s="1072"/>
    </row>
    <row r="3" spans="1:15" ht="14.4" x14ac:dyDescent="0.3">
      <c r="A3" s="1072"/>
      <c r="B3" s="1072"/>
      <c r="C3" s="1072"/>
      <c r="D3" s="1072"/>
      <c r="E3" s="1072"/>
      <c r="F3" s="1072" t="s">
        <v>542</v>
      </c>
      <c r="G3" s="1072" t="s">
        <v>543</v>
      </c>
      <c r="H3" s="1072"/>
      <c r="I3" s="1072"/>
      <c r="J3" s="1072"/>
      <c r="K3" s="1072"/>
      <c r="L3" s="1072"/>
      <c r="M3" s="1072"/>
      <c r="N3" s="1072"/>
      <c r="O3" s="1072"/>
    </row>
    <row r="4" spans="1:15" ht="14.4" x14ac:dyDescent="0.3">
      <c r="A4" s="1074"/>
      <c r="B4" s="1074" t="s">
        <v>37</v>
      </c>
      <c r="C4" s="1072"/>
      <c r="D4" s="1072"/>
      <c r="E4" s="1072"/>
      <c r="F4" s="1072"/>
      <c r="G4" s="1072"/>
      <c r="H4" s="1072"/>
      <c r="I4" s="1072"/>
      <c r="J4" s="1072"/>
      <c r="K4" s="1072"/>
      <c r="L4" s="1072"/>
      <c r="M4" s="1072"/>
      <c r="N4" s="1072"/>
      <c r="O4" s="1072"/>
    </row>
    <row r="5" spans="1:15" ht="14.4" x14ac:dyDescent="0.3">
      <c r="A5" s="1072"/>
      <c r="B5" s="1072"/>
      <c r="C5" s="1072"/>
      <c r="D5" s="1072"/>
      <c r="E5" s="1072"/>
      <c r="F5" s="1072"/>
      <c r="G5" s="1072"/>
      <c r="H5" s="1072"/>
      <c r="I5" s="1072"/>
      <c r="J5" s="1072"/>
      <c r="K5" s="1072"/>
      <c r="L5" s="1072"/>
      <c r="M5" s="1072"/>
      <c r="N5" s="1072"/>
      <c r="O5" s="1072"/>
    </row>
    <row r="6" spans="1:15" ht="14.4" x14ac:dyDescent="0.3">
      <c r="A6" s="1075"/>
      <c r="B6" s="1075" t="s">
        <v>38</v>
      </c>
      <c r="C6" s="1076"/>
      <c r="D6" s="1076"/>
      <c r="E6" s="1076"/>
      <c r="F6" s="1076"/>
      <c r="G6" s="1076"/>
      <c r="H6" s="1076"/>
      <c r="I6" s="1076"/>
      <c r="J6" s="1076"/>
      <c r="K6" s="1076"/>
      <c r="L6" s="1076"/>
      <c r="M6" s="1076"/>
      <c r="N6" s="1077"/>
      <c r="O6" s="1072"/>
    </row>
    <row r="7" spans="1:15" ht="14.4" x14ac:dyDescent="0.3">
      <c r="A7" s="1078" t="s">
        <v>39</v>
      </c>
      <c r="B7" s="1079" t="s">
        <v>426</v>
      </c>
      <c r="C7" s="1079" t="s">
        <v>514</v>
      </c>
      <c r="D7" s="1079" t="s">
        <v>515</v>
      </c>
      <c r="E7" s="1079" t="s">
        <v>516</v>
      </c>
      <c r="F7" s="1079" t="s">
        <v>517</v>
      </c>
      <c r="G7" s="1079" t="s">
        <v>518</v>
      </c>
      <c r="H7" s="1079" t="s">
        <v>519</v>
      </c>
      <c r="I7" s="1079" t="s">
        <v>520</v>
      </c>
      <c r="J7" s="1079" t="s">
        <v>521</v>
      </c>
      <c r="K7" s="1079" t="s">
        <v>522</v>
      </c>
      <c r="L7" s="1079" t="s">
        <v>523</v>
      </c>
      <c r="M7" s="1079" t="s">
        <v>524</v>
      </c>
      <c r="N7" s="1079" t="s">
        <v>525</v>
      </c>
      <c r="O7" s="1080"/>
    </row>
    <row r="8" spans="1:15" ht="14.4" x14ac:dyDescent="0.3">
      <c r="A8" s="1081">
        <v>40</v>
      </c>
      <c r="B8" s="1082">
        <v>146856.9</v>
      </c>
      <c r="C8" s="1082">
        <v>155895.94</v>
      </c>
      <c r="D8" s="1082">
        <v>170195.69</v>
      </c>
      <c r="E8" s="1082">
        <v>137516.10999999999</v>
      </c>
      <c r="F8" s="1082">
        <v>57680.42</v>
      </c>
      <c r="G8" s="1082">
        <v>48719.75</v>
      </c>
      <c r="H8" s="1082">
        <v>39682.47</v>
      </c>
      <c r="I8" s="1082">
        <v>50990.05</v>
      </c>
      <c r="J8" s="1082">
        <v>56341.479999999996</v>
      </c>
      <c r="K8" s="1082">
        <v>38161.32</v>
      </c>
      <c r="L8" s="1082">
        <v>28782.519999999997</v>
      </c>
      <c r="M8" s="1082">
        <v>73880.88</v>
      </c>
      <c r="N8" s="1082">
        <v>43326.46</v>
      </c>
      <c r="O8" s="1072"/>
    </row>
    <row r="9" spans="1:15" ht="14.4" x14ac:dyDescent="0.3">
      <c r="A9" s="1081">
        <v>46</v>
      </c>
      <c r="B9" s="1082">
        <v>14780.68</v>
      </c>
      <c r="C9" s="1082">
        <v>16196.16</v>
      </c>
      <c r="D9" s="1082">
        <v>15444.720000000001</v>
      </c>
      <c r="E9" s="1082">
        <v>18404.14</v>
      </c>
      <c r="F9" s="1082">
        <v>15376.79</v>
      </c>
      <c r="G9" s="1082">
        <v>11586.99</v>
      </c>
      <c r="H9" s="1082">
        <v>15855.61</v>
      </c>
      <c r="I9" s="1082">
        <v>17330.82</v>
      </c>
      <c r="J9" s="1082">
        <v>15594</v>
      </c>
      <c r="K9" s="1082">
        <v>15064.07</v>
      </c>
      <c r="L9" s="1082">
        <v>13929.32</v>
      </c>
      <c r="M9" s="1082">
        <v>12816.550000000001</v>
      </c>
      <c r="N9" s="1082">
        <v>11176.21</v>
      </c>
      <c r="O9" s="1072"/>
    </row>
    <row r="10" spans="1:15" ht="14.4" x14ac:dyDescent="0.3">
      <c r="A10" s="1081">
        <v>49</v>
      </c>
      <c r="B10" s="1082">
        <v>162240.79999999999</v>
      </c>
      <c r="C10" s="1082">
        <v>223059.39</v>
      </c>
      <c r="D10" s="1082">
        <v>161849.66999999998</v>
      </c>
      <c r="E10" s="1082">
        <v>176939.24</v>
      </c>
      <c r="F10" s="1082">
        <v>205418.03</v>
      </c>
      <c r="G10" s="1082">
        <v>143982.71</v>
      </c>
      <c r="H10" s="1082">
        <v>139940.94</v>
      </c>
      <c r="I10" s="1082">
        <v>143941.86000000002</v>
      </c>
      <c r="J10" s="1082">
        <v>146756.07</v>
      </c>
      <c r="K10" s="1082">
        <v>138376.09</v>
      </c>
      <c r="L10" s="1082">
        <v>139997.65000000002</v>
      </c>
      <c r="M10" s="1082">
        <v>140794.4</v>
      </c>
      <c r="N10" s="1082">
        <v>144309.94</v>
      </c>
      <c r="O10" s="1072"/>
    </row>
    <row r="11" spans="1:15" ht="14.4" x14ac:dyDescent="0.3">
      <c r="A11" s="1081">
        <v>449</v>
      </c>
      <c r="B11" s="1082">
        <v>155814.94999999998</v>
      </c>
      <c r="C11" s="1082">
        <v>129697.53</v>
      </c>
      <c r="D11" s="1082">
        <v>177906.48</v>
      </c>
      <c r="E11" s="1082">
        <v>143668.74</v>
      </c>
      <c r="F11" s="1082">
        <v>111718.65999999999</v>
      </c>
      <c r="G11" s="1082">
        <v>162790.44</v>
      </c>
      <c r="H11" s="1082">
        <v>155634.95000000001</v>
      </c>
      <c r="I11" s="1082">
        <v>161133.49</v>
      </c>
      <c r="J11" s="1082">
        <v>161448.66</v>
      </c>
      <c r="K11" s="1082">
        <v>152738.46</v>
      </c>
      <c r="L11" s="1082">
        <v>153989.44</v>
      </c>
      <c r="M11" s="1082">
        <v>156532.06</v>
      </c>
      <c r="N11" s="1082">
        <v>156120.45000000001</v>
      </c>
      <c r="O11" s="1072"/>
    </row>
    <row r="12" spans="1:15" ht="14.4" x14ac:dyDescent="0.3">
      <c r="A12" s="1083">
        <v>459</v>
      </c>
      <c r="B12" s="1082">
        <v>27453.73</v>
      </c>
      <c r="C12" s="1082">
        <v>28286.01</v>
      </c>
      <c r="D12" s="1082">
        <v>24796.31</v>
      </c>
      <c r="E12" s="1082">
        <v>28302.25</v>
      </c>
      <c r="F12" s="1082">
        <v>26978.15</v>
      </c>
      <c r="G12" s="1082">
        <v>27783.24</v>
      </c>
      <c r="H12" s="1082">
        <v>27208.09</v>
      </c>
      <c r="I12" s="1082">
        <v>29189.74</v>
      </c>
      <c r="J12" s="1082">
        <v>29736.080000000002</v>
      </c>
      <c r="K12" s="1082">
        <v>27581.9</v>
      </c>
      <c r="L12" s="1082">
        <v>27996.55</v>
      </c>
      <c r="M12" s="1082">
        <v>27069.78</v>
      </c>
      <c r="N12" s="1082">
        <v>27227.99</v>
      </c>
      <c r="O12" s="1072"/>
    </row>
    <row r="13" spans="1:15" ht="14.4" x14ac:dyDescent="0.3">
      <c r="A13" s="1084" t="s">
        <v>513</v>
      </c>
      <c r="B13" s="1082">
        <v>0</v>
      </c>
      <c r="C13" s="1082">
        <v>0</v>
      </c>
      <c r="D13" s="1082">
        <v>0</v>
      </c>
      <c r="E13" s="1082">
        <v>0</v>
      </c>
      <c r="F13" s="1082">
        <v>92666.13</v>
      </c>
      <c r="G13" s="1082">
        <v>96591.15</v>
      </c>
      <c r="H13" s="1082">
        <v>91476.25</v>
      </c>
      <c r="I13" s="1082">
        <v>97104.36</v>
      </c>
      <c r="J13" s="1082">
        <v>98981.84</v>
      </c>
      <c r="K13" s="1082">
        <v>92095.49</v>
      </c>
      <c r="L13" s="1082">
        <v>88525.14</v>
      </c>
      <c r="M13" s="1082">
        <v>92968.33</v>
      </c>
      <c r="N13" s="1082">
        <v>98036.18</v>
      </c>
      <c r="O13" s="1072"/>
    </row>
    <row r="14" spans="1:15" ht="14.4" x14ac:dyDescent="0.3">
      <c r="A14" s="1085" t="s">
        <v>40</v>
      </c>
      <c r="B14" s="1086">
        <f>SUM(B8:B13)</f>
        <v>507147.05999999994</v>
      </c>
      <c r="C14" s="1086">
        <f t="shared" ref="C14:N14" si="0">SUM(C8:C13)</f>
        <v>553135.03</v>
      </c>
      <c r="D14" s="1086">
        <f t="shared" si="0"/>
        <v>550192.87</v>
      </c>
      <c r="E14" s="1086">
        <f t="shared" si="0"/>
        <v>504830.48</v>
      </c>
      <c r="F14" s="1086">
        <f t="shared" si="0"/>
        <v>509838.18</v>
      </c>
      <c r="G14" s="1086">
        <f t="shared" si="0"/>
        <v>491454.28</v>
      </c>
      <c r="H14" s="1086">
        <f t="shared" si="0"/>
        <v>469798.31000000006</v>
      </c>
      <c r="I14" s="1086">
        <f t="shared" si="0"/>
        <v>499690.31999999995</v>
      </c>
      <c r="J14" s="1086">
        <f t="shared" si="0"/>
        <v>508858.13</v>
      </c>
      <c r="K14" s="1086">
        <f t="shared" si="0"/>
        <v>464017.32999999996</v>
      </c>
      <c r="L14" s="1086">
        <f t="shared" si="0"/>
        <v>453220.62000000005</v>
      </c>
      <c r="M14" s="1086">
        <f t="shared" si="0"/>
        <v>504062.00000000006</v>
      </c>
      <c r="N14" s="1086">
        <f t="shared" si="0"/>
        <v>480197.23</v>
      </c>
      <c r="O14" s="1072"/>
    </row>
    <row r="15" spans="1:15" ht="14.4" x14ac:dyDescent="0.3">
      <c r="A15" s="1072"/>
      <c r="B15" s="1087"/>
      <c r="C15" s="324">
        <f>C11+C12</f>
        <v>157983.54</v>
      </c>
      <c r="D15" s="324">
        <f>D11+D12</f>
        <v>202702.79</v>
      </c>
      <c r="E15" s="324">
        <f>E11+E12</f>
        <v>171970.99</v>
      </c>
      <c r="F15" s="1072"/>
      <c r="G15" s="1072"/>
      <c r="H15" s="1072"/>
      <c r="I15" s="1072"/>
      <c r="J15" s="1072"/>
      <c r="K15" s="1072"/>
      <c r="L15" s="1072"/>
      <c r="M15" s="1072"/>
      <c r="N15" s="1072"/>
      <c r="O15" s="1072"/>
    </row>
    <row r="16" spans="1:15" ht="14.4" x14ac:dyDescent="0.3">
      <c r="A16" s="1072"/>
      <c r="B16" s="1087">
        <f>K26</f>
        <v>0.95238599999999995</v>
      </c>
      <c r="C16" s="1088">
        <f>C15*B16</f>
        <v>150461.31172644001</v>
      </c>
      <c r="D16" s="1088">
        <f>D15*B16</f>
        <v>193051.29935694</v>
      </c>
      <c r="E16" s="1088">
        <f>E15*B16</f>
        <v>163782.76328213999</v>
      </c>
      <c r="F16" s="1072"/>
      <c r="G16" s="1072"/>
      <c r="H16" s="1072"/>
      <c r="I16" s="1072"/>
      <c r="J16" s="1072"/>
      <c r="K16" s="1072"/>
      <c r="L16" s="1072"/>
      <c r="M16" s="1072"/>
      <c r="N16" s="1072"/>
      <c r="O16" s="1072"/>
    </row>
    <row r="17" spans="1:15" ht="15" thickBot="1" x14ac:dyDescent="0.35">
      <c r="A17" s="1072"/>
      <c r="B17" s="1072"/>
      <c r="C17" s="1072"/>
      <c r="D17" s="1072"/>
      <c r="E17" s="1072"/>
      <c r="F17" s="1072"/>
      <c r="G17" s="1072"/>
      <c r="H17" s="1072"/>
      <c r="I17" s="1072"/>
      <c r="J17" s="1072"/>
      <c r="K17" s="1072"/>
      <c r="L17" s="1072"/>
      <c r="M17" s="1072"/>
      <c r="N17" s="1072"/>
      <c r="O17" s="1072"/>
    </row>
    <row r="18" spans="1:15" ht="14.4" x14ac:dyDescent="0.3">
      <c r="A18" s="1144" t="s">
        <v>526</v>
      </c>
      <c r="B18" s="1144"/>
      <c r="C18" s="1144"/>
      <c r="D18" s="1144"/>
      <c r="E18" s="1144"/>
      <c r="F18" s="1087"/>
      <c r="G18" s="1087"/>
      <c r="H18" s="1072"/>
      <c r="I18" s="1072"/>
      <c r="J18" s="1072"/>
      <c r="K18" s="1072"/>
      <c r="L18" s="1072"/>
      <c r="M18" s="1072"/>
      <c r="N18" s="1089" t="s">
        <v>427</v>
      </c>
      <c r="O18" s="1072"/>
    </row>
    <row r="19" spans="1:15" ht="15" thickBot="1" x14ac:dyDescent="0.35">
      <c r="A19" s="1087"/>
      <c r="B19" s="1087"/>
      <c r="C19" s="1087"/>
      <c r="D19" s="1087"/>
      <c r="E19" s="1087"/>
      <c r="F19" s="1087"/>
      <c r="G19" s="1090" t="s">
        <v>527</v>
      </c>
      <c r="H19" s="1072"/>
      <c r="I19" s="1072"/>
      <c r="J19" s="1072"/>
      <c r="K19" s="1072"/>
      <c r="L19" s="1072"/>
      <c r="M19" s="1072"/>
      <c r="N19" s="1091">
        <f>SUM(F11:N12)</f>
        <v>1622878.1300000001</v>
      </c>
      <c r="O19" s="1092" t="s">
        <v>41</v>
      </c>
    </row>
    <row r="20" spans="1:15" ht="14.4" x14ac:dyDescent="0.3">
      <c r="A20" s="1087"/>
      <c r="B20" s="1087"/>
      <c r="C20" s="1087"/>
      <c r="D20" s="1087"/>
      <c r="E20" s="1087"/>
      <c r="F20" s="1087"/>
      <c r="G20" s="1087" t="s">
        <v>42</v>
      </c>
      <c r="H20" s="1072"/>
      <c r="I20" s="1072"/>
      <c r="J20" s="1072"/>
      <c r="K20" s="1072"/>
      <c r="L20" s="1072"/>
      <c r="M20" s="1072"/>
      <c r="N20" s="1072">
        <f>'PY Rev Req Non-449 (UE-190149)'!D8</f>
        <v>0.95238599999999995</v>
      </c>
      <c r="O20" s="1072"/>
    </row>
    <row r="21" spans="1:15" ht="14.4" x14ac:dyDescent="0.3">
      <c r="A21" s="1072"/>
      <c r="B21" s="1093"/>
      <c r="C21" s="1093" t="s">
        <v>43</v>
      </c>
      <c r="D21" s="1093"/>
      <c r="E21" s="1093"/>
      <c r="F21" s="1072"/>
      <c r="G21" s="1072"/>
      <c r="H21" s="1072"/>
      <c r="I21" s="1072"/>
      <c r="J21" s="1072"/>
      <c r="K21" s="1072"/>
      <c r="L21" s="1072"/>
      <c r="M21" s="1072"/>
      <c r="N21" s="1094">
        <f>N19*N20</f>
        <v>1545606.41071818</v>
      </c>
      <c r="O21" s="1072"/>
    </row>
    <row r="22" spans="1:15" ht="14.4" x14ac:dyDescent="0.3">
      <c r="A22" s="1072"/>
      <c r="B22" s="1095" t="s">
        <v>39</v>
      </c>
      <c r="C22" s="1096" t="s">
        <v>528</v>
      </c>
      <c r="D22" s="1096" t="s">
        <v>529</v>
      </c>
      <c r="E22" s="1096" t="s">
        <v>530</v>
      </c>
      <c r="F22" s="1087"/>
      <c r="G22" s="1087"/>
      <c r="H22" s="1096" t="str">
        <f>+C22</f>
        <v>Sum of Feb-20</v>
      </c>
      <c r="I22" s="1096" t="str">
        <f>+D22</f>
        <v>Sum of Mar-20</v>
      </c>
      <c r="J22" s="1096" t="str">
        <f>+E22</f>
        <v>Sum of Apr-20</v>
      </c>
      <c r="K22" s="1081" t="s">
        <v>44</v>
      </c>
      <c r="L22" s="1072"/>
      <c r="M22" s="1072"/>
      <c r="N22" s="1072"/>
      <c r="O22" s="1072"/>
    </row>
    <row r="23" spans="1:15" ht="14.4" x14ac:dyDescent="0.3">
      <c r="A23" s="1072"/>
      <c r="B23" s="1097" t="s">
        <v>45</v>
      </c>
      <c r="C23" s="1098">
        <v>141394000</v>
      </c>
      <c r="D23" s="1098">
        <v>144477000</v>
      </c>
      <c r="E23" s="1098">
        <v>140828000</v>
      </c>
      <c r="F23" s="1087"/>
      <c r="G23" s="1099">
        <v>1.047E-3</v>
      </c>
      <c r="H23" s="1100">
        <f t="shared" ref="H23:J24" si="1">+$G23*SUM(C23)</f>
        <v>148039.51799999998</v>
      </c>
      <c r="I23" s="1100">
        <f t="shared" si="1"/>
        <v>151267.41899999999</v>
      </c>
      <c r="J23" s="1100">
        <f t="shared" si="1"/>
        <v>147446.916</v>
      </c>
      <c r="K23" s="324">
        <f>SUM(H23:J23)</f>
        <v>446753.853</v>
      </c>
      <c r="L23" s="1072"/>
      <c r="M23" s="1072"/>
      <c r="N23" s="1072"/>
      <c r="O23" s="1072"/>
    </row>
    <row r="24" spans="1:15" ht="14.4" x14ac:dyDescent="0.3">
      <c r="A24" s="1072"/>
      <c r="B24" s="1097" t="s">
        <v>46</v>
      </c>
      <c r="C24" s="1098">
        <v>26003000</v>
      </c>
      <c r="D24" s="1098">
        <v>25773000</v>
      </c>
      <c r="E24" s="1098">
        <v>21227000</v>
      </c>
      <c r="F24" s="1087"/>
      <c r="G24" s="1099">
        <f>+G23</f>
        <v>1.047E-3</v>
      </c>
      <c r="H24" s="1100">
        <f t="shared" si="1"/>
        <v>27225.141</v>
      </c>
      <c r="I24" s="1100">
        <f t="shared" si="1"/>
        <v>26984.330999999998</v>
      </c>
      <c r="J24" s="1100">
        <f t="shared" si="1"/>
        <v>22224.668999999998</v>
      </c>
      <c r="K24" s="324">
        <f>SUM(H24:J24)</f>
        <v>76434.140999999989</v>
      </c>
      <c r="L24" s="1072"/>
      <c r="M24" s="1072"/>
      <c r="N24" s="1072"/>
      <c r="O24" s="1072"/>
    </row>
    <row r="25" spans="1:15" ht="14.4" x14ac:dyDescent="0.3">
      <c r="A25" s="1072"/>
      <c r="B25" s="1085" t="s">
        <v>40</v>
      </c>
      <c r="C25" s="1101">
        <f>SUM(C23:C24)</f>
        <v>167397000</v>
      </c>
      <c r="D25" s="1101">
        <f>SUM(D23:D24)</f>
        <v>170250000</v>
      </c>
      <c r="E25" s="1101">
        <f>SUM(E23:E24)</f>
        <v>162055000</v>
      </c>
      <c r="F25" s="1072"/>
      <c r="G25" s="1102"/>
      <c r="H25" s="1086">
        <f>SUM(H22:H24)</f>
        <v>175264.65899999999</v>
      </c>
      <c r="I25" s="1086">
        <f>SUM(I22:I24)</f>
        <v>178251.75</v>
      </c>
      <c r="J25" s="1086">
        <f>SUM(J22:J24)</f>
        <v>169671.58499999999</v>
      </c>
      <c r="K25" s="1086">
        <f>SUM(H25:J25)</f>
        <v>523187.99399999995</v>
      </c>
      <c r="L25" s="1072"/>
      <c r="M25" s="1072"/>
      <c r="N25" s="1072"/>
      <c r="O25" s="1072"/>
    </row>
    <row r="26" spans="1:15" ht="14.4" x14ac:dyDescent="0.3">
      <c r="A26" s="1072"/>
      <c r="B26" s="1072"/>
      <c r="C26" s="1072"/>
      <c r="D26" s="1072"/>
      <c r="E26" s="1072"/>
      <c r="F26" s="1072"/>
      <c r="G26" s="1103"/>
      <c r="H26" s="1072">
        <f>I26</f>
        <v>0.95238599999999995</v>
      </c>
      <c r="I26" s="1072">
        <f>J26</f>
        <v>0.95238599999999995</v>
      </c>
      <c r="J26" s="1072">
        <f>K26</f>
        <v>0.95238599999999995</v>
      </c>
      <c r="K26" s="1072">
        <f>N20</f>
        <v>0.95238599999999995</v>
      </c>
      <c r="L26" s="1072"/>
      <c r="M26" s="1072"/>
      <c r="N26" s="1072"/>
      <c r="O26" s="1072"/>
    </row>
    <row r="27" spans="1:15" ht="14.4" x14ac:dyDescent="0.3">
      <c r="A27" s="1072"/>
      <c r="B27" s="1072"/>
      <c r="C27" s="1072"/>
      <c r="D27" s="1072"/>
      <c r="E27" s="1072"/>
      <c r="F27" s="1072"/>
      <c r="G27" s="1072"/>
      <c r="H27" s="1104">
        <f>H25*H26</f>
        <v>166919.60752637399</v>
      </c>
      <c r="I27" s="1104">
        <f>I25*I26</f>
        <v>169764.47117549999</v>
      </c>
      <c r="J27" s="1104">
        <f>J25*J26</f>
        <v>161592.84215180998</v>
      </c>
      <c r="K27" s="1104">
        <f>K25*K26</f>
        <v>498276.9208536839</v>
      </c>
      <c r="L27" s="1072"/>
      <c r="M27" s="1072"/>
      <c r="N27" s="1072"/>
      <c r="O27" s="1072"/>
    </row>
    <row r="28" spans="1:15" ht="14.4" x14ac:dyDescent="0.3">
      <c r="A28" s="1072"/>
      <c r="B28" s="1072"/>
      <c r="C28" s="1072"/>
      <c r="D28" s="1072"/>
      <c r="E28" s="1072"/>
      <c r="F28" s="1072"/>
      <c r="G28" s="1072"/>
      <c r="H28" s="1072"/>
      <c r="I28" s="1072"/>
      <c r="J28" s="1072"/>
      <c r="K28" s="1072"/>
      <c r="L28" s="1072"/>
      <c r="M28" s="1072"/>
      <c r="N28" s="1072"/>
      <c r="O28" s="1072"/>
    </row>
    <row r="29" spans="1:15" ht="14.4" x14ac:dyDescent="0.3">
      <c r="A29" s="1144" t="s">
        <v>531</v>
      </c>
      <c r="B29" s="1144"/>
      <c r="C29" s="1144"/>
      <c r="D29" s="1144"/>
      <c r="E29" s="1144"/>
      <c r="F29" s="1072"/>
      <c r="G29" s="1072"/>
      <c r="H29" s="1072"/>
      <c r="I29" s="1072"/>
      <c r="J29" s="1072"/>
      <c r="K29" s="1072"/>
      <c r="L29" s="1072"/>
      <c r="M29" s="1072"/>
      <c r="N29" s="1072"/>
      <c r="O29" s="1072"/>
    </row>
    <row r="30" spans="1:15" ht="14.4" x14ac:dyDescent="0.3">
      <c r="A30" s="1072"/>
      <c r="B30" s="1145"/>
      <c r="C30" s="1145"/>
      <c r="D30" s="1145"/>
      <c r="E30" s="1145"/>
      <c r="F30" s="1072"/>
      <c r="G30" s="1072"/>
      <c r="H30" s="1072"/>
      <c r="I30" s="1072"/>
      <c r="J30" s="1072"/>
      <c r="K30" s="1072"/>
      <c r="L30" s="1072"/>
      <c r="M30" s="1072"/>
      <c r="N30" s="1072"/>
      <c r="O30" s="1072"/>
    </row>
    <row r="31" spans="1:15" ht="14.4" x14ac:dyDescent="0.3">
      <c r="A31" s="1072"/>
      <c r="B31" s="1072"/>
      <c r="C31" s="1072"/>
      <c r="D31" s="1072"/>
      <c r="E31" s="1072"/>
      <c r="F31" s="1072"/>
      <c r="G31" s="1072"/>
      <c r="H31" s="1072"/>
      <c r="I31" s="1072"/>
      <c r="J31" s="1072"/>
      <c r="K31" s="1072"/>
      <c r="L31" s="1072"/>
      <c r="M31" s="1072"/>
      <c r="N31" s="1072"/>
      <c r="O31" s="1072"/>
    </row>
    <row r="32" spans="1:15" ht="14.4" x14ac:dyDescent="0.3">
      <c r="A32" s="1072"/>
      <c r="B32" s="1072"/>
      <c r="C32" s="1072"/>
      <c r="D32" s="1072"/>
      <c r="E32" s="1072"/>
      <c r="F32" s="1072"/>
      <c r="G32" s="1072"/>
      <c r="H32" s="1072"/>
      <c r="I32" s="1072"/>
      <c r="J32" s="1072"/>
      <c r="K32" s="1072"/>
      <c r="L32" s="1072"/>
      <c r="M32" s="1072"/>
      <c r="N32" s="1072"/>
      <c r="O32" s="1072"/>
    </row>
    <row r="33" spans="1:15" ht="14.4" x14ac:dyDescent="0.3">
      <c r="A33" s="1072"/>
      <c r="B33" s="1093"/>
      <c r="C33" s="1093" t="s">
        <v>43</v>
      </c>
      <c r="D33" s="1093"/>
      <c r="E33" s="1093"/>
      <c r="F33" s="1072"/>
      <c r="G33" s="1072"/>
      <c r="H33" s="1072"/>
      <c r="I33" s="1072"/>
      <c r="J33" s="1072"/>
      <c r="K33" s="1072"/>
      <c r="L33" s="1072"/>
      <c r="M33" s="1072"/>
      <c r="N33" s="1072"/>
      <c r="O33" s="1072"/>
    </row>
    <row r="34" spans="1:15" ht="14.4" x14ac:dyDescent="0.3">
      <c r="A34" s="1072"/>
      <c r="B34" s="1095" t="s">
        <v>39</v>
      </c>
      <c r="C34" s="1096" t="str">
        <f>+C22</f>
        <v>Sum of Feb-20</v>
      </c>
      <c r="D34" s="1096" t="str">
        <f>+D22</f>
        <v>Sum of Mar-20</v>
      </c>
      <c r="E34" s="1096" t="str">
        <f>+E22</f>
        <v>Sum of Apr-20</v>
      </c>
      <c r="F34" s="1087"/>
      <c r="G34" s="1087"/>
      <c r="H34" s="1096" t="str">
        <f>+H22</f>
        <v>Sum of Feb-20</v>
      </c>
      <c r="I34" s="1096" t="str">
        <f>+I22</f>
        <v>Sum of Mar-20</v>
      </c>
      <c r="J34" s="1096" t="str">
        <f>+J22</f>
        <v>Sum of Apr-20</v>
      </c>
      <c r="K34" s="1081" t="s">
        <v>44</v>
      </c>
      <c r="L34" s="1072"/>
      <c r="M34" s="1072"/>
      <c r="N34" s="1072"/>
      <c r="O34" s="1072"/>
    </row>
    <row r="35" spans="1:15" ht="14.4" x14ac:dyDescent="0.3">
      <c r="A35" s="1072"/>
      <c r="B35" s="1105">
        <v>46</v>
      </c>
      <c r="C35" s="1098">
        <v>6569000</v>
      </c>
      <c r="D35" s="1098">
        <v>7483000</v>
      </c>
      <c r="E35" s="1098">
        <v>5620000</v>
      </c>
      <c r="F35" s="1087"/>
      <c r="G35" s="1099">
        <v>2.0509999999999999E-3</v>
      </c>
      <c r="H35" s="1100">
        <f>+$G35*SUM(C35)</f>
        <v>13473.018999999998</v>
      </c>
      <c r="I35" s="1100">
        <f t="shared" ref="I35:J38" si="2">+$G35*SUM(D35)</f>
        <v>15347.633</v>
      </c>
      <c r="J35" s="1100">
        <f t="shared" si="2"/>
        <v>11526.619999999999</v>
      </c>
      <c r="K35" s="324">
        <f>SUM(H35:J35)</f>
        <v>40347.271999999997</v>
      </c>
      <c r="L35" s="1072"/>
      <c r="M35" s="1072"/>
      <c r="N35" s="1072"/>
      <c r="O35" s="1072"/>
    </row>
    <row r="36" spans="1:15" ht="14.4" x14ac:dyDescent="0.3">
      <c r="A36" s="1072"/>
      <c r="B36" s="1105">
        <v>49</v>
      </c>
      <c r="C36" s="1098">
        <v>40409000</v>
      </c>
      <c r="D36" s="1098">
        <v>47115000</v>
      </c>
      <c r="E36" s="1098">
        <v>44329000</v>
      </c>
      <c r="F36" s="1087"/>
      <c r="G36" s="1099">
        <v>3.0800000000000003E-3</v>
      </c>
      <c r="H36" s="1100">
        <f>+$G36*SUM(C36)</f>
        <v>124459.72000000002</v>
      </c>
      <c r="I36" s="1100">
        <f t="shared" si="2"/>
        <v>145114.20000000001</v>
      </c>
      <c r="J36" s="1100">
        <f t="shared" si="2"/>
        <v>136533.32</v>
      </c>
      <c r="K36" s="324">
        <f>SUM(H36:J36)</f>
        <v>406107.24000000005</v>
      </c>
      <c r="L36" s="1072"/>
      <c r="M36" s="1072"/>
      <c r="N36" s="1072"/>
      <c r="O36" s="1072"/>
    </row>
    <row r="37" spans="1:15" ht="14.4" x14ac:dyDescent="0.3">
      <c r="A37" s="1072"/>
      <c r="B37" s="1105">
        <v>40</v>
      </c>
      <c r="C37" s="1098">
        <v>9405000</v>
      </c>
      <c r="D37" s="1098">
        <v>12299000</v>
      </c>
      <c r="E37" s="1098">
        <v>11685000</v>
      </c>
      <c r="F37" s="1087"/>
      <c r="G37" s="1099">
        <v>3.5920000000000001E-3</v>
      </c>
      <c r="H37" s="1100">
        <f>+$G37*SUM(C37)</f>
        <v>33782.76</v>
      </c>
      <c r="I37" s="1100">
        <f t="shared" si="2"/>
        <v>44178.008000000002</v>
      </c>
      <c r="J37" s="1100">
        <f t="shared" si="2"/>
        <v>41972.520000000004</v>
      </c>
      <c r="K37" s="324">
        <f>SUM(H37:J37)</f>
        <v>119933.28800000002</v>
      </c>
      <c r="L37" s="1072"/>
      <c r="M37" s="1072"/>
      <c r="N37" s="1072"/>
      <c r="O37" s="1072"/>
    </row>
    <row r="38" spans="1:15" ht="14.4" x14ac:dyDescent="0.3">
      <c r="A38" s="1072"/>
      <c r="B38" s="1106" t="s">
        <v>513</v>
      </c>
      <c r="C38" s="1098">
        <v>41227000</v>
      </c>
      <c r="D38" s="1098">
        <v>43018000</v>
      </c>
      <c r="E38" s="1098">
        <v>40842000</v>
      </c>
      <c r="F38" s="1087"/>
      <c r="G38" s="1099">
        <f>+G37</f>
        <v>3.5920000000000001E-3</v>
      </c>
      <c r="H38" s="1100">
        <f>+$G38*SUM(C38)</f>
        <v>148087.38400000002</v>
      </c>
      <c r="I38" s="1100">
        <f t="shared" si="2"/>
        <v>154520.65600000002</v>
      </c>
      <c r="J38" s="1100">
        <f>+$G38*SUM(E38)</f>
        <v>146704.46400000001</v>
      </c>
      <c r="K38" s="324">
        <f>SUM(H38:J38)</f>
        <v>449312.50400000007</v>
      </c>
      <c r="L38" s="1072"/>
      <c r="M38" s="1072"/>
      <c r="N38" s="1072"/>
      <c r="O38" s="1072"/>
    </row>
    <row r="39" spans="1:15" ht="14.4" x14ac:dyDescent="0.3">
      <c r="A39" s="1072"/>
      <c r="B39" s="1085" t="s">
        <v>40</v>
      </c>
      <c r="C39" s="1101">
        <f>SUM(C35:C38)</f>
        <v>97610000</v>
      </c>
      <c r="D39" s="1101">
        <f>SUM(D35:D38)</f>
        <v>109915000</v>
      </c>
      <c r="E39" s="1101">
        <f>SUM(E35:E38)</f>
        <v>102476000</v>
      </c>
      <c r="F39" s="1072"/>
      <c r="G39" s="1103"/>
      <c r="H39" s="1101">
        <f>SUM(H35:H38)</f>
        <v>319802.88300000003</v>
      </c>
      <c r="I39" s="1101">
        <f>SUM(I35:I38)</f>
        <v>359160.49700000003</v>
      </c>
      <c r="J39" s="1101">
        <f>SUM(J35:J38)</f>
        <v>336736.924</v>
      </c>
      <c r="K39" s="1101">
        <f>SUM(K35:K38)</f>
        <v>1015700.3040000001</v>
      </c>
      <c r="L39" s="1072"/>
      <c r="M39" s="1072"/>
      <c r="N39" s="1072"/>
      <c r="O39" s="1072"/>
    </row>
    <row r="40" spans="1:15" ht="14.4" x14ac:dyDescent="0.3">
      <c r="A40" s="1072"/>
      <c r="B40" s="1072"/>
      <c r="C40" s="1072"/>
      <c r="D40" s="1072"/>
      <c r="E40" s="1072"/>
      <c r="F40" s="1072"/>
      <c r="G40" s="1072"/>
      <c r="H40" s="1072"/>
      <c r="I40" s="1072"/>
      <c r="J40" s="1072"/>
      <c r="K40" s="1072"/>
      <c r="L40" s="1072"/>
      <c r="M40" s="1072"/>
      <c r="N40" s="1072"/>
      <c r="O40" s="1072"/>
    </row>
  </sheetData>
  <mergeCells count="4">
    <mergeCell ref="A1:K1"/>
    <mergeCell ref="A18:E18"/>
    <mergeCell ref="A29:E29"/>
    <mergeCell ref="B30:E3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95"/>
  <sheetViews>
    <sheetView workbookViewId="0">
      <pane xSplit="1" ySplit="4" topLeftCell="B72" activePane="bottomRight" state="frozen"/>
      <selection activeCell="J21" sqref="J21"/>
      <selection pane="topRight" activeCell="J21" sqref="J21"/>
      <selection pane="bottomLeft" activeCell="J21" sqref="J21"/>
      <selection pane="bottomRight" activeCell="H71" sqref="H71"/>
    </sheetView>
  </sheetViews>
  <sheetFormatPr defaultColWidth="9.109375" defaultRowHeight="14.4" x14ac:dyDescent="0.3"/>
  <cols>
    <col min="1" max="1" width="4.88671875" style="320" customWidth="1"/>
    <col min="2" max="2" width="5.88671875" style="320" customWidth="1"/>
    <col min="3" max="3" width="12.6640625" style="113" customWidth="1"/>
    <col min="4" max="4" width="6.33203125" style="320" customWidth="1"/>
    <col min="5" max="5" width="6.109375" style="320" customWidth="1"/>
    <col min="6" max="6" width="35" style="320" customWidth="1"/>
    <col min="7" max="7" width="16.44140625" style="320" customWidth="1"/>
    <col min="8" max="8" width="18.5546875" style="320" customWidth="1"/>
    <col min="9" max="9" width="19.109375" style="320" customWidth="1"/>
    <col min="10" max="10" width="16.88671875" style="320" customWidth="1"/>
    <col min="11" max="11" width="19.5546875" style="320" customWidth="1"/>
    <col min="12" max="13" width="9.109375" style="320"/>
    <col min="14" max="15" width="12.5546875" style="320" bestFit="1" customWidth="1"/>
    <col min="16" max="16384" width="9.109375" style="320"/>
  </cols>
  <sheetData>
    <row r="1" spans="1:13" s="363" customFormat="1" ht="33.6" customHeight="1" x14ac:dyDescent="0.3">
      <c r="C1" s="364"/>
      <c r="G1" s="1146">
        <v>2019</v>
      </c>
      <c r="H1" s="1146"/>
      <c r="I1" s="1146"/>
      <c r="J1" s="365"/>
      <c r="L1" s="1126" t="s">
        <v>626</v>
      </c>
      <c r="M1" s="1127"/>
    </row>
    <row r="2" spans="1:13" ht="42" customHeight="1" thickBot="1" x14ac:dyDescent="0.35">
      <c r="E2" s="117"/>
      <c r="F2" s="366" t="s">
        <v>366</v>
      </c>
      <c r="I2" s="118"/>
      <c r="J2" s="116"/>
      <c r="K2" s="116">
        <f>SUM(H22,H25:H27,H30:H32,H38,H44,H61,H69,H75)</f>
        <v>83170468.904037893</v>
      </c>
      <c r="L2" s="1128"/>
      <c r="M2" s="1129"/>
    </row>
    <row r="3" spans="1:13" ht="17.25" customHeight="1" thickBot="1" x14ac:dyDescent="0.35">
      <c r="B3" s="367"/>
      <c r="C3" s="368"/>
      <c r="D3" s="1147"/>
      <c r="E3" s="1147"/>
      <c r="F3" s="1147"/>
      <c r="G3" s="369"/>
      <c r="H3" s="370"/>
      <c r="I3" s="371"/>
      <c r="J3" s="372"/>
      <c r="K3" s="372"/>
    </row>
    <row r="4" spans="1:13" ht="61.8" x14ac:dyDescent="0.3">
      <c r="A4" s="119"/>
      <c r="B4" s="373" t="s">
        <v>184</v>
      </c>
      <c r="C4" s="374" t="s">
        <v>185</v>
      </c>
      <c r="D4" s="375" t="s">
        <v>186</v>
      </c>
      <c r="E4" s="376"/>
      <c r="F4" s="374"/>
      <c r="G4" s="377" t="s">
        <v>187</v>
      </c>
      <c r="H4" s="377" t="s">
        <v>188</v>
      </c>
      <c r="I4" s="377" t="s">
        <v>189</v>
      </c>
      <c r="J4" s="377" t="s">
        <v>297</v>
      </c>
      <c r="K4" s="378" t="s">
        <v>367</v>
      </c>
    </row>
    <row r="5" spans="1:13" ht="16.2" thickBot="1" x14ac:dyDescent="0.35">
      <c r="A5" s="119"/>
      <c r="B5" s="64"/>
      <c r="C5" s="120"/>
      <c r="D5" s="121" t="s">
        <v>368</v>
      </c>
      <c r="E5" s="122"/>
      <c r="F5" s="122"/>
      <c r="G5" s="379"/>
      <c r="H5" s="379"/>
      <c r="I5" s="379"/>
      <c r="J5" s="379"/>
      <c r="K5" s="123"/>
    </row>
    <row r="6" spans="1:13" ht="15.6" x14ac:dyDescent="0.3">
      <c r="A6" s="119"/>
      <c r="B6" s="124"/>
      <c r="C6" s="125"/>
      <c r="D6" s="126" t="s">
        <v>190</v>
      </c>
      <c r="E6" s="126"/>
      <c r="F6" s="126"/>
      <c r="G6" s="127"/>
      <c r="H6" s="128"/>
      <c r="I6" s="127"/>
      <c r="J6" s="127"/>
      <c r="K6" s="129"/>
    </row>
    <row r="7" spans="1:13" x14ac:dyDescent="0.3">
      <c r="A7" s="119"/>
      <c r="B7" s="130" t="s">
        <v>6</v>
      </c>
      <c r="C7" s="131">
        <v>201</v>
      </c>
      <c r="D7" s="132" t="s">
        <v>191</v>
      </c>
      <c r="E7" s="133"/>
      <c r="F7" s="134"/>
      <c r="G7" s="380">
        <v>1956.0254699999998</v>
      </c>
      <c r="H7" s="135">
        <v>4688441.4574999996</v>
      </c>
      <c r="I7" s="380">
        <v>16079.57</v>
      </c>
      <c r="J7" s="484">
        <v>656080.1925</v>
      </c>
      <c r="K7" s="381">
        <f t="array" ref="K7:K22">H7:H22+J7:J22</f>
        <v>5344521.6499999994</v>
      </c>
    </row>
    <row r="8" spans="1:13" x14ac:dyDescent="0.3">
      <c r="A8" s="119"/>
      <c r="B8" s="136" t="s">
        <v>7</v>
      </c>
      <c r="C8" s="137">
        <v>214</v>
      </c>
      <c r="D8" s="138" t="s">
        <v>369</v>
      </c>
      <c r="E8" s="139"/>
      <c r="F8" s="140"/>
      <c r="G8" s="386">
        <f>SUM(G9:G18)</f>
        <v>79996.23758999999</v>
      </c>
      <c r="H8" s="387">
        <f>SUM(H9:H18)</f>
        <v>21376702.620370001</v>
      </c>
      <c r="I8" s="388">
        <f>SUM(I9:I18)</f>
        <v>1418098.25</v>
      </c>
      <c r="J8" s="387">
        <f>SUM(J9:J18)</f>
        <v>6326822.0300000003</v>
      </c>
      <c r="K8" s="382">
        <v>27703524.650370002</v>
      </c>
    </row>
    <row r="9" spans="1:13" s="148" customFormat="1" ht="13.2" x14ac:dyDescent="0.25">
      <c r="A9" s="141"/>
      <c r="B9" s="142" t="s">
        <v>132</v>
      </c>
      <c r="C9" s="143"/>
      <c r="D9" s="144"/>
      <c r="E9" s="145" t="s">
        <v>192</v>
      </c>
      <c r="F9" s="146"/>
      <c r="G9" s="389">
        <v>60073.00909</v>
      </c>
      <c r="H9" s="147">
        <v>11667683.960000001</v>
      </c>
      <c r="I9" s="390"/>
      <c r="J9" s="147"/>
      <c r="K9" s="383">
        <v>11667683.960000001</v>
      </c>
      <c r="L9" s="391"/>
    </row>
    <row r="10" spans="1:13" s="148" customFormat="1" ht="13.2" x14ac:dyDescent="0.25">
      <c r="A10" s="141"/>
      <c r="B10" s="142" t="s">
        <v>133</v>
      </c>
      <c r="C10" s="143"/>
      <c r="D10" s="144"/>
      <c r="E10" s="145" t="s">
        <v>193</v>
      </c>
      <c r="F10" s="146"/>
      <c r="G10" s="389">
        <v>7276.125</v>
      </c>
      <c r="H10" s="147">
        <v>3460106.4</v>
      </c>
      <c r="I10" s="390">
        <v>504161</v>
      </c>
      <c r="J10" s="147">
        <v>1513380</v>
      </c>
      <c r="K10" s="383">
        <v>4973486.4000000004</v>
      </c>
      <c r="L10" s="391"/>
    </row>
    <row r="11" spans="1:13" s="148" customFormat="1" ht="13.2" x14ac:dyDescent="0.25">
      <c r="A11" s="141"/>
      <c r="B11" s="142" t="s">
        <v>194</v>
      </c>
      <c r="C11" s="143"/>
      <c r="D11" s="144"/>
      <c r="E11" s="145" t="s">
        <v>195</v>
      </c>
      <c r="F11" s="146"/>
      <c r="G11" s="389">
        <v>757.80200000000002</v>
      </c>
      <c r="H11" s="147">
        <v>401840.4</v>
      </c>
      <c r="I11" s="390">
        <v>109907</v>
      </c>
      <c r="J11" s="147">
        <v>341556.4</v>
      </c>
      <c r="K11" s="383">
        <v>743396.8</v>
      </c>
      <c r="L11" s="391"/>
    </row>
    <row r="12" spans="1:13" s="148" customFormat="1" ht="13.2" x14ac:dyDescent="0.25">
      <c r="A12" s="141"/>
      <c r="B12" s="142" t="s">
        <v>196</v>
      </c>
      <c r="C12" s="143"/>
      <c r="D12" s="144"/>
      <c r="E12" s="145" t="s">
        <v>370</v>
      </c>
      <c r="F12" s="146"/>
      <c r="G12" s="389">
        <v>0</v>
      </c>
      <c r="H12" s="147">
        <v>104586.4</v>
      </c>
      <c r="I12" s="390">
        <v>0</v>
      </c>
      <c r="J12" s="147">
        <v>94586.4</v>
      </c>
      <c r="K12" s="383">
        <v>199172.8</v>
      </c>
      <c r="L12" s="391"/>
    </row>
    <row r="13" spans="1:13" s="148" customFormat="1" ht="13.2" x14ac:dyDescent="0.25">
      <c r="A13" s="141"/>
      <c r="B13" s="142" t="s">
        <v>198</v>
      </c>
      <c r="C13" s="143"/>
      <c r="D13" s="144"/>
      <c r="E13" s="145" t="s">
        <v>197</v>
      </c>
      <c r="F13" s="146"/>
      <c r="G13" s="389">
        <v>4782.5514999999996</v>
      </c>
      <c r="H13" s="147">
        <v>2505933.7003700002</v>
      </c>
      <c r="I13" s="390">
        <v>0</v>
      </c>
      <c r="J13" s="147">
        <v>0</v>
      </c>
      <c r="K13" s="383">
        <v>2505933.7003700002</v>
      </c>
      <c r="L13" s="391"/>
    </row>
    <row r="14" spans="1:13" s="148" customFormat="1" ht="13.2" x14ac:dyDescent="0.25">
      <c r="A14" s="141"/>
      <c r="B14" s="142" t="s">
        <v>200</v>
      </c>
      <c r="C14" s="143"/>
      <c r="D14" s="144"/>
      <c r="E14" s="145" t="s">
        <v>199</v>
      </c>
      <c r="F14" s="146"/>
      <c r="G14" s="389">
        <v>2047.79</v>
      </c>
      <c r="H14" s="147">
        <v>850025</v>
      </c>
      <c r="I14" s="390">
        <v>12210</v>
      </c>
      <c r="J14" s="147">
        <v>0</v>
      </c>
      <c r="K14" s="383">
        <v>850025</v>
      </c>
      <c r="L14" s="391"/>
    </row>
    <row r="15" spans="1:13" s="148" customFormat="1" ht="13.2" x14ac:dyDescent="0.25">
      <c r="A15" s="141"/>
      <c r="B15" s="142" t="s">
        <v>201</v>
      </c>
      <c r="C15" s="143"/>
      <c r="D15" s="144"/>
      <c r="E15" s="145" t="s">
        <v>202</v>
      </c>
      <c r="F15" s="146"/>
      <c r="G15" s="389">
        <v>1639.02</v>
      </c>
      <c r="H15" s="147">
        <v>423669.2</v>
      </c>
      <c r="I15" s="390">
        <v>258070</v>
      </c>
      <c r="J15" s="147">
        <v>1057222.6000000001</v>
      </c>
      <c r="K15" s="383">
        <v>1480891.8</v>
      </c>
      <c r="L15" s="391"/>
    </row>
    <row r="16" spans="1:13" s="148" customFormat="1" ht="13.2" x14ac:dyDescent="0.25">
      <c r="A16" s="141"/>
      <c r="B16" s="142" t="s">
        <v>203</v>
      </c>
      <c r="C16" s="143"/>
      <c r="D16" s="144"/>
      <c r="E16" s="145" t="s">
        <v>204</v>
      </c>
      <c r="F16" s="146"/>
      <c r="G16" s="389">
        <v>1567.972</v>
      </c>
      <c r="H16" s="147">
        <v>404352.4</v>
      </c>
      <c r="I16" s="390">
        <v>116700.95</v>
      </c>
      <c r="J16" s="147">
        <v>375961.64</v>
      </c>
      <c r="K16" s="383">
        <v>780314.04</v>
      </c>
      <c r="L16" s="391"/>
    </row>
    <row r="17" spans="1:12" s="148" customFormat="1" ht="13.2" x14ac:dyDescent="0.25">
      <c r="A17" s="141"/>
      <c r="B17" s="142" t="s">
        <v>205</v>
      </c>
      <c r="C17" s="143"/>
      <c r="D17" s="144"/>
      <c r="E17" s="145" t="s">
        <v>206</v>
      </c>
      <c r="F17" s="146"/>
      <c r="G17" s="389">
        <v>1851.9680000000001</v>
      </c>
      <c r="H17" s="147">
        <v>843712.6</v>
      </c>
      <c r="I17" s="390">
        <v>417049.3</v>
      </c>
      <c r="J17" s="147">
        <v>2351337</v>
      </c>
      <c r="K17" s="383">
        <v>3195049.6</v>
      </c>
      <c r="L17" s="391"/>
    </row>
    <row r="18" spans="1:12" s="148" customFormat="1" ht="13.2" x14ac:dyDescent="0.25">
      <c r="A18" s="141"/>
      <c r="B18" s="142" t="s">
        <v>207</v>
      </c>
      <c r="C18" s="143"/>
      <c r="D18" s="144"/>
      <c r="E18" s="145" t="s">
        <v>208</v>
      </c>
      <c r="F18" s="146"/>
      <c r="G18" s="389">
        <v>0</v>
      </c>
      <c r="H18" s="147">
        <v>714792.56</v>
      </c>
      <c r="I18" s="390">
        <v>0</v>
      </c>
      <c r="J18" s="147">
        <v>592777.99</v>
      </c>
      <c r="K18" s="383">
        <v>1307570.55</v>
      </c>
      <c r="L18" s="391"/>
    </row>
    <row r="19" spans="1:12" x14ac:dyDescent="0.3">
      <c r="A19" s="119"/>
      <c r="B19" s="136" t="s">
        <v>209</v>
      </c>
      <c r="C19" s="137">
        <v>215</v>
      </c>
      <c r="D19" s="149" t="s">
        <v>371</v>
      </c>
      <c r="E19" s="133"/>
      <c r="F19" s="134"/>
      <c r="G19" s="380">
        <v>381.238</v>
      </c>
      <c r="H19" s="135">
        <v>272905.19999999995</v>
      </c>
      <c r="I19" s="380">
        <v>16045</v>
      </c>
      <c r="J19" s="387">
        <v>112972.23999999999</v>
      </c>
      <c r="K19" s="382">
        <v>385877.43999999994</v>
      </c>
    </row>
    <row r="20" spans="1:12" x14ac:dyDescent="0.3">
      <c r="A20" s="119"/>
      <c r="B20" s="136" t="s">
        <v>210</v>
      </c>
      <c r="C20" s="137">
        <v>217</v>
      </c>
      <c r="D20" s="138" t="s">
        <v>372</v>
      </c>
      <c r="E20" s="150"/>
      <c r="F20" s="151"/>
      <c r="G20" s="388">
        <v>14728.652</v>
      </c>
      <c r="H20" s="152">
        <v>9315206.9250000007</v>
      </c>
      <c r="I20" s="388">
        <v>50031.399999999994</v>
      </c>
      <c r="J20" s="387">
        <v>401871.02500000002</v>
      </c>
      <c r="K20" s="382">
        <v>9717077.9500000011</v>
      </c>
    </row>
    <row r="21" spans="1:12" x14ac:dyDescent="0.3">
      <c r="A21" s="119"/>
      <c r="B21" s="157" t="s">
        <v>211</v>
      </c>
      <c r="C21" s="392">
        <v>218</v>
      </c>
      <c r="D21" s="393" t="s">
        <v>373</v>
      </c>
      <c r="E21" s="70"/>
      <c r="F21" s="70"/>
      <c r="G21" s="394">
        <v>3752</v>
      </c>
      <c r="H21" s="395">
        <v>1954068.3599999999</v>
      </c>
      <c r="I21" s="396">
        <v>84000</v>
      </c>
      <c r="J21" s="397">
        <v>464002.7</v>
      </c>
      <c r="K21" s="384">
        <v>2418071.06</v>
      </c>
    </row>
    <row r="22" spans="1:12" x14ac:dyDescent="0.3">
      <c r="A22" s="119"/>
      <c r="B22" s="153" t="s">
        <v>212</v>
      </c>
      <c r="C22" s="154"/>
      <c r="D22" s="155" t="s">
        <v>213</v>
      </c>
      <c r="E22" s="155"/>
      <c r="F22" s="155"/>
      <c r="G22" s="398">
        <f>G7+G8+SUM(G19:G21)</f>
        <v>100814.15305999998</v>
      </c>
      <c r="H22" s="156">
        <f>H7+H8+SUM(H19:H21)</f>
        <v>37607324.562869996</v>
      </c>
      <c r="I22" s="399">
        <f>I7+I8+SUM(I19:I21)</f>
        <v>1584254.22</v>
      </c>
      <c r="J22" s="156">
        <f>J7+J8+SUM(J19:J21)</f>
        <v>7961748.1875</v>
      </c>
      <c r="K22" s="385">
        <v>45569072.750369996</v>
      </c>
    </row>
    <row r="23" spans="1:12" x14ac:dyDescent="0.3">
      <c r="A23" s="119"/>
      <c r="B23" s="157"/>
      <c r="C23" s="115"/>
      <c r="D23" s="158"/>
      <c r="E23" s="64"/>
      <c r="F23" s="64"/>
      <c r="G23" s="400"/>
      <c r="H23" s="159"/>
      <c r="I23" s="160"/>
      <c r="J23" s="159"/>
      <c r="K23" s="161"/>
    </row>
    <row r="24" spans="1:12" ht="15.6" x14ac:dyDescent="0.3">
      <c r="A24" s="119"/>
      <c r="B24" s="162"/>
      <c r="C24" s="163"/>
      <c r="D24" s="164" t="s">
        <v>214</v>
      </c>
      <c r="E24" s="164"/>
      <c r="F24" s="164"/>
      <c r="G24" s="165"/>
      <c r="H24" s="165"/>
      <c r="I24" s="165"/>
      <c r="J24" s="165"/>
      <c r="K24" s="166"/>
    </row>
    <row r="25" spans="1:12" x14ac:dyDescent="0.3">
      <c r="A25" s="119"/>
      <c r="B25" s="167" t="s">
        <v>215</v>
      </c>
      <c r="C25" s="131">
        <v>250</v>
      </c>
      <c r="D25" s="133" t="s">
        <v>216</v>
      </c>
      <c r="E25" s="133"/>
      <c r="F25" s="134"/>
      <c r="G25" s="401">
        <v>60750</v>
      </c>
      <c r="H25" s="402">
        <v>15380823.860130526</v>
      </c>
      <c r="I25" s="401">
        <v>425000</v>
      </c>
      <c r="J25" s="402">
        <v>1648600</v>
      </c>
      <c r="K25" s="403">
        <f t="array" ref="K25:K33">H25:H33+J25:J33</f>
        <v>17029423.860130526</v>
      </c>
    </row>
    <row r="26" spans="1:12" x14ac:dyDescent="0.3">
      <c r="A26" s="119"/>
      <c r="B26" s="169" t="s">
        <v>217</v>
      </c>
      <c r="C26" s="137">
        <v>251</v>
      </c>
      <c r="D26" s="150" t="s">
        <v>218</v>
      </c>
      <c r="E26" s="150"/>
      <c r="F26" s="151"/>
      <c r="G26" s="406">
        <v>20000</v>
      </c>
      <c r="H26" s="407">
        <v>4795358.4000000004</v>
      </c>
      <c r="I26" s="406">
        <v>105000</v>
      </c>
      <c r="J26" s="407">
        <v>499700</v>
      </c>
      <c r="K26" s="404">
        <v>5295058.4000000004</v>
      </c>
    </row>
    <row r="27" spans="1:12" x14ac:dyDescent="0.3">
      <c r="A27" s="119"/>
      <c r="B27" s="167" t="s">
        <v>219</v>
      </c>
      <c r="C27" s="137">
        <v>253</v>
      </c>
      <c r="D27" s="150" t="s">
        <v>374</v>
      </c>
      <c r="E27" s="150"/>
      <c r="F27" s="151"/>
      <c r="G27" s="406">
        <v>13000</v>
      </c>
      <c r="H27" s="407">
        <v>1417739</v>
      </c>
      <c r="I27" s="406">
        <v>670000</v>
      </c>
      <c r="J27" s="407">
        <v>569682</v>
      </c>
      <c r="K27" s="404">
        <v>1987421</v>
      </c>
    </row>
    <row r="28" spans="1:12" x14ac:dyDescent="0.3">
      <c r="A28" s="119"/>
      <c r="B28" s="167" t="s">
        <v>220</v>
      </c>
      <c r="C28" s="137" t="s">
        <v>161</v>
      </c>
      <c r="D28" s="150" t="s">
        <v>375</v>
      </c>
      <c r="E28" s="150"/>
      <c r="F28" s="151"/>
      <c r="G28" s="406">
        <f>G29+G30</f>
        <v>1000</v>
      </c>
      <c r="H28" s="407">
        <f>H29+H30</f>
        <v>1920496.8730703057</v>
      </c>
      <c r="I28" s="406"/>
      <c r="J28" s="387"/>
      <c r="K28" s="404">
        <v>1920496.8730703057</v>
      </c>
    </row>
    <row r="29" spans="1:12" x14ac:dyDescent="0.3">
      <c r="A29" s="119"/>
      <c r="B29" s="167" t="s">
        <v>221</v>
      </c>
      <c r="C29" s="408" t="s">
        <v>161</v>
      </c>
      <c r="D29" s="138"/>
      <c r="E29" s="409" t="s">
        <v>376</v>
      </c>
      <c r="G29" s="485">
        <v>500</v>
      </c>
      <c r="H29" s="486">
        <v>623198.77903292794</v>
      </c>
      <c r="I29" s="487"/>
      <c r="J29" s="486"/>
      <c r="K29" s="404">
        <v>623198.77903292794</v>
      </c>
    </row>
    <row r="30" spans="1:12" x14ac:dyDescent="0.3">
      <c r="A30" s="119"/>
      <c r="B30" s="167" t="s">
        <v>223</v>
      </c>
      <c r="C30" s="408" t="s">
        <v>161</v>
      </c>
      <c r="D30" s="150"/>
      <c r="E30" s="409" t="s">
        <v>377</v>
      </c>
      <c r="F30" s="151"/>
      <c r="G30" s="487">
        <v>500</v>
      </c>
      <c r="H30" s="486">
        <v>1297298.0940373777</v>
      </c>
      <c r="I30" s="487"/>
      <c r="J30" s="486"/>
      <c r="K30" s="404">
        <v>1297298.0940373777</v>
      </c>
    </row>
    <row r="31" spans="1:12" x14ac:dyDescent="0.3">
      <c r="A31" s="119"/>
      <c r="B31" s="169" t="s">
        <v>225</v>
      </c>
      <c r="C31" s="170" t="s">
        <v>222</v>
      </c>
      <c r="D31" s="171" t="s">
        <v>121</v>
      </c>
      <c r="E31" s="172"/>
      <c r="F31" s="151"/>
      <c r="G31" s="410">
        <v>0</v>
      </c>
      <c r="H31" s="173">
        <v>0</v>
      </c>
      <c r="I31" s="388">
        <v>0</v>
      </c>
      <c r="J31" s="173">
        <v>0</v>
      </c>
      <c r="K31" s="405">
        <v>0</v>
      </c>
    </row>
    <row r="32" spans="1:12" x14ac:dyDescent="0.3">
      <c r="A32" s="119"/>
      <c r="B32" s="167" t="s">
        <v>227</v>
      </c>
      <c r="C32" s="174">
        <v>262</v>
      </c>
      <c r="D32" s="175" t="s">
        <v>224</v>
      </c>
      <c r="E32" s="175"/>
      <c r="F32" s="176"/>
      <c r="G32" s="411">
        <v>19657.6407</v>
      </c>
      <c r="H32" s="412">
        <v>5780091.04</v>
      </c>
      <c r="I32" s="411">
        <v>361136.9</v>
      </c>
      <c r="J32" s="412">
        <v>1211191.8</v>
      </c>
      <c r="K32" s="404">
        <v>6991282.8399999999</v>
      </c>
    </row>
    <row r="33" spans="1:12" x14ac:dyDescent="0.3">
      <c r="A33" s="119"/>
      <c r="B33" s="153" t="s">
        <v>228</v>
      </c>
      <c r="C33" s="154"/>
      <c r="D33" s="155" t="s">
        <v>226</v>
      </c>
      <c r="E33" s="155"/>
      <c r="F33" s="155"/>
      <c r="G33" s="398">
        <f>SUM(G25:G28)+SUM(G31:G32)</f>
        <v>114407.6407</v>
      </c>
      <c r="H33" s="156">
        <f>SUM(H25:H28)+SUM(H31:H32)</f>
        <v>29294509.173200831</v>
      </c>
      <c r="I33" s="398">
        <f>SUM(I25:I32)</f>
        <v>1561136.9</v>
      </c>
      <c r="J33" s="156">
        <f>SUM(J25:J32)</f>
        <v>3929173.8</v>
      </c>
      <c r="K33" s="168">
        <v>33223682.973200832</v>
      </c>
    </row>
    <row r="34" spans="1:12" x14ac:dyDescent="0.3">
      <c r="A34" s="119"/>
      <c r="B34" s="157"/>
      <c r="C34" s="115"/>
      <c r="D34" s="158"/>
      <c r="E34" s="64"/>
      <c r="F34" s="64"/>
      <c r="G34" s="400"/>
      <c r="H34" s="159"/>
      <c r="I34" s="160"/>
      <c r="J34" s="159"/>
      <c r="K34" s="161"/>
    </row>
    <row r="35" spans="1:12" ht="15.6" x14ac:dyDescent="0.3">
      <c r="A35" s="119"/>
      <c r="B35" s="177"/>
      <c r="C35" s="178"/>
      <c r="D35" s="179" t="s">
        <v>378</v>
      </c>
      <c r="E35" s="179"/>
      <c r="F35" s="179"/>
      <c r="G35" s="180"/>
      <c r="H35" s="180"/>
      <c r="I35" s="180"/>
      <c r="J35" s="180"/>
      <c r="K35" s="181"/>
      <c r="L35" s="413"/>
    </row>
    <row r="36" spans="1:12" x14ac:dyDescent="0.3">
      <c r="A36" s="119"/>
      <c r="B36" s="182" t="s">
        <v>229</v>
      </c>
      <c r="C36" s="183">
        <v>249</v>
      </c>
      <c r="D36" s="184" t="s">
        <v>51</v>
      </c>
      <c r="E36" s="276"/>
      <c r="F36" s="277"/>
      <c r="G36" s="414">
        <v>0</v>
      </c>
      <c r="H36" s="415">
        <v>0</v>
      </c>
      <c r="I36" s="416">
        <v>0</v>
      </c>
      <c r="J36" s="185">
        <v>0</v>
      </c>
      <c r="K36" s="417">
        <f t="array" ref="K36:K38">H36:H38+J36:J38</f>
        <v>0</v>
      </c>
      <c r="L36" s="413"/>
    </row>
    <row r="37" spans="1:12" x14ac:dyDescent="0.3">
      <c r="A37" s="119"/>
      <c r="B37" s="186" t="s">
        <v>232</v>
      </c>
      <c r="C37" s="187">
        <v>249</v>
      </c>
      <c r="D37" s="111" t="s">
        <v>379</v>
      </c>
      <c r="E37" s="188"/>
      <c r="F37" s="188"/>
      <c r="G37" s="419">
        <v>750</v>
      </c>
      <c r="H37" s="420">
        <v>244130</v>
      </c>
      <c r="I37" s="421">
        <v>2000</v>
      </c>
      <c r="J37" s="189">
        <v>10000</v>
      </c>
      <c r="K37" s="418">
        <v>254130</v>
      </c>
      <c r="L37" s="413"/>
    </row>
    <row r="38" spans="1:12" x14ac:dyDescent="0.3">
      <c r="A38" s="119"/>
      <c r="B38" s="153" t="s">
        <v>234</v>
      </c>
      <c r="C38" s="154"/>
      <c r="D38" s="155" t="s">
        <v>230</v>
      </c>
      <c r="E38" s="155"/>
      <c r="F38" s="155"/>
      <c r="G38" s="399">
        <f>SUM(G36:G37)</f>
        <v>750</v>
      </c>
      <c r="H38" s="190">
        <f>SUM(H36:H37)</f>
        <v>244130</v>
      </c>
      <c r="I38" s="399">
        <f>SUM(I36:I37)</f>
        <v>2000</v>
      </c>
      <c r="J38" s="190">
        <f>SUM(J36:J37)</f>
        <v>10000</v>
      </c>
      <c r="K38" s="385">
        <v>254130</v>
      </c>
      <c r="L38" s="413"/>
    </row>
    <row r="39" spans="1:12" x14ac:dyDescent="0.3">
      <c r="A39" s="119"/>
      <c r="B39" s="157"/>
      <c r="C39" s="115"/>
      <c r="D39" s="158"/>
      <c r="E39" s="64"/>
      <c r="F39" s="64"/>
      <c r="G39" s="400"/>
      <c r="H39" s="159"/>
      <c r="I39" s="160"/>
      <c r="J39" s="159"/>
      <c r="K39" s="161"/>
      <c r="L39" s="413"/>
    </row>
    <row r="40" spans="1:12" ht="15.6" x14ac:dyDescent="0.3">
      <c r="A40" s="119"/>
      <c r="B40" s="191"/>
      <c r="C40" s="192"/>
      <c r="D40" s="193" t="s">
        <v>231</v>
      </c>
      <c r="E40" s="193"/>
      <c r="F40" s="193"/>
      <c r="G40" s="194"/>
      <c r="H40" s="194"/>
      <c r="I40" s="194"/>
      <c r="J40" s="194"/>
      <c r="K40" s="195"/>
    </row>
    <row r="41" spans="1:12" ht="15.6" x14ac:dyDescent="0.4">
      <c r="A41" s="119"/>
      <c r="B41" s="182" t="s">
        <v>235</v>
      </c>
      <c r="C41" s="183" t="s">
        <v>153</v>
      </c>
      <c r="D41" s="196" t="s">
        <v>380</v>
      </c>
      <c r="E41" s="196"/>
      <c r="F41" s="196"/>
      <c r="G41" s="422">
        <v>11300</v>
      </c>
      <c r="H41" s="415">
        <v>5200000</v>
      </c>
      <c r="I41" s="416"/>
      <c r="J41" s="197"/>
      <c r="K41" s="417">
        <f t="array" ref="K41:K44">H41:H44+J41:J44</f>
        <v>5200000</v>
      </c>
    </row>
    <row r="42" spans="1:12" x14ac:dyDescent="0.3">
      <c r="A42" s="119"/>
      <c r="B42" s="169" t="s">
        <v>237</v>
      </c>
      <c r="C42" s="137"/>
      <c r="D42" s="198" t="s">
        <v>298</v>
      </c>
      <c r="E42" s="150"/>
      <c r="F42" s="151"/>
      <c r="G42" s="410"/>
      <c r="H42" s="423"/>
      <c r="I42" s="410">
        <v>0</v>
      </c>
      <c r="J42" s="199">
        <v>2434244</v>
      </c>
      <c r="K42" s="404">
        <v>2434244</v>
      </c>
    </row>
    <row r="43" spans="1:12" ht="15.6" x14ac:dyDescent="0.4">
      <c r="A43" s="119"/>
      <c r="B43" s="186" t="s">
        <v>240</v>
      </c>
      <c r="C43" s="187" t="s">
        <v>381</v>
      </c>
      <c r="D43" s="200" t="s">
        <v>236</v>
      </c>
      <c r="E43" s="201"/>
      <c r="F43" s="202"/>
      <c r="G43" s="421">
        <v>1500</v>
      </c>
      <c r="H43" s="189">
        <v>0</v>
      </c>
      <c r="I43" s="421"/>
      <c r="J43" s="203"/>
      <c r="K43" s="418">
        <v>0</v>
      </c>
    </row>
    <row r="44" spans="1:12" x14ac:dyDescent="0.3">
      <c r="A44" s="119"/>
      <c r="B44" s="153" t="s">
        <v>241</v>
      </c>
      <c r="C44" s="154"/>
      <c r="D44" s="155" t="s">
        <v>238</v>
      </c>
      <c r="E44" s="155"/>
      <c r="F44" s="155"/>
      <c r="G44" s="399">
        <f>SUM(G41:G43)</f>
        <v>12800</v>
      </c>
      <c r="H44" s="204">
        <f>SUM(H41:H43)</f>
        <v>5200000</v>
      </c>
      <c r="I44" s="399">
        <f>SUM(I41:I43)</f>
        <v>0</v>
      </c>
      <c r="J44" s="204">
        <f>SUM(J41:J43)</f>
        <v>2434244</v>
      </c>
      <c r="K44" s="385">
        <v>7634244</v>
      </c>
    </row>
    <row r="45" spans="1:12" x14ac:dyDescent="0.3">
      <c r="A45" s="119"/>
      <c r="B45" s="157"/>
      <c r="C45" s="115"/>
      <c r="D45" s="64"/>
      <c r="E45" s="64"/>
      <c r="F45" s="64"/>
      <c r="G45" s="400"/>
      <c r="H45" s="205"/>
      <c r="I45" s="206"/>
      <c r="J45" s="205"/>
      <c r="K45" s="207"/>
    </row>
    <row r="46" spans="1:12" ht="15.6" x14ac:dyDescent="0.3">
      <c r="A46" s="119"/>
      <c r="B46" s="211"/>
      <c r="C46" s="212"/>
      <c r="D46" s="213" t="s">
        <v>239</v>
      </c>
      <c r="E46" s="213"/>
      <c r="F46" s="213"/>
      <c r="G46" s="214"/>
      <c r="H46" s="214"/>
      <c r="I46" s="214"/>
      <c r="J46" s="214"/>
      <c r="K46" s="215"/>
    </row>
    <row r="47" spans="1:12" s="233" customFormat="1" x14ac:dyDescent="0.3">
      <c r="A47" s="229"/>
      <c r="B47" s="169" t="s">
        <v>243</v>
      </c>
      <c r="C47" s="230"/>
      <c r="D47" s="226" t="s">
        <v>261</v>
      </c>
      <c r="F47" s="221"/>
      <c r="G47" s="232"/>
      <c r="H47" s="235">
        <v>1095387.42</v>
      </c>
      <c r="I47" s="217"/>
      <c r="J47" s="235">
        <v>163678.58000000002</v>
      </c>
      <c r="K47" s="382">
        <f t="array" ref="K47:K61">H47:H61+J47:J61</f>
        <v>1259066</v>
      </c>
      <c r="L47" s="425"/>
    </row>
    <row r="48" spans="1:12" s="218" customFormat="1" x14ac:dyDescent="0.3">
      <c r="A48" s="216"/>
      <c r="B48" s="169" t="s">
        <v>245</v>
      </c>
      <c r="C48" s="225"/>
      <c r="D48" s="226" t="s">
        <v>257</v>
      </c>
      <c r="E48" s="139"/>
      <c r="F48" s="234"/>
      <c r="G48" s="227"/>
      <c r="H48" s="173">
        <v>558344.4</v>
      </c>
      <c r="I48" s="217"/>
      <c r="J48" s="173">
        <v>82865.600000000006</v>
      </c>
      <c r="K48" s="382">
        <v>641210</v>
      </c>
      <c r="L48" s="413"/>
    </row>
    <row r="49" spans="1:12" x14ac:dyDescent="0.3">
      <c r="A49" s="119"/>
      <c r="B49" s="136" t="s">
        <v>247</v>
      </c>
      <c r="C49" s="255"/>
      <c r="D49" s="256" t="s">
        <v>281</v>
      </c>
      <c r="E49" s="138"/>
      <c r="F49" s="258"/>
      <c r="G49" s="253"/>
      <c r="H49" s="235">
        <v>535443.04</v>
      </c>
      <c r="I49" s="251"/>
      <c r="J49" s="235">
        <v>79338.959999999992</v>
      </c>
      <c r="K49" s="382">
        <v>614782</v>
      </c>
    </row>
    <row r="50" spans="1:12" s="218" customFormat="1" x14ac:dyDescent="0.3">
      <c r="A50" s="216"/>
      <c r="B50" s="169" t="s">
        <v>249</v>
      </c>
      <c r="C50" s="225"/>
      <c r="D50" s="226" t="s">
        <v>259</v>
      </c>
      <c r="E50" s="139"/>
      <c r="F50" s="234"/>
      <c r="G50" s="227"/>
      <c r="H50" s="173">
        <v>411434.4</v>
      </c>
      <c r="I50" s="217"/>
      <c r="J50" s="173">
        <v>61685.600000000006</v>
      </c>
      <c r="K50" s="382">
        <v>473120</v>
      </c>
      <c r="L50" s="413"/>
    </row>
    <row r="51" spans="1:12" s="218" customFormat="1" x14ac:dyDescent="0.3">
      <c r="A51" s="216"/>
      <c r="B51" s="167" t="s">
        <v>250</v>
      </c>
      <c r="C51" s="237"/>
      <c r="D51" s="236" t="s">
        <v>265</v>
      </c>
      <c r="E51" s="236"/>
      <c r="F51" s="426"/>
      <c r="G51" s="217"/>
      <c r="H51" s="173">
        <v>118000</v>
      </c>
      <c r="I51" s="217"/>
      <c r="J51" s="173">
        <v>22000</v>
      </c>
      <c r="K51" s="382">
        <v>140000</v>
      </c>
      <c r="L51" s="413"/>
    </row>
    <row r="52" spans="1:12" s="218" customFormat="1" x14ac:dyDescent="0.3">
      <c r="A52" s="216"/>
      <c r="B52" s="169" t="s">
        <v>252</v>
      </c>
      <c r="C52" s="427"/>
      <c r="D52" s="226" t="s">
        <v>299</v>
      </c>
      <c r="E52" s="238"/>
      <c r="F52" s="140"/>
      <c r="G52" s="239"/>
      <c r="H52" s="228">
        <v>32896</v>
      </c>
      <c r="I52" s="239"/>
      <c r="J52" s="228">
        <v>32896</v>
      </c>
      <c r="K52" s="382">
        <v>65792</v>
      </c>
      <c r="L52" s="413"/>
    </row>
    <row r="53" spans="1:12" s="233" customFormat="1" x14ac:dyDescent="0.3">
      <c r="A53" s="229"/>
      <c r="B53" s="169" t="s">
        <v>254</v>
      </c>
      <c r="C53" s="230"/>
      <c r="D53" s="236" t="s">
        <v>255</v>
      </c>
      <c r="E53" s="428"/>
      <c r="F53" s="221"/>
      <c r="G53" s="232"/>
      <c r="H53" s="173">
        <v>172732.383</v>
      </c>
      <c r="I53" s="173"/>
      <c r="J53" s="173">
        <v>77034.307000000001</v>
      </c>
      <c r="K53" s="382">
        <v>249766.69</v>
      </c>
      <c r="L53" s="425"/>
    </row>
    <row r="54" spans="1:12" s="224" customFormat="1" x14ac:dyDescent="0.3">
      <c r="A54" s="219"/>
      <c r="B54" s="169" t="s">
        <v>256</v>
      </c>
      <c r="C54" s="220"/>
      <c r="D54" s="236" t="s">
        <v>242</v>
      </c>
      <c r="F54" s="222"/>
      <c r="G54" s="223"/>
      <c r="H54" s="173">
        <v>1147435.92</v>
      </c>
      <c r="I54" s="173"/>
      <c r="J54" s="173">
        <v>173187.08000000002</v>
      </c>
      <c r="K54" s="382">
        <v>1320623</v>
      </c>
      <c r="L54" s="429"/>
    </row>
    <row r="55" spans="1:12" s="218" customFormat="1" x14ac:dyDescent="0.3">
      <c r="A55" s="216"/>
      <c r="B55" s="169" t="s">
        <v>258</v>
      </c>
      <c r="C55" s="225"/>
      <c r="D55" s="236" t="s">
        <v>263</v>
      </c>
      <c r="E55" s="236"/>
      <c r="F55" s="236"/>
      <c r="G55" s="227"/>
      <c r="H55" s="173">
        <v>989079.60000000009</v>
      </c>
      <c r="I55" s="217"/>
      <c r="J55" s="173">
        <v>143160.29999999999</v>
      </c>
      <c r="K55" s="382">
        <v>1132239.9000000001</v>
      </c>
      <c r="L55" s="413"/>
    </row>
    <row r="56" spans="1:12" s="233" customFormat="1" x14ac:dyDescent="0.3">
      <c r="A56" s="229"/>
      <c r="B56" s="169" t="s">
        <v>260</v>
      </c>
      <c r="C56" s="230"/>
      <c r="D56" s="236" t="s">
        <v>251</v>
      </c>
      <c r="E56" s="430"/>
      <c r="F56" s="231"/>
      <c r="G56" s="232"/>
      <c r="H56" s="173">
        <v>1237479.33</v>
      </c>
      <c r="I56" s="173"/>
      <c r="J56" s="173">
        <v>224048.95</v>
      </c>
      <c r="K56" s="382">
        <v>1461528.28</v>
      </c>
      <c r="L56" s="425"/>
    </row>
    <row r="57" spans="1:12" s="233" customFormat="1" x14ac:dyDescent="0.3">
      <c r="A57" s="229"/>
      <c r="B57" s="169" t="s">
        <v>262</v>
      </c>
      <c r="C57" s="230"/>
      <c r="D57" s="236" t="s">
        <v>253</v>
      </c>
      <c r="F57" s="231"/>
      <c r="G57" s="232"/>
      <c r="H57" s="173">
        <v>261226.75200000001</v>
      </c>
      <c r="I57" s="173"/>
      <c r="J57" s="173">
        <v>38863.648000000001</v>
      </c>
      <c r="K57" s="382">
        <v>300090.40000000002</v>
      </c>
      <c r="L57" s="425"/>
    </row>
    <row r="58" spans="1:12" s="224" customFormat="1" x14ac:dyDescent="0.3">
      <c r="A58" s="219"/>
      <c r="B58" s="169" t="s">
        <v>264</v>
      </c>
      <c r="C58" s="220"/>
      <c r="D58" s="226" t="s">
        <v>244</v>
      </c>
      <c r="E58" s="431"/>
      <c r="F58" s="221"/>
      <c r="G58" s="223"/>
      <c r="H58" s="173">
        <v>596351.62</v>
      </c>
      <c r="I58" s="173"/>
      <c r="J58" s="173">
        <v>110764</v>
      </c>
      <c r="K58" s="382">
        <v>707115.62</v>
      </c>
      <c r="L58" s="429"/>
    </row>
    <row r="59" spans="1:12" s="224" customFormat="1" x14ac:dyDescent="0.3">
      <c r="A59" s="219"/>
      <c r="B59" s="169" t="s">
        <v>266</v>
      </c>
      <c r="C59" s="220"/>
      <c r="D59" s="236" t="s">
        <v>246</v>
      </c>
      <c r="E59" s="432"/>
      <c r="F59" s="236"/>
      <c r="G59" s="223"/>
      <c r="H59" s="173">
        <v>82492.899999999994</v>
      </c>
      <c r="I59" s="173"/>
      <c r="J59" s="173">
        <v>9809.2000000000007</v>
      </c>
      <c r="K59" s="382">
        <v>92302.099999999991</v>
      </c>
      <c r="L59" s="429"/>
    </row>
    <row r="60" spans="1:12" s="224" customFormat="1" x14ac:dyDescent="0.3">
      <c r="A60" s="219"/>
      <c r="B60" s="169" t="s">
        <v>267</v>
      </c>
      <c r="C60" s="225">
        <v>202</v>
      </c>
      <c r="D60" s="236" t="s">
        <v>248</v>
      </c>
      <c r="E60" s="433"/>
      <c r="F60" s="221"/>
      <c r="G60" s="223"/>
      <c r="H60" s="173">
        <v>0</v>
      </c>
      <c r="I60" s="173"/>
      <c r="J60" s="173">
        <v>0</v>
      </c>
      <c r="K60" s="382">
        <v>0</v>
      </c>
      <c r="L60" s="429"/>
    </row>
    <row r="61" spans="1:12" x14ac:dyDescent="0.3">
      <c r="A61" s="119"/>
      <c r="B61" s="153" t="s">
        <v>270</v>
      </c>
      <c r="C61" s="154"/>
      <c r="D61" s="155" t="s">
        <v>268</v>
      </c>
      <c r="E61" s="155"/>
      <c r="F61" s="155"/>
      <c r="G61" s="240"/>
      <c r="H61" s="190">
        <f>SUM(H47:H60)</f>
        <v>7238303.7650000006</v>
      </c>
      <c r="I61" s="241"/>
      <c r="J61" s="190">
        <f>SUM(J47:J60)</f>
        <v>1219332.2250000001</v>
      </c>
      <c r="K61" s="424">
        <v>8457635.9900000002</v>
      </c>
    </row>
    <row r="62" spans="1:12" x14ac:dyDescent="0.3">
      <c r="A62" s="119"/>
      <c r="B62" s="157"/>
      <c r="C62" s="115"/>
      <c r="D62" s="64"/>
      <c r="E62" s="73"/>
      <c r="F62" s="64"/>
      <c r="G62" s="206"/>
      <c r="H62" s="205"/>
      <c r="I62" s="206"/>
      <c r="J62" s="205"/>
      <c r="K62" s="434"/>
    </row>
    <row r="63" spans="1:12" ht="15.6" x14ac:dyDescent="0.3">
      <c r="A63" s="119"/>
      <c r="B63" s="242"/>
      <c r="C63" s="243"/>
      <c r="D63" s="244" t="s">
        <v>269</v>
      </c>
      <c r="E63" s="244"/>
      <c r="F63" s="244"/>
      <c r="G63" s="245"/>
      <c r="H63" s="245"/>
      <c r="I63" s="245"/>
      <c r="J63" s="245"/>
      <c r="K63" s="246"/>
    </row>
    <row r="64" spans="1:12" x14ac:dyDescent="0.3">
      <c r="A64" s="119"/>
      <c r="B64" s="130" t="s">
        <v>272</v>
      </c>
      <c r="C64" s="131"/>
      <c r="D64" s="247" t="s">
        <v>271</v>
      </c>
      <c r="E64" s="247"/>
      <c r="F64" s="247"/>
      <c r="G64" s="248"/>
      <c r="H64" s="435">
        <v>209931</v>
      </c>
      <c r="I64" s="436"/>
      <c r="J64" s="435">
        <v>31369</v>
      </c>
      <c r="K64" s="403">
        <f t="array" ref="K64">H64:H68+J64:J68</f>
        <v>241300</v>
      </c>
    </row>
    <row r="65" spans="1:15" ht="15.6" x14ac:dyDescent="0.4">
      <c r="A65" s="119"/>
      <c r="B65" s="136" t="s">
        <v>274</v>
      </c>
      <c r="C65" s="137"/>
      <c r="D65" s="249" t="s">
        <v>273</v>
      </c>
      <c r="E65" s="249"/>
      <c r="F65" s="249"/>
      <c r="G65" s="250"/>
      <c r="H65" s="173">
        <v>924070.54399999999</v>
      </c>
      <c r="I65" s="217"/>
      <c r="J65" s="435">
        <v>86890.656000000003</v>
      </c>
      <c r="K65" s="403">
        <f t="array" ref="K65">H65:H69+J65:J69</f>
        <v>1010961.2</v>
      </c>
    </row>
    <row r="66" spans="1:15" ht="15.6" x14ac:dyDescent="0.4">
      <c r="A66" s="119"/>
      <c r="B66" s="136" t="s">
        <v>276</v>
      </c>
      <c r="C66" s="137"/>
      <c r="D66" s="249" t="s">
        <v>275</v>
      </c>
      <c r="E66" s="249"/>
      <c r="F66" s="249"/>
      <c r="G66" s="250"/>
      <c r="H66" s="252">
        <v>247715.1</v>
      </c>
      <c r="I66" s="217"/>
      <c r="J66" s="173">
        <v>37014.9</v>
      </c>
      <c r="K66" s="403">
        <f t="array" ref="K66">H66:H70+J66:J70</f>
        <v>284730</v>
      </c>
    </row>
    <row r="67" spans="1:15" x14ac:dyDescent="0.3">
      <c r="A67" s="119"/>
      <c r="B67" s="130" t="s">
        <v>278</v>
      </c>
      <c r="C67" s="137"/>
      <c r="D67" s="249" t="s">
        <v>277</v>
      </c>
      <c r="E67" s="249"/>
      <c r="F67" s="249"/>
      <c r="G67" s="253"/>
      <c r="H67" s="235">
        <v>1659899.5380000002</v>
      </c>
      <c r="I67" s="251"/>
      <c r="J67" s="254">
        <v>200737.86199999999</v>
      </c>
      <c r="K67" s="403">
        <f t="array" ref="K67">H67:H71+J67:J71</f>
        <v>1860637.4000000001</v>
      </c>
    </row>
    <row r="68" spans="1:15" x14ac:dyDescent="0.3">
      <c r="A68" s="119"/>
      <c r="B68" s="136" t="s">
        <v>280</v>
      </c>
      <c r="C68" s="255"/>
      <c r="D68" s="256" t="s">
        <v>279</v>
      </c>
      <c r="E68" s="257"/>
      <c r="F68" s="258"/>
      <c r="G68" s="259"/>
      <c r="H68" s="260">
        <v>76086</v>
      </c>
      <c r="I68" s="261"/>
      <c r="J68" s="254"/>
      <c r="K68" s="403">
        <f t="array" ref="K68">H68:H72+J68:J72</f>
        <v>76086</v>
      </c>
    </row>
    <row r="69" spans="1:15" x14ac:dyDescent="0.3">
      <c r="A69" s="119"/>
      <c r="B69" s="153" t="s">
        <v>282</v>
      </c>
      <c r="C69" s="154"/>
      <c r="D69" s="155" t="s">
        <v>283</v>
      </c>
      <c r="E69" s="155"/>
      <c r="F69" s="155"/>
      <c r="G69" s="240"/>
      <c r="H69" s="204">
        <f>SUM(H64:H68)</f>
        <v>3117702.182</v>
      </c>
      <c r="I69" s="241"/>
      <c r="J69" s="204">
        <f>SUM(J64:J68)</f>
        <v>356012.41800000001</v>
      </c>
      <c r="K69" s="437">
        <f>H69+J69</f>
        <v>3473714.6</v>
      </c>
    </row>
    <row r="70" spans="1:15" x14ac:dyDescent="0.3">
      <c r="A70" s="119"/>
      <c r="B70" s="208"/>
      <c r="C70" s="114"/>
      <c r="D70" s="188"/>
      <c r="E70" s="188"/>
      <c r="F70" s="188"/>
      <c r="G70" s="209"/>
      <c r="H70" s="189"/>
      <c r="I70" s="209"/>
      <c r="J70" s="189"/>
      <c r="K70" s="434"/>
    </row>
    <row r="71" spans="1:15" x14ac:dyDescent="0.3">
      <c r="A71" s="119"/>
      <c r="B71" s="262" t="s">
        <v>284</v>
      </c>
      <c r="C71" s="263" t="s">
        <v>382</v>
      </c>
      <c r="D71" s="263"/>
      <c r="E71" s="264"/>
      <c r="F71" s="264"/>
      <c r="G71" s="265">
        <f>G22+G33+G38+G44</f>
        <v>228771.79375999997</v>
      </c>
      <c r="H71" s="266">
        <f>H22+H33+H38+H44+H61+H69</f>
        <v>82701969.683070824</v>
      </c>
      <c r="I71" s="265">
        <f>I22+I33+I38+I44</f>
        <v>3147391.12</v>
      </c>
      <c r="J71" s="266">
        <f>J22+J33+J38+J44+J61+J69</f>
        <v>15910510.6305</v>
      </c>
      <c r="K71" s="267">
        <f>H71+J71</f>
        <v>98612480.313570827</v>
      </c>
    </row>
    <row r="72" spans="1:15" x14ac:dyDescent="0.3">
      <c r="A72" s="119"/>
      <c r="B72" s="208"/>
      <c r="C72" s="114"/>
      <c r="D72" s="188"/>
      <c r="E72" s="188"/>
      <c r="F72" s="188"/>
      <c r="G72" s="268"/>
      <c r="H72" s="189"/>
      <c r="I72" s="209"/>
      <c r="J72" s="189"/>
      <c r="K72" s="210"/>
    </row>
    <row r="73" spans="1:15" ht="15.6" x14ac:dyDescent="0.3">
      <c r="A73" s="119"/>
      <c r="B73" s="269"/>
      <c r="C73" s="270"/>
      <c r="D73" s="271" t="s">
        <v>285</v>
      </c>
      <c r="E73" s="272"/>
      <c r="F73" s="272"/>
      <c r="G73" s="273"/>
      <c r="H73" s="273"/>
      <c r="I73" s="273"/>
      <c r="J73" s="273"/>
      <c r="K73" s="274"/>
    </row>
    <row r="74" spans="1:15" x14ac:dyDescent="0.3">
      <c r="A74" s="119"/>
      <c r="B74" s="275" t="s">
        <v>286</v>
      </c>
      <c r="C74" s="183" t="s">
        <v>152</v>
      </c>
      <c r="D74" s="184" t="s">
        <v>120</v>
      </c>
      <c r="E74" s="276"/>
      <c r="F74" s="277"/>
      <c r="G74" s="278"/>
      <c r="H74" s="185">
        <v>1091698</v>
      </c>
      <c r="I74" s="279"/>
      <c r="J74" s="280"/>
      <c r="K74" s="417"/>
    </row>
    <row r="75" spans="1:15" x14ac:dyDescent="0.3">
      <c r="A75" s="119"/>
      <c r="B75" s="153" t="s">
        <v>287</v>
      </c>
      <c r="C75" s="154"/>
      <c r="D75" s="281" t="s">
        <v>289</v>
      </c>
      <c r="E75" s="282"/>
      <c r="F75" s="283"/>
      <c r="G75" s="241"/>
      <c r="H75" s="204">
        <f>SUM(H74:H74)</f>
        <v>1091698</v>
      </c>
      <c r="I75" s="241"/>
      <c r="J75" s="204">
        <f>SUM(J74:J74)</f>
        <v>0</v>
      </c>
      <c r="K75" s="385"/>
    </row>
    <row r="76" spans="1:15" ht="15" thickBot="1" x14ac:dyDescent="0.35">
      <c r="A76" s="119"/>
      <c r="B76" s="438"/>
      <c r="C76" s="438"/>
      <c r="D76" s="439"/>
      <c r="E76" s="439"/>
      <c r="F76" s="439"/>
      <c r="G76" s="440"/>
      <c r="H76" s="441"/>
      <c r="I76" s="440"/>
      <c r="J76" s="441"/>
      <c r="K76" s="442"/>
    </row>
    <row r="77" spans="1:15" x14ac:dyDescent="0.3">
      <c r="B77" s="2"/>
      <c r="C77" s="115"/>
      <c r="D77" s="64"/>
      <c r="E77" s="64"/>
      <c r="F77" s="64"/>
      <c r="G77" s="284" t="s">
        <v>13</v>
      </c>
      <c r="H77" s="205"/>
      <c r="I77" s="206"/>
      <c r="J77" s="205"/>
      <c r="K77" s="205"/>
    </row>
    <row r="78" spans="1:15" x14ac:dyDescent="0.3">
      <c r="C78" s="115"/>
      <c r="D78" s="188"/>
      <c r="E78" s="188"/>
      <c r="F78" s="188"/>
      <c r="G78" s="209"/>
      <c r="H78" s="189"/>
      <c r="I78" s="209"/>
      <c r="J78" s="189"/>
      <c r="K78" s="189"/>
    </row>
    <row r="79" spans="1:15" x14ac:dyDescent="0.3">
      <c r="B79" s="285" t="s">
        <v>288</v>
      </c>
      <c r="C79" s="286"/>
      <c r="D79" s="287" t="s">
        <v>291</v>
      </c>
      <c r="E79" s="288"/>
      <c r="F79" s="289"/>
      <c r="G79" s="290">
        <f>G71</f>
        <v>228771.79375999997</v>
      </c>
      <c r="H79" s="291">
        <f>H71+H75</f>
        <v>83793667.683070824</v>
      </c>
      <c r="I79" s="292">
        <f>I71</f>
        <v>3147391.12</v>
      </c>
      <c r="J79" s="291">
        <f>J71+J75</f>
        <v>15910510.6305</v>
      </c>
      <c r="K79" s="293">
        <f>H79+J79</f>
        <v>99704178.313570827</v>
      </c>
      <c r="L79" s="64"/>
      <c r="N79" s="495" t="s">
        <v>438</v>
      </c>
      <c r="O79" s="494">
        <f>H79</f>
        <v>83793667.683070824</v>
      </c>
    </row>
    <row r="80" spans="1:15" x14ac:dyDescent="0.3">
      <c r="B80" s="285"/>
      <c r="C80" s="286"/>
      <c r="D80" s="294"/>
      <c r="E80" s="295"/>
      <c r="F80" s="295"/>
      <c r="G80" s="296">
        <f>G79/8760</f>
        <v>26.115501570776253</v>
      </c>
      <c r="H80" s="297"/>
      <c r="I80" s="298"/>
      <c r="J80" s="297"/>
      <c r="K80" s="299"/>
      <c r="L80" s="64"/>
      <c r="N80" s="495" t="s">
        <v>347</v>
      </c>
      <c r="O80" s="321">
        <f>-H29</f>
        <v>-623198.77903292794</v>
      </c>
    </row>
    <row r="81" spans="2:15" ht="15" thickBot="1" x14ac:dyDescent="0.35">
      <c r="B81" s="300"/>
      <c r="C81" s="301"/>
      <c r="D81" s="302"/>
      <c r="E81" s="302"/>
      <c r="F81" s="302"/>
      <c r="G81" s="303"/>
      <c r="H81" s="304"/>
      <c r="I81" s="305"/>
      <c r="J81" s="304"/>
      <c r="K81" s="306"/>
      <c r="N81" s="495" t="s">
        <v>439</v>
      </c>
      <c r="O81" s="496">
        <f>SUM(O79:O80)</f>
        <v>83170468.904037893</v>
      </c>
    </row>
    <row r="82" spans="2:15" ht="15" thickTop="1" x14ac:dyDescent="0.3">
      <c r="B82" s="300" t="s">
        <v>290</v>
      </c>
      <c r="E82" s="307" t="s">
        <v>294</v>
      </c>
      <c r="F82" s="308"/>
      <c r="G82" s="309"/>
      <c r="H82" s="443">
        <f>(H38+H61)/H71</f>
        <v>9.0474674226914603E-2</v>
      </c>
      <c r="I82" s="310"/>
      <c r="J82" s="444">
        <f>(J38+J61)/J71</f>
        <v>7.7265416148455029E-2</v>
      </c>
      <c r="K82" s="311"/>
    </row>
    <row r="83" spans="2:15" x14ac:dyDescent="0.3">
      <c r="B83" s="300"/>
      <c r="F83" s="320" t="s">
        <v>295</v>
      </c>
      <c r="G83" s="311"/>
      <c r="H83" s="312"/>
      <c r="I83" s="311"/>
      <c r="J83" s="312"/>
      <c r="K83" s="311"/>
    </row>
    <row r="84" spans="2:15" x14ac:dyDescent="0.3">
      <c r="B84" s="300"/>
      <c r="F84" s="320" t="s">
        <v>296</v>
      </c>
      <c r="G84" s="311"/>
      <c r="H84" s="312"/>
      <c r="I84" s="311"/>
      <c r="J84" s="312"/>
      <c r="K84" s="311"/>
    </row>
    <row r="85" spans="2:15" x14ac:dyDescent="0.3">
      <c r="E85" s="188"/>
      <c r="F85" s="188"/>
      <c r="G85" s="313"/>
      <c r="H85" s="312"/>
      <c r="I85" s="311"/>
      <c r="J85" s="312"/>
      <c r="K85" s="311"/>
    </row>
    <row r="86" spans="2:15" ht="26.25" customHeight="1" x14ac:dyDescent="0.3">
      <c r="B86" s="285" t="s">
        <v>292</v>
      </c>
      <c r="E86" s="1148" t="s">
        <v>300</v>
      </c>
      <c r="F86" s="1149"/>
      <c r="G86" s="1149"/>
      <c r="H86" s="445">
        <f>(H47+H49+SUM(H67:H68))/(H22+H33)</f>
        <v>5.0324719218940418E-2</v>
      </c>
      <c r="I86" s="314"/>
      <c r="J86" s="445">
        <f>(J47+J49+SUM(J67:J68))/(J22+J33)</f>
        <v>3.7318838897983306E-2</v>
      </c>
      <c r="K86" s="311"/>
    </row>
    <row r="87" spans="2:15" ht="21" customHeight="1" x14ac:dyDescent="0.3">
      <c r="B87" s="285" t="s">
        <v>293</v>
      </c>
      <c r="E87" s="315" t="s">
        <v>301</v>
      </c>
      <c r="F87" s="316"/>
      <c r="G87" s="316"/>
      <c r="H87" s="446">
        <f>(H47+H49+SUM(H67:H68))</f>
        <v>3366815.9980000001</v>
      </c>
      <c r="I87" s="317"/>
      <c r="J87" s="446">
        <f>(J47+J49+SUM(J67:J68))</f>
        <v>443755.402</v>
      </c>
      <c r="K87" s="311"/>
    </row>
    <row r="88" spans="2:15" ht="27" customHeight="1" x14ac:dyDescent="0.3">
      <c r="B88" s="285"/>
      <c r="F88" s="1150" t="s">
        <v>383</v>
      </c>
      <c r="G88" s="1150"/>
      <c r="H88" s="1150"/>
      <c r="I88" s="1150"/>
      <c r="J88" s="1150"/>
    </row>
    <row r="89" spans="2:15" ht="18.75" customHeight="1" x14ac:dyDescent="0.3">
      <c r="F89" s="1150" t="s">
        <v>384</v>
      </c>
      <c r="G89" s="1150"/>
      <c r="H89" s="1150"/>
      <c r="I89" s="1150"/>
      <c r="J89" s="1150"/>
    </row>
    <row r="90" spans="2:15" x14ac:dyDescent="0.3">
      <c r="B90" s="285"/>
    </row>
    <row r="95" spans="2:15" x14ac:dyDescent="0.3">
      <c r="C95" s="320"/>
      <c r="H95" s="447"/>
    </row>
  </sheetData>
  <mergeCells count="6">
    <mergeCell ref="L1:M2"/>
    <mergeCell ref="G1:I1"/>
    <mergeCell ref="D3:F3"/>
    <mergeCell ref="E86:G86"/>
    <mergeCell ref="F88:J88"/>
    <mergeCell ref="F89:J89"/>
  </mergeCells>
  <hyperlinks>
    <hyperlink ref="G4" location="'2018 Sector View Electric'!A1" display="MWh Savings"/>
    <hyperlink ref="H4" location="'2018 Sector View Electric'!A1" display="Electric Rider Budget"/>
    <hyperlink ref="I4" location="'2018 Sector View Gas'!A1" display="Therm Savings"/>
    <hyperlink ref="J4" location="'2018 Sector View Gas'!A1" display="Gas Rider Budget"/>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39997558519241921"/>
  </sheetPr>
  <dimension ref="B1:G81"/>
  <sheetViews>
    <sheetView workbookViewId="0">
      <pane ySplit="16" topLeftCell="A17" activePane="bottomLeft" state="frozen"/>
      <selection pane="bottomLeft" activeCell="D10" sqref="D10"/>
    </sheetView>
  </sheetViews>
  <sheetFormatPr defaultColWidth="8.88671875" defaultRowHeight="14.4" x14ac:dyDescent="0.3"/>
  <cols>
    <col min="1" max="2" width="8.88671875" style="320"/>
    <col min="3" max="3" width="43.88671875" style="320" bestFit="1" customWidth="1"/>
    <col min="4" max="4" width="13.44140625" style="320" bestFit="1" customWidth="1"/>
    <col min="5" max="5" width="12" style="320" bestFit="1" customWidth="1"/>
    <col min="6" max="6" width="8.88671875" style="320"/>
    <col min="7" max="7" width="13.6640625" style="320" bestFit="1" customWidth="1"/>
    <col min="8" max="16384" width="8.88671875" style="320"/>
  </cols>
  <sheetData>
    <row r="1" spans="2:6" x14ac:dyDescent="0.3">
      <c r="B1" s="465" t="s">
        <v>535</v>
      </c>
    </row>
    <row r="2" spans="2:6" ht="15" thickBot="1" x14ac:dyDescent="0.35">
      <c r="F2" s="320" t="s">
        <v>578</v>
      </c>
    </row>
    <row r="3" spans="2:6" x14ac:dyDescent="0.3">
      <c r="B3" s="463"/>
      <c r="C3" s="2"/>
      <c r="D3" s="466"/>
      <c r="F3" s="320" t="s">
        <v>579</v>
      </c>
    </row>
    <row r="4" spans="2:6" x14ac:dyDescent="0.3">
      <c r="B4" s="467" t="s">
        <v>536</v>
      </c>
      <c r="C4" s="64"/>
      <c r="D4" s="468">
        <f>E73</f>
        <v>73398409.449999988</v>
      </c>
    </row>
    <row r="5" spans="2:6" x14ac:dyDescent="0.3">
      <c r="B5" s="467" t="s">
        <v>537</v>
      </c>
      <c r="C5" s="64"/>
      <c r="D5" s="469">
        <f>E57</f>
        <v>2345440.94</v>
      </c>
    </row>
    <row r="6" spans="2:6" ht="15" thickBot="1" x14ac:dyDescent="0.35">
      <c r="B6" s="467" t="s">
        <v>538</v>
      </c>
      <c r="C6" s="64"/>
      <c r="D6" s="470">
        <f>D4-D5</f>
        <v>71052968.50999999</v>
      </c>
    </row>
    <row r="7" spans="2:6" ht="15" thickTop="1" x14ac:dyDescent="0.3">
      <c r="B7" s="467"/>
      <c r="C7" s="64"/>
      <c r="D7" s="468"/>
    </row>
    <row r="8" spans="2:6" x14ac:dyDescent="0.3">
      <c r="B8" s="467" t="s">
        <v>399</v>
      </c>
      <c r="C8" s="64"/>
      <c r="D8" s="468"/>
    </row>
    <row r="9" spans="2:6" x14ac:dyDescent="0.3">
      <c r="B9" s="471" t="s">
        <v>400</v>
      </c>
      <c r="C9" s="64"/>
      <c r="D9" s="468">
        <f>E58</f>
        <v>1042467.17</v>
      </c>
    </row>
    <row r="10" spans="2:6" x14ac:dyDescent="0.3">
      <c r="B10" s="471" t="s">
        <v>401</v>
      </c>
      <c r="C10" s="64"/>
      <c r="D10" s="469">
        <f>D6-D9</f>
        <v>70010501.339999989</v>
      </c>
    </row>
    <row r="11" spans="2:6" ht="15" thickBot="1" x14ac:dyDescent="0.35">
      <c r="B11" s="472" t="s">
        <v>538</v>
      </c>
      <c r="C11" s="64"/>
      <c r="D11" s="470">
        <f>SUM(D9:D10)</f>
        <v>71052968.50999999</v>
      </c>
    </row>
    <row r="12" spans="2:6" ht="15.6" thickTop="1" thickBot="1" x14ac:dyDescent="0.35">
      <c r="B12" s="473"/>
      <c r="C12" s="464"/>
      <c r="D12" s="474"/>
    </row>
    <row r="13" spans="2:6" x14ac:dyDescent="0.3">
      <c r="B13" s="465"/>
      <c r="C13" s="475"/>
      <c r="D13" s="476">
        <f>D11-E75</f>
        <v>0</v>
      </c>
      <c r="E13" s="477" t="s">
        <v>402</v>
      </c>
    </row>
    <row r="15" spans="2:6" ht="15" thickBot="1" x14ac:dyDescent="0.35"/>
    <row r="16" spans="2:6" x14ac:dyDescent="0.3">
      <c r="B16" s="538" t="s">
        <v>357</v>
      </c>
      <c r="C16" s="326" t="s">
        <v>358</v>
      </c>
      <c r="D16" s="326" t="s">
        <v>359</v>
      </c>
      <c r="E16" s="327" t="s">
        <v>539</v>
      </c>
    </row>
    <row r="17" spans="2:5" x14ac:dyDescent="0.3">
      <c r="B17" s="330" t="s">
        <v>154</v>
      </c>
      <c r="C17" s="331" t="s">
        <v>302</v>
      </c>
      <c r="D17" s="539">
        <v>18230023</v>
      </c>
      <c r="E17" s="540">
        <v>219774.32</v>
      </c>
    </row>
    <row r="18" spans="2:5" x14ac:dyDescent="0.3">
      <c r="B18" s="328"/>
      <c r="C18" s="329" t="s">
        <v>360</v>
      </c>
      <c r="D18" s="541">
        <v>18230071</v>
      </c>
      <c r="E18" s="540">
        <v>56662.85</v>
      </c>
    </row>
    <row r="19" spans="2:5" x14ac:dyDescent="0.3">
      <c r="B19" s="328" t="s">
        <v>152</v>
      </c>
      <c r="C19" s="329" t="s">
        <v>120</v>
      </c>
      <c r="D19" s="541">
        <v>18230128</v>
      </c>
      <c r="E19" s="540">
        <v>1534295.46</v>
      </c>
    </row>
    <row r="20" spans="2:5" x14ac:dyDescent="0.3">
      <c r="B20" s="328"/>
      <c r="C20" s="542" t="s">
        <v>501</v>
      </c>
      <c r="D20" s="541">
        <v>18230140</v>
      </c>
      <c r="E20" s="540">
        <v>20564.87</v>
      </c>
    </row>
    <row r="21" spans="2:5" x14ac:dyDescent="0.3">
      <c r="B21" s="328"/>
      <c r="C21" s="543" t="s">
        <v>303</v>
      </c>
      <c r="D21" s="541">
        <v>18230400</v>
      </c>
      <c r="E21" s="540">
        <v>75477.88</v>
      </c>
    </row>
    <row r="22" spans="2:5" x14ac:dyDescent="0.3">
      <c r="B22" s="328"/>
      <c r="C22" s="543" t="s">
        <v>361</v>
      </c>
      <c r="D22" s="541">
        <v>18230405</v>
      </c>
      <c r="E22" s="540">
        <v>97240.01</v>
      </c>
    </row>
    <row r="23" spans="2:5" x14ac:dyDescent="0.3">
      <c r="B23" s="328"/>
      <c r="C23" s="543" t="s">
        <v>362</v>
      </c>
      <c r="D23" s="541">
        <v>18230407</v>
      </c>
      <c r="E23" s="540">
        <v>6044772.1299999999</v>
      </c>
    </row>
    <row r="24" spans="2:5" x14ac:dyDescent="0.3">
      <c r="B24" s="328"/>
      <c r="C24" s="544" t="s">
        <v>304</v>
      </c>
      <c r="D24" s="541">
        <v>18230408</v>
      </c>
      <c r="E24" s="540">
        <v>459955.38</v>
      </c>
    </row>
    <row r="25" spans="2:5" x14ac:dyDescent="0.3">
      <c r="B25" s="545"/>
      <c r="C25" s="546" t="s">
        <v>305</v>
      </c>
      <c r="D25" s="547">
        <v>18230411</v>
      </c>
      <c r="E25" s="540">
        <v>265132.55</v>
      </c>
    </row>
    <row r="26" spans="2:5" x14ac:dyDescent="0.3">
      <c r="B26" s="328"/>
      <c r="C26" s="329" t="s">
        <v>306</v>
      </c>
      <c r="D26" s="541">
        <v>18230412</v>
      </c>
      <c r="E26" s="540"/>
    </row>
    <row r="27" spans="2:5" x14ac:dyDescent="0.3">
      <c r="B27" s="328"/>
      <c r="C27" s="544" t="s">
        <v>307</v>
      </c>
      <c r="D27" s="541">
        <v>18230413</v>
      </c>
      <c r="E27" s="540">
        <v>168296.67</v>
      </c>
    </row>
    <row r="28" spans="2:5" x14ac:dyDescent="0.3">
      <c r="B28" s="328" t="s">
        <v>157</v>
      </c>
      <c r="C28" s="544" t="s">
        <v>308</v>
      </c>
      <c r="D28" s="541">
        <v>18230414</v>
      </c>
      <c r="E28" s="540"/>
    </row>
    <row r="29" spans="2:5" x14ac:dyDescent="0.3">
      <c r="B29" s="548"/>
      <c r="C29" s="549" t="s">
        <v>309</v>
      </c>
      <c r="D29" s="550">
        <v>18230418</v>
      </c>
      <c r="E29" s="540">
        <v>463416.07</v>
      </c>
    </row>
    <row r="30" spans="2:5" x14ac:dyDescent="0.3">
      <c r="B30" s="328" t="s">
        <v>153</v>
      </c>
      <c r="C30" s="544" t="s">
        <v>233</v>
      </c>
      <c r="D30" s="541">
        <v>18230421</v>
      </c>
      <c r="E30" s="540">
        <v>4052906.78</v>
      </c>
    </row>
    <row r="31" spans="2:5" x14ac:dyDescent="0.3">
      <c r="B31" s="551" t="s">
        <v>154</v>
      </c>
      <c r="C31" s="544" t="s">
        <v>310</v>
      </c>
      <c r="D31" s="541">
        <v>18230434</v>
      </c>
      <c r="E31" s="540">
        <v>1057618.73</v>
      </c>
    </row>
    <row r="32" spans="2:5" x14ac:dyDescent="0.3">
      <c r="B32" s="551" t="s">
        <v>154</v>
      </c>
      <c r="C32" s="544" t="s">
        <v>311</v>
      </c>
      <c r="D32" s="541">
        <v>18230435</v>
      </c>
      <c r="E32" s="540">
        <v>329871.62</v>
      </c>
    </row>
    <row r="33" spans="2:5" x14ac:dyDescent="0.3">
      <c r="B33" s="551" t="s">
        <v>154</v>
      </c>
      <c r="C33" s="552" t="s">
        <v>312</v>
      </c>
      <c r="D33" s="553">
        <v>18230440</v>
      </c>
      <c r="E33" s="540">
        <v>9487158.8300000001</v>
      </c>
    </row>
    <row r="34" spans="2:5" x14ac:dyDescent="0.3">
      <c r="B34" s="328" t="s">
        <v>154</v>
      </c>
      <c r="C34" s="544" t="s">
        <v>313</v>
      </c>
      <c r="D34" s="541">
        <v>18230461</v>
      </c>
      <c r="E34" s="540">
        <v>896853.11</v>
      </c>
    </row>
    <row r="35" spans="2:5" x14ac:dyDescent="0.3">
      <c r="B35" s="328"/>
      <c r="C35" s="544" t="s">
        <v>314</v>
      </c>
      <c r="D35" s="541">
        <v>18230466</v>
      </c>
      <c r="E35" s="540">
        <v>241486.38</v>
      </c>
    </row>
    <row r="36" spans="2:5" x14ac:dyDescent="0.3">
      <c r="B36" s="328"/>
      <c r="C36" s="329" t="s">
        <v>315</v>
      </c>
      <c r="D36" s="541">
        <v>18230469</v>
      </c>
      <c r="E36" s="540">
        <v>661257.9</v>
      </c>
    </row>
    <row r="37" spans="2:5" x14ac:dyDescent="0.3">
      <c r="B37" s="328" t="s">
        <v>155</v>
      </c>
      <c r="C37" s="329" t="s">
        <v>316</v>
      </c>
      <c r="D37" s="541">
        <v>18230482</v>
      </c>
      <c r="E37" s="540">
        <v>38068.71</v>
      </c>
    </row>
    <row r="38" spans="2:5" x14ac:dyDescent="0.3">
      <c r="B38" s="548" t="s">
        <v>156</v>
      </c>
      <c r="C38" s="554" t="s">
        <v>317</v>
      </c>
      <c r="D38" s="541">
        <v>18230486</v>
      </c>
      <c r="E38" s="540">
        <v>1904569.02</v>
      </c>
    </row>
    <row r="39" spans="2:5" x14ac:dyDescent="0.3">
      <c r="B39" s="328" t="s">
        <v>155</v>
      </c>
      <c r="C39" s="554" t="s">
        <v>318</v>
      </c>
      <c r="D39" s="541">
        <v>18230487</v>
      </c>
      <c r="E39" s="540">
        <v>357381.55</v>
      </c>
    </row>
    <row r="40" spans="2:5" x14ac:dyDescent="0.3">
      <c r="B40" s="548"/>
      <c r="C40" s="555" t="s">
        <v>319</v>
      </c>
      <c r="D40" s="541">
        <v>18230507</v>
      </c>
      <c r="E40" s="540">
        <v>556387.92000000004</v>
      </c>
    </row>
    <row r="41" spans="2:5" x14ac:dyDescent="0.3">
      <c r="B41" s="548"/>
      <c r="C41" s="555" t="s">
        <v>320</v>
      </c>
      <c r="D41" s="541">
        <v>18230508</v>
      </c>
      <c r="E41" s="540">
        <v>592954.68000000005</v>
      </c>
    </row>
    <row r="42" spans="2:5" x14ac:dyDescent="0.3">
      <c r="B42" s="548"/>
      <c r="C42" s="555" t="s">
        <v>321</v>
      </c>
      <c r="D42" s="541">
        <v>18230509</v>
      </c>
      <c r="E42" s="540">
        <v>3110.86</v>
      </c>
    </row>
    <row r="43" spans="2:5" x14ac:dyDescent="0.3">
      <c r="B43" s="548"/>
      <c r="C43" s="556" t="s">
        <v>502</v>
      </c>
      <c r="D43" s="541">
        <v>18230524</v>
      </c>
      <c r="E43" s="540">
        <v>854822.66</v>
      </c>
    </row>
    <row r="44" spans="2:5" x14ac:dyDescent="0.3">
      <c r="B44" s="548"/>
      <c r="C44" s="556" t="s">
        <v>503</v>
      </c>
      <c r="D44" s="541">
        <v>18230525</v>
      </c>
      <c r="E44" s="540">
        <v>5355.99</v>
      </c>
    </row>
    <row r="45" spans="2:5" x14ac:dyDescent="0.3">
      <c r="B45" s="328" t="s">
        <v>155</v>
      </c>
      <c r="C45" s="546" t="s">
        <v>322</v>
      </c>
      <c r="D45" s="541">
        <v>18230610</v>
      </c>
      <c r="E45" s="540">
        <v>921070.4</v>
      </c>
    </row>
    <row r="46" spans="2:5" x14ac:dyDescent="0.3">
      <c r="B46" s="548" t="s">
        <v>158</v>
      </c>
      <c r="C46" s="549" t="s">
        <v>323</v>
      </c>
      <c r="D46" s="541">
        <v>18230611</v>
      </c>
      <c r="E46" s="540">
        <v>6737232.29</v>
      </c>
    </row>
    <row r="47" spans="2:5" x14ac:dyDescent="0.3">
      <c r="B47" s="548"/>
      <c r="C47" s="549" t="s">
        <v>324</v>
      </c>
      <c r="D47" s="550">
        <v>18230624</v>
      </c>
      <c r="E47" s="540">
        <v>32457</v>
      </c>
    </row>
    <row r="48" spans="2:5" x14ac:dyDescent="0.3">
      <c r="B48" s="328" t="s">
        <v>154</v>
      </c>
      <c r="C48" s="544" t="s">
        <v>325</v>
      </c>
      <c r="D48" s="541">
        <v>18230625</v>
      </c>
      <c r="E48" s="540">
        <v>2733746.14</v>
      </c>
    </row>
    <row r="49" spans="2:5" x14ac:dyDescent="0.3">
      <c r="B49" s="328" t="s">
        <v>154</v>
      </c>
      <c r="C49" s="544" t="s">
        <v>326</v>
      </c>
      <c r="D49" s="541">
        <v>18230626</v>
      </c>
      <c r="E49" s="540">
        <v>324272.28000000003</v>
      </c>
    </row>
    <row r="50" spans="2:5" x14ac:dyDescent="0.3">
      <c r="B50" s="545" t="s">
        <v>154</v>
      </c>
      <c r="C50" s="544" t="s">
        <v>327</v>
      </c>
      <c r="D50" s="541">
        <v>18230627</v>
      </c>
      <c r="E50" s="540">
        <v>1029314.99</v>
      </c>
    </row>
    <row r="51" spans="2:5" x14ac:dyDescent="0.3">
      <c r="B51" s="545" t="s">
        <v>154</v>
      </c>
      <c r="C51" s="557" t="s">
        <v>328</v>
      </c>
      <c r="D51" s="547">
        <v>18230628</v>
      </c>
      <c r="E51" s="540">
        <v>4321206.18</v>
      </c>
    </row>
    <row r="52" spans="2:5" x14ac:dyDescent="0.3">
      <c r="B52" s="328" t="s">
        <v>159</v>
      </c>
      <c r="C52" s="544" t="s">
        <v>329</v>
      </c>
      <c r="D52" s="541">
        <v>18230711</v>
      </c>
      <c r="E52" s="540">
        <v>1298307.3400000001</v>
      </c>
    </row>
    <row r="53" spans="2:5" x14ac:dyDescent="0.3">
      <c r="B53" s="328" t="s">
        <v>160</v>
      </c>
      <c r="C53" s="544" t="s">
        <v>330</v>
      </c>
      <c r="D53" s="541">
        <v>18230714</v>
      </c>
      <c r="E53" s="540">
        <v>704086.12</v>
      </c>
    </row>
    <row r="54" spans="2:5" x14ac:dyDescent="0.3">
      <c r="B54" s="328" t="s">
        <v>119</v>
      </c>
      <c r="C54" s="329" t="s">
        <v>331</v>
      </c>
      <c r="D54" s="541">
        <v>18230715</v>
      </c>
      <c r="E54" s="540">
        <v>3458097.14</v>
      </c>
    </row>
    <row r="55" spans="2:5" x14ac:dyDescent="0.3">
      <c r="B55" s="328" t="s">
        <v>160</v>
      </c>
      <c r="C55" s="544" t="s">
        <v>332</v>
      </c>
      <c r="D55" s="541">
        <v>18230716</v>
      </c>
      <c r="E55" s="540">
        <v>119302.59</v>
      </c>
    </row>
    <row r="56" spans="2:5" x14ac:dyDescent="0.3">
      <c r="B56" s="328" t="s">
        <v>160</v>
      </c>
      <c r="C56" s="544" t="s">
        <v>333</v>
      </c>
      <c r="D56" s="541">
        <v>18230718</v>
      </c>
      <c r="E56" s="540">
        <v>227268.03</v>
      </c>
    </row>
    <row r="57" spans="2:5" x14ac:dyDescent="0.3">
      <c r="B57" s="581" t="s">
        <v>161</v>
      </c>
      <c r="C57" s="582" t="s">
        <v>334</v>
      </c>
      <c r="D57" s="583">
        <v>18230720</v>
      </c>
      <c r="E57" s="584">
        <v>2345440.94</v>
      </c>
    </row>
    <row r="58" spans="2:5" x14ac:dyDescent="0.3">
      <c r="B58" s="548" t="s">
        <v>161</v>
      </c>
      <c r="C58" s="555" t="s">
        <v>335</v>
      </c>
      <c r="D58" s="541">
        <v>18230721</v>
      </c>
      <c r="E58" s="540">
        <v>1042467.17</v>
      </c>
    </row>
    <row r="59" spans="2:5" x14ac:dyDescent="0.3">
      <c r="B59" s="328" t="s">
        <v>157</v>
      </c>
      <c r="C59" s="544" t="s">
        <v>336</v>
      </c>
      <c r="D59" s="541">
        <v>18230723</v>
      </c>
      <c r="E59" s="540">
        <v>1054635.23</v>
      </c>
    </row>
    <row r="60" spans="2:5" x14ac:dyDescent="0.3">
      <c r="B60" s="328" t="s">
        <v>159</v>
      </c>
      <c r="C60" s="544" t="s">
        <v>337</v>
      </c>
      <c r="D60" s="541">
        <v>18230724</v>
      </c>
      <c r="E60" s="540">
        <v>8318891.3399999999</v>
      </c>
    </row>
    <row r="61" spans="2:5" x14ac:dyDescent="0.3">
      <c r="B61" s="328" t="s">
        <v>162</v>
      </c>
      <c r="C61" s="544" t="s">
        <v>338</v>
      </c>
      <c r="D61" s="541">
        <v>18230730</v>
      </c>
      <c r="E61" s="540">
        <v>127484.82</v>
      </c>
    </row>
    <row r="62" spans="2:5" x14ac:dyDescent="0.3">
      <c r="B62" s="328"/>
      <c r="C62" s="544" t="s">
        <v>339</v>
      </c>
      <c r="D62" s="541">
        <v>18230745</v>
      </c>
      <c r="E62" s="540">
        <v>1067671.45</v>
      </c>
    </row>
    <row r="63" spans="2:5" x14ac:dyDescent="0.3">
      <c r="B63" s="558"/>
      <c r="C63" s="559" t="s">
        <v>340</v>
      </c>
      <c r="D63" s="560">
        <v>18230746</v>
      </c>
      <c r="E63" s="540">
        <v>35683.07</v>
      </c>
    </row>
    <row r="64" spans="2:5" ht="22.8" x14ac:dyDescent="0.3">
      <c r="B64" s="561" t="s">
        <v>363</v>
      </c>
      <c r="C64" s="562" t="s">
        <v>364</v>
      </c>
      <c r="D64" s="563">
        <v>18230747</v>
      </c>
      <c r="E64" s="564">
        <v>-29035.37</v>
      </c>
    </row>
    <row r="65" spans="2:7" x14ac:dyDescent="0.3">
      <c r="B65" s="548"/>
      <c r="C65" s="549" t="s">
        <v>341</v>
      </c>
      <c r="D65" s="550">
        <v>18230802</v>
      </c>
      <c r="E65" s="540">
        <v>1687448.64</v>
      </c>
    </row>
    <row r="66" spans="2:7" x14ac:dyDescent="0.3">
      <c r="B66" s="328"/>
      <c r="C66" s="544" t="s">
        <v>342</v>
      </c>
      <c r="D66" s="541">
        <v>18230809</v>
      </c>
      <c r="E66" s="540">
        <v>183797.16</v>
      </c>
    </row>
    <row r="67" spans="2:7" x14ac:dyDescent="0.3">
      <c r="B67" s="558"/>
      <c r="C67" s="565" t="s">
        <v>343</v>
      </c>
      <c r="D67" s="566">
        <v>18230810</v>
      </c>
      <c r="E67" s="540">
        <v>315449.90999999997</v>
      </c>
    </row>
    <row r="68" spans="2:7" x14ac:dyDescent="0.3">
      <c r="B68" s="567"/>
      <c r="C68" s="559" t="s">
        <v>344</v>
      </c>
      <c r="D68" s="560">
        <v>18230811</v>
      </c>
      <c r="E68" s="540">
        <v>837288.92</v>
      </c>
    </row>
    <row r="69" spans="2:7" x14ac:dyDescent="0.3">
      <c r="B69" s="328" t="s">
        <v>159</v>
      </c>
      <c r="C69" s="544" t="s">
        <v>345</v>
      </c>
      <c r="D69" s="541">
        <v>18231133</v>
      </c>
      <c r="E69" s="540">
        <v>604055.53</v>
      </c>
    </row>
    <row r="70" spans="2:7" x14ac:dyDescent="0.3">
      <c r="B70" s="328" t="s">
        <v>160</v>
      </c>
      <c r="C70" s="329" t="s">
        <v>346</v>
      </c>
      <c r="D70" s="541">
        <v>18231134</v>
      </c>
      <c r="E70" s="540">
        <v>3455377.21</v>
      </c>
    </row>
    <row r="71" spans="2:7" x14ac:dyDescent="0.3">
      <c r="B71" s="568"/>
      <c r="C71" s="569"/>
      <c r="D71" s="570"/>
      <c r="E71" s="540"/>
    </row>
    <row r="72" spans="2:7" x14ac:dyDescent="0.3">
      <c r="B72" s="571"/>
      <c r="C72" s="572"/>
      <c r="D72" s="573"/>
      <c r="E72" s="574"/>
    </row>
    <row r="73" spans="2:7" ht="15" thickBot="1" x14ac:dyDescent="0.35">
      <c r="B73" s="575"/>
      <c r="C73" s="576" t="s">
        <v>504</v>
      </c>
      <c r="D73" s="576"/>
      <c r="E73" s="577">
        <f>SUM(E17:E72)</f>
        <v>73398409.449999988</v>
      </c>
    </row>
    <row r="74" spans="2:7" ht="15" thickTop="1" x14ac:dyDescent="0.3">
      <c r="B74" s="328"/>
      <c r="C74" s="329" t="s">
        <v>505</v>
      </c>
      <c r="D74" s="541"/>
      <c r="E74" s="540">
        <f>-E57</f>
        <v>-2345440.94</v>
      </c>
    </row>
    <row r="75" spans="2:7" ht="15" thickBot="1" x14ac:dyDescent="0.35">
      <c r="B75" s="575"/>
      <c r="C75" s="576" t="s">
        <v>506</v>
      </c>
      <c r="D75" s="576"/>
      <c r="E75" s="577">
        <f>E73+E74</f>
        <v>71052968.50999999</v>
      </c>
      <c r="G75" s="579"/>
    </row>
    <row r="76" spans="2:7" ht="15" thickTop="1" x14ac:dyDescent="0.3">
      <c r="G76" s="580"/>
    </row>
    <row r="80" spans="2:7" x14ac:dyDescent="0.3">
      <c r="G80" s="579">
        <v>91086433.540000007</v>
      </c>
    </row>
    <row r="81" spans="7:7" x14ac:dyDescent="0.3">
      <c r="G81" s="580">
        <f>+G80-E73</f>
        <v>17688024.090000018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sheetPr>
  <dimension ref="A1:J15"/>
  <sheetViews>
    <sheetView workbookViewId="0">
      <selection activeCell="A2" sqref="A2"/>
    </sheetView>
  </sheetViews>
  <sheetFormatPr defaultColWidth="8.88671875" defaultRowHeight="14.4" x14ac:dyDescent="0.3"/>
  <cols>
    <col min="1" max="1" width="69.5546875" style="72" bestFit="1" customWidth="1"/>
    <col min="2" max="2" width="13.5546875" style="72" bestFit="1" customWidth="1"/>
    <col min="3" max="3" width="13.6640625" style="72" bestFit="1" customWidth="1"/>
    <col min="4" max="4" width="13.5546875" style="72" bestFit="1" customWidth="1"/>
    <col min="5" max="5" width="12.6640625" style="72" bestFit="1" customWidth="1"/>
    <col min="6" max="6" width="11.33203125" style="72" bestFit="1" customWidth="1"/>
    <col min="7" max="7" width="12.6640625" style="72" bestFit="1" customWidth="1"/>
    <col min="8" max="8" width="13.33203125" style="72" bestFit="1" customWidth="1"/>
    <col min="9" max="9" width="13.6640625" style="72" bestFit="1" customWidth="1"/>
    <col min="10" max="10" width="13.5546875" style="72" bestFit="1" customWidth="1"/>
    <col min="11" max="16384" width="8.88671875" style="72"/>
  </cols>
  <sheetData>
    <row r="1" spans="1:10" x14ac:dyDescent="0.3">
      <c r="A1" s="7" t="s">
        <v>149</v>
      </c>
      <c r="B1" s="7"/>
      <c r="C1" s="7"/>
      <c r="D1" s="7"/>
      <c r="E1" s="7"/>
      <c r="F1" s="7"/>
      <c r="G1" s="7"/>
      <c r="H1" s="7"/>
      <c r="I1" s="7"/>
      <c r="J1" s="7"/>
    </row>
    <row r="2" spans="1:10" x14ac:dyDescent="0.3">
      <c r="A2" s="7"/>
      <c r="B2" s="7"/>
      <c r="C2" s="7"/>
      <c r="D2" s="7"/>
      <c r="E2" s="7"/>
      <c r="F2" s="7"/>
      <c r="G2" s="7"/>
      <c r="H2" s="7"/>
      <c r="I2" s="7"/>
      <c r="J2" s="7"/>
    </row>
    <row r="3" spans="1:10" x14ac:dyDescent="0.3">
      <c r="A3" s="7"/>
      <c r="B3" s="7"/>
      <c r="C3" s="7"/>
      <c r="D3" s="7"/>
      <c r="E3" s="7"/>
      <c r="F3" s="7"/>
      <c r="G3" s="7"/>
      <c r="H3" s="7"/>
      <c r="I3" s="7"/>
      <c r="J3" s="7"/>
    </row>
    <row r="4" spans="1:10" x14ac:dyDescent="0.3">
      <c r="A4" s="7"/>
      <c r="B4" s="75" t="s">
        <v>20</v>
      </c>
      <c r="C4" s="76"/>
      <c r="D4" s="77"/>
      <c r="E4" s="75">
        <v>449</v>
      </c>
      <c r="F4" s="76"/>
      <c r="G4" s="77"/>
      <c r="H4" s="75" t="s">
        <v>78</v>
      </c>
      <c r="I4" s="76"/>
      <c r="J4" s="77"/>
    </row>
    <row r="5" spans="1:10" x14ac:dyDescent="0.3">
      <c r="A5" s="7"/>
      <c r="B5" s="78" t="s">
        <v>356</v>
      </c>
      <c r="C5" s="78" t="s">
        <v>150</v>
      </c>
      <c r="D5" s="78" t="s">
        <v>151</v>
      </c>
      <c r="E5" s="78" t="s">
        <v>356</v>
      </c>
      <c r="F5" s="78" t="s">
        <v>150</v>
      </c>
      <c r="G5" s="78" t="s">
        <v>151</v>
      </c>
      <c r="H5" s="78" t="s">
        <v>356</v>
      </c>
      <c r="I5" s="78" t="s">
        <v>150</v>
      </c>
      <c r="J5" s="78" t="s">
        <v>151</v>
      </c>
    </row>
    <row r="6" spans="1:10" x14ac:dyDescent="0.3">
      <c r="A6" s="7" t="s">
        <v>424</v>
      </c>
      <c r="B6" s="1"/>
      <c r="C6" s="79"/>
      <c r="D6" s="80"/>
      <c r="E6" s="1"/>
      <c r="F6" s="79"/>
      <c r="G6" s="80"/>
      <c r="H6" s="1"/>
      <c r="I6" s="79"/>
      <c r="J6" s="80"/>
    </row>
    <row r="7" spans="1:10" x14ac:dyDescent="0.3">
      <c r="A7" s="81" t="s">
        <v>532</v>
      </c>
      <c r="B7" s="1056">
        <f>H7-E7</f>
        <v>8878843.6920444909</v>
      </c>
      <c r="C7" s="1057">
        <f t="shared" ref="B7:C9" si="0">I7-F7</f>
        <v>9206455.5690696239</v>
      </c>
      <c r="D7" s="1058">
        <f>B7-C7</f>
        <v>-327611.877025133</v>
      </c>
      <c r="E7" s="1056">
        <f>-'Estimate Used in PY Filing'!D28</f>
        <v>168921.88099551</v>
      </c>
      <c r="F7" s="1057">
        <f>'258 Cons Tbl 19-20'!C16</f>
        <v>150461.31172644001</v>
      </c>
      <c r="G7" s="1058">
        <f>E7-F7</f>
        <v>18460.569269069994</v>
      </c>
      <c r="H7" s="1056">
        <f>-'Estimate Used in PY Filing'!E28</f>
        <v>9047765.5730400011</v>
      </c>
      <c r="I7" s="1057">
        <f>'Act Sch 120 Collctns Feb-Apr 19'!B5</f>
        <v>9356916.8807960637</v>
      </c>
      <c r="J7" s="1058">
        <f>H7-I7</f>
        <v>-309151.3077560626</v>
      </c>
    </row>
    <row r="8" spans="1:10" x14ac:dyDescent="0.3">
      <c r="A8" s="81" t="s">
        <v>533</v>
      </c>
      <c r="B8" s="1059">
        <f t="shared" si="0"/>
        <v>9139588.7924549282</v>
      </c>
      <c r="C8" s="1057">
        <f t="shared" si="0"/>
        <v>8286452.3012427678</v>
      </c>
      <c r="D8" s="1060">
        <f>B8-C8</f>
        <v>853136.49121216033</v>
      </c>
      <c r="E8" s="1059">
        <f>-'Estimate Used in PY Filing'!D30</f>
        <v>168932.84962507198</v>
      </c>
      <c r="F8" s="1061">
        <f>'258 Cons Tbl 19-20'!D16</f>
        <v>193051.29935694</v>
      </c>
      <c r="G8" s="1060">
        <f>E8-F8</f>
        <v>-24118.449731868022</v>
      </c>
      <c r="H8" s="1059">
        <f>-'Estimate Used in PY Filing'!E30</f>
        <v>9308521.6420799997</v>
      </c>
      <c r="I8" s="1061">
        <f>'Act Sch 120 Collctns Feb-Apr 19'!C5</f>
        <v>8479503.600599708</v>
      </c>
      <c r="J8" s="1060">
        <f>H8-I8</f>
        <v>829018.04148029163</v>
      </c>
    </row>
    <row r="9" spans="1:10" x14ac:dyDescent="0.3">
      <c r="A9" s="81" t="s">
        <v>534</v>
      </c>
      <c r="B9" s="1059">
        <f t="shared" si="0"/>
        <v>7938484.4923749268</v>
      </c>
      <c r="C9" s="1061">
        <f t="shared" si="0"/>
        <v>7114873.9253501408</v>
      </c>
      <c r="D9" s="1060">
        <f>B9-C9</f>
        <v>823610.56702478603</v>
      </c>
      <c r="E9" s="1059">
        <f>-'Estimate Used in PY Filing'!D32</f>
        <v>168932.84962507198</v>
      </c>
      <c r="F9" s="1061">
        <f>'258 Cons Tbl 19-20'!E16</f>
        <v>163782.76328213999</v>
      </c>
      <c r="G9" s="1060">
        <f>E9-F9</f>
        <v>5150.086342931987</v>
      </c>
      <c r="H9" s="1059">
        <f>-'Estimate Used in PY Filing'!E32</f>
        <v>8107417.3419999992</v>
      </c>
      <c r="I9" s="1061">
        <f>'Act Sch 120 Collctns Feb-Apr 19'!D5</f>
        <v>7278656.6886322806</v>
      </c>
      <c r="J9" s="1060">
        <f>H9-I9</f>
        <v>828760.65336771868</v>
      </c>
    </row>
    <row r="10" spans="1:10" ht="15" thickBot="1" x14ac:dyDescent="0.35">
      <c r="A10" s="7" t="s">
        <v>425</v>
      </c>
      <c r="B10" s="82">
        <f t="shared" ref="B10:J10" si="1">SUM(B7:B9)</f>
        <v>25956916.976874344</v>
      </c>
      <c r="C10" s="58">
        <f t="shared" si="1"/>
        <v>24607781.795662533</v>
      </c>
      <c r="D10" s="83">
        <f t="shared" si="1"/>
        <v>1349135.1812118134</v>
      </c>
      <c r="E10" s="82">
        <f t="shared" si="1"/>
        <v>506787.58024565398</v>
      </c>
      <c r="F10" s="58">
        <f t="shared" si="1"/>
        <v>507295.37436551997</v>
      </c>
      <c r="G10" s="83">
        <f t="shared" si="1"/>
        <v>-507.794119866041</v>
      </c>
      <c r="H10" s="82">
        <f t="shared" si="1"/>
        <v>26463704.557120003</v>
      </c>
      <c r="I10" s="58">
        <f t="shared" si="1"/>
        <v>25115077.170028053</v>
      </c>
      <c r="J10" s="83">
        <f t="shared" si="1"/>
        <v>1348627.3870919477</v>
      </c>
    </row>
    <row r="11" spans="1:10" ht="15" thickTop="1" x14ac:dyDescent="0.3"/>
    <row r="12" spans="1:10" x14ac:dyDescent="0.3">
      <c r="B12" s="67"/>
      <c r="E12" s="67"/>
      <c r="H12" s="67"/>
    </row>
    <row r="15" spans="1:10" x14ac:dyDescent="0.3">
      <c r="A15" s="1062" t="s">
        <v>355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sheetPr>
  <dimension ref="A1:E40"/>
  <sheetViews>
    <sheetView workbookViewId="0">
      <pane xSplit="2" ySplit="1" topLeftCell="C2" activePane="bottomRight" state="frozen"/>
      <selection pane="topRight" activeCell="C1" sqref="C1"/>
      <selection pane="bottomLeft" activeCell="A2" sqref="A2"/>
      <selection pane="bottomRight" activeCell="B7" sqref="B7"/>
    </sheetView>
  </sheetViews>
  <sheetFormatPr defaultColWidth="8.88671875" defaultRowHeight="14.4" x14ac:dyDescent="0.3"/>
  <cols>
    <col min="1" max="1" width="3" style="72" bestFit="1" customWidth="1"/>
    <col min="2" max="2" width="66.109375" style="72" customWidth="1"/>
    <col min="3" max="3" width="16.88671875" style="72" bestFit="1" customWidth="1"/>
    <col min="4" max="4" width="21.44140625" style="72" bestFit="1" customWidth="1"/>
    <col min="5" max="5" width="16.88671875" style="72" bestFit="1" customWidth="1"/>
    <col min="6" max="6" width="14.33203125" style="72" bestFit="1" customWidth="1"/>
    <col min="7" max="7" width="13.5546875" style="72" bestFit="1" customWidth="1"/>
    <col min="8" max="8" width="14" style="72" bestFit="1" customWidth="1"/>
    <col min="9" max="9" width="11.5546875" style="72" bestFit="1" customWidth="1"/>
    <col min="10" max="10" width="8.88671875" style="72"/>
    <col min="11" max="11" width="11" style="72" bestFit="1" customWidth="1"/>
    <col min="12" max="12" width="8.88671875" style="72"/>
    <col min="13" max="13" width="12" style="72" bestFit="1" customWidth="1"/>
    <col min="14" max="16384" width="8.88671875" style="72"/>
  </cols>
  <sheetData>
    <row r="1" spans="1:5" x14ac:dyDescent="0.3">
      <c r="A1" s="7"/>
      <c r="B1" s="7"/>
      <c r="C1" s="52" t="s">
        <v>76</v>
      </c>
      <c r="D1" s="52" t="s">
        <v>77</v>
      </c>
      <c r="E1" s="52" t="s">
        <v>78</v>
      </c>
    </row>
    <row r="2" spans="1:5" x14ac:dyDescent="0.3">
      <c r="A2" s="7"/>
      <c r="B2" s="53"/>
      <c r="C2" s="7"/>
      <c r="D2" s="7"/>
      <c r="E2" s="7"/>
    </row>
    <row r="3" spans="1:5" x14ac:dyDescent="0.3">
      <c r="A3" s="7">
        <v>1</v>
      </c>
      <c r="B3" s="53" t="s">
        <v>428</v>
      </c>
      <c r="C3" s="7"/>
      <c r="D3" s="7"/>
      <c r="E3" s="7"/>
    </row>
    <row r="4" spans="1:5" x14ac:dyDescent="0.3">
      <c r="A4" s="7">
        <v>2</v>
      </c>
      <c r="B4" s="6" t="s">
        <v>429</v>
      </c>
      <c r="C4" s="61">
        <f>C21</f>
        <v>-65162363.828321651</v>
      </c>
      <c r="D4" s="61">
        <f>D21</f>
        <v>-1517305.84167834</v>
      </c>
      <c r="E4" s="61">
        <f>E21</f>
        <v>-66679669.669999994</v>
      </c>
    </row>
    <row r="5" spans="1:5" x14ac:dyDescent="0.3">
      <c r="A5" s="7">
        <v>3</v>
      </c>
      <c r="B5" s="6" t="s">
        <v>430</v>
      </c>
      <c r="C5" s="56">
        <f>C33</f>
        <v>-25956916.976874348</v>
      </c>
      <c r="D5" s="56">
        <f>D33</f>
        <v>-506787.58024565398</v>
      </c>
      <c r="E5" s="56">
        <f>E33</f>
        <v>-26463704.557120003</v>
      </c>
    </row>
    <row r="6" spans="1:5" ht="15" thickBot="1" x14ac:dyDescent="0.35">
      <c r="A6" s="7">
        <v>4</v>
      </c>
      <c r="B6" s="7" t="s">
        <v>79</v>
      </c>
      <c r="C6" s="58">
        <f>SUM(C4:C5)</f>
        <v>-91119280.805196002</v>
      </c>
      <c r="D6" s="58">
        <f>SUM(D4:D5)</f>
        <v>-2024093.4219239941</v>
      </c>
      <c r="E6" s="58">
        <f>SUM(E4:E5)</f>
        <v>-93143374.227119997</v>
      </c>
    </row>
    <row r="7" spans="1:5" ht="15" thickTop="1" x14ac:dyDescent="0.3">
      <c r="A7" s="7">
        <v>5</v>
      </c>
      <c r="B7" s="7"/>
      <c r="C7" s="7"/>
      <c r="D7" s="7"/>
      <c r="E7" s="7"/>
    </row>
    <row r="8" spans="1:5" ht="17.399999999999999" x14ac:dyDescent="0.3">
      <c r="A8" s="7">
        <v>6</v>
      </c>
      <c r="B8" s="452"/>
      <c r="C8" s="7"/>
      <c r="D8" s="7"/>
      <c r="E8" s="7"/>
    </row>
    <row r="9" spans="1:5" x14ac:dyDescent="0.3">
      <c r="A9" s="7">
        <v>7</v>
      </c>
      <c r="B9" s="7"/>
      <c r="C9" s="7"/>
      <c r="D9" s="7"/>
      <c r="E9" s="7"/>
    </row>
    <row r="10" spans="1:5" x14ac:dyDescent="0.3">
      <c r="A10" s="7">
        <v>8</v>
      </c>
      <c r="B10" s="7"/>
      <c r="C10" s="7"/>
      <c r="D10" s="7"/>
      <c r="E10" s="7"/>
    </row>
    <row r="11" spans="1:5" x14ac:dyDescent="0.3">
      <c r="A11" s="7">
        <v>9</v>
      </c>
      <c r="B11" s="54" t="s">
        <v>80</v>
      </c>
      <c r="C11" s="7"/>
      <c r="D11" s="7"/>
      <c r="E11" s="7"/>
    </row>
    <row r="12" spans="1:5" x14ac:dyDescent="0.3">
      <c r="A12" s="7">
        <v>10</v>
      </c>
      <c r="B12" s="55">
        <v>43251</v>
      </c>
      <c r="C12" s="56"/>
      <c r="D12" s="56"/>
      <c r="E12" s="56">
        <v>-6477636.8999999911</v>
      </c>
    </row>
    <row r="13" spans="1:5" x14ac:dyDescent="0.3">
      <c r="A13" s="7">
        <v>11</v>
      </c>
      <c r="B13" s="55">
        <v>43281</v>
      </c>
      <c r="C13" s="56"/>
      <c r="D13" s="56"/>
      <c r="E13" s="56">
        <v>-6421378.6699999999</v>
      </c>
    </row>
    <row r="14" spans="1:5" x14ac:dyDescent="0.3">
      <c r="A14" s="7">
        <v>12</v>
      </c>
      <c r="B14" s="55">
        <v>43312</v>
      </c>
      <c r="C14" s="56"/>
      <c r="D14" s="56"/>
      <c r="E14" s="56">
        <v>-7128941.5099999998</v>
      </c>
    </row>
    <row r="15" spans="1:5" x14ac:dyDescent="0.3">
      <c r="A15" s="7">
        <v>13</v>
      </c>
      <c r="B15" s="55">
        <v>43343</v>
      </c>
      <c r="C15" s="56"/>
      <c r="D15" s="56"/>
      <c r="E15" s="56">
        <v>-6821368.5999999996</v>
      </c>
    </row>
    <row r="16" spans="1:5" x14ac:dyDescent="0.3">
      <c r="A16" s="7">
        <v>14</v>
      </c>
      <c r="B16" s="55">
        <v>43373</v>
      </c>
      <c r="C16" s="56"/>
      <c r="D16" s="56"/>
      <c r="E16" s="56">
        <v>-6270134.3899999997</v>
      </c>
    </row>
    <row r="17" spans="1:5" x14ac:dyDescent="0.3">
      <c r="A17" s="7">
        <v>15</v>
      </c>
      <c r="B17" s="55">
        <v>43404</v>
      </c>
      <c r="C17" s="56"/>
      <c r="D17" s="56"/>
      <c r="E17" s="56">
        <v>-7254023.5</v>
      </c>
    </row>
    <row r="18" spans="1:5" x14ac:dyDescent="0.3">
      <c r="A18" s="7">
        <v>16</v>
      </c>
      <c r="B18" s="55">
        <v>43434</v>
      </c>
      <c r="C18" s="56"/>
      <c r="D18" s="56"/>
      <c r="E18" s="56">
        <v>-7961008.71</v>
      </c>
    </row>
    <row r="19" spans="1:5" x14ac:dyDescent="0.3">
      <c r="A19" s="7">
        <v>17</v>
      </c>
      <c r="B19" s="55">
        <v>43465</v>
      </c>
      <c r="C19" s="56"/>
      <c r="D19" s="56"/>
      <c r="E19" s="56">
        <v>-9218355.6099999994</v>
      </c>
    </row>
    <row r="20" spans="1:5" x14ac:dyDescent="0.3">
      <c r="A20" s="7">
        <v>18</v>
      </c>
      <c r="B20" s="55">
        <v>43496</v>
      </c>
      <c r="C20" s="56"/>
      <c r="D20" s="84"/>
      <c r="E20" s="56">
        <v>-9126821.7799999993</v>
      </c>
    </row>
    <row r="21" spans="1:5" ht="15" thickBot="1" x14ac:dyDescent="0.35">
      <c r="A21" s="7">
        <v>19</v>
      </c>
      <c r="B21" s="57"/>
      <c r="C21" s="58">
        <f>E21-D21</f>
        <v>-65162363.828321651</v>
      </c>
      <c r="D21" s="58">
        <v>-1517305.84167834</v>
      </c>
      <c r="E21" s="58">
        <f>SUM(E12:E20)</f>
        <v>-66679669.669999994</v>
      </c>
    </row>
    <row r="22" spans="1:5" ht="15" thickTop="1" x14ac:dyDescent="0.3">
      <c r="A22" s="7">
        <v>20</v>
      </c>
      <c r="B22" s="54" t="s">
        <v>81</v>
      </c>
      <c r="C22" s="56"/>
      <c r="D22" s="59" t="s">
        <v>82</v>
      </c>
      <c r="E22" s="56"/>
    </row>
    <row r="23" spans="1:5" x14ac:dyDescent="0.3">
      <c r="A23" s="7">
        <v>21</v>
      </c>
      <c r="B23" s="57" t="s">
        <v>594</v>
      </c>
      <c r="C23" s="56"/>
      <c r="D23" s="56"/>
      <c r="E23" s="56"/>
    </row>
    <row r="24" spans="1:5" x14ac:dyDescent="0.3">
      <c r="A24" s="7">
        <v>22</v>
      </c>
      <c r="B24" s="57" t="s">
        <v>431</v>
      </c>
      <c r="C24" s="56"/>
      <c r="D24" s="56"/>
      <c r="E24" s="56"/>
    </row>
    <row r="25" spans="1:5" x14ac:dyDescent="0.3">
      <c r="A25" s="7">
        <v>23</v>
      </c>
      <c r="B25" s="57" t="s">
        <v>432</v>
      </c>
      <c r="C25" s="56"/>
      <c r="D25" s="56"/>
      <c r="E25" s="56"/>
    </row>
    <row r="26" spans="1:5" x14ac:dyDescent="0.3">
      <c r="A26" s="7">
        <v>24</v>
      </c>
      <c r="B26" s="60">
        <v>0.47333599999999998</v>
      </c>
      <c r="C26" s="7"/>
      <c r="D26" s="7"/>
      <c r="E26" s="7"/>
    </row>
    <row r="27" spans="1:5" x14ac:dyDescent="0.3">
      <c r="A27" s="7">
        <v>25</v>
      </c>
      <c r="B27" s="1038">
        <v>43524</v>
      </c>
      <c r="C27" s="61"/>
      <c r="D27" s="61"/>
      <c r="E27" s="7"/>
    </row>
    <row r="28" spans="1:5" x14ac:dyDescent="0.3">
      <c r="A28" s="7">
        <v>26</v>
      </c>
      <c r="B28" s="62">
        <v>1911489</v>
      </c>
      <c r="C28" s="61">
        <f>E28-D28</f>
        <v>-8878843.6920444909</v>
      </c>
      <c r="D28" s="61">
        <v>-168921.88099551</v>
      </c>
      <c r="E28" s="61">
        <f>-B28*B$26*10</f>
        <v>-9047765.5730400011</v>
      </c>
    </row>
    <row r="29" spans="1:5" x14ac:dyDescent="0.3">
      <c r="A29" s="7">
        <v>27</v>
      </c>
      <c r="B29" s="1038">
        <v>43555</v>
      </c>
      <c r="C29" s="61"/>
      <c r="D29" s="61"/>
      <c r="E29" s="61"/>
    </row>
    <row r="30" spans="1:5" x14ac:dyDescent="0.3">
      <c r="A30" s="7">
        <v>28</v>
      </c>
      <c r="B30" s="62">
        <v>1966578</v>
      </c>
      <c r="C30" s="56">
        <f>E30-D30</f>
        <v>-9139588.7924549282</v>
      </c>
      <c r="D30" s="56">
        <v>-168932.84962507198</v>
      </c>
      <c r="E30" s="56">
        <f>-B30*B$26*10</f>
        <v>-9308521.6420799997</v>
      </c>
    </row>
    <row r="31" spans="1:5" x14ac:dyDescent="0.3">
      <c r="A31" s="7">
        <v>29</v>
      </c>
      <c r="B31" s="1038">
        <v>43585</v>
      </c>
      <c r="C31" s="56"/>
      <c r="D31" s="56"/>
      <c r="E31" s="56"/>
    </row>
    <row r="32" spans="1:5" x14ac:dyDescent="0.3">
      <c r="A32" s="7">
        <v>30</v>
      </c>
      <c r="B32" s="62">
        <v>1712825</v>
      </c>
      <c r="C32" s="56">
        <f>E32-D32</f>
        <v>-7938484.4923749268</v>
      </c>
      <c r="D32" s="56">
        <v>-168932.84962507198</v>
      </c>
      <c r="E32" s="56">
        <f>-B32*B$26*10</f>
        <v>-8107417.3419999992</v>
      </c>
    </row>
    <row r="33" spans="1:5" ht="15" thickBot="1" x14ac:dyDescent="0.35">
      <c r="A33" s="7">
        <v>31</v>
      </c>
      <c r="B33" s="7"/>
      <c r="C33" s="58">
        <f>E33-D33</f>
        <v>-25956916.976874348</v>
      </c>
      <c r="D33" s="58">
        <f>SUM(D28:D32)</f>
        <v>-506787.58024565398</v>
      </c>
      <c r="E33" s="58">
        <f>SUM(E27:E32)</f>
        <v>-26463704.557120003</v>
      </c>
    </row>
    <row r="34" spans="1:5" ht="15" thickTop="1" x14ac:dyDescent="0.3">
      <c r="A34" s="7">
        <v>32</v>
      </c>
      <c r="B34" s="62">
        <f>B28+B30+B32</f>
        <v>5590892</v>
      </c>
      <c r="C34" s="56"/>
      <c r="D34" s="63" t="s">
        <v>82</v>
      </c>
      <c r="E34" s="7"/>
    </row>
    <row r="35" spans="1:5" x14ac:dyDescent="0.3">
      <c r="A35" s="7">
        <v>33</v>
      </c>
      <c r="B35" s="7"/>
      <c r="C35" s="56"/>
      <c r="D35" s="56"/>
      <c r="E35" s="56"/>
    </row>
    <row r="36" spans="1:5" x14ac:dyDescent="0.3">
      <c r="A36" s="7">
        <v>34</v>
      </c>
      <c r="B36" s="7" t="s">
        <v>83</v>
      </c>
    </row>
    <row r="39" spans="1:5" x14ac:dyDescent="0.3">
      <c r="B39" s="51"/>
    </row>
    <row r="40" spans="1:5" x14ac:dyDescent="0.3">
      <c r="B40" s="51"/>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60"/>
  <sheetViews>
    <sheetView workbookViewId="0">
      <selection activeCell="D8" sqref="D8"/>
    </sheetView>
  </sheetViews>
  <sheetFormatPr defaultColWidth="9.109375" defaultRowHeight="13.2" x14ac:dyDescent="0.25"/>
  <cols>
    <col min="1" max="1" width="41.88671875" style="333" customWidth="1"/>
    <col min="2" max="2" width="17" style="333" bestFit="1" customWidth="1"/>
    <col min="3" max="4" width="15.5546875" style="333" bestFit="1" customWidth="1"/>
    <col min="5" max="16384" width="9.109375" style="333"/>
  </cols>
  <sheetData>
    <row r="1" spans="1:6" ht="13.95" customHeight="1" x14ac:dyDescent="0.25">
      <c r="A1" s="332" t="s">
        <v>47</v>
      </c>
      <c r="B1" s="332"/>
      <c r="C1" s="332"/>
      <c r="D1" s="332"/>
    </row>
    <row r="2" spans="1:6" ht="13.95" customHeight="1" x14ac:dyDescent="0.25">
      <c r="A2" s="332" t="s">
        <v>434</v>
      </c>
      <c r="B2" s="332"/>
      <c r="C2" s="332"/>
      <c r="D2" s="332"/>
    </row>
    <row r="3" spans="1:6" ht="13.95" customHeight="1" x14ac:dyDescent="0.25">
      <c r="A3" s="332"/>
      <c r="B3" s="497"/>
      <c r="C3" s="498"/>
      <c r="D3" s="498"/>
    </row>
    <row r="4" spans="1:6" ht="13.2" customHeight="1" x14ac:dyDescent="0.25">
      <c r="A4" s="499" t="s">
        <v>624</v>
      </c>
      <c r="B4" s="500">
        <v>0.95437899999999998</v>
      </c>
      <c r="C4" s="500">
        <v>0.95437899999999998</v>
      </c>
      <c r="D4" s="500">
        <v>0.95437899999999998</v>
      </c>
    </row>
    <row r="5" spans="1:6" ht="13.2" customHeight="1" x14ac:dyDescent="0.25">
      <c r="A5" s="499" t="s">
        <v>440</v>
      </c>
      <c r="B5" s="501">
        <f>B33*B4</f>
        <v>9356916.8807960637</v>
      </c>
      <c r="C5" s="501">
        <f>C33*C4</f>
        <v>8479503.600599708</v>
      </c>
      <c r="D5" s="501">
        <f>D33*D4</f>
        <v>7278656.6886322806</v>
      </c>
    </row>
    <row r="6" spans="1:6" ht="13.2" customHeight="1" x14ac:dyDescent="0.25">
      <c r="A6" s="335" t="s">
        <v>48</v>
      </c>
      <c r="B6" s="336"/>
    </row>
    <row r="7" spans="1:6" ht="13.2" customHeight="1" x14ac:dyDescent="0.3">
      <c r="A7" s="337"/>
      <c r="B7" s="338" t="s">
        <v>442</v>
      </c>
      <c r="C7" s="338" t="s">
        <v>443</v>
      </c>
      <c r="D7" s="338" t="s">
        <v>444</v>
      </c>
      <c r="E7" s="356"/>
      <c r="F7" s="356"/>
    </row>
    <row r="8" spans="1:6" ht="13.5" customHeight="1" x14ac:dyDescent="0.3">
      <c r="A8" s="339" t="s">
        <v>50</v>
      </c>
      <c r="B8" s="340">
        <v>2019</v>
      </c>
      <c r="C8" s="340">
        <v>2019</v>
      </c>
      <c r="D8" s="340">
        <v>2019</v>
      </c>
      <c r="E8" s="356"/>
      <c r="F8" s="356"/>
    </row>
    <row r="9" spans="1:6" ht="6.6" customHeight="1" x14ac:dyDescent="0.3">
      <c r="A9" s="341"/>
      <c r="B9" s="342"/>
      <c r="C9" s="342"/>
      <c r="D9" s="342"/>
      <c r="E9" s="356"/>
      <c r="F9" s="356"/>
    </row>
    <row r="10" spans="1:6" ht="13.2" customHeight="1" x14ac:dyDescent="0.3">
      <c r="A10" s="344" t="s">
        <v>51</v>
      </c>
      <c r="B10" s="1107">
        <v>131392582.78</v>
      </c>
      <c r="C10" s="1107">
        <v>111525127.44</v>
      </c>
      <c r="D10" s="1107">
        <v>88253024.260000005</v>
      </c>
      <c r="E10" s="356"/>
      <c r="F10" s="453"/>
    </row>
    <row r="11" spans="1:6" ht="13.2" customHeight="1" x14ac:dyDescent="0.3">
      <c r="A11" s="344" t="s">
        <v>52</v>
      </c>
      <c r="B11" s="1108">
        <v>78545282.450000003</v>
      </c>
      <c r="C11" s="1108">
        <v>78189856.109999999</v>
      </c>
      <c r="D11" s="1108">
        <v>69053615.120000005</v>
      </c>
      <c r="E11" s="356"/>
      <c r="F11" s="356"/>
    </row>
    <row r="12" spans="1:6" ht="13.2" customHeight="1" x14ac:dyDescent="0.3">
      <c r="A12" s="344" t="s">
        <v>53</v>
      </c>
      <c r="B12" s="1108">
        <v>9506827.5999999996</v>
      </c>
      <c r="C12" s="1108">
        <v>10051682.890000001</v>
      </c>
      <c r="D12" s="1108">
        <v>7740860.5899999999</v>
      </c>
      <c r="E12" s="356"/>
      <c r="F12" s="356"/>
    </row>
    <row r="13" spans="1:6" ht="14.4" customHeight="1" x14ac:dyDescent="0.3">
      <c r="A13" s="344" t="s">
        <v>54</v>
      </c>
      <c r="B13" s="1108">
        <v>1223077.23</v>
      </c>
      <c r="C13" s="1108">
        <v>1794950.29</v>
      </c>
      <c r="D13" s="1108">
        <v>1412162.17</v>
      </c>
      <c r="E13" s="345"/>
      <c r="F13" s="356"/>
    </row>
    <row r="14" spans="1:6" ht="13.2" customHeight="1" x14ac:dyDescent="0.3">
      <c r="A14" s="344" t="s">
        <v>55</v>
      </c>
      <c r="B14" s="1108">
        <v>47765.93</v>
      </c>
      <c r="C14" s="1108">
        <v>32118.21</v>
      </c>
      <c r="D14" s="1108">
        <v>32038.44</v>
      </c>
      <c r="E14" s="356"/>
      <c r="F14" s="356"/>
    </row>
    <row r="15" spans="1:6" ht="8.4" customHeight="1" x14ac:dyDescent="0.3">
      <c r="A15" s="341"/>
      <c r="B15" s="346"/>
      <c r="C15" s="346"/>
      <c r="D15" s="346"/>
      <c r="E15" s="356"/>
      <c r="F15" s="356"/>
    </row>
    <row r="16" spans="1:6" ht="13.2" customHeight="1" x14ac:dyDescent="0.3">
      <c r="A16" s="347" t="s">
        <v>56</v>
      </c>
      <c r="B16" s="1109">
        <f>SUM(B10:B15)</f>
        <v>220715535.99000001</v>
      </c>
      <c r="C16" s="1109">
        <f>SUM(C10:C15)</f>
        <v>201593734.94</v>
      </c>
      <c r="D16" s="1109">
        <f>SUM(D10:D15)</f>
        <v>166491700.57999998</v>
      </c>
      <c r="E16" s="356"/>
      <c r="F16" s="356"/>
    </row>
    <row r="17" spans="1:6" ht="13.2" customHeight="1" x14ac:dyDescent="0.3">
      <c r="A17" s="344" t="s">
        <v>57</v>
      </c>
      <c r="B17" s="1108">
        <v>1255804.6299999999</v>
      </c>
      <c r="C17" s="1108">
        <v>1196660.08</v>
      </c>
      <c r="D17" s="1108">
        <v>1517109.3</v>
      </c>
      <c r="E17" s="356"/>
      <c r="F17" s="356"/>
    </row>
    <row r="18" spans="1:6" ht="12.75" customHeight="1" x14ac:dyDescent="0.3">
      <c r="A18" s="344" t="s">
        <v>58</v>
      </c>
      <c r="B18" s="1108">
        <v>9925177.6799999997</v>
      </c>
      <c r="C18" s="1108">
        <v>9141668.0800000001</v>
      </c>
      <c r="D18" s="1108">
        <v>2508786.25</v>
      </c>
      <c r="E18" s="356"/>
      <c r="F18" s="356"/>
    </row>
    <row r="19" spans="1:6" ht="6" customHeight="1" x14ac:dyDescent="0.3">
      <c r="A19" s="343"/>
      <c r="B19" s="1110"/>
      <c r="C19" s="1110"/>
      <c r="D19" s="1110"/>
      <c r="E19" s="356"/>
      <c r="F19" s="356"/>
    </row>
    <row r="20" spans="1:6" ht="13.2" customHeight="1" x14ac:dyDescent="0.3">
      <c r="A20" s="348" t="s">
        <v>59</v>
      </c>
      <c r="B20" s="1108">
        <f>SUM(B16:B18)</f>
        <v>231896518.30000001</v>
      </c>
      <c r="C20" s="1108">
        <f>SUM(C16:C18)</f>
        <v>211932063.10000002</v>
      </c>
      <c r="D20" s="1108">
        <f>SUM(D16:D18)</f>
        <v>170517596.13</v>
      </c>
      <c r="E20" s="356"/>
      <c r="F20" s="356"/>
    </row>
    <row r="21" spans="1:6" ht="6.6" customHeight="1" x14ac:dyDescent="0.3">
      <c r="A21" s="349"/>
      <c r="B21" s="1111"/>
      <c r="C21" s="1111"/>
      <c r="D21" s="1111"/>
      <c r="E21" s="356"/>
      <c r="F21" s="356"/>
    </row>
    <row r="22" spans="1:6" ht="13.2" customHeight="1" x14ac:dyDescent="0.3">
      <c r="A22" s="344" t="s">
        <v>60</v>
      </c>
      <c r="B22" s="1108">
        <v>32426458.66</v>
      </c>
      <c r="C22" s="1108">
        <v>52041346.479999997</v>
      </c>
      <c r="D22" s="1108">
        <v>-335286.56</v>
      </c>
      <c r="E22" s="356"/>
      <c r="F22" s="356"/>
    </row>
    <row r="23" spans="1:6" ht="13.2" customHeight="1" x14ac:dyDescent="0.3">
      <c r="A23" s="344" t="s">
        <v>61</v>
      </c>
      <c r="B23" s="1108">
        <v>1730102.22</v>
      </c>
      <c r="C23" s="1108">
        <v>1807275.85</v>
      </c>
      <c r="D23" s="1108">
        <v>1813346.75</v>
      </c>
      <c r="E23" s="356"/>
      <c r="F23" s="356"/>
    </row>
    <row r="24" spans="1:6" ht="13.2" customHeight="1" x14ac:dyDescent="0.3">
      <c r="A24" s="344" t="s">
        <v>62</v>
      </c>
      <c r="B24" s="1108">
        <v>-9157426.0199999996</v>
      </c>
      <c r="C24" s="1108">
        <v>1572309.95</v>
      </c>
      <c r="D24" s="1108">
        <v>3043925.31</v>
      </c>
      <c r="E24" s="356"/>
      <c r="F24" s="356"/>
    </row>
    <row r="25" spans="1:6" ht="13.2" customHeight="1" x14ac:dyDescent="0.3">
      <c r="A25" s="344" t="s">
        <v>63</v>
      </c>
      <c r="B25" s="1109">
        <v>13540100.73</v>
      </c>
      <c r="C25" s="1109">
        <v>10341875.41</v>
      </c>
      <c r="D25" s="1109">
        <v>6325113.9500000002</v>
      </c>
      <c r="E25" s="356"/>
      <c r="F25" s="356"/>
    </row>
    <row r="26" spans="1:6" ht="12.75" customHeight="1" x14ac:dyDescent="0.3">
      <c r="A26" s="344" t="s">
        <v>64</v>
      </c>
      <c r="B26" s="1109">
        <f>SUM(B22:B25)</f>
        <v>38539235.590000004</v>
      </c>
      <c r="C26" s="1109">
        <f>SUM(C22:C25)</f>
        <v>65762807.689999998</v>
      </c>
      <c r="D26" s="1109">
        <f>SUM(D22:D25)</f>
        <v>10847099.449999999</v>
      </c>
      <c r="E26" s="356"/>
      <c r="F26" s="356"/>
    </row>
    <row r="27" spans="1:6" ht="6.6" customHeight="1" x14ac:dyDescent="0.3">
      <c r="A27" s="349"/>
      <c r="B27" s="350"/>
      <c r="C27" s="350"/>
      <c r="D27" s="350"/>
      <c r="E27" s="356"/>
      <c r="F27" s="356"/>
    </row>
    <row r="28" spans="1:6" ht="13.95" customHeight="1" thickBot="1" x14ac:dyDescent="0.35">
      <c r="A28" s="351" t="s">
        <v>65</v>
      </c>
      <c r="B28" s="1112">
        <f>+B26+B20</f>
        <v>270435753.88999999</v>
      </c>
      <c r="C28" s="1112">
        <f>+C26+C20</f>
        <v>277694870.79000002</v>
      </c>
      <c r="D28" s="1112">
        <f>+D26+D20</f>
        <v>181364695.57999998</v>
      </c>
      <c r="E28" s="356"/>
      <c r="F28" s="356"/>
    </row>
    <row r="29" spans="1:6" ht="4.2" customHeight="1" thickTop="1" x14ac:dyDescent="0.3">
      <c r="A29" s="352"/>
      <c r="B29" s="350"/>
      <c r="C29" s="350"/>
      <c r="D29" s="350"/>
      <c r="E29" s="356"/>
      <c r="F29" s="356"/>
    </row>
    <row r="30" spans="1:6" ht="12.75" customHeight="1" x14ac:dyDescent="0.3">
      <c r="A30" s="343"/>
      <c r="B30" s="353"/>
      <c r="C30" s="353"/>
      <c r="D30" s="353"/>
      <c r="E30" s="356"/>
      <c r="F30" s="356"/>
    </row>
    <row r="31" spans="1:6" ht="14.4" x14ac:dyDescent="0.3">
      <c r="A31" s="344" t="s">
        <v>66</v>
      </c>
      <c r="B31" s="1107">
        <v>8454419.5899999999</v>
      </c>
      <c r="C31" s="1107">
        <v>8385565.04</v>
      </c>
      <c r="D31" s="1107">
        <v>6838619.3600000003</v>
      </c>
      <c r="E31" s="356"/>
      <c r="F31" s="478"/>
    </row>
    <row r="32" spans="1:6" ht="14.4" x14ac:dyDescent="0.3">
      <c r="A32" s="344" t="s">
        <v>67</v>
      </c>
      <c r="B32" s="1108">
        <v>-9499278.4440000001</v>
      </c>
      <c r="C32" s="1108">
        <v>-7931798.5949999997</v>
      </c>
      <c r="D32" s="1108">
        <v>-6361216.1629999997</v>
      </c>
      <c r="E32" s="356"/>
    </row>
    <row r="33" spans="1:6" ht="14.4" x14ac:dyDescent="0.3">
      <c r="A33" s="344" t="s">
        <v>68</v>
      </c>
      <c r="B33" s="1108">
        <v>9804194.0160000008</v>
      </c>
      <c r="C33" s="1108">
        <v>8884838.8330000006</v>
      </c>
      <c r="D33" s="1108">
        <v>7626589.3200000003</v>
      </c>
      <c r="E33" s="356"/>
    </row>
    <row r="34" spans="1:6" ht="13.2" customHeight="1" x14ac:dyDescent="0.3">
      <c r="A34" s="344" t="s">
        <v>69</v>
      </c>
      <c r="B34" s="1108">
        <v>-5301404.7740000002</v>
      </c>
      <c r="C34" s="1108">
        <v>-1863978.8259999999</v>
      </c>
      <c r="D34" s="1108">
        <v>-2905351.9040000001</v>
      </c>
      <c r="E34" s="356"/>
      <c r="F34" s="357"/>
    </row>
    <row r="35" spans="1:6" ht="13.2" customHeight="1" x14ac:dyDescent="0.3">
      <c r="A35" s="344" t="s">
        <v>70</v>
      </c>
      <c r="B35" s="1108">
        <v>1780353.48</v>
      </c>
      <c r="C35" s="1108">
        <v>1607627.0360000001</v>
      </c>
      <c r="D35" s="1108">
        <v>1374936.66</v>
      </c>
      <c r="E35" s="356"/>
      <c r="F35" s="357"/>
    </row>
    <row r="36" spans="1:6" ht="13.2" customHeight="1" x14ac:dyDescent="0.3">
      <c r="A36" s="344" t="s">
        <v>71</v>
      </c>
      <c r="B36" s="1108">
        <v>-26352.988000000001</v>
      </c>
      <c r="C36" s="1108">
        <v>62404.576999999997</v>
      </c>
      <c r="D36" s="1108">
        <v>96282.72</v>
      </c>
      <c r="E36" s="356"/>
      <c r="F36" s="356"/>
    </row>
    <row r="37" spans="1:6" ht="13.2" customHeight="1" x14ac:dyDescent="0.3">
      <c r="A37" s="344" t="s">
        <v>72</v>
      </c>
      <c r="B37" s="1108">
        <v>-3.74</v>
      </c>
      <c r="C37" s="1108">
        <v>0</v>
      </c>
      <c r="D37" s="1108">
        <v>0</v>
      </c>
      <c r="E37" s="356"/>
      <c r="F37" s="356"/>
    </row>
    <row r="38" spans="1:6" ht="13.2" customHeight="1" x14ac:dyDescent="0.3">
      <c r="A38" s="344" t="s">
        <v>73</v>
      </c>
      <c r="B38" s="1108">
        <v>-197378.448</v>
      </c>
      <c r="C38" s="1108">
        <v>-129257.128</v>
      </c>
      <c r="D38" s="1108">
        <v>-110809.59</v>
      </c>
      <c r="E38" s="356"/>
      <c r="F38" s="356"/>
    </row>
    <row r="39" spans="1:6" ht="13.2" customHeight="1" x14ac:dyDescent="0.3">
      <c r="A39" s="344" t="s">
        <v>74</v>
      </c>
      <c r="B39" s="1108">
        <v>6425980.9900000002</v>
      </c>
      <c r="C39" s="1108">
        <v>5762886.0499999998</v>
      </c>
      <c r="D39" s="1108">
        <v>4886879.08</v>
      </c>
      <c r="E39" s="356"/>
      <c r="F39" s="356"/>
    </row>
    <row r="40" spans="1:6" ht="13.2" customHeight="1" x14ac:dyDescent="0.3">
      <c r="A40" s="344" t="s">
        <v>348</v>
      </c>
      <c r="B40" s="1108">
        <v>83.98</v>
      </c>
      <c r="C40" s="1108">
        <v>0</v>
      </c>
      <c r="D40" s="1108">
        <v>1643906.55</v>
      </c>
      <c r="E40" s="356"/>
      <c r="F40" s="356"/>
    </row>
    <row r="41" spans="1:6" ht="14.4" x14ac:dyDescent="0.3">
      <c r="A41" s="344" t="s">
        <v>349</v>
      </c>
      <c r="B41" s="1108"/>
      <c r="C41" s="1108">
        <v>0</v>
      </c>
      <c r="D41" s="1108"/>
      <c r="E41" s="356"/>
      <c r="F41" s="356"/>
    </row>
    <row r="42" spans="1:6" ht="14.4" x14ac:dyDescent="0.3">
      <c r="A42" s="354"/>
      <c r="B42" s="1107"/>
      <c r="C42" s="1107">
        <v>0</v>
      </c>
      <c r="D42" s="1107"/>
      <c r="E42" s="356"/>
      <c r="F42" s="356"/>
    </row>
    <row r="43" spans="1:6" ht="12.75" customHeight="1" x14ac:dyDescent="0.3">
      <c r="A43" s="337"/>
      <c r="B43" s="1113"/>
      <c r="C43" s="1113">
        <v>0</v>
      </c>
      <c r="D43" s="1113"/>
      <c r="E43" s="356"/>
      <c r="F43" s="356"/>
    </row>
    <row r="44" spans="1:6" ht="14.4" x14ac:dyDescent="0.3">
      <c r="A44" s="336"/>
      <c r="B44" s="1114" t="s">
        <v>49</v>
      </c>
      <c r="C44" s="1114" t="s">
        <v>49</v>
      </c>
      <c r="D44" s="1114" t="s">
        <v>49</v>
      </c>
      <c r="E44" s="356"/>
      <c r="F44" s="356"/>
    </row>
    <row r="45" spans="1:6" ht="14.4" x14ac:dyDescent="0.3">
      <c r="A45" s="339" t="s">
        <v>75</v>
      </c>
      <c r="B45" s="340">
        <v>2019</v>
      </c>
      <c r="C45" s="1115">
        <v>2019</v>
      </c>
      <c r="D45" s="1115">
        <v>2019</v>
      </c>
      <c r="E45" s="356"/>
      <c r="F45" s="356"/>
    </row>
    <row r="46" spans="1:6" ht="6" customHeight="1" x14ac:dyDescent="0.3">
      <c r="A46" s="341"/>
      <c r="B46" s="1116"/>
      <c r="C46" s="1116">
        <v>0</v>
      </c>
      <c r="D46" s="1116"/>
      <c r="E46" s="356"/>
      <c r="F46" s="356"/>
    </row>
    <row r="47" spans="1:6" ht="12.75" customHeight="1" x14ac:dyDescent="0.3">
      <c r="A47" s="344" t="s">
        <v>51</v>
      </c>
      <c r="B47" s="1117">
        <v>1228964973.3800001</v>
      </c>
      <c r="C47" s="1117">
        <v>1038869712.1</v>
      </c>
      <c r="D47" s="1117">
        <v>824970705.40999997</v>
      </c>
      <c r="E47" s="356"/>
      <c r="F47" s="356"/>
    </row>
    <row r="48" spans="1:6" ht="14.4" x14ac:dyDescent="0.3">
      <c r="A48" s="344" t="s">
        <v>52</v>
      </c>
      <c r="B48" s="1117">
        <v>781256174.95000005</v>
      </c>
      <c r="C48" s="1117">
        <v>764752020.63600004</v>
      </c>
      <c r="D48" s="1117">
        <v>733888749.98699999</v>
      </c>
      <c r="E48" s="356"/>
      <c r="F48" s="356"/>
    </row>
    <row r="49" spans="1:6" ht="12.75" customHeight="1" x14ac:dyDescent="0.3">
      <c r="A49" s="344" t="s">
        <v>53</v>
      </c>
      <c r="B49" s="1117">
        <v>98963070.275999993</v>
      </c>
      <c r="C49" s="1117">
        <v>106287089.37800001</v>
      </c>
      <c r="D49" s="1117">
        <v>88769738.123999998</v>
      </c>
      <c r="E49" s="356"/>
      <c r="F49" s="356"/>
    </row>
    <row r="50" spans="1:6" ht="14.4" x14ac:dyDescent="0.3">
      <c r="A50" s="344" t="s">
        <v>54</v>
      </c>
      <c r="B50" s="1117">
        <v>6176844.3640000001</v>
      </c>
      <c r="C50" s="1117">
        <v>6927573.9179999996</v>
      </c>
      <c r="D50" s="1117">
        <v>5957189.9759999998</v>
      </c>
      <c r="E50" s="356"/>
      <c r="F50" s="356"/>
    </row>
    <row r="51" spans="1:6" ht="14.4" x14ac:dyDescent="0.3">
      <c r="A51" s="344" t="s">
        <v>55</v>
      </c>
      <c r="B51" s="1117">
        <v>1004350</v>
      </c>
      <c r="C51" s="1117">
        <v>726480</v>
      </c>
      <c r="D51" s="1117">
        <v>711860</v>
      </c>
      <c r="E51" s="356"/>
      <c r="F51" s="356"/>
    </row>
    <row r="52" spans="1:6" ht="6" customHeight="1" x14ac:dyDescent="0.3">
      <c r="A52" s="341"/>
      <c r="B52" s="1118"/>
      <c r="C52" s="1118">
        <v>0</v>
      </c>
      <c r="D52" s="1118"/>
      <c r="E52" s="356"/>
      <c r="F52" s="356"/>
    </row>
    <row r="53" spans="1:6" ht="12.75" customHeight="1" x14ac:dyDescent="0.3">
      <c r="A53" s="347" t="s">
        <v>56</v>
      </c>
      <c r="B53" s="1119">
        <v>2116365412.9700003</v>
      </c>
      <c r="C53" s="1119">
        <v>1917562876.0320001</v>
      </c>
      <c r="D53" s="1119">
        <v>1654298243.497</v>
      </c>
      <c r="E53" s="356"/>
      <c r="F53" s="356"/>
    </row>
    <row r="54" spans="1:6" ht="12.75" customHeight="1" x14ac:dyDescent="0.3">
      <c r="A54" s="344" t="s">
        <v>57</v>
      </c>
      <c r="B54" s="1117">
        <v>193603435.03</v>
      </c>
      <c r="C54" s="1117">
        <v>168803280.736</v>
      </c>
      <c r="D54" s="1117">
        <v>138692183.55199999</v>
      </c>
      <c r="E54" s="356"/>
      <c r="F54" s="356"/>
    </row>
    <row r="55" spans="1:6" ht="14.4" x14ac:dyDescent="0.3">
      <c r="A55" s="344" t="s">
        <v>58</v>
      </c>
      <c r="B55" s="1117">
        <v>152729085</v>
      </c>
      <c r="C55" s="1117">
        <v>230721620</v>
      </c>
      <c r="D55" s="1117">
        <v>115389694</v>
      </c>
      <c r="E55" s="356"/>
      <c r="F55" s="356"/>
    </row>
    <row r="56" spans="1:6" ht="6" customHeight="1" x14ac:dyDescent="0.3">
      <c r="A56" s="334"/>
      <c r="B56" s="1120"/>
      <c r="C56" s="1120">
        <v>0</v>
      </c>
      <c r="D56" s="1120"/>
      <c r="E56" s="356"/>
      <c r="F56" s="356"/>
    </row>
    <row r="57" spans="1:6" ht="15" thickBot="1" x14ac:dyDescent="0.35">
      <c r="A57" s="347" t="s">
        <v>350</v>
      </c>
      <c r="B57" s="1121">
        <v>2462697933.0000005</v>
      </c>
      <c r="C57" s="1121">
        <v>2317087776.7680001</v>
      </c>
      <c r="D57" s="1121">
        <v>1908380121.049</v>
      </c>
      <c r="E57" s="356"/>
      <c r="F57" s="356"/>
    </row>
    <row r="58" spans="1:6" ht="12.75" customHeight="1" thickTop="1" x14ac:dyDescent="0.25">
      <c r="A58" s="336"/>
      <c r="B58" s="355"/>
    </row>
    <row r="59" spans="1:6" x14ac:dyDescent="0.25">
      <c r="A59" s="1151"/>
      <c r="B59" s="1151"/>
    </row>
    <row r="60" spans="1:6" ht="12.75" customHeight="1" x14ac:dyDescent="0.25">
      <c r="A60" s="1151" t="s">
        <v>351</v>
      </c>
      <c r="B60" s="1151"/>
    </row>
  </sheetData>
  <mergeCells count="2">
    <mergeCell ref="A59:B59"/>
    <mergeCell ref="A60:B6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2020-02-28T08:00:00+00:00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200142</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6E919917EAABD43BB2124156BD8DF99" ma:contentTypeVersion="52" ma:contentTypeDescription="" ma:contentTypeScope="" ma:versionID="3e8dc7f49dd2fe4e2458c08fcb3036c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9155B-74CD-4AC4-83BE-1FFFADF8EF6A}"/>
</file>

<file path=customXml/itemProps2.xml><?xml version="1.0" encoding="utf-8"?>
<ds:datastoreItem xmlns:ds="http://schemas.openxmlformats.org/officeDocument/2006/customXml" ds:itemID="{0329ECB4-7016-47B8-B953-ACC0271BD222}"/>
</file>

<file path=customXml/itemProps3.xml><?xml version="1.0" encoding="utf-8"?>
<ds:datastoreItem xmlns:ds="http://schemas.openxmlformats.org/officeDocument/2006/customXml" ds:itemID="{D8B36573-CE77-4CA4-BA43-BC761DA06D54}"/>
</file>

<file path=customXml/itemProps4.xml><?xml version="1.0" encoding="utf-8"?>
<ds:datastoreItem xmlns:ds="http://schemas.openxmlformats.org/officeDocument/2006/customXml" ds:itemID="{D43B10AD-9C76-4F80-82A9-4B25F720B4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Read First</vt:lpstr>
      <vt:lpstr>CurYr (CY) vs. PriorYr (PY) ==&gt;</vt:lpstr>
      <vt:lpstr>Summary</vt:lpstr>
      <vt:lpstr>Variance Analysis</vt:lpstr>
      <vt:lpstr>PY True-up </vt:lpstr>
      <vt:lpstr>Info to Calc CY ==&gt;</vt:lpstr>
      <vt:lpstr>CY Rev Req ==&gt;</vt:lpstr>
      <vt:lpstr>CY Rev Req Non-449</vt:lpstr>
      <vt:lpstr>CY Rev Remove 449</vt:lpstr>
      <vt:lpstr>2020 Budget (Rvsd) UE-190905</vt:lpstr>
      <vt:lpstr>CY Conv Fctr (2017 GRC Tx Rfrm)</vt:lpstr>
      <vt:lpstr>Calculate CY True-Up ==&gt;</vt:lpstr>
      <vt:lpstr>CY True-Up</vt:lpstr>
      <vt:lpstr>18-19 Load True-Up ==&gt;</vt:lpstr>
      <vt:lpstr>PY Rev Req Non-449 (UE-190149)</vt:lpstr>
      <vt:lpstr>2019 Collections</vt:lpstr>
      <vt:lpstr>AC 1820621</vt:lpstr>
      <vt:lpstr>PY COS</vt:lpstr>
      <vt:lpstr>F2019 Load Forecast</vt:lpstr>
      <vt:lpstr>258 Cons Tbl 19-20</vt:lpstr>
      <vt:lpstr>18-19 Spend Variance ==&gt;</vt:lpstr>
      <vt:lpstr>2019 Budget UE-171087</vt:lpstr>
      <vt:lpstr>PY Actual Program Costs</vt:lpstr>
      <vt:lpstr>True-up Est in PY Filing ==&gt;</vt:lpstr>
      <vt:lpstr>PY Est - Actual v Est</vt:lpstr>
      <vt:lpstr>Estimate Used in PY Filing</vt:lpstr>
      <vt:lpstr>Act Sch 120 Collctns Feb-Apr 19</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Popich</dc:creator>
  <cp:lastModifiedBy>Marvelous Marina</cp:lastModifiedBy>
  <cp:lastPrinted>2018-02-08T22:05:17Z</cp:lastPrinted>
  <dcterms:created xsi:type="dcterms:W3CDTF">2016-02-06T01:29:31Z</dcterms:created>
  <dcterms:modified xsi:type="dcterms:W3CDTF">2020-02-26T23:49:48Z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0x0101006E56B4D1795A2E4DB2F0B01679ED314A0056E919917EAABD43BB2124156BD8DF99</vt:lpwstr>
  </property>
  <property fmtid="{D5CDD505-2E9C-101B-9397-08002B2CF9AE}" pid="3" name="_docset_NoMedatataSyncRequired">
    <vt:lpwstr>False</vt:lpwstr>
  </property>
  <property fmtid="{D5CDD505-2E9C-101B-9397-08002B2CF9AE}" pid="4" name="IsEFSEC">
    <vt:bool>false</vt:bool>
  </property>
</Properties>
</file>