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Client Data\Arrow Launch\Rate Filing 12-2019\"/>
    </mc:Choice>
  </mc:AlternateContent>
  <xr:revisionPtr revIDLastSave="0" documentId="13_ncr:1_{A9E94658-3330-4A25-8CE9-15A5BC35A199}" xr6:coauthVersionLast="45" xr6:coauthVersionMax="45" xr10:uidLastSave="{00000000-0000-0000-0000-000000000000}"/>
  <bookViews>
    <workbookView xWindow="-120" yWindow="-120" windowWidth="29040" windowHeight="15840" tabRatio="929" firstSheet="7" activeTab="16" xr2:uid="{00000000-000D-0000-FFFF-FFFF00000000}"/>
  </bookViews>
  <sheets>
    <sheet name="ALS Income" sheetId="1" r:id="rId1"/>
    <sheet name="Pro Forma with Allocations" sheetId="2" r:id="rId2"/>
    <sheet name="Restating Entries" sheetId="4" r:id="rId3"/>
    <sheet name="Pro Fomra" sheetId="5" r:id="rId4"/>
    <sheet name="Payroll Worksheet" sheetId="6" r:id="rId5"/>
    <sheet name="Regulatory Depreciation" sheetId="7" r:id="rId6"/>
    <sheet name="Allocation Worksheet" sheetId="3" r:id="rId7"/>
    <sheet name="Price Out Worksheet" sheetId="8" r:id="rId8"/>
    <sheet name="Engine Hours" sheetId="9" r:id="rId9"/>
    <sheet name="Crew Labor Hours" sheetId="10" r:id="rId10"/>
    <sheet name="Accounting-MEI-Current Case" sheetId="11" r:id="rId11"/>
    <sheet name="Attorney Costs MEI Amort" sheetId="12" r:id="rId12"/>
    <sheet name="Rents" sheetId="28" r:id="rId13"/>
    <sheet name="Moorage Costs" sheetId="29" r:id="rId14"/>
    <sheet name="Health Care Cost Increase" sheetId="33" r:id="rId15"/>
    <sheet name="Insurance 2018-2019" sheetId="30" r:id="rId16"/>
    <sheet name="Insurnace 2019-2020" sheetId="34" r:id="rId17"/>
    <sheet name="GL Insurnace Account" sheetId="35" r:id="rId18"/>
  </sheets>
  <externalReferences>
    <externalReference r:id="rId19"/>
    <externalReference r:id="rId20"/>
  </externalReferences>
  <definedNames>
    <definedName name="_xlnm.Print_Area" localSheetId="0">'ALS Income'!$A$2:$F$199</definedName>
    <definedName name="_xlnm.Print_Area" localSheetId="17">'GL Insurnace Account'!$A$1:$I$40</definedName>
    <definedName name="_xlnm.Print_Area" localSheetId="14">'Health Care Cost Increase'!$A$1:$Q$22</definedName>
    <definedName name="_xlnm.Print_Area" localSheetId="15">'Insurance 2018-2019'!$A$1:$I$33</definedName>
    <definedName name="_xlnm.Print_Area" localSheetId="16">'Insurnace 2019-2020'!$A$1:$I$23</definedName>
    <definedName name="_xlnm.Print_Area" localSheetId="13">'Moorage Costs'!$A$2:$N$130</definedName>
    <definedName name="_xlnm.Print_Area" localSheetId="4">'Payroll Worksheet'!$A$6:$S$79</definedName>
    <definedName name="_xlnm.Print_Area" localSheetId="1">'Pro Forma with Allocations'!$A$6:$M$69</definedName>
    <definedName name="_xlnm.Print_Area" localSheetId="5">'Regulatory Depreciation'!$A$13:$AE$306</definedName>
    <definedName name="_xlnm.Print_Area" localSheetId="12">Rents!$A$2:$P$102</definedName>
    <definedName name="_xlnm.Print_Area" localSheetId="2">'Restating Entries'!$A$1:$J$50</definedName>
    <definedName name="_xlnm.Print_Titles" localSheetId="0">'ALS Income'!$1:$1</definedName>
    <definedName name="_xlnm.Print_Titles" localSheetId="13">'Moorage Costs'!$1:$1</definedName>
    <definedName name="_xlnm.Print_Titles" localSheetId="4">'Payroll Worksheet'!$1:$5</definedName>
    <definedName name="_xlnm.Print_Titles" localSheetId="1">'Pro Forma with Allocations'!$1:$6</definedName>
    <definedName name="_xlnm.Print_Titles" localSheetId="5">'Regulatory Depreciation'!$1:$12</definedName>
    <definedName name="_xlnm.Print_Titles" localSheetId="12">Rents!$1:$1</definedName>
    <definedName name="_xlnm.Print_Titles" localSheetId="2">'Restating Entries'!$1:$6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4" i="34" l="1"/>
  <c r="G13" i="34"/>
  <c r="G12" i="34"/>
  <c r="G11" i="34"/>
  <c r="G10" i="34"/>
  <c r="G9" i="34"/>
  <c r="G8" i="34"/>
  <c r="G7" i="34"/>
  <c r="G6" i="34"/>
  <c r="G18" i="30"/>
  <c r="G14" i="30"/>
  <c r="G13" i="30"/>
  <c r="G12" i="30"/>
  <c r="G11" i="30"/>
  <c r="G10" i="30"/>
  <c r="G9" i="30"/>
  <c r="G8" i="30"/>
  <c r="G7" i="30"/>
  <c r="G6" i="30"/>
  <c r="J47" i="4" l="1"/>
  <c r="F39" i="35" l="1"/>
  <c r="F37" i="35"/>
  <c r="A37" i="35"/>
  <c r="F36" i="35"/>
  <c r="A36" i="35"/>
  <c r="F35" i="35"/>
  <c r="F38" i="35" s="1"/>
  <c r="F40" i="35" s="1"/>
  <c r="A35" i="35"/>
  <c r="G30" i="35"/>
  <c r="G32" i="35" s="1"/>
  <c r="F30" i="35"/>
  <c r="F32" i="35" s="1"/>
  <c r="H30" i="35" l="1"/>
  <c r="H32" i="35" s="1"/>
  <c r="C15" i="34" l="1"/>
  <c r="C21" i="34" s="1"/>
  <c r="C23" i="34" s="1"/>
  <c r="E26" i="30"/>
  <c r="C15" i="30"/>
  <c r="C21" i="30" s="1"/>
  <c r="C23" i="30" s="1"/>
  <c r="G15" i="34" l="1"/>
  <c r="H16" i="34" s="1"/>
  <c r="G15" i="30"/>
  <c r="H16" i="30" s="1"/>
  <c r="E15" i="34"/>
  <c r="I18" i="34"/>
  <c r="E15" i="30"/>
  <c r="I18" i="30"/>
  <c r="I15" i="34" l="1"/>
  <c r="F16" i="34"/>
  <c r="G18" i="34"/>
  <c r="G21" i="34" s="1"/>
  <c r="G23" i="34" s="1"/>
  <c r="E18" i="34"/>
  <c r="E21" i="34" s="1"/>
  <c r="F16" i="30"/>
  <c r="I15" i="30"/>
  <c r="G21" i="30"/>
  <c r="G23" i="30" s="1"/>
  <c r="E21" i="30"/>
  <c r="E23" i="34" l="1"/>
  <c r="I21" i="34"/>
  <c r="I21" i="30"/>
  <c r="E23" i="30"/>
  <c r="E25" i="30" s="1"/>
  <c r="E27" i="30" s="1"/>
  <c r="E29" i="30" s="1"/>
  <c r="E32" i="30" s="1"/>
  <c r="J46" i="4" s="1"/>
  <c r="C48" i="2" l="1"/>
  <c r="B20" i="5"/>
  <c r="I14" i="33"/>
  <c r="K14" i="33" s="1"/>
  <c r="M14" i="33" s="1"/>
  <c r="H14" i="33"/>
  <c r="J14" i="33" s="1"/>
  <c r="L14" i="33" s="1"/>
  <c r="G14" i="33"/>
  <c r="I13" i="33"/>
  <c r="K13" i="33" s="1"/>
  <c r="M13" i="33" s="1"/>
  <c r="H13" i="33"/>
  <c r="N13" i="33" s="1"/>
  <c r="G13" i="33"/>
  <c r="O12" i="33"/>
  <c r="Q12" i="33" s="1"/>
  <c r="K12" i="33"/>
  <c r="M12" i="33" s="1"/>
  <c r="J12" i="33"/>
  <c r="I12" i="33"/>
  <c r="H12" i="33"/>
  <c r="N12" i="33" s="1"/>
  <c r="P12" i="33" s="1"/>
  <c r="G12" i="33"/>
  <c r="I11" i="33"/>
  <c r="K11" i="33" s="1"/>
  <c r="M11" i="33" s="1"/>
  <c r="H11" i="33"/>
  <c r="N11" i="33" s="1"/>
  <c r="G11" i="33"/>
  <c r="I10" i="33"/>
  <c r="O10" i="33" s="1"/>
  <c r="Q10" i="33" s="1"/>
  <c r="H10" i="33"/>
  <c r="N10" i="33" s="1"/>
  <c r="P10" i="33" s="1"/>
  <c r="G10" i="33"/>
  <c r="I9" i="33"/>
  <c r="O9" i="33" s="1"/>
  <c r="Q9" i="33" s="1"/>
  <c r="H9" i="33"/>
  <c r="J9" i="33" s="1"/>
  <c r="G9" i="33"/>
  <c r="N8" i="33"/>
  <c r="I8" i="33"/>
  <c r="O8" i="33" s="1"/>
  <c r="Q8" i="33" s="1"/>
  <c r="H8" i="33"/>
  <c r="J8" i="33" s="1"/>
  <c r="G8" i="33"/>
  <c r="N7" i="33"/>
  <c r="I7" i="33"/>
  <c r="O7" i="33" s="1"/>
  <c r="H7" i="33"/>
  <c r="J7" i="33" s="1"/>
  <c r="G7" i="33"/>
  <c r="P11" i="33" l="1"/>
  <c r="K9" i="33"/>
  <c r="M9" i="33" s="1"/>
  <c r="J11" i="33"/>
  <c r="N14" i="33"/>
  <c r="K8" i="33"/>
  <c r="M8" i="33" s="1"/>
  <c r="O11" i="33"/>
  <c r="Q11" i="33" s="1"/>
  <c r="P8" i="33"/>
  <c r="P13" i="33"/>
  <c r="O13" i="33"/>
  <c r="Q13" i="33" s="1"/>
  <c r="L9" i="33"/>
  <c r="L12" i="33"/>
  <c r="Q7" i="33"/>
  <c r="P7" i="33"/>
  <c r="L11" i="33"/>
  <c r="N16" i="33"/>
  <c r="L7" i="33"/>
  <c r="N9" i="33"/>
  <c r="P9" i="33" s="1"/>
  <c r="K10" i="33"/>
  <c r="M10" i="33" s="1"/>
  <c r="J13" i="33"/>
  <c r="L13" i="33" s="1"/>
  <c r="O14" i="33"/>
  <c r="Q14" i="33" s="1"/>
  <c r="K7" i="33"/>
  <c r="J10" i="33"/>
  <c r="L10" i="33" s="1"/>
  <c r="P14" i="33" l="1"/>
  <c r="P16" i="33" s="1"/>
  <c r="L8" i="33"/>
  <c r="L16" i="33" s="1"/>
  <c r="J16" i="33"/>
  <c r="K16" i="33"/>
  <c r="K21" i="33" s="1"/>
  <c r="M7" i="33"/>
  <c r="M16" i="33" s="1"/>
  <c r="O16" i="33"/>
  <c r="Q16" i="33"/>
  <c r="M21" i="33" l="1"/>
  <c r="J20" i="5"/>
  <c r="F48" i="2" s="1"/>
  <c r="H48" i="2" s="1"/>
  <c r="L66" i="2"/>
  <c r="L68" i="2" s="1"/>
  <c r="L60" i="2"/>
  <c r="L67" i="2" l="1"/>
  <c r="M65" i="2" l="1"/>
  <c r="M64" i="2"/>
  <c r="M63" i="2"/>
  <c r="M62" i="2"/>
  <c r="M61" i="2"/>
  <c r="M60" i="2"/>
  <c r="M59" i="2"/>
  <c r="M58" i="2"/>
  <c r="M57" i="2"/>
  <c r="M56" i="2"/>
  <c r="M55" i="2"/>
  <c r="M54" i="2"/>
  <c r="M53" i="2"/>
  <c r="M52" i="2"/>
  <c r="M51" i="2"/>
  <c r="M50" i="2"/>
  <c r="M49" i="2"/>
  <c r="M46" i="2"/>
  <c r="M45" i="2"/>
  <c r="M44" i="2"/>
  <c r="M43" i="2"/>
  <c r="M42" i="2"/>
  <c r="M41" i="2"/>
  <c r="M40" i="2"/>
  <c r="M39" i="2"/>
  <c r="M38" i="2"/>
  <c r="M37" i="2"/>
  <c r="M36" i="2"/>
  <c r="M35" i="2"/>
  <c r="M34" i="2"/>
  <c r="M33" i="2"/>
  <c r="M32" i="2"/>
  <c r="M31" i="2"/>
  <c r="M30" i="2"/>
  <c r="M29" i="2"/>
  <c r="M28" i="2"/>
  <c r="M27" i="2"/>
  <c r="M26" i="2"/>
  <c r="M25" i="2"/>
  <c r="M24" i="2"/>
  <c r="M23" i="2"/>
  <c r="M22" i="2"/>
  <c r="M21" i="2"/>
  <c r="M20" i="2"/>
  <c r="M19" i="2"/>
  <c r="M18" i="2"/>
  <c r="M17" i="2"/>
  <c r="M10" i="2"/>
  <c r="M9" i="2"/>
  <c r="M8" i="2"/>
  <c r="M7" i="2"/>
  <c r="L14" i="2"/>
  <c r="L7" i="2"/>
  <c r="F66" i="2"/>
  <c r="F67" i="2" s="1"/>
  <c r="F35" i="2"/>
  <c r="F34" i="2"/>
  <c r="J15" i="5"/>
  <c r="J14" i="5"/>
  <c r="J30" i="4"/>
  <c r="J29" i="4"/>
  <c r="F25" i="2"/>
  <c r="J10" i="5"/>
  <c r="J15" i="4"/>
  <c r="J42" i="4"/>
  <c r="D20" i="2"/>
  <c r="G127" i="29"/>
  <c r="L127" i="29"/>
  <c r="M14" i="2" l="1"/>
  <c r="K16" i="8"/>
  <c r="G11" i="8"/>
  <c r="G5" i="8"/>
  <c r="D47" i="2" l="1"/>
  <c r="Q79" i="6"/>
  <c r="Q76" i="6"/>
  <c r="P76" i="6"/>
  <c r="P75" i="6"/>
  <c r="Q75" i="6" s="1"/>
  <c r="Q74" i="6"/>
  <c r="P73" i="6"/>
  <c r="Q73" i="6" s="1"/>
  <c r="K70" i="6"/>
  <c r="I70" i="6"/>
  <c r="G70" i="6"/>
  <c r="E70" i="6"/>
  <c r="Q69" i="6"/>
  <c r="P69" i="6"/>
  <c r="M69" i="6"/>
  <c r="J69" i="6"/>
  <c r="L69" i="6" s="1"/>
  <c r="M68" i="6"/>
  <c r="L68" i="6"/>
  <c r="Q67" i="6"/>
  <c r="P67" i="6"/>
  <c r="M67" i="6"/>
  <c r="L67" i="6"/>
  <c r="M66" i="6"/>
  <c r="L66" i="6"/>
  <c r="J66" i="6"/>
  <c r="M65" i="6"/>
  <c r="J65" i="6"/>
  <c r="L65" i="6" s="1"/>
  <c r="Q64" i="6"/>
  <c r="P64" i="6"/>
  <c r="M64" i="6"/>
  <c r="J64" i="6"/>
  <c r="L64" i="6" s="1"/>
  <c r="P63" i="6"/>
  <c r="M63" i="6"/>
  <c r="Q63" i="6" s="1"/>
  <c r="L63" i="6"/>
  <c r="J63" i="6"/>
  <c r="C63" i="6"/>
  <c r="C64" i="6" s="1"/>
  <c r="C65" i="6" s="1"/>
  <c r="M62" i="6"/>
  <c r="P62" i="6" s="1"/>
  <c r="Q62" i="6" s="1"/>
  <c r="L62" i="6"/>
  <c r="Q61" i="6"/>
  <c r="P61" i="6"/>
  <c r="M61" i="6"/>
  <c r="H61" i="6"/>
  <c r="L61" i="6" s="1"/>
  <c r="M60" i="6"/>
  <c r="L60" i="6"/>
  <c r="M59" i="6"/>
  <c r="L59" i="6"/>
  <c r="Q58" i="6"/>
  <c r="P58" i="6"/>
  <c r="M58" i="6"/>
  <c r="J58" i="6"/>
  <c r="H58" i="6"/>
  <c r="L58" i="6" s="1"/>
  <c r="O57" i="6"/>
  <c r="M57" i="6"/>
  <c r="Q57" i="6" s="1"/>
  <c r="L57" i="6"/>
  <c r="O56" i="6"/>
  <c r="Q56" i="6" s="1"/>
  <c r="M56" i="6"/>
  <c r="L56" i="6"/>
  <c r="Q55" i="6"/>
  <c r="O55" i="6"/>
  <c r="M55" i="6"/>
  <c r="L55" i="6"/>
  <c r="M54" i="6"/>
  <c r="L54" i="6"/>
  <c r="H54" i="6"/>
  <c r="O53" i="6"/>
  <c r="Q53" i="6" s="1"/>
  <c r="M53" i="6"/>
  <c r="L53" i="6"/>
  <c r="Q52" i="6"/>
  <c r="O52" i="6"/>
  <c r="M52" i="6"/>
  <c r="H52" i="6"/>
  <c r="L52" i="6" s="1"/>
  <c r="O51" i="6"/>
  <c r="M51" i="6"/>
  <c r="Q51" i="6" s="1"/>
  <c r="L51" i="6"/>
  <c r="F51" i="6"/>
  <c r="D51" i="6"/>
  <c r="M50" i="6"/>
  <c r="L50" i="6"/>
  <c r="F50" i="6"/>
  <c r="D50" i="6"/>
  <c r="M49" i="6"/>
  <c r="P49" i="6" s="1"/>
  <c r="Q49" i="6" s="1"/>
  <c r="L49" i="6"/>
  <c r="J49" i="6"/>
  <c r="H49" i="6"/>
  <c r="F49" i="6"/>
  <c r="D49" i="6"/>
  <c r="M48" i="6"/>
  <c r="L48" i="6"/>
  <c r="J48" i="6"/>
  <c r="H48" i="6"/>
  <c r="F48" i="6"/>
  <c r="D48" i="6"/>
  <c r="P47" i="6"/>
  <c r="M47" i="6"/>
  <c r="Q47" i="6" s="1"/>
  <c r="J47" i="6"/>
  <c r="H47" i="6"/>
  <c r="F47" i="6"/>
  <c r="L47" i="6" s="1"/>
  <c r="P46" i="6"/>
  <c r="M46" i="6"/>
  <c r="Q46" i="6" s="1"/>
  <c r="J46" i="6"/>
  <c r="H46" i="6"/>
  <c r="F46" i="6"/>
  <c r="L46" i="6" s="1"/>
  <c r="D46" i="6"/>
  <c r="Q45" i="6"/>
  <c r="O45" i="6"/>
  <c r="M45" i="6"/>
  <c r="F45" i="6"/>
  <c r="L45" i="6" s="1"/>
  <c r="M44" i="6"/>
  <c r="L44" i="6"/>
  <c r="M43" i="6"/>
  <c r="J43" i="6"/>
  <c r="H43" i="6"/>
  <c r="F43" i="6"/>
  <c r="D43" i="6"/>
  <c r="L43" i="6" s="1"/>
  <c r="P42" i="6"/>
  <c r="Q42" i="6" s="1"/>
  <c r="M42" i="6"/>
  <c r="L42" i="6"/>
  <c r="Q41" i="6"/>
  <c r="O41" i="6"/>
  <c r="M41" i="6"/>
  <c r="D41" i="6"/>
  <c r="L41" i="6" s="1"/>
  <c r="P40" i="6"/>
  <c r="M40" i="6"/>
  <c r="Q40" i="6" s="1"/>
  <c r="J40" i="6"/>
  <c r="H40" i="6"/>
  <c r="F40" i="6"/>
  <c r="L40" i="6" s="1"/>
  <c r="D40" i="6"/>
  <c r="Q39" i="6"/>
  <c r="P39" i="6"/>
  <c r="M39" i="6"/>
  <c r="J39" i="6"/>
  <c r="H39" i="6"/>
  <c r="F39" i="6"/>
  <c r="D39" i="6"/>
  <c r="L39" i="6" s="1"/>
  <c r="Q38" i="6"/>
  <c r="P38" i="6"/>
  <c r="M38" i="6"/>
  <c r="D38" i="6"/>
  <c r="L38" i="6" s="1"/>
  <c r="P37" i="6"/>
  <c r="M37" i="6"/>
  <c r="Q37" i="6" s="1"/>
  <c r="J37" i="6"/>
  <c r="H37" i="6"/>
  <c r="D37" i="6"/>
  <c r="L37" i="6" s="1"/>
  <c r="M36" i="6"/>
  <c r="P36" i="6" s="1"/>
  <c r="J36" i="6"/>
  <c r="H36" i="6"/>
  <c r="F36" i="6"/>
  <c r="L36" i="6" s="1"/>
  <c r="D36" i="6"/>
  <c r="P35" i="6"/>
  <c r="Q35" i="6" s="1"/>
  <c r="M35" i="6"/>
  <c r="J35" i="6"/>
  <c r="H35" i="6"/>
  <c r="F35" i="6"/>
  <c r="D35" i="6"/>
  <c r="L35" i="6" s="1"/>
  <c r="Q34" i="6"/>
  <c r="P34" i="6"/>
  <c r="M34" i="6"/>
  <c r="J34" i="6"/>
  <c r="H34" i="6"/>
  <c r="F34" i="6"/>
  <c r="D34" i="6"/>
  <c r="L34" i="6" s="1"/>
  <c r="Q33" i="6"/>
  <c r="O33" i="6"/>
  <c r="M33" i="6"/>
  <c r="L33" i="6"/>
  <c r="M32" i="6"/>
  <c r="O32" i="6" s="1"/>
  <c r="L32" i="6"/>
  <c r="D32" i="6"/>
  <c r="Q31" i="6"/>
  <c r="M31" i="6"/>
  <c r="L31" i="6"/>
  <c r="Q30" i="6"/>
  <c r="P30" i="6"/>
  <c r="M30" i="6"/>
  <c r="L30" i="6"/>
  <c r="M29" i="6"/>
  <c r="L29" i="6"/>
  <c r="F29" i="6"/>
  <c r="P28" i="6"/>
  <c r="Q28" i="6" s="1"/>
  <c r="M28" i="6"/>
  <c r="L28" i="6"/>
  <c r="Q27" i="6"/>
  <c r="P27" i="6"/>
  <c r="M27" i="6"/>
  <c r="J27" i="6"/>
  <c r="H27" i="6"/>
  <c r="F27" i="6"/>
  <c r="D27" i="6"/>
  <c r="L27" i="6" s="1"/>
  <c r="Q26" i="6"/>
  <c r="P26" i="6"/>
  <c r="M26" i="6"/>
  <c r="J26" i="6"/>
  <c r="H26" i="6"/>
  <c r="F26" i="6"/>
  <c r="L26" i="6" s="1"/>
  <c r="Q25" i="6"/>
  <c r="P25" i="6"/>
  <c r="M25" i="6"/>
  <c r="J25" i="6"/>
  <c r="H25" i="6"/>
  <c r="F25" i="6"/>
  <c r="D25" i="6"/>
  <c r="L25" i="6" s="1"/>
  <c r="Q24" i="6"/>
  <c r="M24" i="6"/>
  <c r="L24" i="6"/>
  <c r="M23" i="6"/>
  <c r="Q23" i="6" s="1"/>
  <c r="L23" i="6"/>
  <c r="M22" i="6"/>
  <c r="L22" i="6"/>
  <c r="O21" i="6"/>
  <c r="Q21" i="6" s="1"/>
  <c r="M21" i="6"/>
  <c r="L21" i="6"/>
  <c r="F21" i="6"/>
  <c r="M20" i="6"/>
  <c r="Q20" i="6" s="1"/>
  <c r="J20" i="6"/>
  <c r="L20" i="6" s="1"/>
  <c r="H20" i="6"/>
  <c r="D20" i="6"/>
  <c r="M19" i="6"/>
  <c r="P19" i="6" s="1"/>
  <c r="Q19" i="6" s="1"/>
  <c r="J19" i="6"/>
  <c r="L19" i="6" s="1"/>
  <c r="H19" i="6"/>
  <c r="F19" i="6"/>
  <c r="D19" i="6"/>
  <c r="M18" i="6"/>
  <c r="L18" i="6"/>
  <c r="M17" i="6"/>
  <c r="J17" i="6"/>
  <c r="H17" i="6"/>
  <c r="F17" i="6"/>
  <c r="D17" i="6"/>
  <c r="L17" i="6" s="1"/>
  <c r="P16" i="6"/>
  <c r="Q16" i="6" s="1"/>
  <c r="M16" i="6"/>
  <c r="J16" i="6"/>
  <c r="H16" i="6"/>
  <c r="F16" i="6"/>
  <c r="L16" i="6" s="1"/>
  <c r="D16" i="6"/>
  <c r="M15" i="6"/>
  <c r="P15" i="6" s="1"/>
  <c r="Q15" i="6" s="1"/>
  <c r="J15" i="6"/>
  <c r="L15" i="6" s="1"/>
  <c r="H15" i="6"/>
  <c r="F15" i="6"/>
  <c r="D15" i="6"/>
  <c r="M14" i="6"/>
  <c r="Q14" i="6" s="1"/>
  <c r="L14" i="6"/>
  <c r="P14" i="6" s="1"/>
  <c r="J14" i="6"/>
  <c r="H14" i="6"/>
  <c r="F14" i="6"/>
  <c r="D14" i="6"/>
  <c r="M13" i="6"/>
  <c r="O13" i="6" s="1"/>
  <c r="L13" i="6"/>
  <c r="F13" i="6"/>
  <c r="D13" i="6"/>
  <c r="M12" i="6"/>
  <c r="L12" i="6"/>
  <c r="J12" i="6"/>
  <c r="H12" i="6"/>
  <c r="F12" i="6"/>
  <c r="D12" i="6"/>
  <c r="M11" i="6"/>
  <c r="P11" i="6" s="1"/>
  <c r="L11" i="6"/>
  <c r="J11" i="6"/>
  <c r="H11" i="6"/>
  <c r="F11" i="6"/>
  <c r="E11" i="6"/>
  <c r="D11" i="6"/>
  <c r="Q10" i="6"/>
  <c r="P10" i="6"/>
  <c r="M10" i="6"/>
  <c r="L10" i="6"/>
  <c r="M9" i="6"/>
  <c r="L9" i="6"/>
  <c r="J9" i="6"/>
  <c r="H9" i="6"/>
  <c r="F9" i="6"/>
  <c r="D9" i="6"/>
  <c r="M8" i="6"/>
  <c r="P8" i="6" s="1"/>
  <c r="L8" i="6"/>
  <c r="O7" i="6"/>
  <c r="Q7" i="6" s="1"/>
  <c r="M7" i="6"/>
  <c r="L7" i="6"/>
  <c r="C7" i="6"/>
  <c r="C8" i="6" s="1"/>
  <c r="C9" i="6" s="1"/>
  <c r="C10" i="6" s="1"/>
  <c r="C11" i="6" s="1"/>
  <c r="C12" i="6" s="1"/>
  <c r="C13" i="6" s="1"/>
  <c r="C14" i="6" s="1"/>
  <c r="C15" i="6" s="1"/>
  <c r="C16" i="6" s="1"/>
  <c r="C17" i="6" s="1"/>
  <c r="C18" i="6" s="1"/>
  <c r="C19" i="6" s="1"/>
  <c r="C20" i="6" s="1"/>
  <c r="C21" i="6" s="1"/>
  <c r="C22" i="6" s="1"/>
  <c r="C23" i="6" s="1"/>
  <c r="C24" i="6" s="1"/>
  <c r="C25" i="6" s="1"/>
  <c r="C26" i="6" s="1"/>
  <c r="C27" i="6" s="1"/>
  <c r="C28" i="6" s="1"/>
  <c r="C29" i="6" s="1"/>
  <c r="C30" i="6" s="1"/>
  <c r="C31" i="6" s="1"/>
  <c r="C32" i="6" s="1"/>
  <c r="C33" i="6" s="1"/>
  <c r="C34" i="6" s="1"/>
  <c r="C35" i="6" s="1"/>
  <c r="C36" i="6" s="1"/>
  <c r="C37" i="6" s="1"/>
  <c r="C38" i="6" s="1"/>
  <c r="C39" i="6" s="1"/>
  <c r="C40" i="6" s="1"/>
  <c r="C41" i="6" s="1"/>
  <c r="C42" i="6" s="1"/>
  <c r="C43" i="6" s="1"/>
  <c r="C44" i="6" s="1"/>
  <c r="C45" i="6" s="1"/>
  <c r="C46" i="6" s="1"/>
  <c r="C47" i="6" s="1"/>
  <c r="C48" i="6" s="1"/>
  <c r="C49" i="6" s="1"/>
  <c r="C50" i="6" s="1"/>
  <c r="C51" i="6" s="1"/>
  <c r="C52" i="6" s="1"/>
  <c r="C53" i="6" s="1"/>
  <c r="C54" i="6" s="1"/>
  <c r="C55" i="6" s="1"/>
  <c r="C56" i="6" s="1"/>
  <c r="C57" i="6" s="1"/>
  <c r="C58" i="6" s="1"/>
  <c r="C59" i="6" s="1"/>
  <c r="C60" i="6" s="1"/>
  <c r="H6" i="6"/>
  <c r="F6" i="6"/>
  <c r="E6" i="6"/>
  <c r="M6" i="6" s="1"/>
  <c r="D6" i="6"/>
  <c r="L6" i="6" s="1"/>
  <c r="O6" i="6" l="1"/>
  <c r="M70" i="6"/>
  <c r="Q6" i="6"/>
  <c r="Q68" i="6"/>
  <c r="Q18" i="6"/>
  <c r="Q54" i="6"/>
  <c r="Q8" i="6"/>
  <c r="P9" i="6"/>
  <c r="Q9" i="6" s="1"/>
  <c r="Q11" i="6"/>
  <c r="P12" i="6"/>
  <c r="Q12" i="6" s="1"/>
  <c r="Q13" i="6"/>
  <c r="P18" i="6"/>
  <c r="O29" i="6"/>
  <c r="Q29" i="6" s="1"/>
  <c r="Q32" i="6"/>
  <c r="Q36" i="6"/>
  <c r="P44" i="6"/>
  <c r="Q44" i="6" s="1"/>
  <c r="P48" i="6"/>
  <c r="Q48" i="6" s="1"/>
  <c r="O50" i="6"/>
  <c r="Q50" i="6" s="1"/>
  <c r="O54" i="6"/>
  <c r="P60" i="6"/>
  <c r="Q60" i="6" s="1"/>
  <c r="P66" i="6"/>
  <c r="Q66" i="6" s="1"/>
  <c r="P68" i="6"/>
  <c r="P17" i="6"/>
  <c r="Q17" i="6" s="1"/>
  <c r="O22" i="6"/>
  <c r="Q22" i="6" s="1"/>
  <c r="P43" i="6"/>
  <c r="Q43" i="6" s="1"/>
  <c r="O59" i="6"/>
  <c r="Q59" i="6" s="1"/>
  <c r="P65" i="6"/>
  <c r="Q65" i="6" s="1"/>
  <c r="P70" i="6" l="1"/>
  <c r="P77" i="6" s="1"/>
  <c r="O70" i="6"/>
  <c r="O77" i="6" s="1"/>
  <c r="Q70" i="6" l="1"/>
  <c r="Q77" i="6" s="1"/>
  <c r="H14" i="8" l="1"/>
  <c r="H13" i="8"/>
  <c r="H12" i="8"/>
  <c r="H11" i="8"/>
  <c r="H8" i="8"/>
  <c r="H7" i="8"/>
  <c r="H6" i="8"/>
  <c r="H5" i="8"/>
  <c r="D52" i="2" l="1"/>
  <c r="D36" i="2"/>
  <c r="J41" i="4"/>
  <c r="J37" i="4"/>
  <c r="G100" i="28"/>
  <c r="G99" i="28"/>
  <c r="I98" i="28"/>
  <c r="H97" i="28"/>
  <c r="G97" i="28" s="1"/>
  <c r="F95" i="28"/>
  <c r="E95" i="28"/>
  <c r="M94" i="28"/>
  <c r="H93" i="28"/>
  <c r="H92" i="28"/>
  <c r="K91" i="28"/>
  <c r="J90" i="28"/>
  <c r="I89" i="28"/>
  <c r="L88" i="28"/>
  <c r="L98" i="28" s="1"/>
  <c r="H87" i="28"/>
  <c r="M86" i="28"/>
  <c r="K85" i="28"/>
  <c r="J84" i="28"/>
  <c r="L83" i="28"/>
  <c r="I82" i="28"/>
  <c r="H81" i="28"/>
  <c r="H80" i="28"/>
  <c r="H79" i="28"/>
  <c r="H78" i="28"/>
  <c r="K77" i="28"/>
  <c r="J76" i="28"/>
  <c r="I75" i="28"/>
  <c r="L74" i="28"/>
  <c r="M73" i="28"/>
  <c r="I72" i="28"/>
  <c r="L71" i="28"/>
  <c r="J70" i="28"/>
  <c r="K69" i="28"/>
  <c r="H68" i="28"/>
  <c r="H67" i="28"/>
  <c r="M66" i="28"/>
  <c r="H65" i="28"/>
  <c r="H64" i="28"/>
  <c r="I63" i="28"/>
  <c r="L62" i="28"/>
  <c r="K61" i="28"/>
  <c r="J60" i="28"/>
  <c r="M59" i="28"/>
  <c r="H58" i="28"/>
  <c r="H57" i="28"/>
  <c r="K56" i="28"/>
  <c r="J55" i="28"/>
  <c r="I54" i="28"/>
  <c r="L53" i="28"/>
  <c r="M52" i="28"/>
  <c r="K51" i="28"/>
  <c r="J50" i="28"/>
  <c r="I49" i="28"/>
  <c r="L48" i="28"/>
  <c r="H47" i="28"/>
  <c r="H46" i="28"/>
  <c r="J45" i="28"/>
  <c r="H44" i="28"/>
  <c r="H43" i="28"/>
  <c r="L42" i="28"/>
  <c r="K41" i="28"/>
  <c r="I40" i="28"/>
  <c r="M39" i="28"/>
  <c r="M38" i="28"/>
  <c r="H37" i="28"/>
  <c r="H36" i="28"/>
  <c r="L35" i="28"/>
  <c r="I34" i="28"/>
  <c r="J33" i="28"/>
  <c r="K32" i="28"/>
  <c r="K98" i="28" s="1"/>
  <c r="O31" i="28"/>
  <c r="M30" i="28"/>
  <c r="M29" i="28"/>
  <c r="H28" i="28"/>
  <c r="I27" i="28"/>
  <c r="K26" i="28"/>
  <c r="J25" i="28"/>
  <c r="L24" i="28"/>
  <c r="H23" i="28"/>
  <c r="P22" i="28"/>
  <c r="P95" i="28" s="1"/>
  <c r="P101" i="28" s="1"/>
  <c r="O21" i="28"/>
  <c r="M20" i="28"/>
  <c r="N19" i="28"/>
  <c r="H18" i="28"/>
  <c r="H17" i="28"/>
  <c r="H16" i="28"/>
  <c r="K15" i="28"/>
  <c r="J14" i="28"/>
  <c r="I13" i="28"/>
  <c r="L12" i="28"/>
  <c r="N11" i="28"/>
  <c r="N10" i="28"/>
  <c r="N9" i="28"/>
  <c r="H8" i="28"/>
  <c r="M7" i="28"/>
  <c r="L6" i="28"/>
  <c r="L95" i="28" s="1"/>
  <c r="L101" i="28" s="1"/>
  <c r="K5" i="28"/>
  <c r="J4" i="28"/>
  <c r="I3" i="28"/>
  <c r="H2" i="28"/>
  <c r="M95" i="28" l="1"/>
  <c r="M101" i="28" s="1"/>
  <c r="G95" i="28"/>
  <c r="N95" i="28"/>
  <c r="N101" i="28" s="1"/>
  <c r="H95" i="28"/>
  <c r="H101" i="28" s="1"/>
  <c r="I95" i="28"/>
  <c r="I101" i="28" s="1"/>
  <c r="J95" i="28"/>
  <c r="K95" i="28"/>
  <c r="K101" i="28" s="1"/>
  <c r="O95" i="28"/>
  <c r="O101" i="28" s="1"/>
  <c r="J98" i="28"/>
  <c r="G98" i="28" s="1"/>
  <c r="G101" i="28" s="1"/>
  <c r="J101" i="28"/>
  <c r="H130" i="29" l="1"/>
  <c r="H125" i="29"/>
  <c r="G125" i="29"/>
  <c r="M124" i="29"/>
  <c r="M123" i="29"/>
  <c r="M122" i="29"/>
  <c r="M121" i="29"/>
  <c r="M120" i="29"/>
  <c r="M119" i="29"/>
  <c r="M118" i="29"/>
  <c r="M117" i="29"/>
  <c r="M116" i="29"/>
  <c r="M115" i="29"/>
  <c r="M114" i="29"/>
  <c r="M113" i="29"/>
  <c r="M112" i="29"/>
  <c r="M111" i="29"/>
  <c r="M110" i="29"/>
  <c r="M109" i="29"/>
  <c r="M108" i="29"/>
  <c r="M107" i="29"/>
  <c r="M106" i="29"/>
  <c r="M105" i="29"/>
  <c r="M104" i="29"/>
  <c r="M103" i="29"/>
  <c r="M102" i="29"/>
  <c r="M101" i="29"/>
  <c r="M100" i="29"/>
  <c r="M99" i="29"/>
  <c r="M98" i="29"/>
  <c r="M125" i="29" s="1"/>
  <c r="M130" i="29" s="1"/>
  <c r="M97" i="29"/>
  <c r="N96" i="29"/>
  <c r="N95" i="29"/>
  <c r="N94" i="29"/>
  <c r="N93" i="29"/>
  <c r="N92" i="29"/>
  <c r="N91" i="29"/>
  <c r="N125" i="29" s="1"/>
  <c r="N130" i="29" s="1"/>
  <c r="L90" i="29"/>
  <c r="L89" i="29"/>
  <c r="L88" i="29"/>
  <c r="L87" i="29"/>
  <c r="L86" i="29"/>
  <c r="L85" i="29"/>
  <c r="L84" i="29"/>
  <c r="L83" i="29"/>
  <c r="L82" i="29"/>
  <c r="L81" i="29"/>
  <c r="L80" i="29"/>
  <c r="L79" i="29"/>
  <c r="L78" i="29"/>
  <c r="L77" i="29"/>
  <c r="L76" i="29"/>
  <c r="K75" i="29"/>
  <c r="K74" i="29"/>
  <c r="K73" i="29"/>
  <c r="K72" i="29"/>
  <c r="K71" i="29"/>
  <c r="K70" i="29"/>
  <c r="K69" i="29"/>
  <c r="K68" i="29"/>
  <c r="K67" i="29"/>
  <c r="K66" i="29"/>
  <c r="K65" i="29"/>
  <c r="K64" i="29"/>
  <c r="K63" i="29"/>
  <c r="K62" i="29"/>
  <c r="K61" i="29"/>
  <c r="K60" i="29"/>
  <c r="K59" i="29"/>
  <c r="K58" i="29"/>
  <c r="K57" i="29"/>
  <c r="K56" i="29"/>
  <c r="K55" i="29"/>
  <c r="J54" i="29"/>
  <c r="J53" i="29"/>
  <c r="J52" i="29"/>
  <c r="J125" i="29" s="1"/>
  <c r="J130" i="29" s="1"/>
  <c r="J51" i="29"/>
  <c r="I50" i="29"/>
  <c r="I49" i="29"/>
  <c r="I48" i="29"/>
  <c r="I47" i="29"/>
  <c r="I46" i="29"/>
  <c r="I45" i="29"/>
  <c r="I44" i="29"/>
  <c r="I43" i="29"/>
  <c r="I42" i="29"/>
  <c r="I41" i="29"/>
  <c r="I40" i="29"/>
  <c r="I39" i="29"/>
  <c r="I38" i="29"/>
  <c r="I37" i="29"/>
  <c r="I36" i="29"/>
  <c r="I35" i="29"/>
  <c r="I34" i="29"/>
  <c r="I33" i="29"/>
  <c r="I32" i="29"/>
  <c r="I31" i="29"/>
  <c r="I30" i="29"/>
  <c r="I29" i="29"/>
  <c r="I28" i="29"/>
  <c r="I27" i="29"/>
  <c r="I26" i="29"/>
  <c r="I25" i="29"/>
  <c r="I24" i="29"/>
  <c r="I23" i="29"/>
  <c r="I22" i="29"/>
  <c r="I21" i="29"/>
  <c r="I20" i="29"/>
  <c r="I19" i="29"/>
  <c r="I18" i="29"/>
  <c r="I17" i="29"/>
  <c r="I16" i="29"/>
  <c r="I15" i="29"/>
  <c r="I14" i="29"/>
  <c r="I13" i="29"/>
  <c r="I12" i="29"/>
  <c r="I11" i="29"/>
  <c r="I10" i="29"/>
  <c r="I9" i="29"/>
  <c r="I8" i="29"/>
  <c r="I7" i="29"/>
  <c r="I6" i="29"/>
  <c r="I5" i="29"/>
  <c r="I4" i="29"/>
  <c r="I3" i="29"/>
  <c r="I2" i="29"/>
  <c r="K125" i="29" l="1"/>
  <c r="L125" i="29"/>
  <c r="L130" i="29" s="1"/>
  <c r="I125" i="29"/>
  <c r="I129" i="29" s="1"/>
  <c r="K128" i="29"/>
  <c r="I130" i="29" l="1"/>
  <c r="G129" i="29"/>
  <c r="K130" i="29"/>
  <c r="G128" i="29"/>
  <c r="D35" i="2"/>
  <c r="D34" i="2"/>
  <c r="D60" i="2"/>
  <c r="D42" i="2"/>
  <c r="G130" i="29" l="1"/>
  <c r="H24" i="12"/>
  <c r="H26" i="12" s="1"/>
  <c r="H8" i="12"/>
  <c r="H15" i="12" s="1"/>
  <c r="H26" i="11"/>
  <c r="H24" i="11"/>
  <c r="H20" i="11"/>
  <c r="H16" i="11"/>
  <c r="H15" i="11"/>
  <c r="H14" i="11"/>
  <c r="H13" i="11"/>
  <c r="H12" i="11"/>
  <c r="H11" i="11"/>
  <c r="H8" i="11"/>
  <c r="H12" i="12" l="1"/>
  <c r="H13" i="12"/>
  <c r="H11" i="12"/>
  <c r="H14" i="12"/>
  <c r="H16" i="12" l="1"/>
  <c r="F8" i="3" l="1"/>
  <c r="D8" i="3"/>
  <c r="F10" i="3"/>
  <c r="D10" i="3"/>
  <c r="D18" i="10"/>
  <c r="D20" i="10" s="1"/>
  <c r="E16" i="10" s="1"/>
  <c r="B18" i="10"/>
  <c r="B20" i="10" s="1"/>
  <c r="D11" i="10"/>
  <c r="B11" i="10"/>
  <c r="H16" i="9"/>
  <c r="G16" i="9"/>
  <c r="F16" i="9"/>
  <c r="G15" i="9"/>
  <c r="F15" i="9"/>
  <c r="H15" i="9" s="1"/>
  <c r="I15" i="9" s="1"/>
  <c r="H14" i="9"/>
  <c r="G14" i="9"/>
  <c r="F14" i="9"/>
  <c r="G13" i="9"/>
  <c r="E13" i="9"/>
  <c r="D13" i="9"/>
  <c r="F13" i="9" s="1"/>
  <c r="H13" i="9" s="1"/>
  <c r="H12" i="9"/>
  <c r="F12" i="9"/>
  <c r="G11" i="9"/>
  <c r="F11" i="9"/>
  <c r="H11" i="9" s="1"/>
  <c r="G10" i="9"/>
  <c r="F10" i="9"/>
  <c r="H10" i="9" s="1"/>
  <c r="G9" i="9"/>
  <c r="D9" i="9"/>
  <c r="F9" i="9" s="1"/>
  <c r="H9" i="9" s="1"/>
  <c r="H8" i="9"/>
  <c r="F8" i="9"/>
  <c r="G7" i="9"/>
  <c r="F7" i="9"/>
  <c r="H7" i="9" s="1"/>
  <c r="G6" i="9"/>
  <c r="F6" i="9"/>
  <c r="H6" i="9" s="1"/>
  <c r="G5" i="9"/>
  <c r="G17" i="9" s="1"/>
  <c r="F5" i="9"/>
  <c r="H5" i="9" s="1"/>
  <c r="E9" i="10" l="1"/>
  <c r="E20" i="10" s="1"/>
  <c r="H17" i="9"/>
  <c r="J15" i="9" s="1"/>
  <c r="I5" i="9"/>
  <c r="J5" i="9" s="1"/>
  <c r="F17" i="9"/>
  <c r="I15" i="8"/>
  <c r="K14" i="8"/>
  <c r="E14" i="8"/>
  <c r="M14" i="8" s="1"/>
  <c r="D14" i="8"/>
  <c r="K13" i="8"/>
  <c r="E13" i="8"/>
  <c r="M13" i="8" s="1"/>
  <c r="D13" i="8"/>
  <c r="K12" i="8"/>
  <c r="E12" i="8"/>
  <c r="M12" i="8" s="1"/>
  <c r="D12" i="8"/>
  <c r="M11" i="8"/>
  <c r="K11" i="8"/>
  <c r="K15" i="8" s="1"/>
  <c r="I9" i="8"/>
  <c r="K8" i="8"/>
  <c r="E8" i="8"/>
  <c r="M8" i="8" s="1"/>
  <c r="D8" i="8"/>
  <c r="K7" i="8"/>
  <c r="E7" i="8"/>
  <c r="M7" i="8" s="1"/>
  <c r="D7" i="8"/>
  <c r="K6" i="8"/>
  <c r="E6" i="8"/>
  <c r="M6" i="8" s="1"/>
  <c r="D6" i="8"/>
  <c r="M5" i="8"/>
  <c r="K5" i="8"/>
  <c r="C13" i="2"/>
  <c r="C11" i="2"/>
  <c r="C10" i="2"/>
  <c r="C9" i="2"/>
  <c r="C8" i="2"/>
  <c r="C7" i="2"/>
  <c r="F6" i="3"/>
  <c r="D6" i="3"/>
  <c r="M9" i="8" l="1"/>
  <c r="M15" i="8"/>
  <c r="I16" i="8"/>
  <c r="K9" i="8"/>
  <c r="J40" i="2"/>
  <c r="K40" i="2"/>
  <c r="AB294" i="7"/>
  <c r="AA294" i="7"/>
  <c r="Z294" i="7"/>
  <c r="P294" i="7"/>
  <c r="AM293" i="7"/>
  <c r="AL293" i="7"/>
  <c r="AJ293" i="7"/>
  <c r="AI293" i="7"/>
  <c r="AG293" i="7"/>
  <c r="AF293" i="7"/>
  <c r="U293" i="7"/>
  <c r="I293" i="7"/>
  <c r="AM292" i="7"/>
  <c r="AL292" i="7"/>
  <c r="AJ292" i="7"/>
  <c r="AI292" i="7"/>
  <c r="AG292" i="7"/>
  <c r="AF292" i="7"/>
  <c r="AA292" i="7"/>
  <c r="AC292" i="7" s="1"/>
  <c r="U292" i="7"/>
  <c r="R292" i="7"/>
  <c r="R294" i="7" s="1"/>
  <c r="I292" i="7"/>
  <c r="AK292" i="7" s="1"/>
  <c r="AB290" i="7"/>
  <c r="Y290" i="7"/>
  <c r="W290" i="7"/>
  <c r="Q290" i="7"/>
  <c r="P290" i="7"/>
  <c r="AM289" i="7"/>
  <c r="AL289" i="7"/>
  <c r="AK289" i="7"/>
  <c r="AJ289" i="7"/>
  <c r="AI289" i="7"/>
  <c r="AG289" i="7"/>
  <c r="AF289" i="7"/>
  <c r="U289" i="7"/>
  <c r="R289" i="7"/>
  <c r="S289" i="7" s="1"/>
  <c r="I289" i="7"/>
  <c r="AH289" i="7" s="1"/>
  <c r="AM288" i="7"/>
  <c r="AL288" i="7"/>
  <c r="AK288" i="7"/>
  <c r="AJ288" i="7"/>
  <c r="AI288" i="7"/>
  <c r="AG288" i="7"/>
  <c r="Z288" i="7" s="1"/>
  <c r="AA288" i="7" s="1"/>
  <c r="AC288" i="7" s="1"/>
  <c r="AF288" i="7"/>
  <c r="U288" i="7"/>
  <c r="R288" i="7"/>
  <c r="S288" i="7" s="1"/>
  <c r="I288" i="7"/>
  <c r="AH288" i="7" s="1"/>
  <c r="AM287" i="7"/>
  <c r="AL287" i="7"/>
  <c r="AK287" i="7"/>
  <c r="AJ287" i="7"/>
  <c r="AI287" i="7"/>
  <c r="AG287" i="7"/>
  <c r="AF287" i="7"/>
  <c r="U287" i="7"/>
  <c r="R287" i="7"/>
  <c r="S287" i="7" s="1"/>
  <c r="I287" i="7"/>
  <c r="AH287" i="7" s="1"/>
  <c r="AM286" i="7"/>
  <c r="AL286" i="7"/>
  <c r="AK286" i="7"/>
  <c r="AJ286" i="7"/>
  <c r="AI286" i="7"/>
  <c r="AG286" i="7"/>
  <c r="Z286" i="7" s="1"/>
  <c r="AA286" i="7" s="1"/>
  <c r="AC286" i="7" s="1"/>
  <c r="AF286" i="7"/>
  <c r="U286" i="7"/>
  <c r="R286" i="7"/>
  <c r="S286" i="7" s="1"/>
  <c r="I286" i="7"/>
  <c r="AH286" i="7" s="1"/>
  <c r="AM285" i="7"/>
  <c r="AL285" i="7"/>
  <c r="AK285" i="7"/>
  <c r="AJ285" i="7"/>
  <c r="AI285" i="7"/>
  <c r="AG285" i="7"/>
  <c r="AF285" i="7"/>
  <c r="U285" i="7"/>
  <c r="R285" i="7"/>
  <c r="S285" i="7" s="1"/>
  <c r="I285" i="7"/>
  <c r="AH285" i="7" s="1"/>
  <c r="AM284" i="7"/>
  <c r="AL284" i="7"/>
  <c r="AK284" i="7"/>
  <c r="AJ284" i="7"/>
  <c r="AI284" i="7"/>
  <c r="AG284" i="7"/>
  <c r="AF284" i="7"/>
  <c r="U284" i="7"/>
  <c r="R284" i="7"/>
  <c r="S284" i="7" s="1"/>
  <c r="I284" i="7"/>
  <c r="AH284" i="7" s="1"/>
  <c r="AM283" i="7"/>
  <c r="AL283" i="7"/>
  <c r="AK283" i="7"/>
  <c r="AJ283" i="7"/>
  <c r="AI283" i="7"/>
  <c r="AG283" i="7"/>
  <c r="AF283" i="7"/>
  <c r="U283" i="7"/>
  <c r="R283" i="7"/>
  <c r="S283" i="7" s="1"/>
  <c r="I283" i="7"/>
  <c r="AH283" i="7" s="1"/>
  <c r="AM282" i="7"/>
  <c r="AL282" i="7"/>
  <c r="AK282" i="7"/>
  <c r="AJ282" i="7"/>
  <c r="AI282" i="7"/>
  <c r="AG282" i="7"/>
  <c r="AF282" i="7"/>
  <c r="U282" i="7"/>
  <c r="R282" i="7"/>
  <c r="S282" i="7" s="1"/>
  <c r="I282" i="7"/>
  <c r="AH282" i="7" s="1"/>
  <c r="AM281" i="7"/>
  <c r="AL281" i="7"/>
  <c r="AK281" i="7"/>
  <c r="AJ281" i="7"/>
  <c r="AI281" i="7"/>
  <c r="AG281" i="7"/>
  <c r="Z281" i="7" s="1"/>
  <c r="AA281" i="7" s="1"/>
  <c r="AC281" i="7" s="1"/>
  <c r="AF281" i="7"/>
  <c r="U281" i="7"/>
  <c r="R281" i="7"/>
  <c r="S281" i="7" s="1"/>
  <c r="I281" i="7"/>
  <c r="AH281" i="7" s="1"/>
  <c r="AM280" i="7"/>
  <c r="AL280" i="7"/>
  <c r="AK280" i="7"/>
  <c r="AJ280" i="7"/>
  <c r="AI280" i="7"/>
  <c r="AG280" i="7"/>
  <c r="Z280" i="7" s="1"/>
  <c r="AA280" i="7" s="1"/>
  <c r="AC280" i="7" s="1"/>
  <c r="AF280" i="7"/>
  <c r="U280" i="7"/>
  <c r="R280" i="7"/>
  <c r="S280" i="7" s="1"/>
  <c r="I280" i="7"/>
  <c r="AH280" i="7" s="1"/>
  <c r="AM279" i="7"/>
  <c r="AL279" i="7"/>
  <c r="AK279" i="7"/>
  <c r="AJ279" i="7"/>
  <c r="AI279" i="7"/>
  <c r="AG279" i="7"/>
  <c r="AF279" i="7"/>
  <c r="U279" i="7"/>
  <c r="U290" i="7" s="1"/>
  <c r="R279" i="7"/>
  <c r="S279" i="7" s="1"/>
  <c r="I279" i="7"/>
  <c r="AH279" i="7" s="1"/>
  <c r="AB276" i="7"/>
  <c r="Y276" i="7"/>
  <c r="W276" i="7"/>
  <c r="Q276" i="7"/>
  <c r="P276" i="7"/>
  <c r="AM275" i="7"/>
  <c r="AL275" i="7"/>
  <c r="AK275" i="7"/>
  <c r="AJ275" i="7"/>
  <c r="AI275" i="7"/>
  <c r="AG275" i="7"/>
  <c r="T275" i="7" s="1"/>
  <c r="AF275" i="7"/>
  <c r="Z275" i="7" s="1"/>
  <c r="AA275" i="7" s="1"/>
  <c r="AC275" i="7" s="1"/>
  <c r="U275" i="7"/>
  <c r="R275" i="7"/>
  <c r="S275" i="7" s="1"/>
  <c r="I275" i="7"/>
  <c r="AH275" i="7" s="1"/>
  <c r="AM274" i="7"/>
  <c r="AL274" i="7"/>
  <c r="AK274" i="7"/>
  <c r="AJ274" i="7"/>
  <c r="AI274" i="7"/>
  <c r="AG274" i="7"/>
  <c r="Z274" i="7" s="1"/>
  <c r="AA274" i="7" s="1"/>
  <c r="AC274" i="7" s="1"/>
  <c r="AF274" i="7"/>
  <c r="U274" i="7"/>
  <c r="R274" i="7"/>
  <c r="S274" i="7" s="1"/>
  <c r="I274" i="7"/>
  <c r="AH274" i="7" s="1"/>
  <c r="AM273" i="7"/>
  <c r="AL273" i="7"/>
  <c r="AK273" i="7"/>
  <c r="AJ273" i="7"/>
  <c r="AI273" i="7"/>
  <c r="AG273" i="7"/>
  <c r="AF273" i="7"/>
  <c r="U273" i="7"/>
  <c r="R273" i="7"/>
  <c r="S273" i="7" s="1"/>
  <c r="I273" i="7"/>
  <c r="AH273" i="7" s="1"/>
  <c r="AM272" i="7"/>
  <c r="AL272" i="7"/>
  <c r="AK272" i="7"/>
  <c r="AJ272" i="7"/>
  <c r="AI272" i="7"/>
  <c r="AG272" i="7"/>
  <c r="Z272" i="7" s="1"/>
  <c r="AA272" i="7" s="1"/>
  <c r="AC272" i="7" s="1"/>
  <c r="AF272" i="7"/>
  <c r="U272" i="7"/>
  <c r="R272" i="7"/>
  <c r="S272" i="7" s="1"/>
  <c r="I272" i="7"/>
  <c r="AH272" i="7" s="1"/>
  <c r="AM271" i="7"/>
  <c r="AL271" i="7"/>
  <c r="AK271" i="7"/>
  <c r="AJ271" i="7"/>
  <c r="AI271" i="7"/>
  <c r="AG271" i="7"/>
  <c r="AF271" i="7"/>
  <c r="U271" i="7"/>
  <c r="R271" i="7"/>
  <c r="S271" i="7" s="1"/>
  <c r="I271" i="7"/>
  <c r="AH271" i="7" s="1"/>
  <c r="AM270" i="7"/>
  <c r="AL270" i="7"/>
  <c r="AK270" i="7"/>
  <c r="AJ270" i="7"/>
  <c r="AI270" i="7"/>
  <c r="AG270" i="7"/>
  <c r="AF270" i="7"/>
  <c r="U270" i="7"/>
  <c r="R270" i="7"/>
  <c r="S270" i="7" s="1"/>
  <c r="I270" i="7"/>
  <c r="AH270" i="7" s="1"/>
  <c r="AM269" i="7"/>
  <c r="AL269" i="7"/>
  <c r="AJ269" i="7"/>
  <c r="AI269" i="7"/>
  <c r="AG269" i="7"/>
  <c r="AF269" i="7"/>
  <c r="V269" i="7"/>
  <c r="U269" i="7"/>
  <c r="X269" i="7" s="1"/>
  <c r="S269" i="7"/>
  <c r="R269" i="7"/>
  <c r="I269" i="7"/>
  <c r="AM268" i="7"/>
  <c r="AL268" i="7"/>
  <c r="AJ268" i="7"/>
  <c r="AI268" i="7"/>
  <c r="AG268" i="7"/>
  <c r="AF268" i="7"/>
  <c r="U268" i="7"/>
  <c r="R268" i="7"/>
  <c r="S268" i="7" s="1"/>
  <c r="I268" i="7"/>
  <c r="AK268" i="7" s="1"/>
  <c r="AM267" i="7"/>
  <c r="AL267" i="7"/>
  <c r="AJ267" i="7"/>
  <c r="AI267" i="7"/>
  <c r="AG267" i="7"/>
  <c r="AF267" i="7"/>
  <c r="U267" i="7"/>
  <c r="S267" i="7"/>
  <c r="R267" i="7"/>
  <c r="I267" i="7"/>
  <c r="AM266" i="7"/>
  <c r="AL266" i="7"/>
  <c r="AJ266" i="7"/>
  <c r="AI266" i="7"/>
  <c r="AG266" i="7"/>
  <c r="AF266" i="7"/>
  <c r="U266" i="7"/>
  <c r="R266" i="7"/>
  <c r="S266" i="7" s="1"/>
  <c r="I266" i="7"/>
  <c r="AK266" i="7" s="1"/>
  <c r="AM265" i="7"/>
  <c r="AL265" i="7"/>
  <c r="AJ265" i="7"/>
  <c r="AI265" i="7"/>
  <c r="AG265" i="7"/>
  <c r="AF265" i="7"/>
  <c r="U265" i="7"/>
  <c r="S265" i="7"/>
  <c r="R265" i="7"/>
  <c r="I265" i="7"/>
  <c r="AM264" i="7"/>
  <c r="AL264" i="7"/>
  <c r="AJ264" i="7"/>
  <c r="AI264" i="7"/>
  <c r="AG264" i="7"/>
  <c r="AF264" i="7"/>
  <c r="U264" i="7"/>
  <c r="R264" i="7"/>
  <c r="S264" i="7" s="1"/>
  <c r="I264" i="7"/>
  <c r="AK264" i="7" s="1"/>
  <c r="AM263" i="7"/>
  <c r="AL263" i="7"/>
  <c r="AJ263" i="7"/>
  <c r="AI263" i="7"/>
  <c r="AG263" i="7"/>
  <c r="AF263" i="7"/>
  <c r="U263" i="7"/>
  <c r="S263" i="7"/>
  <c r="R263" i="7"/>
  <c r="I263" i="7"/>
  <c r="AM262" i="7"/>
  <c r="AL262" i="7"/>
  <c r="AJ262" i="7"/>
  <c r="AI262" i="7"/>
  <c r="AG262" i="7"/>
  <c r="AF262" i="7"/>
  <c r="U262" i="7"/>
  <c r="R262" i="7"/>
  <c r="S262" i="7" s="1"/>
  <c r="I262" i="7"/>
  <c r="AK262" i="7" s="1"/>
  <c r="AM261" i="7"/>
  <c r="AL261" i="7"/>
  <c r="AJ261" i="7"/>
  <c r="AI261" i="7"/>
  <c r="AG261" i="7"/>
  <c r="AF261" i="7"/>
  <c r="U261" i="7"/>
  <c r="S261" i="7"/>
  <c r="R261" i="7"/>
  <c r="I261" i="7"/>
  <c r="AM260" i="7"/>
  <c r="AL260" i="7"/>
  <c r="AJ260" i="7"/>
  <c r="AI260" i="7"/>
  <c r="AG260" i="7"/>
  <c r="AF260" i="7"/>
  <c r="U260" i="7"/>
  <c r="R260" i="7"/>
  <c r="S260" i="7" s="1"/>
  <c r="I260" i="7"/>
  <c r="AK260" i="7" s="1"/>
  <c r="P258" i="7"/>
  <c r="AB256" i="7"/>
  <c r="Y256" i="7"/>
  <c r="W256" i="7"/>
  <c r="P256" i="7"/>
  <c r="AM255" i="7"/>
  <c r="AL255" i="7"/>
  <c r="AK255" i="7"/>
  <c r="AJ255" i="7"/>
  <c r="AI255" i="7"/>
  <c r="AH255" i="7"/>
  <c r="AG255" i="7"/>
  <c r="AF255" i="7"/>
  <c r="Z255" i="7" s="1"/>
  <c r="AA255" i="7" s="1"/>
  <c r="AC255" i="7" s="1"/>
  <c r="AD255" i="7" s="1"/>
  <c r="U255" i="7"/>
  <c r="V255" i="7" s="1"/>
  <c r="S255" i="7"/>
  <c r="R255" i="7"/>
  <c r="T255" i="7" s="1"/>
  <c r="X255" i="7" s="1"/>
  <c r="P255" i="7"/>
  <c r="I255" i="7"/>
  <c r="AM254" i="7"/>
  <c r="AL254" i="7"/>
  <c r="AK254" i="7"/>
  <c r="AJ254" i="7"/>
  <c r="AI254" i="7"/>
  <c r="AH254" i="7"/>
  <c r="AG254" i="7"/>
  <c r="AF254" i="7"/>
  <c r="Z254" i="7"/>
  <c r="AA254" i="7" s="1"/>
  <c r="AC254" i="7" s="1"/>
  <c r="U254" i="7"/>
  <c r="T254" i="7"/>
  <c r="R254" i="7"/>
  <c r="S254" i="7" s="1"/>
  <c r="I254" i="7"/>
  <c r="AM253" i="7"/>
  <c r="AL253" i="7"/>
  <c r="AK253" i="7"/>
  <c r="AJ253" i="7"/>
  <c r="AI253" i="7"/>
  <c r="AH253" i="7"/>
  <c r="AG253" i="7"/>
  <c r="AF253" i="7"/>
  <c r="Z253" i="7"/>
  <c r="AA253" i="7" s="1"/>
  <c r="AC253" i="7" s="1"/>
  <c r="U253" i="7"/>
  <c r="T253" i="7"/>
  <c r="S253" i="7"/>
  <c r="R253" i="7"/>
  <c r="I253" i="7"/>
  <c r="AM252" i="7"/>
  <c r="AL252" i="7"/>
  <c r="AK252" i="7"/>
  <c r="AJ252" i="7"/>
  <c r="AI252" i="7"/>
  <c r="AH252" i="7"/>
  <c r="AG252" i="7"/>
  <c r="AF252" i="7"/>
  <c r="U252" i="7"/>
  <c r="R252" i="7"/>
  <c r="S252" i="7" s="1"/>
  <c r="I252" i="7"/>
  <c r="AM251" i="7"/>
  <c r="AL251" i="7"/>
  <c r="AK251" i="7"/>
  <c r="AJ251" i="7"/>
  <c r="AI251" i="7"/>
  <c r="Z251" i="7" s="1"/>
  <c r="AA251" i="7" s="1"/>
  <c r="AC251" i="7" s="1"/>
  <c r="AH251" i="7"/>
  <c r="AG251" i="7"/>
  <c r="AF251" i="7"/>
  <c r="U251" i="7"/>
  <c r="S251" i="7"/>
  <c r="R251" i="7"/>
  <c r="I251" i="7"/>
  <c r="AM250" i="7"/>
  <c r="AL250" i="7"/>
  <c r="AK250" i="7"/>
  <c r="AJ250" i="7"/>
  <c r="AI250" i="7"/>
  <c r="T250" i="7" s="1"/>
  <c r="AH250" i="7"/>
  <c r="AG250" i="7"/>
  <c r="AF250" i="7"/>
  <c r="Z250" i="7"/>
  <c r="AA250" i="7" s="1"/>
  <c r="AC250" i="7" s="1"/>
  <c r="U250" i="7"/>
  <c r="R250" i="7"/>
  <c r="S250" i="7" s="1"/>
  <c r="I250" i="7"/>
  <c r="AM249" i="7"/>
  <c r="AL249" i="7"/>
  <c r="AK249" i="7"/>
  <c r="AJ249" i="7"/>
  <c r="AI249" i="7"/>
  <c r="AH249" i="7"/>
  <c r="AG249" i="7"/>
  <c r="AF249" i="7"/>
  <c r="Z249" i="7"/>
  <c r="AA249" i="7" s="1"/>
  <c r="AC249" i="7" s="1"/>
  <c r="U249" i="7"/>
  <c r="T249" i="7"/>
  <c r="S249" i="7"/>
  <c r="R249" i="7"/>
  <c r="I249" i="7"/>
  <c r="AM248" i="7"/>
  <c r="AL248" i="7"/>
  <c r="AK248" i="7"/>
  <c r="AJ248" i="7"/>
  <c r="AI248" i="7"/>
  <c r="T248" i="7" s="1"/>
  <c r="AH248" i="7"/>
  <c r="AG248" i="7"/>
  <c r="AF248" i="7"/>
  <c r="U248" i="7"/>
  <c r="R248" i="7"/>
  <c r="S248" i="7" s="1"/>
  <c r="I248" i="7"/>
  <c r="AM247" i="7"/>
  <c r="AL247" i="7"/>
  <c r="AK247" i="7"/>
  <c r="AJ247" i="7"/>
  <c r="AI247" i="7"/>
  <c r="AH247" i="7"/>
  <c r="AG247" i="7"/>
  <c r="AF247" i="7"/>
  <c r="U247" i="7"/>
  <c r="S247" i="7"/>
  <c r="R247" i="7"/>
  <c r="I247" i="7"/>
  <c r="AM246" i="7"/>
  <c r="AL246" i="7"/>
  <c r="AK246" i="7"/>
  <c r="AJ246" i="7"/>
  <c r="AI246" i="7"/>
  <c r="AH246" i="7"/>
  <c r="AG246" i="7"/>
  <c r="AF246" i="7"/>
  <c r="U246" i="7"/>
  <c r="T246" i="7"/>
  <c r="R246" i="7"/>
  <c r="S246" i="7" s="1"/>
  <c r="I246" i="7"/>
  <c r="AM245" i="7"/>
  <c r="AL245" i="7"/>
  <c r="AK245" i="7"/>
  <c r="AJ245" i="7"/>
  <c r="AI245" i="7"/>
  <c r="Z245" i="7" s="1"/>
  <c r="AA245" i="7" s="1"/>
  <c r="AC245" i="7" s="1"/>
  <c r="AH245" i="7"/>
  <c r="AG245" i="7"/>
  <c r="AF245" i="7"/>
  <c r="U245" i="7"/>
  <c r="S245" i="7"/>
  <c r="T245" i="7" s="1"/>
  <c r="R245" i="7"/>
  <c r="I245" i="7"/>
  <c r="AM244" i="7"/>
  <c r="AL244" i="7"/>
  <c r="AK244" i="7"/>
  <c r="AJ244" i="7"/>
  <c r="AI244" i="7"/>
  <c r="AH244" i="7"/>
  <c r="T244" i="7" s="1"/>
  <c r="AG244" i="7"/>
  <c r="AF244" i="7"/>
  <c r="Z244" i="7"/>
  <c r="AA244" i="7" s="1"/>
  <c r="AC244" i="7" s="1"/>
  <c r="U244" i="7"/>
  <c r="R244" i="7"/>
  <c r="S244" i="7" s="1"/>
  <c r="I244" i="7"/>
  <c r="AM243" i="7"/>
  <c r="AL243" i="7"/>
  <c r="AK243" i="7"/>
  <c r="AJ243" i="7"/>
  <c r="AI243" i="7"/>
  <c r="AH243" i="7"/>
  <c r="AG243" i="7"/>
  <c r="AF243" i="7"/>
  <c r="Z243" i="7"/>
  <c r="AA243" i="7" s="1"/>
  <c r="AC243" i="7" s="1"/>
  <c r="U243" i="7"/>
  <c r="S243" i="7"/>
  <c r="T243" i="7" s="1"/>
  <c r="R243" i="7"/>
  <c r="I243" i="7"/>
  <c r="AM242" i="7"/>
  <c r="AL242" i="7"/>
  <c r="AK242" i="7"/>
  <c r="AJ242" i="7"/>
  <c r="AI242" i="7"/>
  <c r="AH242" i="7"/>
  <c r="AG242" i="7"/>
  <c r="AF242" i="7"/>
  <c r="Z242" i="7"/>
  <c r="AA242" i="7" s="1"/>
  <c r="AC242" i="7" s="1"/>
  <c r="U242" i="7"/>
  <c r="R242" i="7"/>
  <c r="S242" i="7" s="1"/>
  <c r="T242" i="7" s="1"/>
  <c r="I242" i="7"/>
  <c r="AM241" i="7"/>
  <c r="AL241" i="7"/>
  <c r="AK241" i="7"/>
  <c r="AJ241" i="7"/>
  <c r="AI241" i="7"/>
  <c r="AH241" i="7"/>
  <c r="AG241" i="7"/>
  <c r="T241" i="7" s="1"/>
  <c r="AF241" i="7"/>
  <c r="Z241" i="7"/>
  <c r="AA241" i="7" s="1"/>
  <c r="AC241" i="7" s="1"/>
  <c r="U241" i="7"/>
  <c r="S241" i="7"/>
  <c r="R241" i="7"/>
  <c r="I241" i="7"/>
  <c r="AM240" i="7"/>
  <c r="AL240" i="7"/>
  <c r="AJ240" i="7"/>
  <c r="AI240" i="7"/>
  <c r="AH240" i="7"/>
  <c r="Z240" i="7" s="1"/>
  <c r="AG240" i="7"/>
  <c r="AF240" i="7"/>
  <c r="U240" i="7"/>
  <c r="R240" i="7"/>
  <c r="S240" i="7" s="1"/>
  <c r="M240" i="7"/>
  <c r="I240" i="7"/>
  <c r="AK240" i="7" s="1"/>
  <c r="AM239" i="7"/>
  <c r="AL239" i="7"/>
  <c r="AK239" i="7"/>
  <c r="AJ239" i="7"/>
  <c r="AI239" i="7"/>
  <c r="AG239" i="7"/>
  <c r="AF239" i="7"/>
  <c r="U239" i="7"/>
  <c r="R239" i="7"/>
  <c r="M239" i="7"/>
  <c r="I239" i="7"/>
  <c r="AH239" i="7" s="1"/>
  <c r="AM238" i="7"/>
  <c r="AL238" i="7"/>
  <c r="AJ238" i="7"/>
  <c r="AI238" i="7"/>
  <c r="AH238" i="7"/>
  <c r="AG238" i="7"/>
  <c r="AF238" i="7"/>
  <c r="U238" i="7"/>
  <c r="S238" i="7"/>
  <c r="R238" i="7"/>
  <c r="M238" i="7"/>
  <c r="I238" i="7"/>
  <c r="AK238" i="7" s="1"/>
  <c r="AM237" i="7"/>
  <c r="AL237" i="7"/>
  <c r="AK237" i="7"/>
  <c r="AJ237" i="7"/>
  <c r="AI237" i="7"/>
  <c r="AG237" i="7"/>
  <c r="AF237" i="7"/>
  <c r="U237" i="7"/>
  <c r="R237" i="7"/>
  <c r="S237" i="7" s="1"/>
  <c r="M237" i="7"/>
  <c r="I237" i="7"/>
  <c r="AH237" i="7" s="1"/>
  <c r="AM236" i="7"/>
  <c r="AL236" i="7"/>
  <c r="AJ236" i="7"/>
  <c r="AI236" i="7"/>
  <c r="AH236" i="7"/>
  <c r="AG236" i="7"/>
  <c r="AF236" i="7"/>
  <c r="U236" i="7"/>
  <c r="R236" i="7"/>
  <c r="M236" i="7"/>
  <c r="I236" i="7"/>
  <c r="AK236" i="7" s="1"/>
  <c r="AM235" i="7"/>
  <c r="AL235" i="7"/>
  <c r="AK235" i="7"/>
  <c r="AJ235" i="7"/>
  <c r="AI235" i="7"/>
  <c r="AG235" i="7"/>
  <c r="AF235" i="7"/>
  <c r="U235" i="7"/>
  <c r="R235" i="7"/>
  <c r="M235" i="7"/>
  <c r="I235" i="7"/>
  <c r="AH235" i="7" s="1"/>
  <c r="AM234" i="7"/>
  <c r="AL234" i="7"/>
  <c r="AJ234" i="7"/>
  <c r="AI234" i="7"/>
  <c r="AG234" i="7"/>
  <c r="AF234" i="7"/>
  <c r="U234" i="7"/>
  <c r="S234" i="7"/>
  <c r="R234" i="7"/>
  <c r="M234" i="7"/>
  <c r="I234" i="7"/>
  <c r="AK234" i="7" s="1"/>
  <c r="AM233" i="7"/>
  <c r="AL233" i="7"/>
  <c r="AK233" i="7"/>
  <c r="AJ233" i="7"/>
  <c r="AI233" i="7"/>
  <c r="AG233" i="7"/>
  <c r="AF233" i="7"/>
  <c r="U233" i="7"/>
  <c r="R233" i="7"/>
  <c r="S233" i="7" s="1"/>
  <c r="M233" i="7"/>
  <c r="I233" i="7"/>
  <c r="AH233" i="7" s="1"/>
  <c r="AM232" i="7"/>
  <c r="AL232" i="7"/>
  <c r="AJ232" i="7"/>
  <c r="AI232" i="7"/>
  <c r="AH232" i="7"/>
  <c r="AG232" i="7"/>
  <c r="AF232" i="7"/>
  <c r="U232" i="7"/>
  <c r="R232" i="7"/>
  <c r="S232" i="7" s="1"/>
  <c r="M232" i="7"/>
  <c r="I232" i="7"/>
  <c r="AK232" i="7" s="1"/>
  <c r="AM231" i="7"/>
  <c r="AL231" i="7"/>
  <c r="AJ231" i="7"/>
  <c r="AI231" i="7"/>
  <c r="AG231" i="7"/>
  <c r="AF231" i="7"/>
  <c r="U231" i="7"/>
  <c r="S231" i="7"/>
  <c r="R231" i="7"/>
  <c r="M231" i="7"/>
  <c r="I231" i="7"/>
  <c r="AM230" i="7"/>
  <c r="AL230" i="7"/>
  <c r="AJ230" i="7"/>
  <c r="AI230" i="7"/>
  <c r="AG230" i="7"/>
  <c r="AF230" i="7"/>
  <c r="U230" i="7"/>
  <c r="R230" i="7"/>
  <c r="M230" i="7"/>
  <c r="I230" i="7"/>
  <c r="AK230" i="7" s="1"/>
  <c r="AM229" i="7"/>
  <c r="AL229" i="7"/>
  <c r="AJ229" i="7"/>
  <c r="AI229" i="7"/>
  <c r="AG229" i="7"/>
  <c r="AF229" i="7"/>
  <c r="U229" i="7"/>
  <c r="S229" i="7"/>
  <c r="R229" i="7"/>
  <c r="M229" i="7"/>
  <c r="I229" i="7"/>
  <c r="AM228" i="7"/>
  <c r="AL228" i="7"/>
  <c r="AK228" i="7"/>
  <c r="AJ228" i="7"/>
  <c r="AI228" i="7"/>
  <c r="AG228" i="7"/>
  <c r="AF228" i="7"/>
  <c r="U228" i="7"/>
  <c r="S228" i="7"/>
  <c r="R228" i="7"/>
  <c r="M228" i="7"/>
  <c r="I228" i="7"/>
  <c r="AH228" i="7" s="1"/>
  <c r="AM227" i="7"/>
  <c r="AL227" i="7"/>
  <c r="AJ227" i="7"/>
  <c r="AI227" i="7"/>
  <c r="AG227" i="7"/>
  <c r="AF227" i="7"/>
  <c r="U227" i="7"/>
  <c r="S227" i="7"/>
  <c r="R227" i="7"/>
  <c r="M227" i="7"/>
  <c r="I227" i="7"/>
  <c r="AK227" i="7" s="1"/>
  <c r="AM226" i="7"/>
  <c r="AL226" i="7"/>
  <c r="AJ226" i="7"/>
  <c r="AI226" i="7"/>
  <c r="AH226" i="7"/>
  <c r="AG226" i="7"/>
  <c r="AF226" i="7"/>
  <c r="U226" i="7"/>
  <c r="R226" i="7"/>
  <c r="M226" i="7"/>
  <c r="I226" i="7"/>
  <c r="AK226" i="7" s="1"/>
  <c r="AM225" i="7"/>
  <c r="AL225" i="7"/>
  <c r="AJ225" i="7"/>
  <c r="AI225" i="7"/>
  <c r="AG225" i="7"/>
  <c r="AF225" i="7"/>
  <c r="U225" i="7"/>
  <c r="S225" i="7"/>
  <c r="R225" i="7"/>
  <c r="M225" i="7"/>
  <c r="I225" i="7"/>
  <c r="AK225" i="7" s="1"/>
  <c r="AM224" i="7"/>
  <c r="AL224" i="7"/>
  <c r="AK224" i="7"/>
  <c r="AJ224" i="7"/>
  <c r="AI224" i="7"/>
  <c r="AG224" i="7"/>
  <c r="AF224" i="7"/>
  <c r="U224" i="7"/>
  <c r="S224" i="7"/>
  <c r="R224" i="7"/>
  <c r="M224" i="7"/>
  <c r="I224" i="7"/>
  <c r="AH224" i="7" s="1"/>
  <c r="AM223" i="7"/>
  <c r="AL223" i="7"/>
  <c r="AJ223" i="7"/>
  <c r="AI223" i="7"/>
  <c r="AG223" i="7"/>
  <c r="AF223" i="7"/>
  <c r="U223" i="7"/>
  <c r="S223" i="7"/>
  <c r="R223" i="7"/>
  <c r="M223" i="7"/>
  <c r="I223" i="7"/>
  <c r="AK223" i="7" s="1"/>
  <c r="AM222" i="7"/>
  <c r="AL222" i="7"/>
  <c r="AJ222" i="7"/>
  <c r="AI222" i="7"/>
  <c r="AG222" i="7"/>
  <c r="AF222" i="7"/>
  <c r="U222" i="7"/>
  <c r="R222" i="7"/>
  <c r="S222" i="7" s="1"/>
  <c r="I222" i="7"/>
  <c r="AK222" i="7" s="1"/>
  <c r="AM221" i="7"/>
  <c r="AL221" i="7"/>
  <c r="AJ221" i="7"/>
  <c r="AI221" i="7"/>
  <c r="AG221" i="7"/>
  <c r="AF221" i="7"/>
  <c r="U221" i="7"/>
  <c r="S221" i="7"/>
  <c r="R221" i="7"/>
  <c r="I221" i="7"/>
  <c r="AM220" i="7"/>
  <c r="AL220" i="7"/>
  <c r="AJ220" i="7"/>
  <c r="AI220" i="7"/>
  <c r="AG220" i="7"/>
  <c r="AF220" i="7"/>
  <c r="U220" i="7"/>
  <c r="R220" i="7"/>
  <c r="S220" i="7" s="1"/>
  <c r="I220" i="7"/>
  <c r="AK220" i="7" s="1"/>
  <c r="AM219" i="7"/>
  <c r="AL219" i="7"/>
  <c r="AJ219" i="7"/>
  <c r="AI219" i="7"/>
  <c r="AG219" i="7"/>
  <c r="AF219" i="7"/>
  <c r="U219" i="7"/>
  <c r="S219" i="7"/>
  <c r="R219" i="7"/>
  <c r="I219" i="7"/>
  <c r="AM218" i="7"/>
  <c r="AL218" i="7"/>
  <c r="AJ218" i="7"/>
  <c r="AI218" i="7"/>
  <c r="AG218" i="7"/>
  <c r="AF218" i="7"/>
  <c r="U218" i="7"/>
  <c r="R218" i="7"/>
  <c r="S218" i="7" s="1"/>
  <c r="I218" i="7"/>
  <c r="AK218" i="7" s="1"/>
  <c r="AM217" i="7"/>
  <c r="AL217" i="7"/>
  <c r="AJ217" i="7"/>
  <c r="AI217" i="7"/>
  <c r="AG217" i="7"/>
  <c r="AF217" i="7"/>
  <c r="U217" i="7"/>
  <c r="S217" i="7"/>
  <c r="R217" i="7"/>
  <c r="I217" i="7"/>
  <c r="AM216" i="7"/>
  <c r="AL216" i="7"/>
  <c r="AJ216" i="7"/>
  <c r="AI216" i="7"/>
  <c r="AG216" i="7"/>
  <c r="AF216" i="7"/>
  <c r="U216" i="7"/>
  <c r="R216" i="7"/>
  <c r="S216" i="7" s="1"/>
  <c r="I216" i="7"/>
  <c r="AK216" i="7" s="1"/>
  <c r="AM215" i="7"/>
  <c r="AL215" i="7"/>
  <c r="AJ215" i="7"/>
  <c r="AI215" i="7"/>
  <c r="AG215" i="7"/>
  <c r="AF215" i="7"/>
  <c r="U215" i="7"/>
  <c r="S215" i="7"/>
  <c r="R215" i="7"/>
  <c r="I215" i="7"/>
  <c r="AM214" i="7"/>
  <c r="AL214" i="7"/>
  <c r="AJ214" i="7"/>
  <c r="AI214" i="7"/>
  <c r="AG214" i="7"/>
  <c r="AF214" i="7"/>
  <c r="U214" i="7"/>
  <c r="R214" i="7"/>
  <c r="S214" i="7" s="1"/>
  <c r="I214" i="7"/>
  <c r="AK214" i="7" s="1"/>
  <c r="AM213" i="7"/>
  <c r="AL213" i="7"/>
  <c r="AJ213" i="7"/>
  <c r="AI213" i="7"/>
  <c r="AG213" i="7"/>
  <c r="AF213" i="7"/>
  <c r="U213" i="7"/>
  <c r="S213" i="7"/>
  <c r="R213" i="7"/>
  <c r="I213" i="7"/>
  <c r="AM212" i="7"/>
  <c r="AL212" i="7"/>
  <c r="AJ212" i="7"/>
  <c r="AI212" i="7"/>
  <c r="AG212" i="7"/>
  <c r="AF212" i="7"/>
  <c r="U212" i="7"/>
  <c r="R212" i="7"/>
  <c r="S212" i="7" s="1"/>
  <c r="I212" i="7"/>
  <c r="AH212" i="7" s="1"/>
  <c r="AM211" i="7"/>
  <c r="AL211" i="7"/>
  <c r="AJ211" i="7"/>
  <c r="AI211" i="7"/>
  <c r="AG211" i="7"/>
  <c r="AF211" i="7"/>
  <c r="U211" i="7"/>
  <c r="S211" i="7"/>
  <c r="R211" i="7"/>
  <c r="I211" i="7"/>
  <c r="AM210" i="7"/>
  <c r="AL210" i="7"/>
  <c r="AK210" i="7"/>
  <c r="AJ210" i="7"/>
  <c r="AI210" i="7"/>
  <c r="AH210" i="7"/>
  <c r="AG210" i="7"/>
  <c r="AF210" i="7"/>
  <c r="U210" i="7"/>
  <c r="R210" i="7"/>
  <c r="S210" i="7" s="1"/>
  <c r="I210" i="7"/>
  <c r="AM209" i="7"/>
  <c r="AL209" i="7"/>
  <c r="AK209" i="7"/>
  <c r="AJ209" i="7"/>
  <c r="AI209" i="7"/>
  <c r="AG209" i="7"/>
  <c r="AF209" i="7"/>
  <c r="U209" i="7"/>
  <c r="S209" i="7"/>
  <c r="R209" i="7"/>
  <c r="I209" i="7"/>
  <c r="AH209" i="7" s="1"/>
  <c r="AM208" i="7"/>
  <c r="AL208" i="7"/>
  <c r="AK208" i="7"/>
  <c r="AJ208" i="7"/>
  <c r="AI208" i="7"/>
  <c r="AH208" i="7"/>
  <c r="AG208" i="7"/>
  <c r="AF208" i="7"/>
  <c r="U208" i="7"/>
  <c r="R208" i="7"/>
  <c r="S208" i="7" s="1"/>
  <c r="I208" i="7"/>
  <c r="AM207" i="7"/>
  <c r="AL207" i="7"/>
  <c r="AK207" i="7"/>
  <c r="AJ207" i="7"/>
  <c r="AI207" i="7"/>
  <c r="AG207" i="7"/>
  <c r="AF207" i="7"/>
  <c r="U207" i="7"/>
  <c r="R207" i="7"/>
  <c r="S207" i="7" s="1"/>
  <c r="I207" i="7"/>
  <c r="AH207" i="7" s="1"/>
  <c r="AM206" i="7"/>
  <c r="AL206" i="7"/>
  <c r="AJ206" i="7"/>
  <c r="AI206" i="7"/>
  <c r="AG206" i="7"/>
  <c r="AF206" i="7"/>
  <c r="U206" i="7"/>
  <c r="R206" i="7"/>
  <c r="S206" i="7" s="1"/>
  <c r="I206" i="7"/>
  <c r="AM205" i="7"/>
  <c r="AL205" i="7"/>
  <c r="AJ205" i="7"/>
  <c r="AI205" i="7"/>
  <c r="AG205" i="7"/>
  <c r="AF205" i="7"/>
  <c r="U205" i="7"/>
  <c r="S205" i="7"/>
  <c r="R205" i="7"/>
  <c r="I205" i="7"/>
  <c r="AH205" i="7" s="1"/>
  <c r="AM204" i="7"/>
  <c r="AL204" i="7"/>
  <c r="AJ204" i="7"/>
  <c r="AI204" i="7"/>
  <c r="AH204" i="7"/>
  <c r="AG204" i="7"/>
  <c r="AF204" i="7"/>
  <c r="U204" i="7"/>
  <c r="R204" i="7"/>
  <c r="S204" i="7" s="1"/>
  <c r="I204" i="7"/>
  <c r="AK204" i="7" s="1"/>
  <c r="AM203" i="7"/>
  <c r="AL203" i="7"/>
  <c r="AJ203" i="7"/>
  <c r="AI203" i="7"/>
  <c r="AG203" i="7"/>
  <c r="AF203" i="7"/>
  <c r="U203" i="7"/>
  <c r="R203" i="7"/>
  <c r="S203" i="7" s="1"/>
  <c r="I203" i="7"/>
  <c r="AH203" i="7" s="1"/>
  <c r="AM202" i="7"/>
  <c r="AL202" i="7"/>
  <c r="AJ202" i="7"/>
  <c r="AI202" i="7"/>
  <c r="AG202" i="7"/>
  <c r="AF202" i="7"/>
  <c r="U202" i="7"/>
  <c r="R202" i="7"/>
  <c r="S202" i="7" s="1"/>
  <c r="I202" i="7"/>
  <c r="AK202" i="7" s="1"/>
  <c r="AM201" i="7"/>
  <c r="AL201" i="7"/>
  <c r="AJ201" i="7"/>
  <c r="AI201" i="7"/>
  <c r="AG201" i="7"/>
  <c r="AF201" i="7"/>
  <c r="U201" i="7"/>
  <c r="S201" i="7"/>
  <c r="R201" i="7"/>
  <c r="I201" i="7"/>
  <c r="AH201" i="7" s="1"/>
  <c r="AM200" i="7"/>
  <c r="AL200" i="7"/>
  <c r="AJ200" i="7"/>
  <c r="AI200" i="7"/>
  <c r="AH200" i="7"/>
  <c r="AG200" i="7"/>
  <c r="AF200" i="7"/>
  <c r="U200" i="7"/>
  <c r="R200" i="7"/>
  <c r="S200" i="7" s="1"/>
  <c r="I200" i="7"/>
  <c r="AK200" i="7" s="1"/>
  <c r="AM199" i="7"/>
  <c r="AL199" i="7"/>
  <c r="AJ199" i="7"/>
  <c r="AI199" i="7"/>
  <c r="AG199" i="7"/>
  <c r="AF199" i="7"/>
  <c r="U199" i="7"/>
  <c r="R199" i="7"/>
  <c r="S199" i="7" s="1"/>
  <c r="I199" i="7"/>
  <c r="AM198" i="7"/>
  <c r="AL198" i="7"/>
  <c r="AK198" i="7"/>
  <c r="AJ198" i="7"/>
  <c r="AI198" i="7"/>
  <c r="AH198" i="7"/>
  <c r="AG198" i="7"/>
  <c r="AF198" i="7"/>
  <c r="U198" i="7"/>
  <c r="R198" i="7"/>
  <c r="S198" i="7" s="1"/>
  <c r="M198" i="7"/>
  <c r="I198" i="7"/>
  <c r="AM197" i="7"/>
  <c r="AL197" i="7"/>
  <c r="AJ197" i="7"/>
  <c r="AI197" i="7"/>
  <c r="AH197" i="7"/>
  <c r="AG197" i="7"/>
  <c r="AF197" i="7"/>
  <c r="Z197" i="7"/>
  <c r="AA197" i="7" s="1"/>
  <c r="AC197" i="7" s="1"/>
  <c r="U197" i="7"/>
  <c r="S197" i="7"/>
  <c r="R197" i="7"/>
  <c r="I197" i="7"/>
  <c r="AK197" i="7" s="1"/>
  <c r="AM196" i="7"/>
  <c r="AL196" i="7"/>
  <c r="AK196" i="7"/>
  <c r="AJ196" i="7"/>
  <c r="AI196" i="7"/>
  <c r="AG196" i="7"/>
  <c r="AF196" i="7"/>
  <c r="U196" i="7"/>
  <c r="S196" i="7"/>
  <c r="R196" i="7"/>
  <c r="O196" i="7"/>
  <c r="M196" i="7"/>
  <c r="I196" i="7"/>
  <c r="AH196" i="7" s="1"/>
  <c r="AM195" i="7"/>
  <c r="AL195" i="7"/>
  <c r="AJ195" i="7"/>
  <c r="AI195" i="7"/>
  <c r="AH195" i="7"/>
  <c r="AG195" i="7"/>
  <c r="T195" i="7" s="1"/>
  <c r="AF195" i="7"/>
  <c r="U195" i="7"/>
  <c r="R195" i="7"/>
  <c r="O195" i="7" s="1"/>
  <c r="M195" i="7"/>
  <c r="I195" i="7"/>
  <c r="AK195" i="7" s="1"/>
  <c r="AB192" i="7"/>
  <c r="Y192" i="7"/>
  <c r="W192" i="7"/>
  <c r="Q192" i="7"/>
  <c r="P192" i="7"/>
  <c r="AM191" i="7"/>
  <c r="AL191" i="7"/>
  <c r="AJ191" i="7"/>
  <c r="AI191" i="7"/>
  <c r="AG191" i="7"/>
  <c r="AF191" i="7"/>
  <c r="U191" i="7"/>
  <c r="T191" i="7"/>
  <c r="R191" i="7"/>
  <c r="S191" i="7" s="1"/>
  <c r="I191" i="7"/>
  <c r="AH191" i="7" s="1"/>
  <c r="AM190" i="7"/>
  <c r="AL190" i="7"/>
  <c r="AK190" i="7"/>
  <c r="AJ190" i="7"/>
  <c r="AI190" i="7"/>
  <c r="AH190" i="7"/>
  <c r="AG190" i="7"/>
  <c r="AF190" i="7"/>
  <c r="U190" i="7"/>
  <c r="R190" i="7"/>
  <c r="S190" i="7" s="1"/>
  <c r="I190" i="7"/>
  <c r="AM189" i="7"/>
  <c r="AL189" i="7"/>
  <c r="AK189" i="7"/>
  <c r="AJ189" i="7"/>
  <c r="AI189" i="7"/>
  <c r="AG189" i="7"/>
  <c r="AF189" i="7"/>
  <c r="Z189" i="7" s="1"/>
  <c r="AA189" i="7"/>
  <c r="AC189" i="7" s="1"/>
  <c r="U189" i="7"/>
  <c r="R189" i="7"/>
  <c r="S189" i="7" s="1"/>
  <c r="T189" i="7" s="1"/>
  <c r="I189" i="7"/>
  <c r="AH189" i="7" s="1"/>
  <c r="AM188" i="7"/>
  <c r="AL188" i="7"/>
  <c r="AK188" i="7"/>
  <c r="AJ188" i="7"/>
  <c r="AI188" i="7"/>
  <c r="AH188" i="7"/>
  <c r="AG188" i="7"/>
  <c r="AF188" i="7"/>
  <c r="U188" i="7"/>
  <c r="R188" i="7"/>
  <c r="S188" i="7" s="1"/>
  <c r="Z188" i="7" s="1"/>
  <c r="AA188" i="7" s="1"/>
  <c r="AC188" i="7" s="1"/>
  <c r="I188" i="7"/>
  <c r="AM187" i="7"/>
  <c r="AL187" i="7"/>
  <c r="AJ187" i="7"/>
  <c r="AI187" i="7"/>
  <c r="AG187" i="7"/>
  <c r="AF187" i="7"/>
  <c r="U187" i="7"/>
  <c r="R187" i="7"/>
  <c r="S187" i="7" s="1"/>
  <c r="I187" i="7"/>
  <c r="AM186" i="7"/>
  <c r="AL186" i="7"/>
  <c r="AK186" i="7"/>
  <c r="AJ186" i="7"/>
  <c r="AI186" i="7"/>
  <c r="AH186" i="7"/>
  <c r="AG186" i="7"/>
  <c r="AF186" i="7"/>
  <c r="U186" i="7"/>
  <c r="R186" i="7"/>
  <c r="S186" i="7" s="1"/>
  <c r="I186" i="7"/>
  <c r="AM185" i="7"/>
  <c r="AL185" i="7"/>
  <c r="AK185" i="7"/>
  <c r="AJ185" i="7"/>
  <c r="AI185" i="7"/>
  <c r="AG185" i="7"/>
  <c r="AF185" i="7"/>
  <c r="U185" i="7"/>
  <c r="R185" i="7"/>
  <c r="S185" i="7" s="1"/>
  <c r="T185" i="7" s="1"/>
  <c r="I185" i="7"/>
  <c r="AH185" i="7" s="1"/>
  <c r="AM184" i="7"/>
  <c r="AL184" i="7"/>
  <c r="AK184" i="7"/>
  <c r="AJ184" i="7"/>
  <c r="AI184" i="7"/>
  <c r="AH184" i="7"/>
  <c r="AG184" i="7"/>
  <c r="Z184" i="7" s="1"/>
  <c r="AA184" i="7" s="1"/>
  <c r="AC184" i="7" s="1"/>
  <c r="AF184" i="7"/>
  <c r="U184" i="7"/>
  <c r="R184" i="7"/>
  <c r="S184" i="7" s="1"/>
  <c r="I184" i="7"/>
  <c r="AM183" i="7"/>
  <c r="AL183" i="7"/>
  <c r="AJ183" i="7"/>
  <c r="AI183" i="7"/>
  <c r="AG183" i="7"/>
  <c r="AF183" i="7"/>
  <c r="U183" i="7"/>
  <c r="R183" i="7"/>
  <c r="S183" i="7" s="1"/>
  <c r="T183" i="7" s="1"/>
  <c r="I183" i="7"/>
  <c r="AH183" i="7" s="1"/>
  <c r="AM182" i="7"/>
  <c r="AL182" i="7"/>
  <c r="AK182" i="7"/>
  <c r="AJ182" i="7"/>
  <c r="AI182" i="7"/>
  <c r="AH182" i="7"/>
  <c r="AG182" i="7"/>
  <c r="AF182" i="7"/>
  <c r="Z182" i="7"/>
  <c r="AA182" i="7" s="1"/>
  <c r="AC182" i="7" s="1"/>
  <c r="U182" i="7"/>
  <c r="R182" i="7"/>
  <c r="S182" i="7" s="1"/>
  <c r="I182" i="7"/>
  <c r="AM181" i="7"/>
  <c r="AL181" i="7"/>
  <c r="AK181" i="7"/>
  <c r="AJ181" i="7"/>
  <c r="AI181" i="7"/>
  <c r="AG181" i="7"/>
  <c r="AF181" i="7"/>
  <c r="U181" i="7"/>
  <c r="T181" i="7"/>
  <c r="S181" i="7"/>
  <c r="R181" i="7"/>
  <c r="I181" i="7"/>
  <c r="AH181" i="7" s="1"/>
  <c r="AM180" i="7"/>
  <c r="AL180" i="7"/>
  <c r="AK180" i="7"/>
  <c r="AJ180" i="7"/>
  <c r="AI180" i="7"/>
  <c r="Z180" i="7" s="1"/>
  <c r="AA180" i="7" s="1"/>
  <c r="AC180" i="7" s="1"/>
  <c r="AH180" i="7"/>
  <c r="AG180" i="7"/>
  <c r="AF180" i="7"/>
  <c r="U180" i="7"/>
  <c r="R180" i="7"/>
  <c r="S180" i="7" s="1"/>
  <c r="I180" i="7"/>
  <c r="AM179" i="7"/>
  <c r="AL179" i="7"/>
  <c r="AK179" i="7"/>
  <c r="AJ179" i="7"/>
  <c r="AI179" i="7"/>
  <c r="AG179" i="7"/>
  <c r="T179" i="7" s="1"/>
  <c r="AF179" i="7"/>
  <c r="U179" i="7"/>
  <c r="S179" i="7"/>
  <c r="R179" i="7"/>
  <c r="I179" i="7"/>
  <c r="AH179" i="7" s="1"/>
  <c r="AM178" i="7"/>
  <c r="AL178" i="7"/>
  <c r="AK178" i="7"/>
  <c r="AJ178" i="7"/>
  <c r="AI178" i="7"/>
  <c r="Z178" i="7" s="1"/>
  <c r="AA178" i="7" s="1"/>
  <c r="AC178" i="7" s="1"/>
  <c r="AH178" i="7"/>
  <c r="AG178" i="7"/>
  <c r="AF178" i="7"/>
  <c r="U178" i="7"/>
  <c r="R178" i="7"/>
  <c r="S178" i="7" s="1"/>
  <c r="I178" i="7"/>
  <c r="AM177" i="7"/>
  <c r="AL177" i="7"/>
  <c r="AK177" i="7"/>
  <c r="AJ177" i="7"/>
  <c r="AI177" i="7"/>
  <c r="AG177" i="7"/>
  <c r="T177" i="7" s="1"/>
  <c r="AF177" i="7"/>
  <c r="U177" i="7"/>
  <c r="S177" i="7"/>
  <c r="R177" i="7"/>
  <c r="I177" i="7"/>
  <c r="AH177" i="7" s="1"/>
  <c r="AM176" i="7"/>
  <c r="AL176" i="7"/>
  <c r="AJ176" i="7"/>
  <c r="AI176" i="7"/>
  <c r="AG176" i="7"/>
  <c r="AF176" i="7"/>
  <c r="X176" i="7"/>
  <c r="U176" i="7"/>
  <c r="R176" i="7"/>
  <c r="S176" i="7" s="1"/>
  <c r="I176" i="7"/>
  <c r="AH176" i="7" s="1"/>
  <c r="T176" i="7" s="1"/>
  <c r="V176" i="7" s="1"/>
  <c r="AM175" i="7"/>
  <c r="AL175" i="7"/>
  <c r="AK175" i="7"/>
  <c r="AJ175" i="7"/>
  <c r="AI175" i="7"/>
  <c r="AG175" i="7"/>
  <c r="T175" i="7" s="1"/>
  <c r="X175" i="7" s="1"/>
  <c r="AF175" i="7"/>
  <c r="AA175" i="7"/>
  <c r="AC175" i="7" s="1"/>
  <c r="U175" i="7"/>
  <c r="V175" i="7" s="1"/>
  <c r="S175" i="7"/>
  <c r="Z175" i="7" s="1"/>
  <c r="R175" i="7"/>
  <c r="I175" i="7"/>
  <c r="AH175" i="7" s="1"/>
  <c r="AM174" i="7"/>
  <c r="AL174" i="7"/>
  <c r="AJ174" i="7"/>
  <c r="AI174" i="7"/>
  <c r="AH174" i="7"/>
  <c r="Z174" i="7" s="1"/>
  <c r="AA174" i="7" s="1"/>
  <c r="AC174" i="7" s="1"/>
  <c r="AG174" i="7"/>
  <c r="T174" i="7" s="1"/>
  <c r="AF174" i="7"/>
  <c r="U174" i="7"/>
  <c r="R174" i="7"/>
  <c r="S174" i="7" s="1"/>
  <c r="I174" i="7"/>
  <c r="AK174" i="7" s="1"/>
  <c r="AM173" i="7"/>
  <c r="AL173" i="7"/>
  <c r="AJ173" i="7"/>
  <c r="AI173" i="7"/>
  <c r="AG173" i="7"/>
  <c r="AF173" i="7"/>
  <c r="U173" i="7"/>
  <c r="T173" i="7"/>
  <c r="S173" i="7"/>
  <c r="R173" i="7"/>
  <c r="I173" i="7"/>
  <c r="AH173" i="7" s="1"/>
  <c r="AM172" i="7"/>
  <c r="AL172" i="7"/>
  <c r="AJ172" i="7"/>
  <c r="AI172" i="7"/>
  <c r="AG172" i="7"/>
  <c r="AF172" i="7"/>
  <c r="X172" i="7"/>
  <c r="U172" i="7"/>
  <c r="R172" i="7"/>
  <c r="S172" i="7" s="1"/>
  <c r="I172" i="7"/>
  <c r="AH172" i="7" s="1"/>
  <c r="T172" i="7" s="1"/>
  <c r="V172" i="7" s="1"/>
  <c r="AM171" i="7"/>
  <c r="AL171" i="7"/>
  <c r="AK171" i="7"/>
  <c r="AJ171" i="7"/>
  <c r="AI171" i="7"/>
  <c r="AG171" i="7"/>
  <c r="T171" i="7" s="1"/>
  <c r="X171" i="7" s="1"/>
  <c r="AF171" i="7"/>
  <c r="AA171" i="7"/>
  <c r="AC171" i="7" s="1"/>
  <c r="U171" i="7"/>
  <c r="V171" i="7" s="1"/>
  <c r="S171" i="7"/>
  <c r="Z171" i="7" s="1"/>
  <c r="R171" i="7"/>
  <c r="I171" i="7"/>
  <c r="AH171" i="7" s="1"/>
  <c r="AM170" i="7"/>
  <c r="AL170" i="7"/>
  <c r="AJ170" i="7"/>
  <c r="AI170" i="7"/>
  <c r="AH170" i="7"/>
  <c r="Z170" i="7" s="1"/>
  <c r="AA170" i="7" s="1"/>
  <c r="AC170" i="7" s="1"/>
  <c r="AG170" i="7"/>
  <c r="AF170" i="7"/>
  <c r="U170" i="7"/>
  <c r="R170" i="7"/>
  <c r="S170" i="7" s="1"/>
  <c r="I170" i="7"/>
  <c r="AK170" i="7" s="1"/>
  <c r="AM169" i="7"/>
  <c r="AL169" i="7"/>
  <c r="AJ169" i="7"/>
  <c r="AI169" i="7"/>
  <c r="AG169" i="7"/>
  <c r="AF169" i="7"/>
  <c r="T169" i="7" s="1"/>
  <c r="U169" i="7"/>
  <c r="S169" i="7"/>
  <c r="R169" i="7"/>
  <c r="I169" i="7"/>
  <c r="AH169" i="7" s="1"/>
  <c r="AM168" i="7"/>
  <c r="AL168" i="7"/>
  <c r="AK168" i="7"/>
  <c r="AJ168" i="7"/>
  <c r="AI168" i="7"/>
  <c r="AH168" i="7"/>
  <c r="AG168" i="7"/>
  <c r="AF168" i="7"/>
  <c r="U168" i="7"/>
  <c r="R168" i="7"/>
  <c r="S168" i="7" s="1"/>
  <c r="M168" i="7"/>
  <c r="I168" i="7"/>
  <c r="AM167" i="7"/>
  <c r="AL167" i="7"/>
  <c r="AK167" i="7"/>
  <c r="AJ167" i="7"/>
  <c r="AI167" i="7"/>
  <c r="AH167" i="7"/>
  <c r="Z167" i="7" s="1"/>
  <c r="AG167" i="7"/>
  <c r="AF167" i="7"/>
  <c r="U167" i="7"/>
  <c r="S167" i="7"/>
  <c r="R167" i="7"/>
  <c r="M167" i="7"/>
  <c r="I167" i="7"/>
  <c r="AM166" i="7"/>
  <c r="AL166" i="7"/>
  <c r="AJ166" i="7"/>
  <c r="AI166" i="7"/>
  <c r="AG166" i="7"/>
  <c r="AF166" i="7"/>
  <c r="AA166" i="7"/>
  <c r="AC166" i="7" s="1"/>
  <c r="U166" i="7"/>
  <c r="S166" i="7"/>
  <c r="R166" i="7"/>
  <c r="M166" i="7"/>
  <c r="I166" i="7"/>
  <c r="AH166" i="7" s="1"/>
  <c r="Z166" i="7" s="1"/>
  <c r="O166" i="7" s="1"/>
  <c r="T166" i="7" s="1"/>
  <c r="AM165" i="7"/>
  <c r="AL165" i="7"/>
  <c r="AJ165" i="7"/>
  <c r="AI165" i="7"/>
  <c r="AG165" i="7"/>
  <c r="AF165" i="7"/>
  <c r="U165" i="7"/>
  <c r="R165" i="7"/>
  <c r="S165" i="7" s="1"/>
  <c r="M165" i="7"/>
  <c r="I165" i="7"/>
  <c r="AK165" i="7" s="1"/>
  <c r="AM164" i="7"/>
  <c r="AL164" i="7"/>
  <c r="AK164" i="7"/>
  <c r="AJ164" i="7"/>
  <c r="AI164" i="7"/>
  <c r="AG164" i="7"/>
  <c r="AF164" i="7"/>
  <c r="U164" i="7"/>
  <c r="R164" i="7"/>
  <c r="S164" i="7" s="1"/>
  <c r="M164" i="7"/>
  <c r="I164" i="7"/>
  <c r="AH164" i="7" s="1"/>
  <c r="AM163" i="7"/>
  <c r="AL163" i="7"/>
  <c r="AK163" i="7"/>
  <c r="AJ163" i="7"/>
  <c r="AI163" i="7"/>
  <c r="AG163" i="7"/>
  <c r="AF163" i="7"/>
  <c r="U163" i="7"/>
  <c r="S163" i="7"/>
  <c r="R163" i="7"/>
  <c r="M163" i="7"/>
  <c r="I163" i="7"/>
  <c r="AH163" i="7" s="1"/>
  <c r="AM162" i="7"/>
  <c r="AL162" i="7"/>
  <c r="AJ162" i="7"/>
  <c r="AI162" i="7"/>
  <c r="AG162" i="7"/>
  <c r="AF162" i="7"/>
  <c r="U162" i="7"/>
  <c r="S162" i="7"/>
  <c r="R162" i="7"/>
  <c r="M162" i="7"/>
  <c r="I162" i="7"/>
  <c r="AH162" i="7" s="1"/>
  <c r="Z162" i="7" s="1"/>
  <c r="AM161" i="7"/>
  <c r="AL161" i="7"/>
  <c r="AK161" i="7"/>
  <c r="AJ161" i="7"/>
  <c r="AI161" i="7"/>
  <c r="AH161" i="7"/>
  <c r="AG161" i="7"/>
  <c r="AF161" i="7"/>
  <c r="Z161" i="7" s="1"/>
  <c r="AA161" i="7" s="1"/>
  <c r="AC161" i="7" s="1"/>
  <c r="U161" i="7"/>
  <c r="R161" i="7"/>
  <c r="S161" i="7" s="1"/>
  <c r="I161" i="7"/>
  <c r="AM160" i="7"/>
  <c r="AL160" i="7"/>
  <c r="AK160" i="7"/>
  <c r="AJ160" i="7"/>
  <c r="AI160" i="7"/>
  <c r="AG160" i="7"/>
  <c r="AF160" i="7"/>
  <c r="U160" i="7"/>
  <c r="S160" i="7"/>
  <c r="R160" i="7"/>
  <c r="I160" i="7"/>
  <c r="AH160" i="7" s="1"/>
  <c r="AM159" i="7"/>
  <c r="AL159" i="7"/>
  <c r="AK159" i="7"/>
  <c r="AJ159" i="7"/>
  <c r="AI159" i="7"/>
  <c r="AH159" i="7"/>
  <c r="AG159" i="7"/>
  <c r="AF159" i="7"/>
  <c r="Z159" i="7" s="1"/>
  <c r="AA159" i="7" s="1"/>
  <c r="AC159" i="7" s="1"/>
  <c r="U159" i="7"/>
  <c r="R159" i="7"/>
  <c r="S159" i="7" s="1"/>
  <c r="I159" i="7"/>
  <c r="AM158" i="7"/>
  <c r="AL158" i="7"/>
  <c r="AK158" i="7"/>
  <c r="AJ158" i="7"/>
  <c r="AI158" i="7"/>
  <c r="AG158" i="7"/>
  <c r="AF158" i="7"/>
  <c r="U158" i="7"/>
  <c r="S158" i="7"/>
  <c r="R158" i="7"/>
  <c r="I158" i="7"/>
  <c r="AH158" i="7" s="1"/>
  <c r="AM157" i="7"/>
  <c r="AL157" i="7"/>
  <c r="AK157" i="7"/>
  <c r="AJ157" i="7"/>
  <c r="AI157" i="7"/>
  <c r="AH157" i="7"/>
  <c r="AG157" i="7"/>
  <c r="AF157" i="7"/>
  <c r="Z157" i="7" s="1"/>
  <c r="AA157" i="7" s="1"/>
  <c r="AC157" i="7" s="1"/>
  <c r="U157" i="7"/>
  <c r="R157" i="7"/>
  <c r="S157" i="7" s="1"/>
  <c r="I157" i="7"/>
  <c r="AM156" i="7"/>
  <c r="AL156" i="7"/>
  <c r="AK156" i="7"/>
  <c r="AJ156" i="7"/>
  <c r="AI156" i="7"/>
  <c r="AG156" i="7"/>
  <c r="AF156" i="7"/>
  <c r="U156" i="7"/>
  <c r="S156" i="7"/>
  <c r="R156" i="7"/>
  <c r="I156" i="7"/>
  <c r="AH156" i="7" s="1"/>
  <c r="AM155" i="7"/>
  <c r="AL155" i="7"/>
  <c r="AK155" i="7"/>
  <c r="AJ155" i="7"/>
  <c r="AI155" i="7"/>
  <c r="AH155" i="7"/>
  <c r="AG155" i="7"/>
  <c r="AF155" i="7"/>
  <c r="Z155" i="7" s="1"/>
  <c r="AA155" i="7" s="1"/>
  <c r="AC155" i="7" s="1"/>
  <c r="U155" i="7"/>
  <c r="R155" i="7"/>
  <c r="S155" i="7" s="1"/>
  <c r="I155" i="7"/>
  <c r="AM154" i="7"/>
  <c r="AL154" i="7"/>
  <c r="AK154" i="7"/>
  <c r="AJ154" i="7"/>
  <c r="AI154" i="7"/>
  <c r="AG154" i="7"/>
  <c r="AF154" i="7"/>
  <c r="U154" i="7"/>
  <c r="S154" i="7"/>
  <c r="R154" i="7"/>
  <c r="I154" i="7"/>
  <c r="AH154" i="7" s="1"/>
  <c r="AM153" i="7"/>
  <c r="AL153" i="7"/>
  <c r="AK153" i="7"/>
  <c r="AJ153" i="7"/>
  <c r="AI153" i="7"/>
  <c r="AH153" i="7"/>
  <c r="AG153" i="7"/>
  <c r="AF153" i="7"/>
  <c r="Z153" i="7" s="1"/>
  <c r="AA153" i="7" s="1"/>
  <c r="AC153" i="7" s="1"/>
  <c r="U153" i="7"/>
  <c r="R153" i="7"/>
  <c r="S153" i="7" s="1"/>
  <c r="I153" i="7"/>
  <c r="AM152" i="7"/>
  <c r="AL152" i="7"/>
  <c r="AK152" i="7"/>
  <c r="AJ152" i="7"/>
  <c r="AI152" i="7"/>
  <c r="AG152" i="7"/>
  <c r="AF152" i="7"/>
  <c r="U152" i="7"/>
  <c r="S152" i="7"/>
  <c r="R152" i="7"/>
  <c r="I152" i="7"/>
  <c r="AH152" i="7" s="1"/>
  <c r="AM151" i="7"/>
  <c r="AL151" i="7"/>
  <c r="AK151" i="7"/>
  <c r="AJ151" i="7"/>
  <c r="AI151" i="7"/>
  <c r="AH151" i="7"/>
  <c r="AG151" i="7"/>
  <c r="AF151" i="7"/>
  <c r="Z151" i="7" s="1"/>
  <c r="AA151" i="7" s="1"/>
  <c r="AC151" i="7" s="1"/>
  <c r="U151" i="7"/>
  <c r="R151" i="7"/>
  <c r="S151" i="7" s="1"/>
  <c r="I151" i="7"/>
  <c r="AM150" i="7"/>
  <c r="AL150" i="7"/>
  <c r="AK150" i="7"/>
  <c r="AJ150" i="7"/>
  <c r="AI150" i="7"/>
  <c r="AG150" i="7"/>
  <c r="AF150" i="7"/>
  <c r="U150" i="7"/>
  <c r="S150" i="7"/>
  <c r="R150" i="7"/>
  <c r="I150" i="7"/>
  <c r="AH150" i="7" s="1"/>
  <c r="AM149" i="7"/>
  <c r="AL149" i="7"/>
  <c r="AK149" i="7"/>
  <c r="AJ149" i="7"/>
  <c r="AI149" i="7"/>
  <c r="AH149" i="7"/>
  <c r="AG149" i="7"/>
  <c r="T149" i="7" s="1"/>
  <c r="AF149" i="7"/>
  <c r="Z149" i="7" s="1"/>
  <c r="AA149" i="7" s="1"/>
  <c r="AC149" i="7" s="1"/>
  <c r="U149" i="7"/>
  <c r="R149" i="7"/>
  <c r="S149" i="7" s="1"/>
  <c r="I149" i="7"/>
  <c r="AM148" i="7"/>
  <c r="AL148" i="7"/>
  <c r="AK148" i="7"/>
  <c r="AJ148" i="7"/>
  <c r="AI148" i="7"/>
  <c r="AG148" i="7"/>
  <c r="AF148" i="7"/>
  <c r="U148" i="7"/>
  <c r="S148" i="7"/>
  <c r="R148" i="7"/>
  <c r="I148" i="7"/>
  <c r="AH148" i="7" s="1"/>
  <c r="AM147" i="7"/>
  <c r="AL147" i="7"/>
  <c r="AK147" i="7"/>
  <c r="AJ147" i="7"/>
  <c r="AI147" i="7"/>
  <c r="AH147" i="7"/>
  <c r="AG147" i="7"/>
  <c r="AF147" i="7"/>
  <c r="Z147" i="7" s="1"/>
  <c r="AA147" i="7" s="1"/>
  <c r="AC147" i="7" s="1"/>
  <c r="U147" i="7"/>
  <c r="R147" i="7"/>
  <c r="S147" i="7" s="1"/>
  <c r="I147" i="7"/>
  <c r="AM146" i="7"/>
  <c r="AL146" i="7"/>
  <c r="AK146" i="7"/>
  <c r="AJ146" i="7"/>
  <c r="AI146" i="7"/>
  <c r="AG146" i="7"/>
  <c r="AF146" i="7"/>
  <c r="U146" i="7"/>
  <c r="S146" i="7"/>
  <c r="R146" i="7"/>
  <c r="I146" i="7"/>
  <c r="AH146" i="7" s="1"/>
  <c r="AM145" i="7"/>
  <c r="AL145" i="7"/>
  <c r="AK145" i="7"/>
  <c r="AJ145" i="7"/>
  <c r="AI145" i="7"/>
  <c r="AH145" i="7"/>
  <c r="AG145" i="7"/>
  <c r="AF145" i="7"/>
  <c r="U145" i="7"/>
  <c r="R145" i="7"/>
  <c r="S145" i="7" s="1"/>
  <c r="I145" i="7"/>
  <c r="AM144" i="7"/>
  <c r="AL144" i="7"/>
  <c r="AK144" i="7"/>
  <c r="AJ144" i="7"/>
  <c r="AI144" i="7"/>
  <c r="AG144" i="7"/>
  <c r="AF144" i="7"/>
  <c r="U144" i="7"/>
  <c r="S144" i="7"/>
  <c r="R144" i="7"/>
  <c r="I144" i="7"/>
  <c r="AH144" i="7" s="1"/>
  <c r="AM143" i="7"/>
  <c r="AL143" i="7"/>
  <c r="AK143" i="7"/>
  <c r="AJ143" i="7"/>
  <c r="AI143" i="7"/>
  <c r="AH143" i="7"/>
  <c r="AG143" i="7"/>
  <c r="T143" i="7" s="1"/>
  <c r="X143" i="7" s="1"/>
  <c r="AF143" i="7"/>
  <c r="Z143" i="7" s="1"/>
  <c r="AA143" i="7" s="1"/>
  <c r="AC143" i="7"/>
  <c r="U143" i="7"/>
  <c r="R143" i="7"/>
  <c r="S143" i="7" s="1"/>
  <c r="I143" i="7"/>
  <c r="AM142" i="7"/>
  <c r="AL142" i="7"/>
  <c r="AK142" i="7"/>
  <c r="AJ142" i="7"/>
  <c r="AI142" i="7"/>
  <c r="AG142" i="7"/>
  <c r="AF142" i="7"/>
  <c r="U142" i="7"/>
  <c r="S142" i="7"/>
  <c r="R142" i="7"/>
  <c r="I142" i="7"/>
  <c r="AH142" i="7" s="1"/>
  <c r="AM141" i="7"/>
  <c r="AL141" i="7"/>
  <c r="AK141" i="7"/>
  <c r="AJ141" i="7"/>
  <c r="AI141" i="7"/>
  <c r="AH141" i="7"/>
  <c r="AG141" i="7"/>
  <c r="AF141" i="7"/>
  <c r="U141" i="7"/>
  <c r="R141" i="7"/>
  <c r="S141" i="7" s="1"/>
  <c r="I141" i="7"/>
  <c r="AM140" i="7"/>
  <c r="AL140" i="7"/>
  <c r="AK140" i="7"/>
  <c r="AJ140" i="7"/>
  <c r="AI140" i="7"/>
  <c r="AG140" i="7"/>
  <c r="AF140" i="7"/>
  <c r="U140" i="7"/>
  <c r="S140" i="7"/>
  <c r="R140" i="7"/>
  <c r="I140" i="7"/>
  <c r="AH140" i="7" s="1"/>
  <c r="Z140" i="7" s="1"/>
  <c r="AA140" i="7" s="1"/>
  <c r="AC140" i="7" s="1"/>
  <c r="AM139" i="7"/>
  <c r="AL139" i="7"/>
  <c r="AK139" i="7"/>
  <c r="AJ139" i="7"/>
  <c r="AI139" i="7"/>
  <c r="AH139" i="7"/>
  <c r="AG139" i="7"/>
  <c r="AF139" i="7"/>
  <c r="Z139" i="7" s="1"/>
  <c r="AA139" i="7" s="1"/>
  <c r="AC139" i="7" s="1"/>
  <c r="U139" i="7"/>
  <c r="T139" i="7"/>
  <c r="X139" i="7" s="1"/>
  <c r="R139" i="7"/>
  <c r="S139" i="7" s="1"/>
  <c r="I139" i="7"/>
  <c r="AM138" i="7"/>
  <c r="AL138" i="7"/>
  <c r="AK138" i="7"/>
  <c r="AJ138" i="7"/>
  <c r="AI138" i="7"/>
  <c r="AG138" i="7"/>
  <c r="T138" i="7" s="1"/>
  <c r="X138" i="7" s="1"/>
  <c r="AF138" i="7"/>
  <c r="U138" i="7"/>
  <c r="R138" i="7"/>
  <c r="S138" i="7" s="1"/>
  <c r="I138" i="7"/>
  <c r="AH138" i="7" s="1"/>
  <c r="AM137" i="7"/>
  <c r="AL137" i="7"/>
  <c r="AK137" i="7"/>
  <c r="AJ137" i="7"/>
  <c r="AI137" i="7"/>
  <c r="AH137" i="7"/>
  <c r="AG137" i="7"/>
  <c r="T137" i="7" s="1"/>
  <c r="AF137" i="7"/>
  <c r="U137" i="7"/>
  <c r="R137" i="7"/>
  <c r="S137" i="7" s="1"/>
  <c r="I137" i="7"/>
  <c r="AM136" i="7"/>
  <c r="AL136" i="7"/>
  <c r="AK136" i="7"/>
  <c r="AJ136" i="7"/>
  <c r="AI136" i="7"/>
  <c r="AG136" i="7"/>
  <c r="AF136" i="7"/>
  <c r="U136" i="7"/>
  <c r="R136" i="7"/>
  <c r="S136" i="7" s="1"/>
  <c r="I136" i="7"/>
  <c r="AH136" i="7" s="1"/>
  <c r="Z136" i="7" s="1"/>
  <c r="AA136" i="7" s="1"/>
  <c r="AC136" i="7" s="1"/>
  <c r="AM135" i="7"/>
  <c r="AL135" i="7"/>
  <c r="AK135" i="7"/>
  <c r="AJ135" i="7"/>
  <c r="AI135" i="7"/>
  <c r="AH135" i="7"/>
  <c r="AG135" i="7"/>
  <c r="AF135" i="7"/>
  <c r="Z135" i="7" s="1"/>
  <c r="AA135" i="7" s="1"/>
  <c r="AC135" i="7"/>
  <c r="X135" i="7"/>
  <c r="V135" i="7"/>
  <c r="U135" i="7"/>
  <c r="T135" i="7"/>
  <c r="R135" i="7"/>
  <c r="S135" i="7" s="1"/>
  <c r="M135" i="7"/>
  <c r="I135" i="7"/>
  <c r="AM134" i="7"/>
  <c r="AL134" i="7"/>
  <c r="AJ134" i="7"/>
  <c r="AI134" i="7"/>
  <c r="AG134" i="7"/>
  <c r="AF134" i="7"/>
  <c r="U134" i="7"/>
  <c r="S134" i="7"/>
  <c r="R134" i="7"/>
  <c r="I134" i="7"/>
  <c r="AK134" i="7" s="1"/>
  <c r="AM133" i="7"/>
  <c r="AL133" i="7"/>
  <c r="AJ133" i="7"/>
  <c r="AI133" i="7"/>
  <c r="AH133" i="7"/>
  <c r="AG133" i="7"/>
  <c r="AF133" i="7"/>
  <c r="Z133" i="7"/>
  <c r="AA133" i="7" s="1"/>
  <c r="AC133" i="7" s="1"/>
  <c r="U133" i="7"/>
  <c r="S133" i="7"/>
  <c r="R133" i="7"/>
  <c r="I133" i="7"/>
  <c r="AK133" i="7" s="1"/>
  <c r="AM132" i="7"/>
  <c r="AL132" i="7"/>
  <c r="AJ132" i="7"/>
  <c r="AI132" i="7"/>
  <c r="AH132" i="7"/>
  <c r="Z132" i="7" s="1"/>
  <c r="AA132" i="7" s="1"/>
  <c r="AC132" i="7" s="1"/>
  <c r="AG132" i="7"/>
  <c r="AF132" i="7"/>
  <c r="X132" i="7"/>
  <c r="U132" i="7"/>
  <c r="V132" i="7" s="1"/>
  <c r="T132" i="7"/>
  <c r="S132" i="7"/>
  <c r="R132" i="7"/>
  <c r="I132" i="7"/>
  <c r="AK132" i="7" s="1"/>
  <c r="AM131" i="7"/>
  <c r="AL131" i="7"/>
  <c r="AJ131" i="7"/>
  <c r="AI131" i="7"/>
  <c r="AH131" i="7"/>
  <c r="AG131" i="7"/>
  <c r="AF131" i="7"/>
  <c r="Z131" i="7"/>
  <c r="AA131" i="7" s="1"/>
  <c r="AC131" i="7" s="1"/>
  <c r="U131" i="7"/>
  <c r="S131" i="7"/>
  <c r="R131" i="7"/>
  <c r="I131" i="7"/>
  <c r="AK131" i="7" s="1"/>
  <c r="AM130" i="7"/>
  <c r="AL130" i="7"/>
  <c r="AJ130" i="7"/>
  <c r="AI130" i="7"/>
  <c r="AH130" i="7"/>
  <c r="Z130" i="7" s="1"/>
  <c r="AA130" i="7" s="1"/>
  <c r="AC130" i="7" s="1"/>
  <c r="AG130" i="7"/>
  <c r="AF130" i="7"/>
  <c r="U130" i="7"/>
  <c r="T130" i="7"/>
  <c r="X130" i="7" s="1"/>
  <c r="S130" i="7"/>
  <c r="R130" i="7"/>
  <c r="I130" i="7"/>
  <c r="AK130" i="7" s="1"/>
  <c r="AM129" i="7"/>
  <c r="AL129" i="7"/>
  <c r="AJ129" i="7"/>
  <c r="AI129" i="7"/>
  <c r="AH129" i="7"/>
  <c r="AG129" i="7"/>
  <c r="AF129" i="7"/>
  <c r="Z129" i="7" s="1"/>
  <c r="AA129" i="7" s="1"/>
  <c r="AC129" i="7" s="1"/>
  <c r="U129" i="7"/>
  <c r="S129" i="7"/>
  <c r="R129" i="7"/>
  <c r="I129" i="7"/>
  <c r="AK129" i="7" s="1"/>
  <c r="AM128" i="7"/>
  <c r="AL128" i="7"/>
  <c r="AJ128" i="7"/>
  <c r="AI128" i="7"/>
  <c r="AH128" i="7"/>
  <c r="Z128" i="7" s="1"/>
  <c r="AA128" i="7" s="1"/>
  <c r="AC128" i="7" s="1"/>
  <c r="AG128" i="7"/>
  <c r="AF128" i="7"/>
  <c r="U128" i="7"/>
  <c r="T128" i="7"/>
  <c r="X128" i="7" s="1"/>
  <c r="S128" i="7"/>
  <c r="R128" i="7"/>
  <c r="I128" i="7"/>
  <c r="AK128" i="7" s="1"/>
  <c r="AM127" i="7"/>
  <c r="AL127" i="7"/>
  <c r="AJ127" i="7"/>
  <c r="AI127" i="7"/>
  <c r="AH127" i="7"/>
  <c r="AG127" i="7"/>
  <c r="AF127" i="7"/>
  <c r="U127" i="7"/>
  <c r="S127" i="7"/>
  <c r="R127" i="7"/>
  <c r="I127" i="7"/>
  <c r="AK127" i="7" s="1"/>
  <c r="AM126" i="7"/>
  <c r="AL126" i="7"/>
  <c r="AJ126" i="7"/>
  <c r="AI126" i="7"/>
  <c r="AG126" i="7"/>
  <c r="AF126" i="7"/>
  <c r="U126" i="7"/>
  <c r="S126" i="7"/>
  <c r="R126" i="7"/>
  <c r="I126" i="7"/>
  <c r="AK126" i="7" s="1"/>
  <c r="AM125" i="7"/>
  <c r="AL125" i="7"/>
  <c r="AJ125" i="7"/>
  <c r="AI125" i="7"/>
  <c r="AH125" i="7"/>
  <c r="AG125" i="7"/>
  <c r="AF125" i="7"/>
  <c r="Z125" i="7"/>
  <c r="AA125" i="7" s="1"/>
  <c r="AC125" i="7" s="1"/>
  <c r="U125" i="7"/>
  <c r="S125" i="7"/>
  <c r="R125" i="7"/>
  <c r="I125" i="7"/>
  <c r="AK125" i="7" s="1"/>
  <c r="AM124" i="7"/>
  <c r="AL124" i="7"/>
  <c r="AJ124" i="7"/>
  <c r="AI124" i="7"/>
  <c r="AG124" i="7"/>
  <c r="AF124" i="7"/>
  <c r="U124" i="7"/>
  <c r="R124" i="7"/>
  <c r="S124" i="7" s="1"/>
  <c r="I124" i="7"/>
  <c r="AK124" i="7" s="1"/>
  <c r="AM123" i="7"/>
  <c r="AL123" i="7"/>
  <c r="AJ123" i="7"/>
  <c r="AI123" i="7"/>
  <c r="AH123" i="7"/>
  <c r="AG123" i="7"/>
  <c r="AF123" i="7"/>
  <c r="T123" i="7" s="1"/>
  <c r="X123" i="7" s="1"/>
  <c r="Z123" i="7"/>
  <c r="AA123" i="7" s="1"/>
  <c r="AC123" i="7" s="1"/>
  <c r="U123" i="7"/>
  <c r="S123" i="7"/>
  <c r="R123" i="7"/>
  <c r="I123" i="7"/>
  <c r="AK123" i="7" s="1"/>
  <c r="AM122" i="7"/>
  <c r="AL122" i="7"/>
  <c r="AJ122" i="7"/>
  <c r="AI122" i="7"/>
  <c r="AG122" i="7"/>
  <c r="AF122" i="7"/>
  <c r="U122" i="7"/>
  <c r="S122" i="7"/>
  <c r="R122" i="7"/>
  <c r="I122" i="7"/>
  <c r="AK122" i="7" s="1"/>
  <c r="AM121" i="7"/>
  <c r="AL121" i="7"/>
  <c r="AJ121" i="7"/>
  <c r="AI121" i="7"/>
  <c r="AH121" i="7"/>
  <c r="AG121" i="7"/>
  <c r="AF121" i="7"/>
  <c r="U121" i="7"/>
  <c r="T121" i="7"/>
  <c r="S121" i="7"/>
  <c r="R121" i="7"/>
  <c r="I121" i="7"/>
  <c r="AK121" i="7" s="1"/>
  <c r="AM120" i="7"/>
  <c r="AL120" i="7"/>
  <c r="AJ120" i="7"/>
  <c r="AI120" i="7"/>
  <c r="AG120" i="7"/>
  <c r="AF120" i="7"/>
  <c r="U120" i="7"/>
  <c r="R120" i="7"/>
  <c r="S120" i="7" s="1"/>
  <c r="I120" i="7"/>
  <c r="AH120" i="7" s="1"/>
  <c r="AM119" i="7"/>
  <c r="AL119" i="7"/>
  <c r="AJ119" i="7"/>
  <c r="AI119" i="7"/>
  <c r="AH119" i="7"/>
  <c r="AG119" i="7"/>
  <c r="AF119" i="7"/>
  <c r="T119" i="7" s="1"/>
  <c r="X119" i="7" s="1"/>
  <c r="Z119" i="7"/>
  <c r="AA119" i="7" s="1"/>
  <c r="AC119" i="7" s="1"/>
  <c r="U119" i="7"/>
  <c r="S119" i="7"/>
  <c r="R119" i="7"/>
  <c r="I119" i="7"/>
  <c r="AK119" i="7" s="1"/>
  <c r="AM118" i="7"/>
  <c r="AL118" i="7"/>
  <c r="AJ118" i="7"/>
  <c r="AI118" i="7"/>
  <c r="AG118" i="7"/>
  <c r="AF118" i="7"/>
  <c r="U118" i="7"/>
  <c r="S118" i="7"/>
  <c r="R118" i="7"/>
  <c r="I118" i="7"/>
  <c r="AK118" i="7" s="1"/>
  <c r="AM117" i="7"/>
  <c r="AL117" i="7"/>
  <c r="AJ117" i="7"/>
  <c r="AI117" i="7"/>
  <c r="AH117" i="7"/>
  <c r="AG117" i="7"/>
  <c r="AF117" i="7"/>
  <c r="U117" i="7"/>
  <c r="T117" i="7"/>
  <c r="S117" i="7"/>
  <c r="R117" i="7"/>
  <c r="I117" i="7"/>
  <c r="AK117" i="7" s="1"/>
  <c r="AM116" i="7"/>
  <c r="AL116" i="7"/>
  <c r="AJ116" i="7"/>
  <c r="AI116" i="7"/>
  <c r="AG116" i="7"/>
  <c r="AF116" i="7"/>
  <c r="Z116" i="7"/>
  <c r="AA116" i="7" s="1"/>
  <c r="AC116" i="7" s="1"/>
  <c r="U116" i="7"/>
  <c r="R116" i="7"/>
  <c r="S116" i="7" s="1"/>
  <c r="I116" i="7"/>
  <c r="AH116" i="7" s="1"/>
  <c r="AM115" i="7"/>
  <c r="AL115" i="7"/>
  <c r="AJ115" i="7"/>
  <c r="AI115" i="7"/>
  <c r="AH115" i="7"/>
  <c r="AG115" i="7"/>
  <c r="AF115" i="7"/>
  <c r="T115" i="7" s="1"/>
  <c r="X115" i="7" s="1"/>
  <c r="Z115" i="7"/>
  <c r="AA115" i="7" s="1"/>
  <c r="AC115" i="7" s="1"/>
  <c r="U115" i="7"/>
  <c r="S115" i="7"/>
  <c r="R115" i="7"/>
  <c r="I115" i="7"/>
  <c r="AK115" i="7" s="1"/>
  <c r="AM114" i="7"/>
  <c r="AL114" i="7"/>
  <c r="AJ114" i="7"/>
  <c r="AI114" i="7"/>
  <c r="AG114" i="7"/>
  <c r="AF114" i="7"/>
  <c r="U114" i="7"/>
  <c r="S114" i="7"/>
  <c r="R114" i="7"/>
  <c r="I114" i="7"/>
  <c r="AK114" i="7" s="1"/>
  <c r="AM113" i="7"/>
  <c r="AL113" i="7"/>
  <c r="AJ113" i="7"/>
  <c r="AI113" i="7"/>
  <c r="AH113" i="7"/>
  <c r="AG113" i="7"/>
  <c r="T113" i="7" s="1"/>
  <c r="X113" i="7" s="1"/>
  <c r="AF113" i="7"/>
  <c r="U113" i="7"/>
  <c r="S113" i="7"/>
  <c r="R113" i="7"/>
  <c r="I113" i="7"/>
  <c r="AK113" i="7" s="1"/>
  <c r="AM112" i="7"/>
  <c r="AL112" i="7"/>
  <c r="AJ112" i="7"/>
  <c r="AI112" i="7"/>
  <c r="AE112" i="7" s="1"/>
  <c r="AH112" i="7"/>
  <c r="T112" i="7" s="1"/>
  <c r="X112" i="7" s="1"/>
  <c r="AG112" i="7"/>
  <c r="AF112" i="7"/>
  <c r="AA112" i="7"/>
  <c r="AC112" i="7" s="1"/>
  <c r="AD112" i="7" s="1"/>
  <c r="U112" i="7"/>
  <c r="R112" i="7"/>
  <c r="Z112" i="7" s="1"/>
  <c r="I112" i="7"/>
  <c r="AK112" i="7" s="1"/>
  <c r="AM111" i="7"/>
  <c r="AL111" i="7"/>
  <c r="AJ111" i="7"/>
  <c r="AI111" i="7"/>
  <c r="AG111" i="7"/>
  <c r="AF111" i="7"/>
  <c r="U111" i="7"/>
  <c r="R111" i="7"/>
  <c r="S111" i="7" s="1"/>
  <c r="I111" i="7"/>
  <c r="AK111" i="7" s="1"/>
  <c r="AM110" i="7"/>
  <c r="AL110" i="7"/>
  <c r="AJ110" i="7"/>
  <c r="AI110" i="7"/>
  <c r="AH110" i="7"/>
  <c r="AG110" i="7"/>
  <c r="Z110" i="7" s="1"/>
  <c r="AA110" i="7" s="1"/>
  <c r="AC110" i="7" s="1"/>
  <c r="AF110" i="7"/>
  <c r="U110" i="7"/>
  <c r="S110" i="7"/>
  <c r="R110" i="7"/>
  <c r="I110" i="7"/>
  <c r="AK110" i="7" s="1"/>
  <c r="AM109" i="7"/>
  <c r="AL109" i="7"/>
  <c r="AK109" i="7"/>
  <c r="AJ109" i="7"/>
  <c r="AI109" i="7"/>
  <c r="AH109" i="7"/>
  <c r="AG109" i="7"/>
  <c r="AF109" i="7"/>
  <c r="U109" i="7"/>
  <c r="V109" i="7" s="1"/>
  <c r="T109" i="7"/>
  <c r="X109" i="7" s="1"/>
  <c r="R109" i="7"/>
  <c r="S109" i="7" s="1"/>
  <c r="I109" i="7"/>
  <c r="AM108" i="7"/>
  <c r="AL108" i="7"/>
  <c r="AJ108" i="7"/>
  <c r="AI108" i="7"/>
  <c r="AH108" i="7"/>
  <c r="AG108" i="7"/>
  <c r="Z108" i="7" s="1"/>
  <c r="AA108" i="7" s="1"/>
  <c r="AC108" i="7" s="1"/>
  <c r="AF108" i="7"/>
  <c r="U108" i="7"/>
  <c r="S108" i="7"/>
  <c r="R108" i="7"/>
  <c r="I108" i="7"/>
  <c r="AK108" i="7" s="1"/>
  <c r="AM107" i="7"/>
  <c r="AL107" i="7"/>
  <c r="AK107" i="7"/>
  <c r="AJ107" i="7"/>
  <c r="AI107" i="7"/>
  <c r="AH107" i="7"/>
  <c r="AG107" i="7"/>
  <c r="AF107" i="7"/>
  <c r="U107" i="7"/>
  <c r="T107" i="7"/>
  <c r="X107" i="7" s="1"/>
  <c r="R107" i="7"/>
  <c r="S107" i="7" s="1"/>
  <c r="I107" i="7"/>
  <c r="AM106" i="7"/>
  <c r="AL106" i="7"/>
  <c r="AJ106" i="7"/>
  <c r="AI106" i="7"/>
  <c r="AH106" i="7"/>
  <c r="AG106" i="7"/>
  <c r="Z106" i="7" s="1"/>
  <c r="AA106" i="7" s="1"/>
  <c r="AC106" i="7" s="1"/>
  <c r="AF106" i="7"/>
  <c r="U106" i="7"/>
  <c r="S106" i="7"/>
  <c r="R106" i="7"/>
  <c r="I106" i="7"/>
  <c r="AK106" i="7" s="1"/>
  <c r="AM105" i="7"/>
  <c r="AL105" i="7"/>
  <c r="AK105" i="7"/>
  <c r="AJ105" i="7"/>
  <c r="AI105" i="7"/>
  <c r="AH105" i="7"/>
  <c r="AG105" i="7"/>
  <c r="AF105" i="7"/>
  <c r="U105" i="7"/>
  <c r="T105" i="7"/>
  <c r="X105" i="7" s="1"/>
  <c r="R105" i="7"/>
  <c r="S105" i="7" s="1"/>
  <c r="I105" i="7"/>
  <c r="AM104" i="7"/>
  <c r="AL104" i="7"/>
  <c r="AJ104" i="7"/>
  <c r="AI104" i="7"/>
  <c r="AH104" i="7"/>
  <c r="AG104" i="7"/>
  <c r="Z104" i="7" s="1"/>
  <c r="AA104" i="7" s="1"/>
  <c r="AC104" i="7" s="1"/>
  <c r="AF104" i="7"/>
  <c r="U104" i="7"/>
  <c r="S104" i="7"/>
  <c r="R104" i="7"/>
  <c r="I104" i="7"/>
  <c r="AK104" i="7" s="1"/>
  <c r="AM103" i="7"/>
  <c r="AL103" i="7"/>
  <c r="AK103" i="7"/>
  <c r="AJ103" i="7"/>
  <c r="AI103" i="7"/>
  <c r="AH103" i="7"/>
  <c r="Z103" i="7" s="1"/>
  <c r="AA103" i="7" s="1"/>
  <c r="AG103" i="7"/>
  <c r="AF103" i="7"/>
  <c r="AE103" i="7"/>
  <c r="AC103" i="7"/>
  <c r="AD103" i="7" s="1"/>
  <c r="U103" i="7"/>
  <c r="V103" i="7" s="1"/>
  <c r="T103" i="7"/>
  <c r="X103" i="7" s="1"/>
  <c r="R103" i="7"/>
  <c r="S103" i="7" s="1"/>
  <c r="I103" i="7"/>
  <c r="AM102" i="7"/>
  <c r="AL102" i="7"/>
  <c r="AJ102" i="7"/>
  <c r="AI102" i="7"/>
  <c r="Z102" i="7" s="1"/>
  <c r="AA102" i="7" s="1"/>
  <c r="AC102" i="7" s="1"/>
  <c r="AH102" i="7"/>
  <c r="AG102" i="7"/>
  <c r="AF102" i="7"/>
  <c r="U102" i="7"/>
  <c r="S102" i="7"/>
  <c r="R102" i="7"/>
  <c r="I102" i="7"/>
  <c r="AK102" i="7" s="1"/>
  <c r="AM101" i="7"/>
  <c r="AL101" i="7"/>
  <c r="AK101" i="7"/>
  <c r="AJ101" i="7"/>
  <c r="AI101" i="7"/>
  <c r="AH101" i="7"/>
  <c r="Z101" i="7" s="1"/>
  <c r="AA101" i="7" s="1"/>
  <c r="AC101" i="7" s="1"/>
  <c r="AG101" i="7"/>
  <c r="AF101" i="7"/>
  <c r="U101" i="7"/>
  <c r="V101" i="7" s="1"/>
  <c r="T101" i="7"/>
  <c r="X101" i="7" s="1"/>
  <c r="R101" i="7"/>
  <c r="S101" i="7" s="1"/>
  <c r="I101" i="7"/>
  <c r="AM100" i="7"/>
  <c r="AL100" i="7"/>
  <c r="AJ100" i="7"/>
  <c r="AI100" i="7"/>
  <c r="AH100" i="7"/>
  <c r="AG100" i="7"/>
  <c r="AF100" i="7"/>
  <c r="Z100" i="7"/>
  <c r="AA100" i="7" s="1"/>
  <c r="AC100" i="7" s="1"/>
  <c r="U100" i="7"/>
  <c r="S100" i="7"/>
  <c r="R100" i="7"/>
  <c r="I100" i="7"/>
  <c r="AK100" i="7" s="1"/>
  <c r="AM99" i="7"/>
  <c r="AL99" i="7"/>
  <c r="AK99" i="7"/>
  <c r="AJ99" i="7"/>
  <c r="AI99" i="7"/>
  <c r="AH99" i="7"/>
  <c r="AG99" i="7"/>
  <c r="AF99" i="7"/>
  <c r="U99" i="7"/>
  <c r="V99" i="7" s="1"/>
  <c r="T99" i="7"/>
  <c r="X99" i="7" s="1"/>
  <c r="R99" i="7"/>
  <c r="S99" i="7" s="1"/>
  <c r="I99" i="7"/>
  <c r="AM98" i="7"/>
  <c r="AL98" i="7"/>
  <c r="AJ98" i="7"/>
  <c r="AI98" i="7"/>
  <c r="AH98" i="7"/>
  <c r="AG98" i="7"/>
  <c r="Z98" i="7" s="1"/>
  <c r="AA98" i="7" s="1"/>
  <c r="AC98" i="7" s="1"/>
  <c r="AF98" i="7"/>
  <c r="U98" i="7"/>
  <c r="S98" i="7"/>
  <c r="R98" i="7"/>
  <c r="I98" i="7"/>
  <c r="AK98" i="7" s="1"/>
  <c r="AM97" i="7"/>
  <c r="AL97" i="7"/>
  <c r="AK97" i="7"/>
  <c r="AJ97" i="7"/>
  <c r="AI97" i="7"/>
  <c r="AH97" i="7"/>
  <c r="AG97" i="7"/>
  <c r="AF97" i="7"/>
  <c r="U97" i="7"/>
  <c r="V97" i="7" s="1"/>
  <c r="T97" i="7"/>
  <c r="X97" i="7" s="1"/>
  <c r="R97" i="7"/>
  <c r="S97" i="7" s="1"/>
  <c r="I97" i="7"/>
  <c r="AM96" i="7"/>
  <c r="AL96" i="7"/>
  <c r="AJ96" i="7"/>
  <c r="AI96" i="7"/>
  <c r="AH96" i="7"/>
  <c r="AG96" i="7"/>
  <c r="AF96" i="7"/>
  <c r="AD96" i="7"/>
  <c r="AA96" i="7"/>
  <c r="AC96" i="7" s="1"/>
  <c r="X96" i="7"/>
  <c r="U96" i="7"/>
  <c r="V96" i="7" s="1"/>
  <c r="S96" i="7"/>
  <c r="R96" i="7"/>
  <c r="O96" i="7"/>
  <c r="M96" i="7"/>
  <c r="I96" i="7"/>
  <c r="AK96" i="7" s="1"/>
  <c r="AM95" i="7"/>
  <c r="AL95" i="7"/>
  <c r="AK95" i="7"/>
  <c r="AJ95" i="7"/>
  <c r="AI95" i="7"/>
  <c r="AH95" i="7"/>
  <c r="AG95" i="7"/>
  <c r="AF95" i="7"/>
  <c r="U95" i="7"/>
  <c r="T95" i="7"/>
  <c r="X95" i="7" s="1"/>
  <c r="R95" i="7"/>
  <c r="S95" i="7" s="1"/>
  <c r="I95" i="7"/>
  <c r="AM94" i="7"/>
  <c r="AL94" i="7"/>
  <c r="AJ94" i="7"/>
  <c r="AI94" i="7"/>
  <c r="AH94" i="7"/>
  <c r="AG94" i="7"/>
  <c r="AF94" i="7"/>
  <c r="Z94" i="7"/>
  <c r="AA94" i="7" s="1"/>
  <c r="AC94" i="7" s="1"/>
  <c r="U94" i="7"/>
  <c r="S94" i="7"/>
  <c r="R94" i="7"/>
  <c r="I94" i="7"/>
  <c r="AK94" i="7" s="1"/>
  <c r="AM93" i="7"/>
  <c r="AL93" i="7"/>
  <c r="AK93" i="7"/>
  <c r="AJ93" i="7"/>
  <c r="AI93" i="7"/>
  <c r="AG93" i="7"/>
  <c r="AF93" i="7"/>
  <c r="AA93" i="7"/>
  <c r="AC93" i="7" s="1"/>
  <c r="X93" i="7"/>
  <c r="V93" i="7"/>
  <c r="U93" i="7"/>
  <c r="R93" i="7"/>
  <c r="M93" i="7"/>
  <c r="I93" i="7"/>
  <c r="AH93" i="7" s="1"/>
  <c r="AM92" i="7"/>
  <c r="AL92" i="7"/>
  <c r="AJ92" i="7"/>
  <c r="AI92" i="7"/>
  <c r="AH92" i="7"/>
  <c r="AG92" i="7"/>
  <c r="AF92" i="7"/>
  <c r="Z92" i="7" s="1"/>
  <c r="AA92" i="7" s="1"/>
  <c r="AC92" i="7" s="1"/>
  <c r="U92" i="7"/>
  <c r="S92" i="7"/>
  <c r="R92" i="7"/>
  <c r="I92" i="7"/>
  <c r="AK92" i="7" s="1"/>
  <c r="AM91" i="7"/>
  <c r="AL91" i="7"/>
  <c r="AJ91" i="7"/>
  <c r="AI91" i="7"/>
  <c r="AG91" i="7"/>
  <c r="AF91" i="7"/>
  <c r="U91" i="7"/>
  <c r="R91" i="7"/>
  <c r="S91" i="7" s="1"/>
  <c r="M91" i="7"/>
  <c r="I91" i="7"/>
  <c r="AH91" i="7" s="1"/>
  <c r="AM90" i="7"/>
  <c r="AL90" i="7"/>
  <c r="AK90" i="7"/>
  <c r="AJ90" i="7"/>
  <c r="AI90" i="7"/>
  <c r="AG90" i="7"/>
  <c r="AF90" i="7"/>
  <c r="Z90" i="7"/>
  <c r="AA90" i="7" s="1"/>
  <c r="AC90" i="7" s="1"/>
  <c r="U90" i="7"/>
  <c r="R90" i="7"/>
  <c r="M90" i="7"/>
  <c r="I90" i="7"/>
  <c r="AH90" i="7" s="1"/>
  <c r="AM89" i="7"/>
  <c r="AL89" i="7"/>
  <c r="AJ89" i="7"/>
  <c r="AI89" i="7"/>
  <c r="AG89" i="7"/>
  <c r="AF89" i="7"/>
  <c r="U89" i="7"/>
  <c r="U192" i="7" s="1"/>
  <c r="S89" i="7"/>
  <c r="R89" i="7"/>
  <c r="O89" i="7"/>
  <c r="M89" i="7"/>
  <c r="I89" i="7"/>
  <c r="AK89" i="7" s="1"/>
  <c r="AM88" i="7"/>
  <c r="AL88" i="7"/>
  <c r="AK88" i="7"/>
  <c r="AJ88" i="7"/>
  <c r="AI88" i="7"/>
  <c r="AG88" i="7"/>
  <c r="AF88" i="7"/>
  <c r="V88" i="7"/>
  <c r="U88" i="7"/>
  <c r="T88" i="7"/>
  <c r="S88" i="7"/>
  <c r="R88" i="7"/>
  <c r="O88" i="7"/>
  <c r="M88" i="7"/>
  <c r="I88" i="7"/>
  <c r="AH88" i="7" s="1"/>
  <c r="AB85" i="7"/>
  <c r="Y85" i="7"/>
  <c r="W85" i="7"/>
  <c r="Q85" i="7"/>
  <c r="Q256" i="7" s="1"/>
  <c r="P85" i="7"/>
  <c r="AM84" i="7"/>
  <c r="AL84" i="7"/>
  <c r="AJ84" i="7"/>
  <c r="AI84" i="7"/>
  <c r="AG84" i="7"/>
  <c r="AF84" i="7"/>
  <c r="U84" i="7"/>
  <c r="R84" i="7"/>
  <c r="S84" i="7" s="1"/>
  <c r="I84" i="7"/>
  <c r="AH84" i="7" s="1"/>
  <c r="T84" i="7" s="1"/>
  <c r="X84" i="7" s="1"/>
  <c r="AM83" i="7"/>
  <c r="AL83" i="7"/>
  <c r="AJ83" i="7"/>
  <c r="AI83" i="7"/>
  <c r="T83" i="7" s="1"/>
  <c r="X83" i="7" s="1"/>
  <c r="AH83" i="7"/>
  <c r="AG83" i="7"/>
  <c r="AF83" i="7"/>
  <c r="Z83" i="7" s="1"/>
  <c r="AA83" i="7" s="1"/>
  <c r="AC83" i="7" s="1"/>
  <c r="V83" i="7"/>
  <c r="U83" i="7"/>
  <c r="S83" i="7"/>
  <c r="R83" i="7"/>
  <c r="I83" i="7"/>
  <c r="AK83" i="7" s="1"/>
  <c r="AM82" i="7"/>
  <c r="AL82" i="7"/>
  <c r="AK82" i="7"/>
  <c r="AJ82" i="7"/>
  <c r="AI82" i="7"/>
  <c r="AG82" i="7"/>
  <c r="AF82" i="7"/>
  <c r="U82" i="7"/>
  <c r="R82" i="7"/>
  <c r="S82" i="7" s="1"/>
  <c r="I82" i="7"/>
  <c r="AH82" i="7" s="1"/>
  <c r="AM81" i="7"/>
  <c r="AL81" i="7"/>
  <c r="AJ81" i="7"/>
  <c r="AI81" i="7"/>
  <c r="AH81" i="7"/>
  <c r="AG81" i="7"/>
  <c r="AF81" i="7"/>
  <c r="T81" i="7" s="1"/>
  <c r="Z81" i="7"/>
  <c r="AA81" i="7" s="1"/>
  <c r="AC81" i="7" s="1"/>
  <c r="U81" i="7"/>
  <c r="S81" i="7"/>
  <c r="R81" i="7"/>
  <c r="I81" i="7"/>
  <c r="AK81" i="7" s="1"/>
  <c r="AM80" i="7"/>
  <c r="AL80" i="7"/>
  <c r="AK80" i="7"/>
  <c r="AJ80" i="7"/>
  <c r="AI80" i="7"/>
  <c r="AH80" i="7"/>
  <c r="AG80" i="7"/>
  <c r="AF80" i="7"/>
  <c r="AC80" i="7"/>
  <c r="AA80" i="7"/>
  <c r="Z80" i="7"/>
  <c r="U80" i="7"/>
  <c r="T80" i="7"/>
  <c r="X80" i="7" s="1"/>
  <c r="R80" i="7"/>
  <c r="S80" i="7" s="1"/>
  <c r="I80" i="7"/>
  <c r="AM79" i="7"/>
  <c r="AL79" i="7"/>
  <c r="AJ79" i="7"/>
  <c r="AI79" i="7"/>
  <c r="AH79" i="7"/>
  <c r="AG79" i="7"/>
  <c r="AF79" i="7"/>
  <c r="T79" i="7" s="1"/>
  <c r="Z79" i="7"/>
  <c r="AA79" i="7" s="1"/>
  <c r="AC79" i="7" s="1"/>
  <c r="U79" i="7"/>
  <c r="S79" i="7"/>
  <c r="R79" i="7"/>
  <c r="I79" i="7"/>
  <c r="AK79" i="7" s="1"/>
  <c r="AM78" i="7"/>
  <c r="AL78" i="7"/>
  <c r="AJ78" i="7"/>
  <c r="AI78" i="7"/>
  <c r="AH78" i="7"/>
  <c r="AG78" i="7"/>
  <c r="AF78" i="7"/>
  <c r="U78" i="7"/>
  <c r="S78" i="7"/>
  <c r="R78" i="7"/>
  <c r="I78" i="7"/>
  <c r="AK78" i="7" s="1"/>
  <c r="AM77" i="7"/>
  <c r="AL77" i="7"/>
  <c r="AJ77" i="7"/>
  <c r="AI77" i="7"/>
  <c r="AG77" i="7"/>
  <c r="AF77" i="7"/>
  <c r="U77" i="7"/>
  <c r="S77" i="7"/>
  <c r="R77" i="7"/>
  <c r="I77" i="7"/>
  <c r="AK77" i="7" s="1"/>
  <c r="AM76" i="7"/>
  <c r="AL76" i="7"/>
  <c r="AJ76" i="7"/>
  <c r="AI76" i="7"/>
  <c r="AH76" i="7"/>
  <c r="T76" i="7" s="1"/>
  <c r="X76" i="7" s="1"/>
  <c r="AG76" i="7"/>
  <c r="AF76" i="7"/>
  <c r="AA76" i="7"/>
  <c r="AC76" i="7" s="1"/>
  <c r="Z76" i="7"/>
  <c r="U76" i="7"/>
  <c r="S76" i="7"/>
  <c r="R76" i="7"/>
  <c r="I76" i="7"/>
  <c r="AK76" i="7" s="1"/>
  <c r="AM75" i="7"/>
  <c r="AL75" i="7"/>
  <c r="AJ75" i="7"/>
  <c r="AI75" i="7"/>
  <c r="AG75" i="7"/>
  <c r="AF75" i="7"/>
  <c r="U75" i="7"/>
  <c r="S75" i="7"/>
  <c r="R75" i="7"/>
  <c r="I75" i="7"/>
  <c r="AK75" i="7" s="1"/>
  <c r="AM74" i="7"/>
  <c r="AL74" i="7"/>
  <c r="AJ74" i="7"/>
  <c r="AI74" i="7"/>
  <c r="AG74" i="7"/>
  <c r="AF74" i="7"/>
  <c r="U74" i="7"/>
  <c r="S74" i="7"/>
  <c r="R74" i="7"/>
  <c r="I74" i="7"/>
  <c r="AK74" i="7" s="1"/>
  <c r="AM73" i="7"/>
  <c r="AL73" i="7"/>
  <c r="AJ73" i="7"/>
  <c r="AI73" i="7"/>
  <c r="AH73" i="7"/>
  <c r="AG73" i="7"/>
  <c r="AF73" i="7"/>
  <c r="U73" i="7"/>
  <c r="S73" i="7"/>
  <c r="R73" i="7"/>
  <c r="I73" i="7"/>
  <c r="AK73" i="7" s="1"/>
  <c r="AM72" i="7"/>
  <c r="AL72" i="7"/>
  <c r="AJ72" i="7"/>
  <c r="AI72" i="7"/>
  <c r="AG72" i="7"/>
  <c r="AF72" i="7"/>
  <c r="U72" i="7"/>
  <c r="R72" i="7"/>
  <c r="S72" i="7" s="1"/>
  <c r="I72" i="7"/>
  <c r="AK72" i="7" s="1"/>
  <c r="AM71" i="7"/>
  <c r="AL71" i="7"/>
  <c r="AJ71" i="7"/>
  <c r="AI71" i="7"/>
  <c r="AH71" i="7"/>
  <c r="AG71" i="7"/>
  <c r="AF71" i="7"/>
  <c r="U71" i="7"/>
  <c r="S71" i="7"/>
  <c r="R71" i="7"/>
  <c r="I71" i="7"/>
  <c r="AK71" i="7" s="1"/>
  <c r="AM70" i="7"/>
  <c r="AL70" i="7"/>
  <c r="AJ70" i="7"/>
  <c r="AI70" i="7"/>
  <c r="AG70" i="7"/>
  <c r="AF70" i="7"/>
  <c r="U70" i="7"/>
  <c r="S70" i="7"/>
  <c r="R70" i="7"/>
  <c r="I70" i="7"/>
  <c r="AM69" i="7"/>
  <c r="AL69" i="7"/>
  <c r="AK69" i="7"/>
  <c r="AJ69" i="7"/>
  <c r="AI69" i="7"/>
  <c r="AH69" i="7"/>
  <c r="AG69" i="7"/>
  <c r="AF69" i="7"/>
  <c r="U69" i="7"/>
  <c r="S69" i="7"/>
  <c r="R69" i="7"/>
  <c r="I69" i="7"/>
  <c r="AM68" i="7"/>
  <c r="AL68" i="7"/>
  <c r="AJ68" i="7"/>
  <c r="AI68" i="7"/>
  <c r="AG68" i="7"/>
  <c r="AF68" i="7"/>
  <c r="U68" i="7"/>
  <c r="S68" i="7"/>
  <c r="R68" i="7"/>
  <c r="I68" i="7"/>
  <c r="AM67" i="7"/>
  <c r="AL67" i="7"/>
  <c r="AK67" i="7"/>
  <c r="AJ67" i="7"/>
  <c r="AI67" i="7"/>
  <c r="AH67" i="7"/>
  <c r="AG67" i="7"/>
  <c r="AF67" i="7"/>
  <c r="U67" i="7"/>
  <c r="S67" i="7"/>
  <c r="R67" i="7"/>
  <c r="I67" i="7"/>
  <c r="AM66" i="7"/>
  <c r="AL66" i="7"/>
  <c r="AJ66" i="7"/>
  <c r="AI66" i="7"/>
  <c r="AG66" i="7"/>
  <c r="AF66" i="7"/>
  <c r="U66" i="7"/>
  <c r="S66" i="7"/>
  <c r="R66" i="7"/>
  <c r="I66" i="7"/>
  <c r="AM65" i="7"/>
  <c r="AL65" i="7"/>
  <c r="AK65" i="7"/>
  <c r="AJ65" i="7"/>
  <c r="AI65" i="7"/>
  <c r="AH65" i="7"/>
  <c r="AG65" i="7"/>
  <c r="AF65" i="7"/>
  <c r="U65" i="7"/>
  <c r="S65" i="7"/>
  <c r="R65" i="7"/>
  <c r="I65" i="7"/>
  <c r="AM64" i="7"/>
  <c r="AL64" i="7"/>
  <c r="AJ64" i="7"/>
  <c r="AI64" i="7"/>
  <c r="AG64" i="7"/>
  <c r="AF64" i="7"/>
  <c r="U64" i="7"/>
  <c r="S64" i="7"/>
  <c r="R64" i="7"/>
  <c r="I64" i="7"/>
  <c r="AM63" i="7"/>
  <c r="AL63" i="7"/>
  <c r="AK63" i="7"/>
  <c r="AJ63" i="7"/>
  <c r="AI63" i="7"/>
  <c r="AH63" i="7"/>
  <c r="AG63" i="7"/>
  <c r="AF63" i="7"/>
  <c r="U63" i="7"/>
  <c r="S63" i="7"/>
  <c r="R63" i="7"/>
  <c r="I63" i="7"/>
  <c r="AM62" i="7"/>
  <c r="AL62" i="7"/>
  <c r="AJ62" i="7"/>
  <c r="AI62" i="7"/>
  <c r="AG62" i="7"/>
  <c r="AF62" i="7"/>
  <c r="U62" i="7"/>
  <c r="S62" i="7"/>
  <c r="R62" i="7"/>
  <c r="I62" i="7"/>
  <c r="AM61" i="7"/>
  <c r="AL61" i="7"/>
  <c r="AK61" i="7"/>
  <c r="AJ61" i="7"/>
  <c r="AI61" i="7"/>
  <c r="AH61" i="7"/>
  <c r="AG61" i="7"/>
  <c r="AF61" i="7"/>
  <c r="U61" i="7"/>
  <c r="S61" i="7"/>
  <c r="R61" i="7"/>
  <c r="I61" i="7"/>
  <c r="AM60" i="7"/>
  <c r="AL60" i="7"/>
  <c r="AJ60" i="7"/>
  <c r="AI60" i="7"/>
  <c r="AG60" i="7"/>
  <c r="AF60" i="7"/>
  <c r="U60" i="7"/>
  <c r="S60" i="7"/>
  <c r="R60" i="7"/>
  <c r="I60" i="7"/>
  <c r="AM59" i="7"/>
  <c r="AL59" i="7"/>
  <c r="AK59" i="7"/>
  <c r="AJ59" i="7"/>
  <c r="AI59" i="7"/>
  <c r="AH59" i="7"/>
  <c r="AG59" i="7"/>
  <c r="AF59" i="7"/>
  <c r="U59" i="7"/>
  <c r="S59" i="7"/>
  <c r="R59" i="7"/>
  <c r="I59" i="7"/>
  <c r="AM58" i="7"/>
  <c r="AL58" i="7"/>
  <c r="AJ58" i="7"/>
  <c r="AI58" i="7"/>
  <c r="AG58" i="7"/>
  <c r="AF58" i="7"/>
  <c r="U58" i="7"/>
  <c r="S58" i="7"/>
  <c r="R58" i="7"/>
  <c r="I58" i="7"/>
  <c r="AM57" i="7"/>
  <c r="AL57" i="7"/>
  <c r="AK57" i="7"/>
  <c r="AJ57" i="7"/>
  <c r="AI57" i="7"/>
  <c r="AH57" i="7"/>
  <c r="AG57" i="7"/>
  <c r="AF57" i="7"/>
  <c r="U57" i="7"/>
  <c r="S57" i="7"/>
  <c r="R57" i="7"/>
  <c r="I57" i="7"/>
  <c r="AM56" i="7"/>
  <c r="AL56" i="7"/>
  <c r="AJ56" i="7"/>
  <c r="AI56" i="7"/>
  <c r="AG56" i="7"/>
  <c r="AF56" i="7"/>
  <c r="U56" i="7"/>
  <c r="S56" i="7"/>
  <c r="R56" i="7"/>
  <c r="I56" i="7"/>
  <c r="AM55" i="7"/>
  <c r="AL55" i="7"/>
  <c r="AK55" i="7"/>
  <c r="AJ55" i="7"/>
  <c r="AI55" i="7"/>
  <c r="AH55" i="7"/>
  <c r="AG55" i="7"/>
  <c r="AF55" i="7"/>
  <c r="U55" i="7"/>
  <c r="S55" i="7"/>
  <c r="R55" i="7"/>
  <c r="I55" i="7"/>
  <c r="AM54" i="7"/>
  <c r="AL54" i="7"/>
  <c r="AJ54" i="7"/>
  <c r="AI54" i="7"/>
  <c r="AG54" i="7"/>
  <c r="AF54" i="7"/>
  <c r="U54" i="7"/>
  <c r="S54" i="7"/>
  <c r="R54" i="7"/>
  <c r="I54" i="7"/>
  <c r="AM53" i="7"/>
  <c r="AL53" i="7"/>
  <c r="AK53" i="7"/>
  <c r="AJ53" i="7"/>
  <c r="AI53" i="7"/>
  <c r="AH53" i="7"/>
  <c r="AG53" i="7"/>
  <c r="AF53" i="7"/>
  <c r="U53" i="7"/>
  <c r="S53" i="7"/>
  <c r="R53" i="7"/>
  <c r="I53" i="7"/>
  <c r="AM52" i="7"/>
  <c r="AL52" i="7"/>
  <c r="AJ52" i="7"/>
  <c r="AI52" i="7"/>
  <c r="AG52" i="7"/>
  <c r="AF52" i="7"/>
  <c r="U52" i="7"/>
  <c r="S52" i="7"/>
  <c r="R52" i="7"/>
  <c r="I52" i="7"/>
  <c r="AM51" i="7"/>
  <c r="AL51" i="7"/>
  <c r="AK51" i="7"/>
  <c r="AJ51" i="7"/>
  <c r="AI51" i="7"/>
  <c r="AH51" i="7"/>
  <c r="AG51" i="7"/>
  <c r="AF51" i="7"/>
  <c r="U51" i="7"/>
  <c r="S51" i="7"/>
  <c r="R51" i="7"/>
  <c r="I51" i="7"/>
  <c r="AM50" i="7"/>
  <c r="AL50" i="7"/>
  <c r="AJ50" i="7"/>
  <c r="AI50" i="7"/>
  <c r="AG50" i="7"/>
  <c r="AF50" i="7"/>
  <c r="U50" i="7"/>
  <c r="S50" i="7"/>
  <c r="R50" i="7"/>
  <c r="I50" i="7"/>
  <c r="AM49" i="7"/>
  <c r="AL49" i="7"/>
  <c r="AK49" i="7"/>
  <c r="AJ49" i="7"/>
  <c r="AI49" i="7"/>
  <c r="AH49" i="7"/>
  <c r="AG49" i="7"/>
  <c r="AF49" i="7"/>
  <c r="U49" i="7"/>
  <c r="S49" i="7"/>
  <c r="R49" i="7"/>
  <c r="I49" i="7"/>
  <c r="AM48" i="7"/>
  <c r="AL48" i="7"/>
  <c r="AJ48" i="7"/>
  <c r="AI48" i="7"/>
  <c r="AG48" i="7"/>
  <c r="AF48" i="7"/>
  <c r="U48" i="7"/>
  <c r="S48" i="7"/>
  <c r="R48" i="7"/>
  <c r="I48" i="7"/>
  <c r="AM47" i="7"/>
  <c r="AL47" i="7"/>
  <c r="AK47" i="7"/>
  <c r="AJ47" i="7"/>
  <c r="AI47" i="7"/>
  <c r="AH47" i="7"/>
  <c r="AG47" i="7"/>
  <c r="AF47" i="7"/>
  <c r="U47" i="7"/>
  <c r="S47" i="7"/>
  <c r="R47" i="7"/>
  <c r="I47" i="7"/>
  <c r="AM46" i="7"/>
  <c r="AL46" i="7"/>
  <c r="AJ46" i="7"/>
  <c r="AI46" i="7"/>
  <c r="AG46" i="7"/>
  <c r="AF46" i="7"/>
  <c r="U46" i="7"/>
  <c r="S46" i="7"/>
  <c r="R46" i="7"/>
  <c r="I46" i="7"/>
  <c r="AM45" i="7"/>
  <c r="AL45" i="7"/>
  <c r="AK45" i="7"/>
  <c r="AJ45" i="7"/>
  <c r="AI45" i="7"/>
  <c r="AH45" i="7"/>
  <c r="AG45" i="7"/>
  <c r="AF45" i="7"/>
  <c r="U45" i="7"/>
  <c r="S45" i="7"/>
  <c r="R45" i="7"/>
  <c r="I45" i="7"/>
  <c r="AM44" i="7"/>
  <c r="AL44" i="7"/>
  <c r="AJ44" i="7"/>
  <c r="AI44" i="7"/>
  <c r="AG44" i="7"/>
  <c r="AF44" i="7"/>
  <c r="U44" i="7"/>
  <c r="S44" i="7"/>
  <c r="R44" i="7"/>
  <c r="I44" i="7"/>
  <c r="AM43" i="7"/>
  <c r="AL43" i="7"/>
  <c r="AK43" i="7"/>
  <c r="AJ43" i="7"/>
  <c r="AI43" i="7"/>
  <c r="AH43" i="7"/>
  <c r="AG43" i="7"/>
  <c r="AF43" i="7"/>
  <c r="Z43" i="7" s="1"/>
  <c r="AA43" i="7" s="1"/>
  <c r="AC43" i="7" s="1"/>
  <c r="U43" i="7"/>
  <c r="T43" i="7"/>
  <c r="X43" i="7" s="1"/>
  <c r="S43" i="7"/>
  <c r="R43" i="7"/>
  <c r="I43" i="7"/>
  <c r="AM42" i="7"/>
  <c r="AL42" i="7"/>
  <c r="AJ42" i="7"/>
  <c r="AI42" i="7"/>
  <c r="AG42" i="7"/>
  <c r="AF42" i="7"/>
  <c r="U42" i="7"/>
  <c r="S42" i="7"/>
  <c r="R42" i="7"/>
  <c r="I42" i="7"/>
  <c r="AM41" i="7"/>
  <c r="AL41" i="7"/>
  <c r="AK41" i="7"/>
  <c r="AJ41" i="7"/>
  <c r="AI41" i="7"/>
  <c r="AH41" i="7"/>
  <c r="AG41" i="7"/>
  <c r="AF41" i="7"/>
  <c r="Z41" i="7" s="1"/>
  <c r="AA41" i="7" s="1"/>
  <c r="AC41" i="7" s="1"/>
  <c r="U41" i="7"/>
  <c r="S41" i="7"/>
  <c r="R41" i="7"/>
  <c r="I41" i="7"/>
  <c r="AM40" i="7"/>
  <c r="AL40" i="7"/>
  <c r="AJ40" i="7"/>
  <c r="AI40" i="7"/>
  <c r="AG40" i="7"/>
  <c r="AF40" i="7"/>
  <c r="U40" i="7"/>
  <c r="S40" i="7"/>
  <c r="S85" i="7" s="1"/>
  <c r="R40" i="7"/>
  <c r="R85" i="7" s="1"/>
  <c r="I40" i="7"/>
  <c r="AB38" i="7"/>
  <c r="AB296" i="7" s="1"/>
  <c r="Y38" i="7"/>
  <c r="Y296" i="7" s="1"/>
  <c r="W38" i="7"/>
  <c r="W296" i="7" s="1"/>
  <c r="Q38" i="7"/>
  <c r="P38" i="7"/>
  <c r="P296" i="7" s="1"/>
  <c r="AM37" i="7"/>
  <c r="AL37" i="7"/>
  <c r="AK37" i="7"/>
  <c r="AJ37" i="7"/>
  <c r="AI37" i="7"/>
  <c r="AH37" i="7"/>
  <c r="AG37" i="7"/>
  <c r="AF37" i="7"/>
  <c r="AE37" i="7" s="1"/>
  <c r="Z37" i="7"/>
  <c r="AA37" i="7" s="1"/>
  <c r="AC37" i="7" s="1"/>
  <c r="AD37" i="7" s="1"/>
  <c r="U37" i="7"/>
  <c r="T37" i="7"/>
  <c r="X37" i="7" s="1"/>
  <c r="S37" i="7"/>
  <c r="R37" i="7"/>
  <c r="I37" i="7"/>
  <c r="AM36" i="7"/>
  <c r="AL36" i="7"/>
  <c r="AJ36" i="7"/>
  <c r="AI36" i="7"/>
  <c r="AG36" i="7"/>
  <c r="AF36" i="7"/>
  <c r="U36" i="7"/>
  <c r="S36" i="7"/>
  <c r="R36" i="7"/>
  <c r="I36" i="7"/>
  <c r="AM35" i="7"/>
  <c r="AL35" i="7"/>
  <c r="AK35" i="7"/>
  <c r="AJ35" i="7"/>
  <c r="AI35" i="7"/>
  <c r="AH35" i="7"/>
  <c r="AG35" i="7"/>
  <c r="AF35" i="7"/>
  <c r="U35" i="7"/>
  <c r="S35" i="7"/>
  <c r="R35" i="7"/>
  <c r="I35" i="7"/>
  <c r="AM34" i="7"/>
  <c r="AL34" i="7"/>
  <c r="AJ34" i="7"/>
  <c r="AI34" i="7"/>
  <c r="AG34" i="7"/>
  <c r="AF34" i="7"/>
  <c r="U34" i="7"/>
  <c r="S34" i="7"/>
  <c r="R34" i="7"/>
  <c r="I34" i="7"/>
  <c r="AM33" i="7"/>
  <c r="AL33" i="7"/>
  <c r="AK33" i="7"/>
  <c r="AJ33" i="7"/>
  <c r="AI33" i="7"/>
  <c r="AH33" i="7"/>
  <c r="AG33" i="7"/>
  <c r="AF33" i="7"/>
  <c r="U33" i="7"/>
  <c r="S33" i="7"/>
  <c r="R33" i="7"/>
  <c r="I33" i="7"/>
  <c r="AM32" i="7"/>
  <c r="AL32" i="7"/>
  <c r="AJ32" i="7"/>
  <c r="AI32" i="7"/>
  <c r="AG32" i="7"/>
  <c r="AF32" i="7"/>
  <c r="U32" i="7"/>
  <c r="S32" i="7"/>
  <c r="R32" i="7"/>
  <c r="I32" i="7"/>
  <c r="AM31" i="7"/>
  <c r="AL31" i="7"/>
  <c r="AK31" i="7"/>
  <c r="AJ31" i="7"/>
  <c r="AI31" i="7"/>
  <c r="Z31" i="7" s="1"/>
  <c r="AA31" i="7" s="1"/>
  <c r="AC31" i="7" s="1"/>
  <c r="AH31" i="7"/>
  <c r="AG31" i="7"/>
  <c r="AF31" i="7"/>
  <c r="T31" i="7" s="1"/>
  <c r="X31" i="7" s="1"/>
  <c r="U31" i="7"/>
  <c r="S31" i="7"/>
  <c r="R31" i="7"/>
  <c r="I31" i="7"/>
  <c r="AM30" i="7"/>
  <c r="AL30" i="7"/>
  <c r="AJ30" i="7"/>
  <c r="AI30" i="7"/>
  <c r="AG30" i="7"/>
  <c r="AF30" i="7"/>
  <c r="U30" i="7"/>
  <c r="S30" i="7"/>
  <c r="R30" i="7"/>
  <c r="I30" i="7"/>
  <c r="AK30" i="7" s="1"/>
  <c r="AM29" i="7"/>
  <c r="AL29" i="7"/>
  <c r="AK29" i="7"/>
  <c r="AJ29" i="7"/>
  <c r="AI29" i="7"/>
  <c r="AH29" i="7"/>
  <c r="AG29" i="7"/>
  <c r="AF29" i="7"/>
  <c r="U29" i="7"/>
  <c r="R29" i="7"/>
  <c r="S29" i="7" s="1"/>
  <c r="I29" i="7"/>
  <c r="AM28" i="7"/>
  <c r="AL28" i="7"/>
  <c r="AJ28" i="7"/>
  <c r="AI28" i="7"/>
  <c r="AG28" i="7"/>
  <c r="AF28" i="7"/>
  <c r="U28" i="7"/>
  <c r="S28" i="7"/>
  <c r="R28" i="7"/>
  <c r="I28" i="7"/>
  <c r="AK28" i="7" s="1"/>
  <c r="AM27" i="7"/>
  <c r="AL27" i="7"/>
  <c r="AK27" i="7"/>
  <c r="AJ27" i="7"/>
  <c r="AI27" i="7"/>
  <c r="AH27" i="7"/>
  <c r="AG27" i="7"/>
  <c r="AF27" i="7"/>
  <c r="T27" i="7" s="1"/>
  <c r="X27" i="7" s="1"/>
  <c r="U27" i="7"/>
  <c r="S27" i="7"/>
  <c r="R27" i="7"/>
  <c r="I27" i="7"/>
  <c r="AM26" i="7"/>
  <c r="AL26" i="7"/>
  <c r="AJ26" i="7"/>
  <c r="AI26" i="7"/>
  <c r="AH26" i="7"/>
  <c r="AG26" i="7"/>
  <c r="T26" i="7" s="1"/>
  <c r="AF26" i="7"/>
  <c r="Z26" i="7"/>
  <c r="AA26" i="7" s="1"/>
  <c r="AC26" i="7" s="1"/>
  <c r="U26" i="7"/>
  <c r="S26" i="7"/>
  <c r="R26" i="7"/>
  <c r="I26" i="7"/>
  <c r="AK26" i="7" s="1"/>
  <c r="AM25" i="7"/>
  <c r="AL25" i="7"/>
  <c r="AK25" i="7"/>
  <c r="AJ25" i="7"/>
  <c r="AI25" i="7"/>
  <c r="AH25" i="7"/>
  <c r="AG25" i="7"/>
  <c r="AF25" i="7"/>
  <c r="U25" i="7"/>
  <c r="R25" i="7"/>
  <c r="S25" i="7" s="1"/>
  <c r="I25" i="7"/>
  <c r="AM24" i="7"/>
  <c r="AL24" i="7"/>
  <c r="AJ24" i="7"/>
  <c r="AI24" i="7"/>
  <c r="AG24" i="7"/>
  <c r="AF24" i="7"/>
  <c r="U24" i="7"/>
  <c r="S24" i="7"/>
  <c r="R24" i="7"/>
  <c r="I24" i="7"/>
  <c r="AK24" i="7" s="1"/>
  <c r="AM23" i="7"/>
  <c r="AL23" i="7"/>
  <c r="AJ23" i="7"/>
  <c r="AI23" i="7"/>
  <c r="T23" i="7" s="1"/>
  <c r="X23" i="7" s="1"/>
  <c r="AH23" i="7"/>
  <c r="AG23" i="7"/>
  <c r="AF23" i="7"/>
  <c r="Z23" i="7"/>
  <c r="AA23" i="7" s="1"/>
  <c r="AC23" i="7" s="1"/>
  <c r="AD23" i="7" s="1"/>
  <c r="U23" i="7"/>
  <c r="S23" i="7"/>
  <c r="R23" i="7"/>
  <c r="I23" i="7"/>
  <c r="AK23" i="7" s="1"/>
  <c r="AM22" i="7"/>
  <c r="AL22" i="7"/>
  <c r="AJ22" i="7"/>
  <c r="AI22" i="7"/>
  <c r="AG22" i="7"/>
  <c r="AF22" i="7"/>
  <c r="U22" i="7"/>
  <c r="S22" i="7"/>
  <c r="R22" i="7"/>
  <c r="I22" i="7"/>
  <c r="AK22" i="7" s="1"/>
  <c r="AM21" i="7"/>
  <c r="AL21" i="7"/>
  <c r="AJ21" i="7"/>
  <c r="AI21" i="7"/>
  <c r="AG21" i="7"/>
  <c r="AF21" i="7"/>
  <c r="U21" i="7"/>
  <c r="R21" i="7"/>
  <c r="S21" i="7" s="1"/>
  <c r="I21" i="7"/>
  <c r="AK21" i="7" s="1"/>
  <c r="AM20" i="7"/>
  <c r="AL20" i="7"/>
  <c r="AJ20" i="7"/>
  <c r="AI20" i="7"/>
  <c r="AH20" i="7"/>
  <c r="T20" i="7" s="1"/>
  <c r="AG20" i="7"/>
  <c r="AF20" i="7"/>
  <c r="Z20" i="7" s="1"/>
  <c r="AA20" i="7" s="1"/>
  <c r="AC20" i="7" s="1"/>
  <c r="U20" i="7"/>
  <c r="S20" i="7"/>
  <c r="R20" i="7"/>
  <c r="I20" i="7"/>
  <c r="AK20" i="7" s="1"/>
  <c r="AM19" i="7"/>
  <c r="AL19" i="7"/>
  <c r="AJ19" i="7"/>
  <c r="AI19" i="7"/>
  <c r="AG19" i="7"/>
  <c r="AF19" i="7"/>
  <c r="U19" i="7"/>
  <c r="S19" i="7"/>
  <c r="R19" i="7"/>
  <c r="I19" i="7"/>
  <c r="AH19" i="7" s="1"/>
  <c r="AM18" i="7"/>
  <c r="AL18" i="7"/>
  <c r="AJ18" i="7"/>
  <c r="AI18" i="7"/>
  <c r="AG18" i="7"/>
  <c r="AF18" i="7"/>
  <c r="U18" i="7"/>
  <c r="S18" i="7"/>
  <c r="R18" i="7"/>
  <c r="I18" i="7"/>
  <c r="AK18" i="7" s="1"/>
  <c r="AM17" i="7"/>
  <c r="AL17" i="7"/>
  <c r="AJ17" i="7"/>
  <c r="AI17" i="7"/>
  <c r="AH17" i="7"/>
  <c r="T17" i="7" s="1"/>
  <c r="X17" i="7" s="1"/>
  <c r="AG17" i="7"/>
  <c r="AF17" i="7"/>
  <c r="Z17" i="7" s="1"/>
  <c r="AA17" i="7" s="1"/>
  <c r="AC17" i="7" s="1"/>
  <c r="U17" i="7"/>
  <c r="S17" i="7"/>
  <c r="R17" i="7"/>
  <c r="I17" i="7"/>
  <c r="AK17" i="7" s="1"/>
  <c r="AM16" i="7"/>
  <c r="AL16" i="7"/>
  <c r="AJ16" i="7"/>
  <c r="AI16" i="7"/>
  <c r="AH16" i="7"/>
  <c r="AG16" i="7"/>
  <c r="T16" i="7" s="1"/>
  <c r="X16" i="7" s="1"/>
  <c r="AF16" i="7"/>
  <c r="AE16" i="7" s="1"/>
  <c r="Z16" i="7"/>
  <c r="AA16" i="7" s="1"/>
  <c r="AC16" i="7" s="1"/>
  <c r="AD16" i="7" s="1"/>
  <c r="U16" i="7"/>
  <c r="V16" i="7" s="1"/>
  <c r="S16" i="7"/>
  <c r="R16" i="7"/>
  <c r="I16" i="7"/>
  <c r="AK16" i="7" s="1"/>
  <c r="AM15" i="7"/>
  <c r="AL15" i="7"/>
  <c r="AJ15" i="7"/>
  <c r="AI15" i="7"/>
  <c r="AG15" i="7"/>
  <c r="AF15" i="7"/>
  <c r="U15" i="7"/>
  <c r="S15" i="7"/>
  <c r="R15" i="7"/>
  <c r="I15" i="7"/>
  <c r="AK15" i="7" s="1"/>
  <c r="AM14" i="7"/>
  <c r="AL14" i="7"/>
  <c r="AJ14" i="7"/>
  <c r="AI14" i="7"/>
  <c r="AG14" i="7"/>
  <c r="AF14" i="7"/>
  <c r="U14" i="7"/>
  <c r="S14" i="7"/>
  <c r="R14" i="7"/>
  <c r="I14" i="7"/>
  <c r="AK14" i="7" s="1"/>
  <c r="AM13" i="7"/>
  <c r="AL13" i="7"/>
  <c r="AJ13" i="7"/>
  <c r="AI13" i="7"/>
  <c r="AH13" i="7"/>
  <c r="Z13" i="7" s="1"/>
  <c r="AG13" i="7"/>
  <c r="AF13" i="7"/>
  <c r="U13" i="7"/>
  <c r="R13" i="7"/>
  <c r="I13" i="7"/>
  <c r="AK13" i="7" s="1"/>
  <c r="M16" i="8" l="1"/>
  <c r="N16" i="8" s="1"/>
  <c r="AE23" i="7"/>
  <c r="AA13" i="7"/>
  <c r="X26" i="7"/>
  <c r="AD26" i="7" s="1"/>
  <c r="AE26" i="7" s="1"/>
  <c r="V26" i="7"/>
  <c r="AD31" i="7"/>
  <c r="AE31" i="7" s="1"/>
  <c r="AD17" i="7"/>
  <c r="AE17" i="7" s="1"/>
  <c r="Z25" i="7"/>
  <c r="AA25" i="7" s="1"/>
  <c r="AC25" i="7" s="1"/>
  <c r="T25" i="7"/>
  <c r="X25" i="7" s="1"/>
  <c r="Z19" i="7"/>
  <c r="AA19" i="7" s="1"/>
  <c r="AC19" i="7" s="1"/>
  <c r="AD19" i="7" s="1"/>
  <c r="T19" i="7"/>
  <c r="X19" i="7" s="1"/>
  <c r="V20" i="7"/>
  <c r="X20" i="7"/>
  <c r="AD20" i="7" s="1"/>
  <c r="AE20" i="7" s="1"/>
  <c r="T22" i="7"/>
  <c r="AH14" i="7"/>
  <c r="Z14" i="7" s="1"/>
  <c r="Z27" i="7"/>
  <c r="AA27" i="7" s="1"/>
  <c r="AC27" i="7" s="1"/>
  <c r="AD27" i="7" s="1"/>
  <c r="T35" i="7"/>
  <c r="X35" i="7" s="1"/>
  <c r="AD43" i="7"/>
  <c r="AE43" i="7" s="1"/>
  <c r="AH44" i="7"/>
  <c r="AK44" i="7"/>
  <c r="T45" i="7"/>
  <c r="X45" i="7" s="1"/>
  <c r="Z45" i="7"/>
  <c r="AA45" i="7" s="1"/>
  <c r="AC45" i="7" s="1"/>
  <c r="AH46" i="7"/>
  <c r="AK46" i="7"/>
  <c r="T61" i="7"/>
  <c r="X61" i="7" s="1"/>
  <c r="Z61" i="7"/>
  <c r="AA61" i="7" s="1"/>
  <c r="AC61" i="7" s="1"/>
  <c r="AH62" i="7"/>
  <c r="AK62" i="7"/>
  <c r="Z82" i="7"/>
  <c r="AA82" i="7" s="1"/>
  <c r="AC82" i="7" s="1"/>
  <c r="AD82" i="7" s="1"/>
  <c r="T82" i="7"/>
  <c r="X82" i="7" s="1"/>
  <c r="AD83" i="7"/>
  <c r="AE83" i="7" s="1"/>
  <c r="AK19" i="7"/>
  <c r="AH34" i="7"/>
  <c r="AK34" i="7"/>
  <c r="T47" i="7"/>
  <c r="X47" i="7" s="1"/>
  <c r="Z47" i="7"/>
  <c r="AA47" i="7" s="1"/>
  <c r="AC47" i="7" s="1"/>
  <c r="T63" i="7"/>
  <c r="X63" i="7" s="1"/>
  <c r="Z63" i="7"/>
  <c r="AA63" i="7" s="1"/>
  <c r="AC63" i="7" s="1"/>
  <c r="AH21" i="7"/>
  <c r="T21" i="7" s="1"/>
  <c r="AH28" i="7"/>
  <c r="T29" i="7"/>
  <c r="X29" i="7" s="1"/>
  <c r="AH32" i="7"/>
  <c r="AK32" i="7"/>
  <c r="V35" i="7"/>
  <c r="T59" i="7"/>
  <c r="X59" i="7" s="1"/>
  <c r="Z59" i="7"/>
  <c r="AA59" i="7" s="1"/>
  <c r="AC59" i="7" s="1"/>
  <c r="AD59" i="7" s="1"/>
  <c r="AH60" i="7"/>
  <c r="AK60" i="7"/>
  <c r="X81" i="7"/>
  <c r="AD81" i="7" s="1"/>
  <c r="AE81" i="7" s="1"/>
  <c r="V81" i="7"/>
  <c r="AD101" i="7"/>
  <c r="AE101" i="7" s="1"/>
  <c r="AA162" i="7"/>
  <c r="AC162" i="7" s="1"/>
  <c r="O162" i="7"/>
  <c r="T162" i="7" s="1"/>
  <c r="AH48" i="7"/>
  <c r="AK48" i="7"/>
  <c r="T77" i="7"/>
  <c r="X77" i="7" s="1"/>
  <c r="R38" i="7"/>
  <c r="AH24" i="7"/>
  <c r="S13" i="7"/>
  <c r="S38" i="7" s="1"/>
  <c r="AH15" i="7"/>
  <c r="AH18" i="7"/>
  <c r="Z18" i="7" s="1"/>
  <c r="AA18" i="7" s="1"/>
  <c r="AC18" i="7" s="1"/>
  <c r="V25" i="7"/>
  <c r="Z35" i="7"/>
  <c r="AA35" i="7" s="1"/>
  <c r="AC35" i="7" s="1"/>
  <c r="AD35" i="7" s="1"/>
  <c r="AH40" i="7"/>
  <c r="AK40" i="7"/>
  <c r="T57" i="7"/>
  <c r="X57" i="7" s="1"/>
  <c r="Z57" i="7"/>
  <c r="AA57" i="7" s="1"/>
  <c r="AC57" i="7" s="1"/>
  <c r="AH58" i="7"/>
  <c r="AK58" i="7"/>
  <c r="T73" i="7"/>
  <c r="AD76" i="7"/>
  <c r="Z84" i="7"/>
  <c r="AA84" i="7" s="1"/>
  <c r="AC84" i="7" s="1"/>
  <c r="AD84" i="7" s="1"/>
  <c r="AD116" i="7"/>
  <c r="AE116" i="7" s="1"/>
  <c r="AE143" i="7"/>
  <c r="AD143" i="7"/>
  <c r="Z91" i="7"/>
  <c r="AA91" i="7" s="1"/>
  <c r="AC91" i="7" s="1"/>
  <c r="T91" i="7"/>
  <c r="X91" i="7" s="1"/>
  <c r="T13" i="7"/>
  <c r="V19" i="7"/>
  <c r="AE27" i="7"/>
  <c r="AH30" i="7"/>
  <c r="T33" i="7"/>
  <c r="X33" i="7" s="1"/>
  <c r="T41" i="7"/>
  <c r="X41" i="7" s="1"/>
  <c r="T55" i="7"/>
  <c r="X55" i="7" s="1"/>
  <c r="Z55" i="7"/>
  <c r="AA55" i="7" s="1"/>
  <c r="AC55" i="7" s="1"/>
  <c r="AH56" i="7"/>
  <c r="AK56" i="7"/>
  <c r="T71" i="7"/>
  <c r="X71" i="7" s="1"/>
  <c r="Z71" i="7"/>
  <c r="AA71" i="7" s="1"/>
  <c r="AC71" i="7" s="1"/>
  <c r="AD71" i="7" s="1"/>
  <c r="Z78" i="7"/>
  <c r="AA78" i="7" s="1"/>
  <c r="AC78" i="7" s="1"/>
  <c r="AD80" i="7"/>
  <c r="AH22" i="7"/>
  <c r="Z22" i="7" s="1"/>
  <c r="AA22" i="7" s="1"/>
  <c r="AC22" i="7" s="1"/>
  <c r="Z29" i="7"/>
  <c r="AA29" i="7" s="1"/>
  <c r="AC29" i="7" s="1"/>
  <c r="V31" i="7"/>
  <c r="V33" i="7"/>
  <c r="AH36" i="7"/>
  <c r="AK36" i="7"/>
  <c r="V41" i="7"/>
  <c r="T53" i="7"/>
  <c r="X53" i="7" s="1"/>
  <c r="Z53" i="7"/>
  <c r="AA53" i="7" s="1"/>
  <c r="AC53" i="7" s="1"/>
  <c r="AD53" i="7" s="1"/>
  <c r="AH54" i="7"/>
  <c r="AK54" i="7"/>
  <c r="V67" i="7"/>
  <c r="T69" i="7"/>
  <c r="X69" i="7" s="1"/>
  <c r="Z69" i="7"/>
  <c r="AA69" i="7" s="1"/>
  <c r="AC69" i="7" s="1"/>
  <c r="AH70" i="7"/>
  <c r="AK70" i="7"/>
  <c r="AD93" i="7"/>
  <c r="AE93" i="7" s="1"/>
  <c r="V61" i="7"/>
  <c r="AE80" i="7"/>
  <c r="V23" i="7"/>
  <c r="Z33" i="7"/>
  <c r="AA33" i="7" s="1"/>
  <c r="AC33" i="7" s="1"/>
  <c r="T51" i="7"/>
  <c r="X51" i="7" s="1"/>
  <c r="Z51" i="7"/>
  <c r="AA51" i="7" s="1"/>
  <c r="AC51" i="7" s="1"/>
  <c r="AH52" i="7"/>
  <c r="AK52" i="7"/>
  <c r="T67" i="7"/>
  <c r="X67" i="7" s="1"/>
  <c r="Z67" i="7"/>
  <c r="AA67" i="7" s="1"/>
  <c r="AC67" i="7" s="1"/>
  <c r="AD67" i="7" s="1"/>
  <c r="AH68" i="7"/>
  <c r="AK68" i="7"/>
  <c r="AE84" i="7"/>
  <c r="AH64" i="7"/>
  <c r="AK64" i="7"/>
  <c r="U38" i="7"/>
  <c r="V13" i="7"/>
  <c r="V17" i="7"/>
  <c r="V27" i="7"/>
  <c r="V37" i="7"/>
  <c r="U85" i="7"/>
  <c r="AD41" i="7"/>
  <c r="AE41" i="7" s="1"/>
  <c r="AH42" i="7"/>
  <c r="AK42" i="7"/>
  <c r="V43" i="7"/>
  <c r="T49" i="7"/>
  <c r="X49" i="7" s="1"/>
  <c r="Z49" i="7"/>
  <c r="AA49" i="7" s="1"/>
  <c r="AC49" i="7" s="1"/>
  <c r="AH50" i="7"/>
  <c r="AK50" i="7"/>
  <c r="V63" i="7"/>
  <c r="T65" i="7"/>
  <c r="X65" i="7" s="1"/>
  <c r="Z65" i="7"/>
  <c r="AA65" i="7" s="1"/>
  <c r="AC65" i="7" s="1"/>
  <c r="AH66" i="7"/>
  <c r="AK66" i="7"/>
  <c r="AE76" i="7"/>
  <c r="X79" i="7"/>
  <c r="AD79" i="7" s="1"/>
  <c r="AE79" i="7" s="1"/>
  <c r="V79" i="7"/>
  <c r="AE82" i="7"/>
  <c r="AH74" i="7"/>
  <c r="T74" i="7" s="1"/>
  <c r="X74" i="7" s="1"/>
  <c r="AH77" i="7"/>
  <c r="T78" i="7"/>
  <c r="X78" i="7" s="1"/>
  <c r="AK84" i="7"/>
  <c r="AK91" i="7"/>
  <c r="AE96" i="7"/>
  <c r="Z97" i="7"/>
  <c r="AA97" i="7" s="1"/>
  <c r="AC97" i="7" s="1"/>
  <c r="V105" i="7"/>
  <c r="Z107" i="7"/>
  <c r="AA107" i="7" s="1"/>
  <c r="AC107" i="7" s="1"/>
  <c r="V119" i="7"/>
  <c r="AE130" i="7"/>
  <c r="AD130" i="7"/>
  <c r="T90" i="7"/>
  <c r="X90" i="7" s="1"/>
  <c r="AD90" i="7" s="1"/>
  <c r="AE90" i="7" s="1"/>
  <c r="Z95" i="7"/>
  <c r="AA95" i="7" s="1"/>
  <c r="AC95" i="7" s="1"/>
  <c r="X117" i="7"/>
  <c r="V117" i="7"/>
  <c r="AE119" i="7"/>
  <c r="AD119" i="7"/>
  <c r="T120" i="7"/>
  <c r="X120" i="7" s="1"/>
  <c r="AD128" i="7"/>
  <c r="AE128" i="7" s="1"/>
  <c r="AE132" i="7"/>
  <c r="AD132" i="7"/>
  <c r="X179" i="7"/>
  <c r="V179" i="7"/>
  <c r="Z77" i="7"/>
  <c r="AA77" i="7" s="1"/>
  <c r="AC77" i="7" s="1"/>
  <c r="T92" i="7"/>
  <c r="AD133" i="7"/>
  <c r="AH72" i="7"/>
  <c r="T72" i="7" s="1"/>
  <c r="X72" i="7" s="1"/>
  <c r="AH75" i="7"/>
  <c r="V80" i="7"/>
  <c r="R192" i="7"/>
  <c r="O91" i="7"/>
  <c r="S93" i="7"/>
  <c r="O93" i="7"/>
  <c r="V95" i="7"/>
  <c r="V107" i="7"/>
  <c r="Z109" i="7"/>
  <c r="AA109" i="7" s="1"/>
  <c r="AC109" i="7" s="1"/>
  <c r="V115" i="7"/>
  <c r="T127" i="7"/>
  <c r="X127" i="7" s="1"/>
  <c r="Z127" i="7"/>
  <c r="AA127" i="7" s="1"/>
  <c r="AC127" i="7" s="1"/>
  <c r="AD127" i="7" s="1"/>
  <c r="AD139" i="7"/>
  <c r="AE139" i="7"/>
  <c r="X166" i="7"/>
  <c r="AD166" i="7" s="1"/>
  <c r="AE166" i="7" s="1"/>
  <c r="V166" i="7"/>
  <c r="X177" i="7"/>
  <c r="V177" i="7"/>
  <c r="X183" i="7"/>
  <c r="V183" i="7"/>
  <c r="V76" i="7"/>
  <c r="V82" i="7"/>
  <c r="Z88" i="7"/>
  <c r="S90" i="7"/>
  <c r="O90" i="7"/>
  <c r="Z99" i="7"/>
  <c r="AA99" i="7" s="1"/>
  <c r="AC99" i="7" s="1"/>
  <c r="AD115" i="7"/>
  <c r="AE115" i="7" s="1"/>
  <c r="T116" i="7"/>
  <c r="X116" i="7" s="1"/>
  <c r="Z120" i="7"/>
  <c r="AA120" i="7" s="1"/>
  <c r="AC120" i="7" s="1"/>
  <c r="AD120" i="7" s="1"/>
  <c r="AD135" i="7"/>
  <c r="AE135" i="7" s="1"/>
  <c r="V149" i="7"/>
  <c r="X149" i="7"/>
  <c r="AD149" i="7" s="1"/>
  <c r="AE149" i="7" s="1"/>
  <c r="V84" i="7"/>
  <c r="X88" i="7"/>
  <c r="Z105" i="7"/>
  <c r="AA105" i="7" s="1"/>
  <c r="AC105" i="7" s="1"/>
  <c r="V113" i="7"/>
  <c r="V123" i="7"/>
  <c r="X137" i="7"/>
  <c r="V137" i="7"/>
  <c r="Z144" i="7"/>
  <c r="AA144" i="7" s="1"/>
  <c r="AC144" i="7" s="1"/>
  <c r="T144" i="7"/>
  <c r="X169" i="7"/>
  <c r="V169" i="7"/>
  <c r="V91" i="7"/>
  <c r="X121" i="7"/>
  <c r="V121" i="7"/>
  <c r="AE123" i="7"/>
  <c r="AD123" i="7"/>
  <c r="X173" i="7"/>
  <c r="V173" i="7"/>
  <c r="AH89" i="7"/>
  <c r="Z89" i="7" s="1"/>
  <c r="AA89" i="7" s="1"/>
  <c r="AC89" i="7" s="1"/>
  <c r="V130" i="7"/>
  <c r="Z137" i="7"/>
  <c r="AA137" i="7" s="1"/>
  <c r="AC137" i="7" s="1"/>
  <c r="T140" i="7"/>
  <c r="T151" i="7"/>
  <c r="T153" i="7"/>
  <c r="T155" i="7"/>
  <c r="T157" i="7"/>
  <c r="T159" i="7"/>
  <c r="T161" i="7"/>
  <c r="T170" i="7"/>
  <c r="X195" i="7"/>
  <c r="AK116" i="7"/>
  <c r="AK120" i="7"/>
  <c r="T125" i="7"/>
  <c r="X125" i="7" s="1"/>
  <c r="AD125" i="7" s="1"/>
  <c r="AE125" i="7" s="1"/>
  <c r="AE133" i="7"/>
  <c r="T133" i="7"/>
  <c r="X133" i="7" s="1"/>
  <c r="Z146" i="7"/>
  <c r="AA146" i="7" s="1"/>
  <c r="AC146" i="7" s="1"/>
  <c r="T146" i="7"/>
  <c r="Z173" i="7"/>
  <c r="AA173" i="7" s="1"/>
  <c r="AC173" i="7" s="1"/>
  <c r="AD173" i="7" s="1"/>
  <c r="X181" i="7"/>
  <c r="V181" i="7"/>
  <c r="T186" i="7"/>
  <c r="Z186" i="7"/>
  <c r="AA186" i="7" s="1"/>
  <c r="AC186" i="7" s="1"/>
  <c r="AH187" i="7"/>
  <c r="T187" i="7" s="1"/>
  <c r="AK187" i="7"/>
  <c r="S112" i="7"/>
  <c r="S192" i="7" s="1"/>
  <c r="Z113" i="7"/>
  <c r="AA113" i="7" s="1"/>
  <c r="AC113" i="7" s="1"/>
  <c r="AD113" i="7" s="1"/>
  <c r="AH114" i="7"/>
  <c r="AH118" i="7"/>
  <c r="AH122" i="7"/>
  <c r="V128" i="7"/>
  <c r="T136" i="7"/>
  <c r="Z145" i="7"/>
  <c r="AA145" i="7" s="1"/>
  <c r="AC145" i="7" s="1"/>
  <c r="AD171" i="7"/>
  <c r="AE171" i="7" s="1"/>
  <c r="AH111" i="7"/>
  <c r="T111" i="7" s="1"/>
  <c r="X111" i="7" s="1"/>
  <c r="Z117" i="7"/>
  <c r="AA117" i="7" s="1"/>
  <c r="AC117" i="7" s="1"/>
  <c r="Z121" i="7"/>
  <c r="AA121" i="7" s="1"/>
  <c r="AC121" i="7" s="1"/>
  <c r="AH126" i="7"/>
  <c r="V127" i="7"/>
  <c r="T131" i="7"/>
  <c r="X131" i="7" s="1"/>
  <c r="AD131" i="7" s="1"/>
  <c r="AE131" i="7" s="1"/>
  <c r="AH134" i="7"/>
  <c r="V139" i="7"/>
  <c r="T145" i="7"/>
  <c r="Z148" i="7"/>
  <c r="AA148" i="7" s="1"/>
  <c r="AC148" i="7" s="1"/>
  <c r="T148" i="7"/>
  <c r="Z163" i="7"/>
  <c r="AH165" i="7"/>
  <c r="Z165" i="7" s="1"/>
  <c r="Z190" i="7"/>
  <c r="AA190" i="7" s="1"/>
  <c r="AC190" i="7" s="1"/>
  <c r="V112" i="7"/>
  <c r="V138" i="7"/>
  <c r="Z141" i="7"/>
  <c r="AA141" i="7" s="1"/>
  <c r="AC141" i="7" s="1"/>
  <c r="Z142" i="7"/>
  <c r="AA142" i="7" s="1"/>
  <c r="AC142" i="7" s="1"/>
  <c r="T142" i="7"/>
  <c r="X174" i="7"/>
  <c r="V174" i="7"/>
  <c r="X185" i="7"/>
  <c r="V185" i="7"/>
  <c r="Z187" i="7"/>
  <c r="AA187" i="7" s="1"/>
  <c r="AC187" i="7" s="1"/>
  <c r="V188" i="7"/>
  <c r="T94" i="7"/>
  <c r="T98" i="7"/>
  <c r="T100" i="7"/>
  <c r="T102" i="7"/>
  <c r="T104" i="7"/>
  <c r="T106" i="7"/>
  <c r="T108" i="7"/>
  <c r="T110" i="7"/>
  <c r="V116" i="7"/>
  <c r="V120" i="7"/>
  <c r="AH124" i="7"/>
  <c r="T129" i="7"/>
  <c r="X129" i="7" s="1"/>
  <c r="AD129" i="7" s="1"/>
  <c r="AE129" i="7" s="1"/>
  <c r="V133" i="7"/>
  <c r="Z138" i="7"/>
  <c r="AA138" i="7" s="1"/>
  <c r="AC138" i="7" s="1"/>
  <c r="AD138" i="7" s="1"/>
  <c r="T141" i="7"/>
  <c r="V143" i="7"/>
  <c r="T147" i="7"/>
  <c r="Z150" i="7"/>
  <c r="AA150" i="7" s="1"/>
  <c r="AC150" i="7" s="1"/>
  <c r="Z152" i="7"/>
  <c r="AA152" i="7" s="1"/>
  <c r="AC152" i="7" s="1"/>
  <c r="Z154" i="7"/>
  <c r="AA154" i="7" s="1"/>
  <c r="AC154" i="7" s="1"/>
  <c r="Z156" i="7"/>
  <c r="AA156" i="7" s="1"/>
  <c r="AC156" i="7" s="1"/>
  <c r="Z158" i="7"/>
  <c r="AA158" i="7" s="1"/>
  <c r="AC158" i="7" s="1"/>
  <c r="Z160" i="7"/>
  <c r="AA160" i="7" s="1"/>
  <c r="AC160" i="7" s="1"/>
  <c r="Z164" i="7"/>
  <c r="AA167" i="7"/>
  <c r="AC167" i="7" s="1"/>
  <c r="O167" i="7"/>
  <c r="T167" i="7" s="1"/>
  <c r="Z169" i="7"/>
  <c r="AA169" i="7" s="1"/>
  <c r="AC169" i="7" s="1"/>
  <c r="AD174" i="7"/>
  <c r="AE174" i="7" s="1"/>
  <c r="AE175" i="7"/>
  <c r="AD175" i="7"/>
  <c r="X189" i="7"/>
  <c r="AD189" i="7" s="1"/>
  <c r="AE189" i="7" s="1"/>
  <c r="V189" i="7"/>
  <c r="T150" i="7"/>
  <c r="T152" i="7"/>
  <c r="T154" i="7"/>
  <c r="T156" i="7"/>
  <c r="T158" i="7"/>
  <c r="T160" i="7"/>
  <c r="AK162" i="7"/>
  <c r="AK166" i="7"/>
  <c r="Z168" i="7"/>
  <c r="Z172" i="7"/>
  <c r="AA172" i="7" s="1"/>
  <c r="AC172" i="7" s="1"/>
  <c r="AD172" i="7" s="1"/>
  <c r="Z176" i="7"/>
  <c r="AA176" i="7" s="1"/>
  <c r="AC176" i="7" s="1"/>
  <c r="AD176" i="7" s="1"/>
  <c r="AK183" i="7"/>
  <c r="X191" i="7"/>
  <c r="V191" i="7"/>
  <c r="AK172" i="7"/>
  <c r="AK176" i="7"/>
  <c r="T184" i="7"/>
  <c r="AK191" i="7"/>
  <c r="U256" i="7"/>
  <c r="V195" i="7"/>
  <c r="T197" i="7"/>
  <c r="O198" i="7"/>
  <c r="Z201" i="7"/>
  <c r="AA201" i="7" s="1"/>
  <c r="AC201" i="7" s="1"/>
  <c r="T201" i="7"/>
  <c r="X201" i="7" s="1"/>
  <c r="AH206" i="7"/>
  <c r="Z206" i="7" s="1"/>
  <c r="AA206" i="7" s="1"/>
  <c r="AC206" i="7" s="1"/>
  <c r="AK206" i="7"/>
  <c r="T210" i="7"/>
  <c r="Z210" i="7"/>
  <c r="AA210" i="7" s="1"/>
  <c r="AC210" i="7" s="1"/>
  <c r="AH211" i="7"/>
  <c r="AK211" i="7"/>
  <c r="AD182" i="7"/>
  <c r="AE182" i="7" s="1"/>
  <c r="Z185" i="7"/>
  <c r="AA185" i="7" s="1"/>
  <c r="AC185" i="7" s="1"/>
  <c r="Z196" i="7"/>
  <c r="AA196" i="7" s="1"/>
  <c r="AC196" i="7" s="1"/>
  <c r="T196" i="7"/>
  <c r="X196" i="7" s="1"/>
  <c r="AH231" i="7"/>
  <c r="Z231" i="7" s="1"/>
  <c r="AK231" i="7"/>
  <c r="AK169" i="7"/>
  <c r="AK173" i="7"/>
  <c r="T182" i="7"/>
  <c r="X182" i="7" s="1"/>
  <c r="T188" i="7"/>
  <c r="X188" i="7" s="1"/>
  <c r="AD188" i="7" s="1"/>
  <c r="AE188" i="7" s="1"/>
  <c r="Z195" i="7"/>
  <c r="AE244" i="7"/>
  <c r="Z252" i="7"/>
  <c r="AA252" i="7" s="1"/>
  <c r="AC252" i="7" s="1"/>
  <c r="T252" i="7"/>
  <c r="X253" i="7"/>
  <c r="V253" i="7"/>
  <c r="T178" i="7"/>
  <c r="X178" i="7" s="1"/>
  <c r="AD178" i="7" s="1"/>
  <c r="AE178" i="7" s="1"/>
  <c r="T180" i="7"/>
  <c r="X180" i="7" s="1"/>
  <c r="AD180" i="7" s="1"/>
  <c r="AE180" i="7" s="1"/>
  <c r="Z183" i="7"/>
  <c r="AA183" i="7" s="1"/>
  <c r="AC183" i="7" s="1"/>
  <c r="AK229" i="7"/>
  <c r="AH229" i="7"/>
  <c r="Z191" i="7"/>
  <c r="AA191" i="7" s="1"/>
  <c r="AC191" i="7" s="1"/>
  <c r="AD191" i="7" s="1"/>
  <c r="AE191" i="7" s="1"/>
  <c r="T198" i="7"/>
  <c r="Z198" i="7"/>
  <c r="AA198" i="7" s="1"/>
  <c r="AC198" i="7" s="1"/>
  <c r="AH199" i="7"/>
  <c r="T199" i="7" s="1"/>
  <c r="AK199" i="7"/>
  <c r="Z200" i="7"/>
  <c r="AA200" i="7" s="1"/>
  <c r="AC200" i="7" s="1"/>
  <c r="Z203" i="7"/>
  <c r="AA203" i="7" s="1"/>
  <c r="AC203" i="7" s="1"/>
  <c r="T203" i="7"/>
  <c r="V209" i="7"/>
  <c r="Z211" i="7"/>
  <c r="AA211" i="7" s="1"/>
  <c r="AC211" i="7" s="1"/>
  <c r="T211" i="7"/>
  <c r="Z177" i="7"/>
  <c r="AA177" i="7" s="1"/>
  <c r="AC177" i="7" s="1"/>
  <c r="Z179" i="7"/>
  <c r="AA179" i="7" s="1"/>
  <c r="AC179" i="7" s="1"/>
  <c r="Z181" i="7"/>
  <c r="AA181" i="7" s="1"/>
  <c r="AC181" i="7" s="1"/>
  <c r="T190" i="7"/>
  <c r="AH202" i="7"/>
  <c r="Z202" i="7" s="1"/>
  <c r="AA202" i="7" s="1"/>
  <c r="AC202" i="7" s="1"/>
  <c r="AH214" i="7"/>
  <c r="AH216" i="7"/>
  <c r="AH218" i="7"/>
  <c r="AH220" i="7"/>
  <c r="V221" i="7"/>
  <c r="AH222" i="7"/>
  <c r="T222" i="7" s="1"/>
  <c r="AH223" i="7"/>
  <c r="Z223" i="7" s="1"/>
  <c r="Z228" i="7"/>
  <c r="Z233" i="7"/>
  <c r="X250" i="7"/>
  <c r="AD250" i="7" s="1"/>
  <c r="AE250" i="7" s="1"/>
  <c r="V250" i="7"/>
  <c r="AH269" i="7"/>
  <c r="Z269" i="7" s="1"/>
  <c r="AA269" i="7" s="1"/>
  <c r="AC269" i="7" s="1"/>
  <c r="AK269" i="7"/>
  <c r="V196" i="7"/>
  <c r="AK205" i="7"/>
  <c r="AE208" i="7"/>
  <c r="T208" i="7"/>
  <c r="X208" i="7" s="1"/>
  <c r="Z208" i="7"/>
  <c r="AA208" i="7" s="1"/>
  <c r="AC208" i="7" s="1"/>
  <c r="AD208" i="7" s="1"/>
  <c r="Z209" i="7"/>
  <c r="AA209" i="7" s="1"/>
  <c r="AC209" i="7" s="1"/>
  <c r="AD209" i="7" s="1"/>
  <c r="T209" i="7"/>
  <c r="X209" i="7" s="1"/>
  <c r="AK212" i="7"/>
  <c r="Z226" i="7"/>
  <c r="Z238" i="7"/>
  <c r="AH265" i="7"/>
  <c r="T265" i="7" s="1"/>
  <c r="AK265" i="7"/>
  <c r="AH230" i="7"/>
  <c r="Z230" i="7" s="1"/>
  <c r="AA240" i="7"/>
  <c r="AC240" i="7" s="1"/>
  <c r="O240" i="7"/>
  <c r="T240" i="7" s="1"/>
  <c r="S276" i="7"/>
  <c r="AH261" i="7"/>
  <c r="AK261" i="7"/>
  <c r="R256" i="7"/>
  <c r="S195" i="7"/>
  <c r="S256" i="7" s="1"/>
  <c r="AK201" i="7"/>
  <c r="AK203" i="7"/>
  <c r="T206" i="7"/>
  <c r="Z207" i="7"/>
  <c r="AA207" i="7" s="1"/>
  <c r="AC207" i="7" s="1"/>
  <c r="T207" i="7"/>
  <c r="V216" i="7"/>
  <c r="V220" i="7"/>
  <c r="T221" i="7"/>
  <c r="X221" i="7" s="1"/>
  <c r="AH227" i="7"/>
  <c r="Z227" i="7" s="1"/>
  <c r="Z237" i="7"/>
  <c r="Z247" i="7"/>
  <c r="AA247" i="7" s="1"/>
  <c r="AC247" i="7" s="1"/>
  <c r="T247" i="7"/>
  <c r="T212" i="7"/>
  <c r="X212" i="7" s="1"/>
  <c r="Z212" i="7"/>
  <c r="AA212" i="7" s="1"/>
  <c r="AC212" i="7" s="1"/>
  <c r="AK213" i="7"/>
  <c r="AH213" i="7"/>
  <c r="Z213" i="7" s="1"/>
  <c r="AA213" i="7" s="1"/>
  <c r="AC213" i="7" s="1"/>
  <c r="Z239" i="7"/>
  <c r="X243" i="7"/>
  <c r="V243" i="7"/>
  <c r="T200" i="7"/>
  <c r="X200" i="7" s="1"/>
  <c r="T204" i="7"/>
  <c r="Z204" i="7"/>
  <c r="AA204" i="7" s="1"/>
  <c r="AC204" i="7" s="1"/>
  <c r="Z205" i="7"/>
  <c r="AA205" i="7" s="1"/>
  <c r="AC205" i="7" s="1"/>
  <c r="T205" i="7"/>
  <c r="AK215" i="7"/>
  <c r="AH215" i="7"/>
  <c r="Z215" i="7" s="1"/>
  <c r="AA215" i="7" s="1"/>
  <c r="AC215" i="7" s="1"/>
  <c r="AK217" i="7"/>
  <c r="AH217" i="7"/>
  <c r="AK219" i="7"/>
  <c r="AH219" i="7"/>
  <c r="AK221" i="7"/>
  <c r="AH221" i="7"/>
  <c r="Z221" i="7" s="1"/>
  <c r="AA221" i="7" s="1"/>
  <c r="AC221" i="7" s="1"/>
  <c r="Z224" i="7"/>
  <c r="AH225" i="7"/>
  <c r="Z225" i="7" s="1"/>
  <c r="Z229" i="7"/>
  <c r="Z232" i="7"/>
  <c r="T292" i="7"/>
  <c r="X292" i="7" s="1"/>
  <c r="AD292" i="7" s="1"/>
  <c r="AD294" i="7" s="1"/>
  <c r="T202" i="7"/>
  <c r="AE214" i="7"/>
  <c r="T214" i="7"/>
  <c r="X214" i="7" s="1"/>
  <c r="Z214" i="7"/>
  <c r="AA214" i="7" s="1"/>
  <c r="AC214" i="7" s="1"/>
  <c r="AD214" i="7" s="1"/>
  <c r="T216" i="7"/>
  <c r="X216" i="7" s="1"/>
  <c r="Z216" i="7"/>
  <c r="AA216" i="7" s="1"/>
  <c r="AC216" i="7" s="1"/>
  <c r="T218" i="7"/>
  <c r="X218" i="7" s="1"/>
  <c r="T220" i="7"/>
  <c r="X220" i="7" s="1"/>
  <c r="Z220" i="7"/>
  <c r="AA220" i="7" s="1"/>
  <c r="AC220" i="7" s="1"/>
  <c r="Z222" i="7"/>
  <c r="AA222" i="7" s="1"/>
  <c r="AC222" i="7" s="1"/>
  <c r="X241" i="7"/>
  <c r="AD241" i="7" s="1"/>
  <c r="AE241" i="7" s="1"/>
  <c r="V241" i="7"/>
  <c r="V242" i="7"/>
  <c r="X242" i="7"/>
  <c r="AD242" i="7" s="1"/>
  <c r="AE242" i="7" s="1"/>
  <c r="AD243" i="7"/>
  <c r="AE243" i="7" s="1"/>
  <c r="V244" i="7"/>
  <c r="X244" i="7"/>
  <c r="X245" i="7"/>
  <c r="AD245" i="7" s="1"/>
  <c r="AE245" i="7" s="1"/>
  <c r="V245" i="7"/>
  <c r="X248" i="7"/>
  <c r="V248" i="7"/>
  <c r="AD254" i="7"/>
  <c r="AE254" i="7"/>
  <c r="Z248" i="7"/>
  <c r="AA248" i="7" s="1"/>
  <c r="AC248" i="7" s="1"/>
  <c r="AD248" i="7" s="1"/>
  <c r="Z263" i="7"/>
  <c r="AA263" i="7" s="1"/>
  <c r="AC263" i="7" s="1"/>
  <c r="AD263" i="7" s="1"/>
  <c r="X275" i="7"/>
  <c r="AD275" i="7" s="1"/>
  <c r="AE275" i="7" s="1"/>
  <c r="V275" i="7"/>
  <c r="U276" i="7"/>
  <c r="S239" i="7"/>
  <c r="X246" i="7"/>
  <c r="V246" i="7"/>
  <c r="AD253" i="7"/>
  <c r="AE253" i="7" s="1"/>
  <c r="T260" i="7"/>
  <c r="Z270" i="7"/>
  <c r="AA270" i="7" s="1"/>
  <c r="AC270" i="7" s="1"/>
  <c r="Z273" i="7"/>
  <c r="AA273" i="7" s="1"/>
  <c r="AC273" i="7" s="1"/>
  <c r="Z284" i="7"/>
  <c r="AA284" i="7" s="1"/>
  <c r="AC284" i="7" s="1"/>
  <c r="T251" i="7"/>
  <c r="V261" i="7"/>
  <c r="T273" i="7"/>
  <c r="Z279" i="7"/>
  <c r="S226" i="7"/>
  <c r="S230" i="7"/>
  <c r="AH234" i="7"/>
  <c r="Z234" i="7" s="1"/>
  <c r="S235" i="7"/>
  <c r="S236" i="7"/>
  <c r="Z236" i="7" s="1"/>
  <c r="Z246" i="7"/>
  <c r="AA246" i="7" s="1"/>
  <c r="AC246" i="7" s="1"/>
  <c r="AD246" i="7" s="1"/>
  <c r="AH263" i="7"/>
  <c r="AK263" i="7"/>
  <c r="AH267" i="7"/>
  <c r="Z267" i="7" s="1"/>
  <c r="AA267" i="7" s="1"/>
  <c r="AC267" i="7" s="1"/>
  <c r="AK267" i="7"/>
  <c r="Z271" i="7"/>
  <c r="AA271" i="7" s="1"/>
  <c r="AC271" i="7" s="1"/>
  <c r="Z261" i="7"/>
  <c r="AA261" i="7" s="1"/>
  <c r="AC261" i="7" s="1"/>
  <c r="AD261" i="7" s="1"/>
  <c r="T271" i="7"/>
  <c r="AD244" i="7"/>
  <c r="X249" i="7"/>
  <c r="AD249" i="7" s="1"/>
  <c r="AE249" i="7" s="1"/>
  <c r="V249" i="7"/>
  <c r="X254" i="7"/>
  <c r="V254" i="7"/>
  <c r="T262" i="7"/>
  <c r="X262" i="7" s="1"/>
  <c r="T266" i="7"/>
  <c r="X266" i="7" s="1"/>
  <c r="V292" i="7"/>
  <c r="AH293" i="7"/>
  <c r="T293" i="7" s="1"/>
  <c r="AK293" i="7"/>
  <c r="Z235" i="7"/>
  <c r="S290" i="7"/>
  <c r="AC294" i="7"/>
  <c r="AE255" i="7"/>
  <c r="R290" i="7"/>
  <c r="AH260" i="7"/>
  <c r="Z260" i="7" s="1"/>
  <c r="AH262" i="7"/>
  <c r="Z262" i="7" s="1"/>
  <c r="AA262" i="7" s="1"/>
  <c r="AC262" i="7" s="1"/>
  <c r="AH264" i="7"/>
  <c r="Z264" i="7" s="1"/>
  <c r="AA264" i="7" s="1"/>
  <c r="AC264" i="7" s="1"/>
  <c r="AH266" i="7"/>
  <c r="Z266" i="7" s="1"/>
  <c r="AA266" i="7" s="1"/>
  <c r="AC266" i="7" s="1"/>
  <c r="AH268" i="7"/>
  <c r="T268" i="7" s="1"/>
  <c r="T280" i="7"/>
  <c r="T282" i="7"/>
  <c r="T284" i="7"/>
  <c r="Z285" i="7"/>
  <c r="AA285" i="7" s="1"/>
  <c r="AC285" i="7" s="1"/>
  <c r="T286" i="7"/>
  <c r="Z287" i="7"/>
  <c r="AA287" i="7" s="1"/>
  <c r="AC287" i="7" s="1"/>
  <c r="T288" i="7"/>
  <c r="Z289" i="7"/>
  <c r="AA289" i="7" s="1"/>
  <c r="AC289" i="7" s="1"/>
  <c r="AH292" i="7"/>
  <c r="T261" i="7"/>
  <c r="X261" i="7" s="1"/>
  <c r="T263" i="7"/>
  <c r="X263" i="7" s="1"/>
  <c r="AE263" i="7"/>
  <c r="T267" i="7"/>
  <c r="X267" i="7" s="1"/>
  <c r="R276" i="7"/>
  <c r="T270" i="7"/>
  <c r="T272" i="7"/>
  <c r="T274" i="7"/>
  <c r="T279" i="7"/>
  <c r="T281" i="7"/>
  <c r="T283" i="7"/>
  <c r="T285" i="7"/>
  <c r="T287" i="7"/>
  <c r="T289" i="7"/>
  <c r="AA230" i="7" l="1"/>
  <c r="AC230" i="7" s="1"/>
  <c r="O230" i="7"/>
  <c r="T230" i="7" s="1"/>
  <c r="AA234" i="7"/>
  <c r="AC234" i="7" s="1"/>
  <c r="O234" i="7"/>
  <c r="T234" i="7" s="1"/>
  <c r="AA165" i="7"/>
  <c r="AC165" i="7" s="1"/>
  <c r="O165" i="7"/>
  <c r="T165" i="7" s="1"/>
  <c r="X21" i="7"/>
  <c r="V21" i="7"/>
  <c r="AA14" i="7"/>
  <c r="AC14" i="7" s="1"/>
  <c r="X268" i="7"/>
  <c r="V268" i="7"/>
  <c r="AD267" i="7"/>
  <c r="AE267" i="7"/>
  <c r="AE207" i="7"/>
  <c r="X222" i="7"/>
  <c r="V222" i="7"/>
  <c r="X293" i="7"/>
  <c r="V293" i="7"/>
  <c r="AE57" i="7"/>
  <c r="AD221" i="7"/>
  <c r="AE221" i="7" s="1"/>
  <c r="X265" i="7"/>
  <c r="V265" i="7"/>
  <c r="AD266" i="7"/>
  <c r="AE266" i="7" s="1"/>
  <c r="AD262" i="7"/>
  <c r="AE262" i="7" s="1"/>
  <c r="AD269" i="7"/>
  <c r="AE269" i="7" s="1"/>
  <c r="AA260" i="7"/>
  <c r="AA225" i="7"/>
  <c r="AC225" i="7" s="1"/>
  <c r="O225" i="7"/>
  <c r="T225" i="7" s="1"/>
  <c r="AE146" i="7"/>
  <c r="AE51" i="7"/>
  <c r="AA224" i="7"/>
  <c r="AC224" i="7" s="1"/>
  <c r="O224" i="7"/>
  <c r="T224" i="7" s="1"/>
  <c r="O227" i="7"/>
  <c r="T227" i="7" s="1"/>
  <c r="AA227" i="7"/>
  <c r="AC227" i="7" s="1"/>
  <c r="T219" i="7"/>
  <c r="T215" i="7"/>
  <c r="T256" i="7" s="1"/>
  <c r="AA228" i="7"/>
  <c r="AC228" i="7" s="1"/>
  <c r="O228" i="7"/>
  <c r="T228" i="7" s="1"/>
  <c r="X203" i="7"/>
  <c r="V203" i="7"/>
  <c r="X154" i="7"/>
  <c r="V154" i="7"/>
  <c r="AE172" i="7"/>
  <c r="X167" i="7"/>
  <c r="AD167" i="7" s="1"/>
  <c r="AE167" i="7" s="1"/>
  <c r="V167" i="7"/>
  <c r="X108" i="7"/>
  <c r="AD108" i="7" s="1"/>
  <c r="AE108" i="7" s="1"/>
  <c r="V108" i="7"/>
  <c r="AD141" i="7"/>
  <c r="AE141" i="7" s="1"/>
  <c r="AA163" i="7"/>
  <c r="AC163" i="7" s="1"/>
  <c r="O163" i="7"/>
  <c r="T163" i="7" s="1"/>
  <c r="AE176" i="7"/>
  <c r="X187" i="7"/>
  <c r="AD187" i="7" s="1"/>
  <c r="AE187" i="7" s="1"/>
  <c r="V187" i="7"/>
  <c r="AE173" i="7"/>
  <c r="V129" i="7"/>
  <c r="V155" i="7"/>
  <c r="X155" i="7"/>
  <c r="AD155" i="7" s="1"/>
  <c r="AE155" i="7" s="1"/>
  <c r="AE113" i="7"/>
  <c r="AD105" i="7"/>
  <c r="AE105" i="7" s="1"/>
  <c r="AD99" i="7"/>
  <c r="AE99" i="7"/>
  <c r="Z111" i="7"/>
  <c r="AA111" i="7" s="1"/>
  <c r="AC111" i="7" s="1"/>
  <c r="T75" i="7"/>
  <c r="V47" i="7"/>
  <c r="V111" i="7"/>
  <c r="AD69" i="7"/>
  <c r="X13" i="7"/>
  <c r="Z21" i="7"/>
  <c r="AA21" i="7" s="1"/>
  <c r="AC21" i="7" s="1"/>
  <c r="T28" i="7"/>
  <c r="Z28" i="7"/>
  <c r="AA28" i="7" s="1"/>
  <c r="AC28" i="7" s="1"/>
  <c r="AE19" i="7"/>
  <c r="X251" i="7"/>
  <c r="AD251" i="7" s="1"/>
  <c r="AE251" i="7" s="1"/>
  <c r="V251" i="7"/>
  <c r="X207" i="7"/>
  <c r="V207" i="7"/>
  <c r="AD142" i="7"/>
  <c r="X271" i="7"/>
  <c r="AD271" i="7" s="1"/>
  <c r="AE271" i="7" s="1"/>
  <c r="V271" i="7"/>
  <c r="X289" i="7"/>
  <c r="V289" i="7"/>
  <c r="X284" i="7"/>
  <c r="V284" i="7"/>
  <c r="V267" i="7"/>
  <c r="V266" i="7"/>
  <c r="T264" i="7"/>
  <c r="AA229" i="7"/>
  <c r="AC229" i="7" s="1"/>
  <c r="O229" i="7"/>
  <c r="T229" i="7" s="1"/>
  <c r="O239" i="7"/>
  <c r="T239" i="7" s="1"/>
  <c r="AA239" i="7"/>
  <c r="AC239" i="7" s="1"/>
  <c r="AD207" i="7"/>
  <c r="AD181" i="7"/>
  <c r="AE181" i="7" s="1"/>
  <c r="V200" i="7"/>
  <c r="AD201" i="7"/>
  <c r="AE201" i="7" s="1"/>
  <c r="X152" i="7"/>
  <c r="AD152" i="7" s="1"/>
  <c r="AE152" i="7" s="1"/>
  <c r="V152" i="7"/>
  <c r="AD150" i="7"/>
  <c r="AE150" i="7" s="1"/>
  <c r="X106" i="7"/>
  <c r="AD106" i="7" s="1"/>
  <c r="AE106" i="7" s="1"/>
  <c r="V106" i="7"/>
  <c r="X148" i="7"/>
  <c r="AD148" i="7" s="1"/>
  <c r="AE148" i="7" s="1"/>
  <c r="V148" i="7"/>
  <c r="Z122" i="7"/>
  <c r="AA122" i="7" s="1"/>
  <c r="AC122" i="7" s="1"/>
  <c r="T122" i="7"/>
  <c r="V153" i="7"/>
  <c r="X153" i="7"/>
  <c r="AD153" i="7" s="1"/>
  <c r="AE153" i="7" s="1"/>
  <c r="AE127" i="7"/>
  <c r="AE67" i="7"/>
  <c r="AE53" i="7"/>
  <c r="AD29" i="7"/>
  <c r="AE71" i="7"/>
  <c r="Z48" i="7"/>
  <c r="AA48" i="7" s="1"/>
  <c r="AC48" i="7" s="1"/>
  <c r="T48" i="7"/>
  <c r="AE59" i="7"/>
  <c r="AA232" i="7"/>
  <c r="AC232" i="7" s="1"/>
  <c r="O232" i="7"/>
  <c r="T232" i="7" s="1"/>
  <c r="X198" i="7"/>
  <c r="AD198" i="7" s="1"/>
  <c r="AE198" i="7" s="1"/>
  <c r="V198" i="7"/>
  <c r="V78" i="7"/>
  <c r="X272" i="7"/>
  <c r="AD272" i="7" s="1"/>
  <c r="AE272" i="7" s="1"/>
  <c r="V272" i="7"/>
  <c r="X202" i="7"/>
  <c r="AD202" i="7" s="1"/>
  <c r="AE202" i="7" s="1"/>
  <c r="V202" i="7"/>
  <c r="X270" i="7"/>
  <c r="V270" i="7"/>
  <c r="AE261" i="7"/>
  <c r="AD284" i="7"/>
  <c r="AE284" i="7" s="1"/>
  <c r="AD222" i="7"/>
  <c r="X205" i="7"/>
  <c r="V205" i="7"/>
  <c r="X287" i="7"/>
  <c r="V287" i="7"/>
  <c r="V263" i="7"/>
  <c r="Z265" i="7"/>
  <c r="AA265" i="7" s="1"/>
  <c r="AC265" i="7" s="1"/>
  <c r="AD216" i="7"/>
  <c r="AE216" i="7" s="1"/>
  <c r="Z199" i="7"/>
  <c r="AA199" i="7" s="1"/>
  <c r="AC199" i="7" s="1"/>
  <c r="AE179" i="7"/>
  <c r="AD179" i="7"/>
  <c r="AD203" i="7"/>
  <c r="AE203" i="7" s="1"/>
  <c r="AD195" i="7"/>
  <c r="AA195" i="7"/>
  <c r="AD210" i="7"/>
  <c r="AE210" i="7" s="1"/>
  <c r="O168" i="7"/>
  <c r="T168" i="7" s="1"/>
  <c r="AA168" i="7"/>
  <c r="AC168" i="7" s="1"/>
  <c r="X150" i="7"/>
  <c r="V150" i="7"/>
  <c r="AA164" i="7"/>
  <c r="AC164" i="7" s="1"/>
  <c r="O164" i="7"/>
  <c r="T164" i="7" s="1"/>
  <c r="V147" i="7"/>
  <c r="X147" i="7"/>
  <c r="AD147" i="7" s="1"/>
  <c r="AE147" i="7" s="1"/>
  <c r="V125" i="7"/>
  <c r="X104" i="7"/>
  <c r="AD104" i="7" s="1"/>
  <c r="AE104" i="7" s="1"/>
  <c r="V104" i="7"/>
  <c r="Z126" i="7"/>
  <c r="AA126" i="7" s="1"/>
  <c r="AC126" i="7" s="1"/>
  <c r="T126" i="7"/>
  <c r="Z118" i="7"/>
  <c r="AA118" i="7" s="1"/>
  <c r="AC118" i="7" s="1"/>
  <c r="T118" i="7"/>
  <c r="X186" i="7"/>
  <c r="AD186" i="7" s="1"/>
  <c r="AE186" i="7" s="1"/>
  <c r="V186" i="7"/>
  <c r="V151" i="7"/>
  <c r="X151" i="7"/>
  <c r="AD151" i="7" s="1"/>
  <c r="AE151" i="7" s="1"/>
  <c r="X144" i="7"/>
  <c r="V144" i="7"/>
  <c r="V90" i="7"/>
  <c r="X92" i="7"/>
  <c r="AD92" i="7" s="1"/>
  <c r="AE92" i="7" s="1"/>
  <c r="V92" i="7"/>
  <c r="AD95" i="7"/>
  <c r="AE95" i="7" s="1"/>
  <c r="V131" i="7"/>
  <c r="AD97" i="7"/>
  <c r="AE97" i="7"/>
  <c r="Z72" i="7"/>
  <c r="AA72" i="7" s="1"/>
  <c r="AC72" i="7" s="1"/>
  <c r="V49" i="7"/>
  <c r="AE69" i="7"/>
  <c r="V53" i="7"/>
  <c r="AD91" i="7"/>
  <c r="AE91" i="7"/>
  <c r="V73" i="7"/>
  <c r="Z73" i="7" s="1"/>
  <c r="AA73" i="7" s="1"/>
  <c r="AC73" i="7" s="1"/>
  <c r="X73" i="7"/>
  <c r="V55" i="7"/>
  <c r="Z15" i="7"/>
  <c r="AA15" i="7" s="1"/>
  <c r="AC15" i="7" s="1"/>
  <c r="T15" i="7"/>
  <c r="X162" i="7"/>
  <c r="V162" i="7"/>
  <c r="Z34" i="7"/>
  <c r="AA34" i="7" s="1"/>
  <c r="AC34" i="7" s="1"/>
  <c r="T34" i="7"/>
  <c r="V59" i="7"/>
  <c r="T44" i="7"/>
  <c r="Z44" i="7"/>
  <c r="AA44" i="7" s="1"/>
  <c r="AC44" i="7" s="1"/>
  <c r="T14" i="7"/>
  <c r="T38" i="7" s="1"/>
  <c r="AC13" i="7"/>
  <c r="X156" i="7"/>
  <c r="V156" i="7"/>
  <c r="X110" i="7"/>
  <c r="AD110" i="7" s="1"/>
  <c r="AE110" i="7" s="1"/>
  <c r="V110" i="7"/>
  <c r="AD107" i="7"/>
  <c r="AE107" i="7" s="1"/>
  <c r="Z70" i="7"/>
  <c r="AA70" i="7" s="1"/>
  <c r="AC70" i="7" s="1"/>
  <c r="T70" i="7"/>
  <c r="X285" i="7"/>
  <c r="AD285" i="7" s="1"/>
  <c r="AE285" i="7" s="1"/>
  <c r="V285" i="7"/>
  <c r="X282" i="7"/>
  <c r="V282" i="7"/>
  <c r="Z282" i="7" s="1"/>
  <c r="AA282" i="7" s="1"/>
  <c r="AC282" i="7" s="1"/>
  <c r="V262" i="7"/>
  <c r="AA279" i="7"/>
  <c r="Z290" i="7"/>
  <c r="AD273" i="7"/>
  <c r="AE273" i="7" s="1"/>
  <c r="AE222" i="7"/>
  <c r="AD205" i="7"/>
  <c r="AE205" i="7" s="1"/>
  <c r="X247" i="7"/>
  <c r="V247" i="7"/>
  <c r="V218" i="7"/>
  <c r="Z218" i="7" s="1"/>
  <c r="AA218" i="7" s="1"/>
  <c r="AC218" i="7" s="1"/>
  <c r="V214" i="7"/>
  <c r="X206" i="7"/>
  <c r="AD206" i="7" s="1"/>
  <c r="AE206" i="7" s="1"/>
  <c r="V206" i="7"/>
  <c r="AE209" i="7"/>
  <c r="AA223" i="7"/>
  <c r="AC223" i="7" s="1"/>
  <c r="O223" i="7"/>
  <c r="T223" i="7" s="1"/>
  <c r="AE177" i="7"/>
  <c r="AD177" i="7"/>
  <c r="AD200" i="7"/>
  <c r="AE200" i="7" s="1"/>
  <c r="X252" i="7"/>
  <c r="AD252" i="7" s="1"/>
  <c r="AE252" i="7" s="1"/>
  <c r="V252" i="7"/>
  <c r="AA231" i="7"/>
  <c r="AC231" i="7" s="1"/>
  <c r="O231" i="7"/>
  <c r="T231" i="7" s="1"/>
  <c r="X210" i="7"/>
  <c r="V210" i="7"/>
  <c r="X197" i="7"/>
  <c r="AD197" i="7" s="1"/>
  <c r="AE197" i="7" s="1"/>
  <c r="V197" i="7"/>
  <c r="V208" i="7"/>
  <c r="T124" i="7"/>
  <c r="Z124" i="7"/>
  <c r="AA124" i="7" s="1"/>
  <c r="AC124" i="7" s="1"/>
  <c r="X102" i="7"/>
  <c r="AD102" i="7" s="1"/>
  <c r="AE102" i="7" s="1"/>
  <c r="V102" i="7"/>
  <c r="V145" i="7"/>
  <c r="X145" i="7"/>
  <c r="AD145" i="7" s="1"/>
  <c r="AE145" i="7" s="1"/>
  <c r="AD121" i="7"/>
  <c r="AE121" i="7" s="1"/>
  <c r="Z114" i="7"/>
  <c r="AA114" i="7" s="1"/>
  <c r="AC114" i="7" s="1"/>
  <c r="T114" i="7"/>
  <c r="X146" i="7"/>
  <c r="V146" i="7"/>
  <c r="X170" i="7"/>
  <c r="AD170" i="7" s="1"/>
  <c r="AE170" i="7" s="1"/>
  <c r="V170" i="7"/>
  <c r="AD144" i="7"/>
  <c r="AE144" i="7" s="1"/>
  <c r="T89" i="7"/>
  <c r="Z50" i="7"/>
  <c r="AA50" i="7" s="1"/>
  <c r="AC50" i="7" s="1"/>
  <c r="T50" i="7"/>
  <c r="U296" i="7"/>
  <c r="V77" i="7"/>
  <c r="V65" i="7"/>
  <c r="AD33" i="7"/>
  <c r="AE33" i="7" s="1"/>
  <c r="V51" i="7"/>
  <c r="V69" i="7"/>
  <c r="V71" i="7"/>
  <c r="S296" i="7"/>
  <c r="AE162" i="7"/>
  <c r="AD162" i="7"/>
  <c r="V57" i="7"/>
  <c r="AD63" i="7"/>
  <c r="AE63" i="7" s="1"/>
  <c r="V45" i="7"/>
  <c r="X286" i="7"/>
  <c r="AD286" i="7" s="1"/>
  <c r="AE286" i="7" s="1"/>
  <c r="V286" i="7"/>
  <c r="V157" i="7"/>
  <c r="X157" i="7"/>
  <c r="AD157" i="7" s="1"/>
  <c r="AE157" i="7" s="1"/>
  <c r="AD289" i="7"/>
  <c r="AE289" i="7" s="1"/>
  <c r="X273" i="7"/>
  <c r="V273" i="7"/>
  <c r="AD270" i="7"/>
  <c r="AE270" i="7" s="1"/>
  <c r="X260" i="7"/>
  <c r="AD220" i="7"/>
  <c r="AD247" i="7"/>
  <c r="AE247" i="7" s="1"/>
  <c r="AA237" i="7"/>
  <c r="AC237" i="7" s="1"/>
  <c r="O237" i="7"/>
  <c r="T237" i="7" s="1"/>
  <c r="T217" i="7"/>
  <c r="T213" i="7"/>
  <c r="V240" i="7"/>
  <c r="X240" i="7"/>
  <c r="AA233" i="7"/>
  <c r="AC233" i="7" s="1"/>
  <c r="O233" i="7"/>
  <c r="T233" i="7" s="1"/>
  <c r="X211" i="7"/>
  <c r="V211" i="7"/>
  <c r="AE183" i="7"/>
  <c r="AD183" i="7"/>
  <c r="V180" i="7"/>
  <c r="AE142" i="7"/>
  <c r="X100" i="7"/>
  <c r="AD100" i="7" s="1"/>
  <c r="AE100" i="7" s="1"/>
  <c r="V100" i="7"/>
  <c r="V182" i="7"/>
  <c r="AD117" i="7"/>
  <c r="AE117" i="7" s="1"/>
  <c r="AD146" i="7"/>
  <c r="AD109" i="7"/>
  <c r="AE109" i="7"/>
  <c r="Z66" i="7"/>
  <c r="AA66" i="7" s="1"/>
  <c r="AC66" i="7" s="1"/>
  <c r="T66" i="7"/>
  <c r="AD49" i="7"/>
  <c r="AE49" i="7" s="1"/>
  <c r="T42" i="7"/>
  <c r="Z42" i="7"/>
  <c r="AA42" i="7" s="1"/>
  <c r="AC42" i="7" s="1"/>
  <c r="T40" i="7"/>
  <c r="Z40" i="7"/>
  <c r="T24" i="7"/>
  <c r="Z24" i="7"/>
  <c r="AA24" i="7" s="1"/>
  <c r="AC24" i="7" s="1"/>
  <c r="Z46" i="7"/>
  <c r="AA46" i="7" s="1"/>
  <c r="AC46" i="7" s="1"/>
  <c r="T46" i="7"/>
  <c r="AE35" i="7"/>
  <c r="AD25" i="7"/>
  <c r="AE25" i="7" s="1"/>
  <c r="AE248" i="7"/>
  <c r="O226" i="7"/>
  <c r="T226" i="7" s="1"/>
  <c r="T258" i="7" s="1"/>
  <c r="AA226" i="7"/>
  <c r="AC226" i="7" s="1"/>
  <c r="V184" i="7"/>
  <c r="X184" i="7"/>
  <c r="AD184" i="7" s="1"/>
  <c r="AE184" i="7" s="1"/>
  <c r="O235" i="7"/>
  <c r="T235" i="7" s="1"/>
  <c r="AA235" i="7"/>
  <c r="AC235" i="7" s="1"/>
  <c r="X281" i="7"/>
  <c r="AD281" i="7" s="1"/>
  <c r="AE281" i="7" s="1"/>
  <c r="V281" i="7"/>
  <c r="X204" i="7"/>
  <c r="AD204" i="7" s="1"/>
  <c r="AE204" i="7" s="1"/>
  <c r="V204" i="7"/>
  <c r="V212" i="7"/>
  <c r="X199" i="7"/>
  <c r="V199" i="7"/>
  <c r="AD196" i="7"/>
  <c r="AE196" i="7"/>
  <c r="X160" i="7"/>
  <c r="AD160" i="7" s="1"/>
  <c r="AE160" i="7" s="1"/>
  <c r="V160" i="7"/>
  <c r="V178" i="7"/>
  <c r="X141" i="7"/>
  <c r="V141" i="7"/>
  <c r="X98" i="7"/>
  <c r="AD98" i="7" s="1"/>
  <c r="AE98" i="7" s="1"/>
  <c r="V98" i="7"/>
  <c r="AD190" i="7"/>
  <c r="AE190" i="7" s="1"/>
  <c r="V161" i="7"/>
  <c r="X161" i="7"/>
  <c r="AD161" i="7" s="1"/>
  <c r="AE161" i="7" s="1"/>
  <c r="X140" i="7"/>
  <c r="AD140" i="7" s="1"/>
  <c r="AE140" i="7" s="1"/>
  <c r="V140" i="7"/>
  <c r="AA88" i="7"/>
  <c r="AD77" i="7"/>
  <c r="AE77" i="7" s="1"/>
  <c r="AD65" i="7"/>
  <c r="AE65" i="7" s="1"/>
  <c r="Z52" i="7"/>
  <c r="AA52" i="7" s="1"/>
  <c r="AC52" i="7" s="1"/>
  <c r="T52" i="7"/>
  <c r="AD78" i="7"/>
  <c r="AE78" i="7"/>
  <c r="Z56" i="7"/>
  <c r="AA56" i="7" s="1"/>
  <c r="AC56" i="7" s="1"/>
  <c r="T56" i="7"/>
  <c r="Z30" i="7"/>
  <c r="AA30" i="7" s="1"/>
  <c r="AC30" i="7" s="1"/>
  <c r="T30" i="7"/>
  <c r="Z58" i="7"/>
  <c r="AA58" i="7" s="1"/>
  <c r="AC58" i="7" s="1"/>
  <c r="T58" i="7"/>
  <c r="AE120" i="7"/>
  <c r="Z62" i="7"/>
  <c r="AA62" i="7" s="1"/>
  <c r="AC62" i="7" s="1"/>
  <c r="T62" i="7"/>
  <c r="AD45" i="7"/>
  <c r="AE45" i="7" s="1"/>
  <c r="X22" i="7"/>
  <c r="AD22" i="7" s="1"/>
  <c r="AE22" i="7" s="1"/>
  <c r="V22" i="7"/>
  <c r="AE29" i="7"/>
  <c r="X274" i="7"/>
  <c r="AD274" i="7" s="1"/>
  <c r="AE274" i="7" s="1"/>
  <c r="V274" i="7"/>
  <c r="X190" i="7"/>
  <c r="V190" i="7"/>
  <c r="AD154" i="7"/>
  <c r="AE154" i="7" s="1"/>
  <c r="X136" i="7"/>
  <c r="AD136" i="7" s="1"/>
  <c r="AE136" i="7" s="1"/>
  <c r="V136" i="7"/>
  <c r="X283" i="7"/>
  <c r="V283" i="7"/>
  <c r="Z283" i="7" s="1"/>
  <c r="AA283" i="7" s="1"/>
  <c r="AC283" i="7" s="1"/>
  <c r="X280" i="7"/>
  <c r="AD280" i="7" s="1"/>
  <c r="AE280" i="7" s="1"/>
  <c r="V280" i="7"/>
  <c r="X288" i="7"/>
  <c r="AD288" i="7" s="1"/>
  <c r="AE288" i="7" s="1"/>
  <c r="V288" i="7"/>
  <c r="AA236" i="7"/>
  <c r="AC236" i="7" s="1"/>
  <c r="O236" i="7"/>
  <c r="T236" i="7" s="1"/>
  <c r="Z268" i="7"/>
  <c r="AA268" i="7" s="1"/>
  <c r="AC268" i="7" s="1"/>
  <c r="AD240" i="7"/>
  <c r="AE240" i="7" s="1"/>
  <c r="T290" i="7"/>
  <c r="X279" i="7"/>
  <c r="X290" i="7" s="1"/>
  <c r="V279" i="7"/>
  <c r="V290" i="7" s="1"/>
  <c r="AD287" i="7"/>
  <c r="AE287" i="7" s="1"/>
  <c r="V260" i="7"/>
  <c r="AE220" i="7"/>
  <c r="AD212" i="7"/>
  <c r="AE212" i="7" s="1"/>
  <c r="AA238" i="7"/>
  <c r="AC238" i="7" s="1"/>
  <c r="O238" i="7"/>
  <c r="T238" i="7" s="1"/>
  <c r="AD211" i="7"/>
  <c r="AE211" i="7" s="1"/>
  <c r="AE246" i="7"/>
  <c r="AE185" i="7"/>
  <c r="AD185" i="7"/>
  <c r="X158" i="7"/>
  <c r="AD158" i="7" s="1"/>
  <c r="AE158" i="7" s="1"/>
  <c r="V158" i="7"/>
  <c r="AD169" i="7"/>
  <c r="AE169" i="7" s="1"/>
  <c r="AD156" i="7"/>
  <c r="AE156" i="7" s="1"/>
  <c r="X94" i="7"/>
  <c r="AD94" i="7" s="1"/>
  <c r="AE94" i="7" s="1"/>
  <c r="V94" i="7"/>
  <c r="X142" i="7"/>
  <c r="V142" i="7"/>
  <c r="Z134" i="7"/>
  <c r="AA134" i="7" s="1"/>
  <c r="AC134" i="7" s="1"/>
  <c r="T134" i="7"/>
  <c r="V201" i="7"/>
  <c r="AE138" i="7"/>
  <c r="V159" i="7"/>
  <c r="X159" i="7"/>
  <c r="AD159" i="7" s="1"/>
  <c r="AE159" i="7" s="1"/>
  <c r="AD137" i="7"/>
  <c r="AE137" i="7" s="1"/>
  <c r="V72" i="7"/>
  <c r="Z64" i="7"/>
  <c r="AA64" i="7" s="1"/>
  <c r="AC64" i="7" s="1"/>
  <c r="T64" i="7"/>
  <c r="Z68" i="7"/>
  <c r="AA68" i="7" s="1"/>
  <c r="AC68" i="7" s="1"/>
  <c r="T68" i="7"/>
  <c r="AD51" i="7"/>
  <c r="Z54" i="7"/>
  <c r="AA54" i="7" s="1"/>
  <c r="AC54" i="7" s="1"/>
  <c r="T54" i="7"/>
  <c r="T36" i="7"/>
  <c r="Z36" i="7"/>
  <c r="AA36" i="7" s="1"/>
  <c r="AC36" i="7" s="1"/>
  <c r="V74" i="7"/>
  <c r="Z74" i="7" s="1"/>
  <c r="AA74" i="7" s="1"/>
  <c r="AC74" i="7" s="1"/>
  <c r="AD55" i="7"/>
  <c r="AE55" i="7" s="1"/>
  <c r="AD57" i="7"/>
  <c r="V29" i="7"/>
  <c r="R296" i="7"/>
  <c r="Z60" i="7"/>
  <c r="AA60" i="7" s="1"/>
  <c r="AC60" i="7" s="1"/>
  <c r="T60" i="7"/>
  <c r="T32" i="7"/>
  <c r="Z32" i="7"/>
  <c r="AA32" i="7" s="1"/>
  <c r="AC32" i="7" s="1"/>
  <c r="AD47" i="7"/>
  <c r="AE47" i="7" s="1"/>
  <c r="AD61" i="7"/>
  <c r="AE61" i="7" s="1"/>
  <c r="T18" i="7"/>
  <c r="R299" i="7" l="1"/>
  <c r="N299" i="7"/>
  <c r="P301" i="7"/>
  <c r="R301" i="7" s="1"/>
  <c r="N301" i="7"/>
  <c r="M301" i="7"/>
  <c r="X66" i="7"/>
  <c r="V66" i="7"/>
  <c r="AA192" i="7"/>
  <c r="AC88" i="7"/>
  <c r="X237" i="7"/>
  <c r="V237" i="7"/>
  <c r="AD265" i="7"/>
  <c r="AE265" i="7" s="1"/>
  <c r="AD111" i="7"/>
  <c r="AE111" i="7"/>
  <c r="AD237" i="7"/>
  <c r="AE237" i="7"/>
  <c r="AD21" i="7"/>
  <c r="AE21" i="7" s="1"/>
  <c r="X219" i="7"/>
  <c r="V219" i="7"/>
  <c r="Z219" i="7" s="1"/>
  <c r="AA219" i="7" s="1"/>
  <c r="AC219" i="7" s="1"/>
  <c r="Z276" i="7"/>
  <c r="V165" i="7"/>
  <c r="X165" i="7"/>
  <c r="X114" i="7"/>
  <c r="V114" i="7"/>
  <c r="X75" i="7"/>
  <c r="V75" i="7"/>
  <c r="Z75" i="7" s="1"/>
  <c r="AA75" i="7" s="1"/>
  <c r="AC75" i="7" s="1"/>
  <c r="X34" i="7"/>
  <c r="AD34" i="7" s="1"/>
  <c r="AE34" i="7" s="1"/>
  <c r="V34" i="7"/>
  <c r="V32" i="7"/>
  <c r="X32" i="7"/>
  <c r="AD32" i="7" s="1"/>
  <c r="AE32" i="7" s="1"/>
  <c r="AD126" i="7"/>
  <c r="AE126" i="7" s="1"/>
  <c r="AE165" i="7"/>
  <c r="AD165" i="7"/>
  <c r="X124" i="7"/>
  <c r="V124" i="7"/>
  <c r="X64" i="7"/>
  <c r="V64" i="7"/>
  <c r="X62" i="7"/>
  <c r="AD62" i="7" s="1"/>
  <c r="AE62" i="7" s="1"/>
  <c r="V62" i="7"/>
  <c r="AD72" i="7"/>
  <c r="AE72" i="7" s="1"/>
  <c r="X264" i="7"/>
  <c r="AD264" i="7" s="1"/>
  <c r="AE264" i="7" s="1"/>
  <c r="V264" i="7"/>
  <c r="X54" i="7"/>
  <c r="V54" i="7"/>
  <c r="AD283" i="7"/>
  <c r="AE283" i="7"/>
  <c r="X58" i="7"/>
  <c r="V58" i="7"/>
  <c r="X52" i="7"/>
  <c r="V52" i="7"/>
  <c r="X235" i="7"/>
  <c r="AD235" i="7" s="1"/>
  <c r="AE235" i="7" s="1"/>
  <c r="V235" i="7"/>
  <c r="X40" i="7"/>
  <c r="V40" i="7"/>
  <c r="V85" i="7" s="1"/>
  <c r="T85" i="7"/>
  <c r="T296" i="7" s="1"/>
  <c r="AD218" i="7"/>
  <c r="AE218" i="7" s="1"/>
  <c r="AC279" i="7"/>
  <c r="AA290" i="7"/>
  <c r="AD70" i="7"/>
  <c r="AE70" i="7" s="1"/>
  <c r="AA38" i="7"/>
  <c r="X232" i="7"/>
  <c r="V232" i="7"/>
  <c r="X227" i="7"/>
  <c r="AD227" i="7" s="1"/>
  <c r="AE227" i="7" s="1"/>
  <c r="V227" i="7"/>
  <c r="V256" i="7" s="1"/>
  <c r="V234" i="7"/>
  <c r="X234" i="7"/>
  <c r="AD234" i="7" s="1"/>
  <c r="AE234" i="7" s="1"/>
  <c r="AD74" i="7"/>
  <c r="AE74" i="7"/>
  <c r="AD114" i="7"/>
  <c r="AE114" i="7"/>
  <c r="X28" i="7"/>
  <c r="AD28" i="7" s="1"/>
  <c r="AE28" i="7" s="1"/>
  <c r="V28" i="7"/>
  <c r="X126" i="7"/>
  <c r="V126" i="7"/>
  <c r="X60" i="7"/>
  <c r="AD60" i="7" s="1"/>
  <c r="AE60" i="7" s="1"/>
  <c r="V60" i="7"/>
  <c r="AD54" i="7"/>
  <c r="AE54" i="7" s="1"/>
  <c r="AD268" i="7"/>
  <c r="AE268" i="7" s="1"/>
  <c r="AD58" i="7"/>
  <c r="AE58" i="7" s="1"/>
  <c r="AD52" i="7"/>
  <c r="AE52" i="7" s="1"/>
  <c r="AD42" i="7"/>
  <c r="AE42" i="7" s="1"/>
  <c r="X14" i="7"/>
  <c r="AD14" i="7" s="1"/>
  <c r="AE14" i="7" s="1"/>
  <c r="V14" i="7"/>
  <c r="X15" i="7"/>
  <c r="V15" i="7"/>
  <c r="AD232" i="7"/>
  <c r="AE232" i="7" s="1"/>
  <c r="X122" i="7"/>
  <c r="V122" i="7"/>
  <c r="X224" i="7"/>
  <c r="V224" i="7"/>
  <c r="Z38" i="7"/>
  <c r="X56" i="7"/>
  <c r="V56" i="7"/>
  <c r="X217" i="7"/>
  <c r="V217" i="7"/>
  <c r="Z217" i="7" s="1"/>
  <c r="X89" i="7"/>
  <c r="V89" i="7"/>
  <c r="T192" i="7"/>
  <c r="P299" i="7" s="1"/>
  <c r="AD225" i="7"/>
  <c r="AE225" i="7" s="1"/>
  <c r="AD56" i="7"/>
  <c r="AE56" i="7" s="1"/>
  <c r="AD73" i="7"/>
  <c r="AE73" i="7" s="1"/>
  <c r="X215" i="7"/>
  <c r="AD215" i="7" s="1"/>
  <c r="AE215" i="7" s="1"/>
  <c r="V215" i="7"/>
  <c r="AA276" i="7"/>
  <c r="AC260" i="7"/>
  <c r="X134" i="7"/>
  <c r="AD134" i="7" s="1"/>
  <c r="AE134" i="7" s="1"/>
  <c r="V134" i="7"/>
  <c r="Z192" i="7"/>
  <c r="X164" i="7"/>
  <c r="AD164" i="7" s="1"/>
  <c r="AE164" i="7" s="1"/>
  <c r="V164" i="7"/>
  <c r="AC38" i="7"/>
  <c r="AD13" i="7"/>
  <c r="AE13" i="7" s="1"/>
  <c r="AE38" i="7" s="1"/>
  <c r="X18" i="7"/>
  <c r="AD18" i="7" s="1"/>
  <c r="AE18" i="7" s="1"/>
  <c r="V18" i="7"/>
  <c r="V276" i="7"/>
  <c r="V236" i="7"/>
  <c r="X236" i="7"/>
  <c r="V30" i="7"/>
  <c r="X30" i="7"/>
  <c r="X42" i="7"/>
  <c r="V42" i="7"/>
  <c r="X276" i="7"/>
  <c r="X50" i="7"/>
  <c r="AD50" i="7" s="1"/>
  <c r="AE50" i="7" s="1"/>
  <c r="V50" i="7"/>
  <c r="X231" i="7"/>
  <c r="V231" i="7"/>
  <c r="X223" i="7"/>
  <c r="V223" i="7"/>
  <c r="AE282" i="7"/>
  <c r="AD282" i="7"/>
  <c r="AD44" i="7"/>
  <c r="AE44" i="7" s="1"/>
  <c r="AD15" i="7"/>
  <c r="AE15" i="7" s="1"/>
  <c r="AD122" i="7"/>
  <c r="AE122" i="7" s="1"/>
  <c r="X239" i="7"/>
  <c r="AD239" i="7" s="1"/>
  <c r="AE239" i="7" s="1"/>
  <c r="V239" i="7"/>
  <c r="AD224" i="7"/>
  <c r="AE224" i="7" s="1"/>
  <c r="X230" i="7"/>
  <c r="AD230" i="7" s="1"/>
  <c r="AE230" i="7" s="1"/>
  <c r="V230" i="7"/>
  <c r="X226" i="7"/>
  <c r="AD226" i="7" s="1"/>
  <c r="AE226" i="7" s="1"/>
  <c r="V226" i="7"/>
  <c r="X118" i="7"/>
  <c r="AD118" i="7" s="1"/>
  <c r="AE118" i="7" s="1"/>
  <c r="V118" i="7"/>
  <c r="AD229" i="7"/>
  <c r="AE229" i="7" s="1"/>
  <c r="AD163" i="7"/>
  <c r="AE163" i="7" s="1"/>
  <c r="X238" i="7"/>
  <c r="AD238" i="7" s="1"/>
  <c r="AE238" i="7" s="1"/>
  <c r="V238" i="7"/>
  <c r="AD66" i="7"/>
  <c r="AE66" i="7" s="1"/>
  <c r="AC195" i="7"/>
  <c r="AD64" i="7"/>
  <c r="AE64" i="7" s="1"/>
  <c r="R303" i="7"/>
  <c r="P303" i="7"/>
  <c r="N303" i="7"/>
  <c r="M303" i="7"/>
  <c r="X24" i="7"/>
  <c r="AD24" i="7" s="1"/>
  <c r="AE24" i="7" s="1"/>
  <c r="V24" i="7"/>
  <c r="X36" i="7"/>
  <c r="AD36" i="7" s="1"/>
  <c r="AE36" i="7" s="1"/>
  <c r="V36" i="7"/>
  <c r="Z85" i="7"/>
  <c r="AA40" i="7"/>
  <c r="X233" i="7"/>
  <c r="AD233" i="7" s="1"/>
  <c r="AE233" i="7" s="1"/>
  <c r="V233" i="7"/>
  <c r="X70" i="7"/>
  <c r="V70" i="7"/>
  <c r="X68" i="7"/>
  <c r="AD68" i="7" s="1"/>
  <c r="AE68" i="7" s="1"/>
  <c r="V68" i="7"/>
  <c r="AE236" i="7"/>
  <c r="AD236" i="7"/>
  <c r="AD30" i="7"/>
  <c r="AE30" i="7" s="1"/>
  <c r="X46" i="7"/>
  <c r="AD46" i="7" s="1"/>
  <c r="AE46" i="7" s="1"/>
  <c r="V46" i="7"/>
  <c r="X213" i="7"/>
  <c r="AD213" i="7" s="1"/>
  <c r="AE213" i="7" s="1"/>
  <c r="V213" i="7"/>
  <c r="T276" i="7"/>
  <c r="AD124" i="7"/>
  <c r="AE124" i="7" s="1"/>
  <c r="AD231" i="7"/>
  <c r="AE231" i="7" s="1"/>
  <c r="AD223" i="7"/>
  <c r="AE223" i="7" s="1"/>
  <c r="X44" i="7"/>
  <c r="V44" i="7"/>
  <c r="V168" i="7"/>
  <c r="X168" i="7"/>
  <c r="AD168" i="7" s="1"/>
  <c r="AE168" i="7" s="1"/>
  <c r="AD199" i="7"/>
  <c r="AE199" i="7" s="1"/>
  <c r="X48" i="7"/>
  <c r="AD48" i="7" s="1"/>
  <c r="AE48" i="7" s="1"/>
  <c r="V48" i="7"/>
  <c r="X229" i="7"/>
  <c r="V229" i="7"/>
  <c r="X163" i="7"/>
  <c r="V163" i="7"/>
  <c r="X228" i="7"/>
  <c r="AD228" i="7" s="1"/>
  <c r="AE228" i="7" s="1"/>
  <c r="V228" i="7"/>
  <c r="X225" i="7"/>
  <c r="V225" i="7"/>
  <c r="AC192" i="7" l="1"/>
  <c r="AD88" i="7"/>
  <c r="AD192" i="7" s="1"/>
  <c r="X85" i="7"/>
  <c r="X38" i="7"/>
  <c r="X256" i="7"/>
  <c r="AD89" i="7"/>
  <c r="AE89" i="7" s="1"/>
  <c r="X192" i="7"/>
  <c r="M299" i="7" s="1"/>
  <c r="R302" i="7"/>
  <c r="P302" i="7"/>
  <c r="N302" i="7"/>
  <c r="M302" i="7"/>
  <c r="AD38" i="7"/>
  <c r="AA217" i="7"/>
  <c r="Z256" i="7"/>
  <c r="Z296" i="7"/>
  <c r="V192" i="7"/>
  <c r="AA85" i="7"/>
  <c r="AC40" i="7"/>
  <c r="AD260" i="7"/>
  <c r="AD276" i="7" s="1"/>
  <c r="AC276" i="7"/>
  <c r="AE260" i="7"/>
  <c r="AE276" i="7" s="1"/>
  <c r="AD279" i="7"/>
  <c r="AD290" i="7" s="1"/>
  <c r="AC290" i="7"/>
  <c r="AE279" i="7"/>
  <c r="AE290" i="7" s="1"/>
  <c r="AD75" i="7"/>
  <c r="AE75" i="7"/>
  <c r="V38" i="7"/>
  <c r="P300" i="7"/>
  <c r="R300" i="7" s="1"/>
  <c r="R304" i="7" s="1"/>
  <c r="M300" i="7"/>
  <c r="N300" i="7" s="1"/>
  <c r="N304" i="7" s="1"/>
  <c r="N306" i="7" s="1"/>
  <c r="AD219" i="7"/>
  <c r="AE219" i="7"/>
  <c r="P304" i="7" l="1"/>
  <c r="V296" i="7"/>
  <c r="O299" i="7"/>
  <c r="M304" i="7"/>
  <c r="M306" i="7" s="1"/>
  <c r="AE88" i="7"/>
  <c r="AE192" i="7" s="1"/>
  <c r="AC217" i="7"/>
  <c r="AA256" i="7"/>
  <c r="AA296" i="7" s="1"/>
  <c r="AC85" i="7"/>
  <c r="AD40" i="7"/>
  <c r="AD85" i="7" s="1"/>
  <c r="AE40" i="7"/>
  <c r="AE85" i="7" s="1"/>
  <c r="X296" i="7"/>
  <c r="AD217" i="7" l="1"/>
  <c r="AD256" i="7" s="1"/>
  <c r="AD296" i="7" s="1"/>
  <c r="AE217" i="7"/>
  <c r="AE256" i="7" s="1"/>
  <c r="AE296" i="7" s="1"/>
  <c r="AC256" i="7"/>
  <c r="S304" i="7"/>
  <c r="R305" i="7" s="1"/>
  <c r="AC296" i="7"/>
  <c r="P305" i="7" l="1"/>
  <c r="D25" i="2" l="1"/>
  <c r="R36" i="1" l="1"/>
  <c r="P52" i="1"/>
  <c r="O52" i="1"/>
  <c r="N52" i="1"/>
  <c r="M52" i="1"/>
  <c r="L52" i="1"/>
  <c r="M49" i="1"/>
  <c r="L48" i="1"/>
  <c r="N42" i="1"/>
  <c r="M41" i="1"/>
  <c r="L40" i="1"/>
  <c r="P38" i="1"/>
  <c r="P37" i="1"/>
  <c r="N35" i="1"/>
  <c r="M34" i="1"/>
  <c r="L33" i="1"/>
  <c r="P27" i="1"/>
  <c r="N31" i="1"/>
  <c r="M30" i="1"/>
  <c r="L29" i="1"/>
  <c r="P26" i="1"/>
  <c r="N25" i="1"/>
  <c r="M24" i="1"/>
  <c r="L23" i="1"/>
  <c r="P17" i="1"/>
  <c r="O16" i="1"/>
  <c r="N11" i="1"/>
  <c r="M10" i="1"/>
  <c r="L9" i="1"/>
  <c r="F14" i="3" l="1"/>
  <c r="D14" i="3"/>
  <c r="H60" i="2" l="1"/>
  <c r="C54" i="2"/>
  <c r="H54" i="2" s="1"/>
  <c r="C47" i="2"/>
  <c r="H47" i="2" s="1"/>
  <c r="C32" i="2"/>
  <c r="H32" i="2" s="1"/>
  <c r="C31" i="2"/>
  <c r="H31" i="2" s="1"/>
  <c r="C18" i="2"/>
  <c r="C17" i="2"/>
  <c r="C64" i="2"/>
  <c r="H64" i="2" s="1"/>
  <c r="C65" i="2"/>
  <c r="C63" i="2"/>
  <c r="C62" i="2"/>
  <c r="H62" i="2" s="1"/>
  <c r="C61" i="2"/>
  <c r="H61" i="2" s="1"/>
  <c r="C59" i="2"/>
  <c r="H59" i="2" s="1"/>
  <c r="C58" i="2"/>
  <c r="H58" i="2" s="1"/>
  <c r="C57" i="2"/>
  <c r="H57" i="2" s="1"/>
  <c r="C56" i="2"/>
  <c r="H56" i="2" s="1"/>
  <c r="C55" i="2"/>
  <c r="H55" i="2" s="1"/>
  <c r="C53" i="2"/>
  <c r="H53" i="2" s="1"/>
  <c r="C52" i="2"/>
  <c r="H52" i="2" s="1"/>
  <c r="C51" i="2"/>
  <c r="H51" i="2" s="1"/>
  <c r="C50" i="2"/>
  <c r="H50" i="2" s="1"/>
  <c r="C49" i="2"/>
  <c r="H49" i="2" s="1"/>
  <c r="C46" i="2"/>
  <c r="H46" i="2" s="1"/>
  <c r="C45" i="2"/>
  <c r="H45" i="2" s="1"/>
  <c r="C44" i="2"/>
  <c r="H44" i="2" s="1"/>
  <c r="C43" i="2"/>
  <c r="H43" i="2" s="1"/>
  <c r="C42" i="2"/>
  <c r="H42" i="2" s="1"/>
  <c r="C41" i="2"/>
  <c r="H41" i="2" s="1"/>
  <c r="C40" i="2"/>
  <c r="C39" i="2"/>
  <c r="D39" i="2" s="1"/>
  <c r="A18" i="2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8" i="2"/>
  <c r="A9" i="2" s="1"/>
  <c r="A10" i="2" s="1"/>
  <c r="A11" i="2" s="1"/>
  <c r="A12" i="2" s="1"/>
  <c r="A13" i="2" s="1"/>
  <c r="J20" i="4" l="1"/>
  <c r="D40" i="2" s="1"/>
  <c r="H40" i="2" s="1"/>
  <c r="J48" i="2"/>
  <c r="K48" i="2"/>
  <c r="M48" i="2" s="1"/>
  <c r="K55" i="2"/>
  <c r="J55" i="2"/>
  <c r="J42" i="2"/>
  <c r="K42" i="2"/>
  <c r="K51" i="2"/>
  <c r="J51" i="2"/>
  <c r="K61" i="2"/>
  <c r="J61" i="2"/>
  <c r="J32" i="2"/>
  <c r="K32" i="2"/>
  <c r="J54" i="2"/>
  <c r="K54" i="2"/>
  <c r="J64" i="2"/>
  <c r="K64" i="2"/>
  <c r="K43" i="2"/>
  <c r="J43" i="2"/>
  <c r="J62" i="2"/>
  <c r="K62" i="2"/>
  <c r="K47" i="2"/>
  <c r="M47" i="2" s="1"/>
  <c r="J47" i="2"/>
  <c r="K45" i="2"/>
  <c r="J45" i="2"/>
  <c r="J46" i="2"/>
  <c r="K46" i="2"/>
  <c r="J59" i="2"/>
  <c r="K59" i="2"/>
  <c r="K52" i="2"/>
  <c r="J52" i="2"/>
  <c r="J44" i="2"/>
  <c r="K44" i="2"/>
  <c r="J53" i="2"/>
  <c r="K53" i="2"/>
  <c r="J57" i="2"/>
  <c r="K57" i="2"/>
  <c r="J49" i="2"/>
  <c r="K49" i="2"/>
  <c r="K31" i="2"/>
  <c r="J31" i="2"/>
  <c r="J41" i="2"/>
  <c r="K41" i="2"/>
  <c r="J50" i="2"/>
  <c r="K50" i="2"/>
  <c r="H39" i="2"/>
  <c r="J58" i="2"/>
  <c r="K58" i="2"/>
  <c r="A34" i="2"/>
  <c r="A35" i="2" s="1"/>
  <c r="A36" i="2" s="1"/>
  <c r="A37" i="2" s="1"/>
  <c r="A38" i="2" s="1"/>
  <c r="A39" i="2" s="1"/>
  <c r="A40" i="2" s="1"/>
  <c r="A41" i="2" s="1"/>
  <c r="A42" i="2" s="1"/>
  <c r="A43" i="2" s="1"/>
  <c r="E133" i="1"/>
  <c r="C133" i="1"/>
  <c r="M66" i="2" l="1"/>
  <c r="M68" i="2" s="1"/>
  <c r="J39" i="2"/>
  <c r="K39" i="2"/>
  <c r="A44" i="2"/>
  <c r="A45" i="2" s="1"/>
  <c r="A46" i="2" s="1"/>
  <c r="A47" i="2" s="1"/>
  <c r="E197" i="1"/>
  <c r="E52" i="1"/>
  <c r="E135" i="1" s="1"/>
  <c r="M67" i="2" l="1"/>
  <c r="A48" i="2"/>
  <c r="A49" i="2" s="1"/>
  <c r="A50" i="2" s="1"/>
  <c r="A51" i="2" s="1"/>
  <c r="A52" i="2" s="1"/>
  <c r="A53" i="2" s="1"/>
  <c r="E199" i="1"/>
  <c r="D198" i="1"/>
  <c r="F198" i="1" s="1"/>
  <c r="D195" i="1"/>
  <c r="F195" i="1" s="1"/>
  <c r="D194" i="1"/>
  <c r="F194" i="1" s="1"/>
  <c r="D193" i="1"/>
  <c r="F193" i="1" s="1"/>
  <c r="D192" i="1"/>
  <c r="F192" i="1" s="1"/>
  <c r="D191" i="1"/>
  <c r="F191" i="1" s="1"/>
  <c r="D190" i="1"/>
  <c r="F190" i="1" s="1"/>
  <c r="D189" i="1"/>
  <c r="F189" i="1" s="1"/>
  <c r="D188" i="1"/>
  <c r="F188" i="1" s="1"/>
  <c r="D187" i="1"/>
  <c r="F187" i="1" s="1"/>
  <c r="D186" i="1"/>
  <c r="F186" i="1" s="1"/>
  <c r="D185" i="1"/>
  <c r="F185" i="1" s="1"/>
  <c r="D184" i="1"/>
  <c r="F184" i="1" s="1"/>
  <c r="D183" i="1"/>
  <c r="F183" i="1" s="1"/>
  <c r="D182" i="1"/>
  <c r="F182" i="1" s="1"/>
  <c r="D181" i="1"/>
  <c r="F181" i="1" s="1"/>
  <c r="D180" i="1"/>
  <c r="F180" i="1" s="1"/>
  <c r="D179" i="1"/>
  <c r="F179" i="1" s="1"/>
  <c r="D178" i="1"/>
  <c r="F178" i="1" s="1"/>
  <c r="D177" i="1"/>
  <c r="F177" i="1" s="1"/>
  <c r="D176" i="1"/>
  <c r="F176" i="1" s="1"/>
  <c r="D175" i="1"/>
  <c r="F175" i="1" s="1"/>
  <c r="D174" i="1"/>
  <c r="F174" i="1" s="1"/>
  <c r="D65" i="2" s="1"/>
  <c r="H65" i="2" s="1"/>
  <c r="D173" i="1"/>
  <c r="F173" i="1" s="1"/>
  <c r="D172" i="1"/>
  <c r="F172" i="1" s="1"/>
  <c r="D63" i="2" s="1"/>
  <c r="H63" i="2" s="1"/>
  <c r="D171" i="1"/>
  <c r="F171" i="1" s="1"/>
  <c r="D170" i="1"/>
  <c r="F170" i="1" s="1"/>
  <c r="D169" i="1"/>
  <c r="F169" i="1" s="1"/>
  <c r="K60" i="2" s="1"/>
  <c r="D168" i="1"/>
  <c r="F168" i="1" s="1"/>
  <c r="D167" i="1"/>
  <c r="F167" i="1" s="1"/>
  <c r="D166" i="1"/>
  <c r="F166" i="1" s="1"/>
  <c r="D165" i="1"/>
  <c r="F165" i="1" s="1"/>
  <c r="D164" i="1"/>
  <c r="F164" i="1" s="1"/>
  <c r="D163" i="1"/>
  <c r="F163" i="1" s="1"/>
  <c r="D162" i="1"/>
  <c r="F162" i="1" s="1"/>
  <c r="D161" i="1"/>
  <c r="F161" i="1" s="1"/>
  <c r="D160" i="1"/>
  <c r="F160" i="1" s="1"/>
  <c r="D159" i="1"/>
  <c r="F159" i="1" s="1"/>
  <c r="D158" i="1"/>
  <c r="F158" i="1" s="1"/>
  <c r="D157" i="1"/>
  <c r="F157" i="1" s="1"/>
  <c r="D156" i="1"/>
  <c r="F156" i="1" s="1"/>
  <c r="D155" i="1"/>
  <c r="F155" i="1" s="1"/>
  <c r="D154" i="1"/>
  <c r="F154" i="1" s="1"/>
  <c r="D153" i="1"/>
  <c r="F153" i="1" s="1"/>
  <c r="D152" i="1"/>
  <c r="F152" i="1" s="1"/>
  <c r="C38" i="2" s="1"/>
  <c r="D151" i="1"/>
  <c r="F151" i="1" s="1"/>
  <c r="C37" i="2" s="1"/>
  <c r="H37" i="2" s="1"/>
  <c r="D150" i="1"/>
  <c r="F150" i="1" s="1"/>
  <c r="C36" i="2" s="1"/>
  <c r="H36" i="2" s="1"/>
  <c r="D149" i="1"/>
  <c r="F149" i="1" s="1"/>
  <c r="C35" i="2" s="1"/>
  <c r="H35" i="2" s="1"/>
  <c r="D148" i="1"/>
  <c r="F148" i="1" s="1"/>
  <c r="C34" i="2" s="1"/>
  <c r="H34" i="2" s="1"/>
  <c r="D147" i="1"/>
  <c r="F147" i="1" s="1"/>
  <c r="C33" i="2" s="1"/>
  <c r="H33" i="2" s="1"/>
  <c r="D146" i="1"/>
  <c r="F146" i="1" s="1"/>
  <c r="D145" i="1"/>
  <c r="F145" i="1" s="1"/>
  <c r="D144" i="1"/>
  <c r="F144" i="1" s="1"/>
  <c r="C30" i="2" s="1"/>
  <c r="H30" i="2" s="1"/>
  <c r="D143" i="1"/>
  <c r="F143" i="1" s="1"/>
  <c r="C29" i="2" s="1"/>
  <c r="H29" i="2" s="1"/>
  <c r="D142" i="1"/>
  <c r="F142" i="1" s="1"/>
  <c r="C28" i="2" s="1"/>
  <c r="H28" i="2" s="1"/>
  <c r="D141" i="1"/>
  <c r="F141" i="1" s="1"/>
  <c r="D140" i="1"/>
  <c r="F140" i="1" s="1"/>
  <c r="D139" i="1"/>
  <c r="F139" i="1" s="1"/>
  <c r="D138" i="1"/>
  <c r="F138" i="1" s="1"/>
  <c r="D132" i="1"/>
  <c r="F132" i="1" s="1"/>
  <c r="D131" i="1"/>
  <c r="F131" i="1" s="1"/>
  <c r="D130" i="1"/>
  <c r="F130" i="1" s="1"/>
  <c r="D129" i="1"/>
  <c r="F129" i="1" s="1"/>
  <c r="D128" i="1"/>
  <c r="F128" i="1" s="1"/>
  <c r="D127" i="1"/>
  <c r="F127" i="1" s="1"/>
  <c r="D126" i="1"/>
  <c r="F126" i="1" s="1"/>
  <c r="D125" i="1"/>
  <c r="F125" i="1" s="1"/>
  <c r="D124" i="1"/>
  <c r="F124" i="1" s="1"/>
  <c r="D123" i="1"/>
  <c r="F123" i="1" s="1"/>
  <c r="D122" i="1"/>
  <c r="F122" i="1" s="1"/>
  <c r="D121" i="1"/>
  <c r="F121" i="1" s="1"/>
  <c r="D120" i="1"/>
  <c r="F120" i="1" s="1"/>
  <c r="D119" i="1"/>
  <c r="F119" i="1" s="1"/>
  <c r="D118" i="1"/>
  <c r="F118" i="1" s="1"/>
  <c r="D117" i="1"/>
  <c r="F117" i="1" s="1"/>
  <c r="D116" i="1"/>
  <c r="F116" i="1" s="1"/>
  <c r="D115" i="1"/>
  <c r="F115" i="1" s="1"/>
  <c r="D114" i="1"/>
  <c r="F114" i="1" s="1"/>
  <c r="D113" i="1"/>
  <c r="F113" i="1" s="1"/>
  <c r="D112" i="1"/>
  <c r="F112" i="1" s="1"/>
  <c r="D111" i="1"/>
  <c r="F111" i="1" s="1"/>
  <c r="D110" i="1"/>
  <c r="F110" i="1" s="1"/>
  <c r="D109" i="1"/>
  <c r="F109" i="1" s="1"/>
  <c r="D108" i="1"/>
  <c r="F108" i="1" s="1"/>
  <c r="D107" i="1"/>
  <c r="F107" i="1" s="1"/>
  <c r="D106" i="1"/>
  <c r="F106" i="1" s="1"/>
  <c r="D105" i="1"/>
  <c r="F105" i="1" s="1"/>
  <c r="D104" i="1"/>
  <c r="F104" i="1" s="1"/>
  <c r="D103" i="1"/>
  <c r="F103" i="1" s="1"/>
  <c r="D102" i="1"/>
  <c r="F102" i="1" s="1"/>
  <c r="D101" i="1"/>
  <c r="F101" i="1" s="1"/>
  <c r="D100" i="1"/>
  <c r="F100" i="1" s="1"/>
  <c r="D99" i="1"/>
  <c r="F99" i="1" s="1"/>
  <c r="D98" i="1"/>
  <c r="F98" i="1" s="1"/>
  <c r="D97" i="1"/>
  <c r="F97" i="1" s="1"/>
  <c r="D96" i="1"/>
  <c r="F96" i="1" s="1"/>
  <c r="D95" i="1"/>
  <c r="F95" i="1" s="1"/>
  <c r="D94" i="1"/>
  <c r="F94" i="1" s="1"/>
  <c r="D93" i="1"/>
  <c r="F93" i="1" s="1"/>
  <c r="D92" i="1"/>
  <c r="F92" i="1" s="1"/>
  <c r="D91" i="1"/>
  <c r="F91" i="1" s="1"/>
  <c r="D90" i="1"/>
  <c r="F90" i="1" s="1"/>
  <c r="D89" i="1"/>
  <c r="F89" i="1" s="1"/>
  <c r="D88" i="1"/>
  <c r="F88" i="1" s="1"/>
  <c r="D87" i="1"/>
  <c r="F87" i="1" s="1"/>
  <c r="D86" i="1"/>
  <c r="F86" i="1" s="1"/>
  <c r="D85" i="1"/>
  <c r="F85" i="1" s="1"/>
  <c r="D84" i="1"/>
  <c r="F84" i="1" s="1"/>
  <c r="D83" i="1"/>
  <c r="F83" i="1" s="1"/>
  <c r="D82" i="1"/>
  <c r="F82" i="1" s="1"/>
  <c r="D81" i="1"/>
  <c r="F81" i="1" s="1"/>
  <c r="D80" i="1"/>
  <c r="F80" i="1" s="1"/>
  <c r="D79" i="1"/>
  <c r="F79" i="1" s="1"/>
  <c r="D78" i="1"/>
  <c r="F78" i="1" s="1"/>
  <c r="D77" i="1"/>
  <c r="F77" i="1" s="1"/>
  <c r="D76" i="1"/>
  <c r="F76" i="1" s="1"/>
  <c r="D75" i="1"/>
  <c r="F75" i="1" s="1"/>
  <c r="D74" i="1"/>
  <c r="F74" i="1" s="1"/>
  <c r="D73" i="1"/>
  <c r="F73" i="1" s="1"/>
  <c r="D72" i="1"/>
  <c r="F72" i="1" s="1"/>
  <c r="D71" i="1"/>
  <c r="F71" i="1" s="1"/>
  <c r="D70" i="1"/>
  <c r="F70" i="1" s="1"/>
  <c r="D69" i="1"/>
  <c r="F69" i="1" s="1"/>
  <c r="D68" i="1"/>
  <c r="F68" i="1" s="1"/>
  <c r="D67" i="1"/>
  <c r="F67" i="1" s="1"/>
  <c r="D66" i="1"/>
  <c r="F66" i="1" s="1"/>
  <c r="D65" i="1"/>
  <c r="F65" i="1" s="1"/>
  <c r="D64" i="1"/>
  <c r="F64" i="1" s="1"/>
  <c r="D63" i="1"/>
  <c r="F63" i="1" s="1"/>
  <c r="D62" i="1"/>
  <c r="F62" i="1" s="1"/>
  <c r="D61" i="1"/>
  <c r="F61" i="1" s="1"/>
  <c r="D60" i="1"/>
  <c r="F60" i="1" s="1"/>
  <c r="D59" i="1"/>
  <c r="F59" i="1" s="1"/>
  <c r="D58" i="1"/>
  <c r="F58" i="1" s="1"/>
  <c r="D57" i="1"/>
  <c r="F57" i="1" s="1"/>
  <c r="D56" i="1"/>
  <c r="F56" i="1" s="1"/>
  <c r="D55" i="1"/>
  <c r="D51" i="1"/>
  <c r="F51" i="1" s="1"/>
  <c r="R51" i="1" s="1"/>
  <c r="D50" i="1"/>
  <c r="F50" i="1" s="1"/>
  <c r="Q50" i="1" s="1"/>
  <c r="Q52" i="1" s="1"/>
  <c r="C12" i="2" s="1"/>
  <c r="H12" i="2" s="1"/>
  <c r="J12" i="2" s="1"/>
  <c r="D49" i="1"/>
  <c r="F49" i="1" s="1"/>
  <c r="D48" i="1"/>
  <c r="F48" i="1" s="1"/>
  <c r="D47" i="1"/>
  <c r="F47" i="1" s="1"/>
  <c r="K47" i="1" s="1"/>
  <c r="D46" i="1"/>
  <c r="F46" i="1" s="1"/>
  <c r="J46" i="1" s="1"/>
  <c r="D45" i="1"/>
  <c r="F45" i="1" s="1"/>
  <c r="I45" i="1" s="1"/>
  <c r="D44" i="1"/>
  <c r="F44" i="1" s="1"/>
  <c r="H44" i="1" s="1"/>
  <c r="D43" i="1"/>
  <c r="F43" i="1" s="1"/>
  <c r="G43" i="1" s="1"/>
  <c r="D42" i="1"/>
  <c r="F42" i="1" s="1"/>
  <c r="D41" i="1"/>
  <c r="F41" i="1" s="1"/>
  <c r="D40" i="1"/>
  <c r="F40" i="1" s="1"/>
  <c r="D39" i="1"/>
  <c r="F39" i="1" s="1"/>
  <c r="K39" i="1" s="1"/>
  <c r="D38" i="1"/>
  <c r="F38" i="1" s="1"/>
  <c r="D37" i="1"/>
  <c r="F37" i="1" s="1"/>
  <c r="D36" i="1"/>
  <c r="F36" i="1" s="1"/>
  <c r="D35" i="1"/>
  <c r="F35" i="1" s="1"/>
  <c r="D34" i="1"/>
  <c r="F34" i="1" s="1"/>
  <c r="D33" i="1"/>
  <c r="F33" i="1" s="1"/>
  <c r="D32" i="1"/>
  <c r="F32" i="1" s="1"/>
  <c r="K32" i="1" s="1"/>
  <c r="D31" i="1"/>
  <c r="F31" i="1" s="1"/>
  <c r="D30" i="1"/>
  <c r="F30" i="1" s="1"/>
  <c r="D29" i="1"/>
  <c r="F29" i="1" s="1"/>
  <c r="D28" i="1"/>
  <c r="F28" i="1" s="1"/>
  <c r="K28" i="1" s="1"/>
  <c r="D27" i="1"/>
  <c r="F27" i="1" s="1"/>
  <c r="D26" i="1"/>
  <c r="F26" i="1" s="1"/>
  <c r="D25" i="1"/>
  <c r="F25" i="1" s="1"/>
  <c r="D24" i="1"/>
  <c r="F24" i="1" s="1"/>
  <c r="D23" i="1"/>
  <c r="F23" i="1" s="1"/>
  <c r="D22" i="1"/>
  <c r="F22" i="1" s="1"/>
  <c r="K22" i="1" s="1"/>
  <c r="D21" i="1"/>
  <c r="F21" i="1" s="1"/>
  <c r="J21" i="1" s="1"/>
  <c r="D20" i="1"/>
  <c r="F20" i="1" s="1"/>
  <c r="I20" i="1" s="1"/>
  <c r="D19" i="1"/>
  <c r="F19" i="1" s="1"/>
  <c r="H19" i="1" s="1"/>
  <c r="D18" i="1"/>
  <c r="F18" i="1" s="1"/>
  <c r="G18" i="1" s="1"/>
  <c r="D17" i="1"/>
  <c r="F17" i="1" s="1"/>
  <c r="D16" i="1"/>
  <c r="F16" i="1" s="1"/>
  <c r="D15" i="1"/>
  <c r="F15" i="1" s="1"/>
  <c r="J15" i="1" s="1"/>
  <c r="D14" i="1"/>
  <c r="F14" i="1" s="1"/>
  <c r="I14" i="1" s="1"/>
  <c r="D13" i="1"/>
  <c r="F13" i="1" s="1"/>
  <c r="H13" i="1" s="1"/>
  <c r="D12" i="1"/>
  <c r="F12" i="1" s="1"/>
  <c r="G12" i="1" s="1"/>
  <c r="D11" i="1"/>
  <c r="F11" i="1" s="1"/>
  <c r="D10" i="1"/>
  <c r="F10" i="1" s="1"/>
  <c r="D9" i="1"/>
  <c r="F9" i="1" s="1"/>
  <c r="D8" i="1"/>
  <c r="F8" i="1" s="1"/>
  <c r="K8" i="1" s="1"/>
  <c r="D7" i="1"/>
  <c r="F7" i="1" s="1"/>
  <c r="G7" i="1" s="1"/>
  <c r="D6" i="1"/>
  <c r="F6" i="1" s="1"/>
  <c r="J6" i="1" s="1"/>
  <c r="D5" i="1"/>
  <c r="F5" i="1" s="1"/>
  <c r="I5" i="1" s="1"/>
  <c r="D4" i="1"/>
  <c r="F4" i="1" s="1"/>
  <c r="H4" i="1" s="1"/>
  <c r="D3" i="1"/>
  <c r="F3" i="1" s="1"/>
  <c r="B197" i="1"/>
  <c r="J34" i="2" l="1"/>
  <c r="K34" i="2"/>
  <c r="K35" i="2"/>
  <c r="J35" i="2"/>
  <c r="A54" i="2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K29" i="2"/>
  <c r="J29" i="2"/>
  <c r="J30" i="2"/>
  <c r="K30" i="2"/>
  <c r="J33" i="2"/>
  <c r="K33" i="2"/>
  <c r="K36" i="2"/>
  <c r="J36" i="2"/>
  <c r="C24" i="2"/>
  <c r="H24" i="2" s="1"/>
  <c r="H52" i="1"/>
  <c r="H8" i="2" s="1"/>
  <c r="K8" i="2" s="1"/>
  <c r="I52" i="1"/>
  <c r="H9" i="2" s="1"/>
  <c r="K9" i="2" s="1"/>
  <c r="C19" i="2"/>
  <c r="H19" i="2" s="1"/>
  <c r="K52" i="1"/>
  <c r="H18" i="2"/>
  <c r="C23" i="2"/>
  <c r="H23" i="2" s="1"/>
  <c r="C20" i="2"/>
  <c r="H20" i="2" s="1"/>
  <c r="C26" i="2"/>
  <c r="H26" i="2" s="1"/>
  <c r="C22" i="2"/>
  <c r="H22" i="2" s="1"/>
  <c r="C27" i="2"/>
  <c r="H27" i="2" s="1"/>
  <c r="H38" i="2"/>
  <c r="D66" i="2"/>
  <c r="D67" i="2" s="1"/>
  <c r="J52" i="1"/>
  <c r="H10" i="2" s="1"/>
  <c r="K10" i="2" s="1"/>
  <c r="C21" i="2"/>
  <c r="H21" i="2" s="1"/>
  <c r="C25" i="2"/>
  <c r="H25" i="2" s="1"/>
  <c r="G3" i="1"/>
  <c r="G52" i="1" s="1"/>
  <c r="F52" i="1"/>
  <c r="R52" i="1"/>
  <c r="H13" i="2"/>
  <c r="J13" i="2" s="1"/>
  <c r="F55" i="1"/>
  <c r="D133" i="1"/>
  <c r="B133" i="1"/>
  <c r="B52" i="1"/>
  <c r="H11" i="2" l="1"/>
  <c r="J11" i="2" s="1"/>
  <c r="J14" i="2" s="1"/>
  <c r="S52" i="1"/>
  <c r="S53" i="1" s="1"/>
  <c r="J18" i="2"/>
  <c r="K18" i="2"/>
  <c r="K23" i="2"/>
  <c r="J23" i="2"/>
  <c r="J27" i="2"/>
  <c r="K27" i="2"/>
  <c r="J19" i="2"/>
  <c r="K19" i="2"/>
  <c r="J26" i="2"/>
  <c r="K26" i="2"/>
  <c r="K21" i="2"/>
  <c r="J21" i="2"/>
  <c r="K38" i="2"/>
  <c r="J38" i="2"/>
  <c r="J22" i="2"/>
  <c r="K22" i="2"/>
  <c r="K25" i="2"/>
  <c r="J25" i="2"/>
  <c r="J20" i="2"/>
  <c r="K20" i="2"/>
  <c r="K24" i="2"/>
  <c r="J24" i="2"/>
  <c r="B135" i="1"/>
  <c r="B199" i="1" s="1"/>
  <c r="F133" i="1"/>
  <c r="H7" i="2"/>
  <c r="C197" i="1"/>
  <c r="D197" i="1" s="1"/>
  <c r="F197" i="1" s="1"/>
  <c r="C52" i="1"/>
  <c r="C14" i="2" l="1"/>
  <c r="H17" i="2"/>
  <c r="C66" i="2"/>
  <c r="K7" i="2"/>
  <c r="K14" i="2" s="1"/>
  <c r="I17" i="8" s="1"/>
  <c r="I18" i="8" s="1"/>
  <c r="I19" i="8" s="1"/>
  <c r="H14" i="2"/>
  <c r="D52" i="1"/>
  <c r="C135" i="1"/>
  <c r="C199" i="1" s="1"/>
  <c r="D199" i="1" s="1"/>
  <c r="F199" i="1" s="1"/>
  <c r="C67" i="2" l="1"/>
  <c r="K17" i="2"/>
  <c r="J17" i="2"/>
  <c r="J15" i="2"/>
  <c r="K15" i="2"/>
  <c r="D12" i="3" s="1"/>
  <c r="H66" i="2"/>
  <c r="H68" i="2" s="1"/>
  <c r="F135" i="1"/>
  <c r="D135" i="1"/>
  <c r="J56" i="2" l="1"/>
  <c r="F12" i="3"/>
  <c r="K56" i="2"/>
  <c r="K28" i="2"/>
  <c r="J28" i="2" s="1"/>
  <c r="K37" i="2"/>
  <c r="J37" i="2" s="1"/>
  <c r="H67" i="2"/>
  <c r="J66" i="2" l="1"/>
  <c r="J67" i="2" s="1"/>
  <c r="K66" i="2"/>
  <c r="K67" i="2" l="1"/>
  <c r="K68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Sevall, Scott (UTC)</author>
    <author>Weldon Burton</author>
  </authors>
  <commentList>
    <comment ref="H135" authorId="0" shapeId="0" xr:uid="{AFD14A70-9F23-40EA-911D-23AEEB7883F8}">
      <text>
        <r>
          <rPr>
            <b/>
            <sz val="9"/>
            <color indexed="81"/>
            <rFont val="Tahoma"/>
            <family val="2"/>
          </rPr>
          <t>Sevall, Scott (UTC):</t>
        </r>
        <r>
          <rPr>
            <sz val="9"/>
            <color indexed="81"/>
            <rFont val="Tahoma"/>
            <family val="2"/>
          </rPr>
          <t xml:space="preserve">
This was the life on the previous rate case.</t>
        </r>
      </text>
    </comment>
    <comment ref="H150" authorId="0" shapeId="0" xr:uid="{8C48856D-68AC-4FFF-B4E7-5BC5AD365A84}">
      <text>
        <r>
          <rPr>
            <b/>
            <sz val="9"/>
            <color indexed="81"/>
            <rFont val="Tahoma"/>
            <family val="2"/>
          </rPr>
          <t>Sevall, Scott (UTC):</t>
        </r>
        <r>
          <rPr>
            <sz val="9"/>
            <color indexed="81"/>
            <rFont val="Tahoma"/>
            <family val="2"/>
          </rPr>
          <t xml:space="preserve">
The company originally proposed to change to a 10 year life, but went back to the original life of 7 years from previous rate cases.</t>
        </r>
      </text>
    </comment>
    <comment ref="T191" authorId="1" shapeId="0" xr:uid="{AD90FF93-CB6D-4EA8-AC05-60B49116A690}">
      <text>
        <r>
          <rPr>
            <b/>
            <sz val="9"/>
            <color indexed="81"/>
            <rFont val="Tahoma"/>
            <family val="2"/>
          </rPr>
          <t>Weldon Burton:</t>
        </r>
        <r>
          <rPr>
            <sz val="9"/>
            <color indexed="81"/>
            <rFont val="Tahoma"/>
            <family val="2"/>
          </rPr>
          <t xml:space="preserve">
Prospective one year depreciation
</t>
        </r>
      </text>
    </comment>
    <comment ref="T255" authorId="1" shapeId="0" xr:uid="{008B19C1-4C7C-48FD-A277-9C322859BB09}">
      <text>
        <r>
          <rPr>
            <b/>
            <sz val="9"/>
            <color indexed="81"/>
            <rFont val="Tahoma"/>
            <family val="2"/>
          </rPr>
          <t>Weldon Burton:</t>
        </r>
        <r>
          <rPr>
            <sz val="9"/>
            <color indexed="81"/>
            <rFont val="Tahoma"/>
            <family val="2"/>
          </rPr>
          <t xml:space="preserve">
Prospective one year depreciation
</t>
        </r>
      </text>
    </comment>
    <comment ref="H264" authorId="0" shapeId="0" xr:uid="{0EE7D6F3-142E-4844-A32C-781A3F284DBF}">
      <text>
        <r>
          <rPr>
            <b/>
            <sz val="9"/>
            <color indexed="81"/>
            <rFont val="Tahoma"/>
            <family val="2"/>
          </rPr>
          <t>Sevall, Scott (UTC):</t>
        </r>
        <r>
          <rPr>
            <sz val="9"/>
            <color indexed="81"/>
            <rFont val="Tahoma"/>
            <family val="2"/>
          </rPr>
          <t xml:space="preserve">
This was the life on the previous rate case.</t>
        </r>
      </text>
    </comment>
    <comment ref="H270" authorId="0" shapeId="0" xr:uid="{C1FB1DDF-1ED5-40CE-86C8-91399DC427D0}">
      <text>
        <r>
          <rPr>
            <b/>
            <sz val="9"/>
            <color indexed="81"/>
            <rFont val="Tahoma"/>
            <family val="2"/>
          </rPr>
          <t>Sevall, Scott (UTC):</t>
        </r>
        <r>
          <rPr>
            <sz val="9"/>
            <color indexed="81"/>
            <rFont val="Tahoma"/>
            <family val="2"/>
          </rPr>
          <t xml:space="preserve">
his was the life on the previous rate case.</t>
        </r>
      </text>
    </comment>
    <comment ref="H279" authorId="0" shapeId="0" xr:uid="{69FC1802-6E44-408C-965D-E7BFA61FA8A6}">
      <text>
        <r>
          <rPr>
            <b/>
            <sz val="9"/>
            <color indexed="81"/>
            <rFont val="Tahoma"/>
            <family val="2"/>
          </rPr>
          <t>Sevall, Scott (UTC):</t>
        </r>
        <r>
          <rPr>
            <sz val="9"/>
            <color indexed="81"/>
            <rFont val="Tahoma"/>
            <family val="2"/>
          </rPr>
          <t xml:space="preserve">
This was the life on the previous rate case.</t>
        </r>
      </text>
    </comment>
  </commentList>
</comments>
</file>

<file path=xl/sharedStrings.xml><?xml version="1.0" encoding="utf-8"?>
<sst xmlns="http://schemas.openxmlformats.org/spreadsheetml/2006/main" count="3654" uniqueCount="1263">
  <si>
    <t>Revenues</t>
  </si>
  <si>
    <t>Barge Rental</t>
  </si>
  <si>
    <t>Sales - Non-Regulated</t>
  </si>
  <si>
    <t>Customs Fees</t>
  </si>
  <si>
    <t>Finance Charge Income</t>
  </si>
  <si>
    <t>Miscellaneous Income</t>
  </si>
  <si>
    <t>Total Revenues</t>
  </si>
  <si>
    <t>Cost of Sales</t>
  </si>
  <si>
    <t>Security Costs- Anacortes</t>
  </si>
  <si>
    <t>Security Costs- Port Angeles</t>
  </si>
  <si>
    <t>Security Costs- Seattle</t>
  </si>
  <si>
    <t>Security Costs- Tacoma</t>
  </si>
  <si>
    <t>Port Charges- Anacortes</t>
  </si>
  <si>
    <t>Port Charges- Bellingham</t>
  </si>
  <si>
    <t>Port Charges- Port Angeles</t>
  </si>
  <si>
    <t>Port Charges- Seattle</t>
  </si>
  <si>
    <t>Port Charges Tacoma</t>
  </si>
  <si>
    <t>Boat Oil</t>
  </si>
  <si>
    <t>Boat Fuel- Strait Arrow</t>
  </si>
  <si>
    <t>Boat Fuel- Crow Arrow</t>
  </si>
  <si>
    <t>Boat Fuel- Sealth Arrow</t>
  </si>
  <si>
    <t>Boat Fuel- Sound Arrow</t>
  </si>
  <si>
    <t>Boat Fuel- Warrior</t>
  </si>
  <si>
    <t>Boat Fuel- General</t>
  </si>
  <si>
    <t>Boat Fuel- Swift Arrow</t>
  </si>
  <si>
    <t>Boat Fuel - Pacific Arrow</t>
  </si>
  <si>
    <t>Boat Fuel- Sioux Arrow</t>
  </si>
  <si>
    <t>Boat Fuel - Chief Arrow</t>
  </si>
  <si>
    <t>Boat Fuel- Motega</t>
  </si>
  <si>
    <t>Boat Fuel- Cheyenne Arrow</t>
  </si>
  <si>
    <t>Boat Fuel - Brave Arrow</t>
  </si>
  <si>
    <t>Moorage Anacortes</t>
  </si>
  <si>
    <t>Moorage Bellingham</t>
  </si>
  <si>
    <t>Moorage Port Angeles</t>
  </si>
  <si>
    <t>Moorage Seattle</t>
  </si>
  <si>
    <t>Moorage General</t>
  </si>
  <si>
    <t>Moorage Motega</t>
  </si>
  <si>
    <t>Moorage Tacoma</t>
  </si>
  <si>
    <t>Boat M &amp; R- Strait Arrow</t>
  </si>
  <si>
    <t>Boat M &amp; R- Crow Arrow</t>
  </si>
  <si>
    <t>Boat M &amp; R- Sealth Arrow</t>
  </si>
  <si>
    <t>Boat M &amp; R- Sound Arrow</t>
  </si>
  <si>
    <t>Boat M &amp; R- Warrior</t>
  </si>
  <si>
    <t>Bulk Fleet Purchases</t>
  </si>
  <si>
    <t>Boat M &amp; R- Swift Arrow</t>
  </si>
  <si>
    <t>Boat M &amp; R - Pacific Arrow</t>
  </si>
  <si>
    <t>Boat M &amp; R- Sioux Arrow</t>
  </si>
  <si>
    <t>Boat M &amp; R - Chief Arrow</t>
  </si>
  <si>
    <t>Boat M &amp; R- Barges</t>
  </si>
  <si>
    <t>Boat M &amp; R- Motega</t>
  </si>
  <si>
    <t>Boat M &amp; R- Cheyenne Arrow</t>
  </si>
  <si>
    <t>Boat M &amp; R - Brave Arrow</t>
  </si>
  <si>
    <t>Boat Lease- Anacortes</t>
  </si>
  <si>
    <t>Truck &amp; Transport- Anacortes</t>
  </si>
  <si>
    <t>Truck &amp; Transport- Bellingham</t>
  </si>
  <si>
    <t>Truck &amp; Transport-Port Angeles</t>
  </si>
  <si>
    <t>Boat Supplies- Strait Arrow</t>
  </si>
  <si>
    <t>Boat Supplies- Crow Arrow</t>
  </si>
  <si>
    <t>Boat Supplies- Sealth Arrow</t>
  </si>
  <si>
    <t>Boat Supplies- Sound Arrow</t>
  </si>
  <si>
    <t>Boat Supplies- Warrior</t>
  </si>
  <si>
    <t>Boat Supplies- General</t>
  </si>
  <si>
    <t>Boat Supplies- Swift Arrow</t>
  </si>
  <si>
    <t>Boat Supplies - Pacific Arrow</t>
  </si>
  <si>
    <t>Boat Supplies- Sioux Arrow</t>
  </si>
  <si>
    <t>Boat Supplies - Chief Arrow</t>
  </si>
  <si>
    <t>Boat Supplies- Barges</t>
  </si>
  <si>
    <t>Boat Supplies- Motega</t>
  </si>
  <si>
    <t>Boat Supplies- Cheyenne Arrow</t>
  </si>
  <si>
    <t>Boat Supplies - Brave Arrow</t>
  </si>
  <si>
    <t>Equipment Rental- Anacortes</t>
  </si>
  <si>
    <t>Equipment Rental- Port Angeles</t>
  </si>
  <si>
    <t>Salaries/Wages Anacortes</t>
  </si>
  <si>
    <t>Salaries/Wages Port Angeles</t>
  </si>
  <si>
    <t>Salaries/Wages Seattle</t>
  </si>
  <si>
    <t>Salaries/Wages Dispatch</t>
  </si>
  <si>
    <t>ATO</t>
  </si>
  <si>
    <t>Salaries/Wages Tacoma</t>
  </si>
  <si>
    <t>FICA General</t>
  </si>
  <si>
    <t>Payroll Taxes- Officers Salari</t>
  </si>
  <si>
    <t>FUTA General</t>
  </si>
  <si>
    <t>SUTA General</t>
  </si>
  <si>
    <t>L &amp; I/ Industrial Insurance</t>
  </si>
  <si>
    <t>Subcontractors Port Angeles</t>
  </si>
  <si>
    <t>Shop/Boat Maint</t>
  </si>
  <si>
    <t>Total Cost of Sales</t>
  </si>
  <si>
    <t>Gross Profit</t>
  </si>
  <si>
    <t>Sales/Pass-Thru Anacortes</t>
  </si>
  <si>
    <t>Sales/Pass-Thru Bellingham</t>
  </si>
  <si>
    <t>Sales/Pass-Thru Port Angeles</t>
  </si>
  <si>
    <t>Sales/Pass-Thru Warrior</t>
  </si>
  <si>
    <t>Early Payment Remittance Prem.</t>
  </si>
  <si>
    <t>Officers Wages</t>
  </si>
  <si>
    <t>Office Wages/ Salaries</t>
  </si>
  <si>
    <t>IRA Match</t>
  </si>
  <si>
    <t>Fees</t>
  </si>
  <si>
    <t>Advertising</t>
  </si>
  <si>
    <t>Accountant</t>
  </si>
  <si>
    <t>Attorney</t>
  </si>
  <si>
    <t>Auto Expense</t>
  </si>
  <si>
    <t>Bad Debts</t>
  </si>
  <si>
    <t>Bank Service Charges</t>
  </si>
  <si>
    <t>Contributions</t>
  </si>
  <si>
    <t>Depreciation</t>
  </si>
  <si>
    <t>Drug Testing</t>
  </si>
  <si>
    <t>Dues</t>
  </si>
  <si>
    <t>Employee Meals- Polar Pioneer</t>
  </si>
  <si>
    <t>Employee Benefits</t>
  </si>
  <si>
    <t>Employee Meals</t>
  </si>
  <si>
    <t>Crew Meals-On Water-On boat</t>
  </si>
  <si>
    <t>Entertainment/Meals</t>
  </si>
  <si>
    <t>Freight</t>
  </si>
  <si>
    <t>Fuel</t>
  </si>
  <si>
    <t>Insurance</t>
  </si>
  <si>
    <t>Insurance- Vessel</t>
  </si>
  <si>
    <t>Insurance- Employee Medical</t>
  </si>
  <si>
    <t>Insurance- Vessel &amp; Vehicle</t>
  </si>
  <si>
    <t>Licenses/Permits</t>
  </si>
  <si>
    <t>Miscellaneous Expense</t>
  </si>
  <si>
    <t>Office Expense</t>
  </si>
  <si>
    <t>Postage</t>
  </si>
  <si>
    <t>Professional Fees</t>
  </si>
  <si>
    <t>Rent</t>
  </si>
  <si>
    <t>Repair/Maintenance Coles Crane</t>
  </si>
  <si>
    <t>Repair/Maintenance Non Boat</t>
  </si>
  <si>
    <t>Repair/Maintenance Boom Truck</t>
  </si>
  <si>
    <t>Repair/Maintenance Shop Truck</t>
  </si>
  <si>
    <t>Repair/Maintenance General</t>
  </si>
  <si>
    <t>Repair/Maintenance 1997 GMC</t>
  </si>
  <si>
    <t>Repair/Maintenance 2000 Ford</t>
  </si>
  <si>
    <t>Repair/Maintenance Forklifts</t>
  </si>
  <si>
    <t>Repair/Maintenance 1995 Chevy</t>
  </si>
  <si>
    <t>Subscriptions</t>
  </si>
  <si>
    <t>Taxes- Property</t>
  </si>
  <si>
    <t>Taxes- B &amp; O</t>
  </si>
  <si>
    <t>Taxes- Personal Property Boats</t>
  </si>
  <si>
    <t>Taxes- Other</t>
  </si>
  <si>
    <t>Telephone/Radio</t>
  </si>
  <si>
    <t>Training</t>
  </si>
  <si>
    <t>Crew Relocation/Accomodations</t>
  </si>
  <si>
    <t>Uniforms</t>
  </si>
  <si>
    <t>Utilities</t>
  </si>
  <si>
    <t>Interest Expense</t>
  </si>
  <si>
    <t>Owner's Life Insurance</t>
  </si>
  <si>
    <t>Suspense</t>
  </si>
  <si>
    <t>Bad Debt Expense</t>
  </si>
  <si>
    <t>Total Expenses</t>
  </si>
  <si>
    <t>Net Income</t>
  </si>
  <si>
    <t>Test Period</t>
  </si>
  <si>
    <t>Year to Date 9-30-18</t>
  </si>
  <si>
    <t>Year to Date 12-31-18</t>
  </si>
  <si>
    <t>Three Months</t>
  </si>
  <si>
    <t>Year to Date 9-30-19</t>
  </si>
  <si>
    <t>Regulated</t>
  </si>
  <si>
    <t>Freight Deckhand</t>
  </si>
  <si>
    <t>Tariff Deckhand</t>
  </si>
  <si>
    <t>Finance Charge</t>
  </si>
  <si>
    <t>Misc.</t>
  </si>
  <si>
    <t>Arrow Launch Service, Inc.</t>
  </si>
  <si>
    <t>Statement of Operations</t>
  </si>
  <si>
    <t>Account Name</t>
  </si>
  <si>
    <t>Trial Balance</t>
  </si>
  <si>
    <t>Allocation Method</t>
  </si>
  <si>
    <t>Non-Regulated</t>
  </si>
  <si>
    <t>A</t>
  </si>
  <si>
    <t>B</t>
  </si>
  <si>
    <t>C</t>
  </si>
  <si>
    <t>D</t>
  </si>
  <si>
    <t>E</t>
  </si>
  <si>
    <t>F</t>
  </si>
  <si>
    <t>G</t>
  </si>
  <si>
    <t>H</t>
  </si>
  <si>
    <t>Sales</t>
  </si>
  <si>
    <t>Actual</t>
  </si>
  <si>
    <t>Ratio - regulated &amp; non-regulated</t>
  </si>
  <si>
    <t>Security Costs</t>
  </si>
  <si>
    <t>PAC</t>
  </si>
  <si>
    <t>Port Charges</t>
  </si>
  <si>
    <t>Boat Fuel &amp; Lubricants</t>
  </si>
  <si>
    <t>Vessel Operating Hours</t>
  </si>
  <si>
    <t>Moorage</t>
  </si>
  <si>
    <t>Boat Maintenance &amp; Repair</t>
  </si>
  <si>
    <t>Truck &amp; Transport</t>
  </si>
  <si>
    <t>Boat Supplies</t>
  </si>
  <si>
    <t>Equipment Rental</t>
  </si>
  <si>
    <t>Salaries/Wages</t>
  </si>
  <si>
    <t>Vessel Labor Hours</t>
  </si>
  <si>
    <t>Payroll Taxes</t>
  </si>
  <si>
    <t xml:space="preserve">Sales/Pass-Thru </t>
  </si>
  <si>
    <t>Revenue</t>
  </si>
  <si>
    <t>Capital</t>
  </si>
  <si>
    <t xml:space="preserve">Administrative Repair/Maintenance </t>
  </si>
  <si>
    <t>Crew Relocation/Accommodations</t>
  </si>
  <si>
    <t>WUTC Regulatory Fee</t>
  </si>
  <si>
    <t>Miscellaneous</t>
  </si>
  <si>
    <t>Operating Ratio Revenue Calculation</t>
  </si>
  <si>
    <t>Potential Revenue Increase</t>
  </si>
  <si>
    <t>Bank Charges</t>
  </si>
  <si>
    <t>Crew Meals - On Water-On Boat</t>
  </si>
  <si>
    <t>Insurance - Vessel &amp; Vehicle</t>
  </si>
  <si>
    <t>Insurance - Employee Benefit</t>
  </si>
  <si>
    <t>Employee IRA Match</t>
  </si>
  <si>
    <t xml:space="preserve">Allocation Statistics </t>
  </si>
  <si>
    <t>Vessel Operating Hours (2)</t>
  </si>
  <si>
    <t>Vessel Labor Hours (3)</t>
  </si>
  <si>
    <t>Revenue (4)</t>
  </si>
  <si>
    <t>Previously Allocated Costs (5)</t>
  </si>
  <si>
    <t>(1)</t>
  </si>
  <si>
    <t>Capital is used to allocate depreciation and insurance costs</t>
  </si>
  <si>
    <t>(2)</t>
  </si>
  <si>
    <t>Engine Hours is used to allocate fuel, repairs and boat supplies</t>
  </si>
  <si>
    <t>(3)</t>
  </si>
  <si>
    <t xml:space="preserve">Captain and Deckhand Hours are used to allocate payroll and related costs, </t>
  </si>
  <si>
    <t>officer wages and employee benefits</t>
  </si>
  <si>
    <t>(4)</t>
  </si>
  <si>
    <t>Revenue is used to allocate Washington B&amp;O Taxes, but is not included</t>
  </si>
  <si>
    <t>in the PAC Calculation</t>
  </si>
  <si>
    <t>(5)</t>
  </si>
  <si>
    <t>Previously Allocated Costs used to allocate all other costs</t>
  </si>
  <si>
    <t>Test Period Ending September 30, 2019</t>
  </si>
  <si>
    <t>Operating Expenses</t>
  </si>
  <si>
    <t>Non-Reg - Crane</t>
  </si>
  <si>
    <t>Non-Reg - Forlift</t>
  </si>
  <si>
    <t>Non-Reg - Port Charges</t>
  </si>
  <si>
    <t>Non-Reg - Dumpster</t>
  </si>
  <si>
    <t>Non-Reg -Barge</t>
  </si>
  <si>
    <t>Non-Reg - Sales</t>
  </si>
  <si>
    <t>Restating Entries</t>
  </si>
  <si>
    <t>Pro Forma Entries</t>
  </si>
  <si>
    <t>Reference Number</t>
  </si>
  <si>
    <t>Amount</t>
  </si>
  <si>
    <t>&lt;1&gt;</t>
  </si>
  <si>
    <t>To remove expense items from regulatory worksheet</t>
  </si>
  <si>
    <t xml:space="preserve">Payroll </t>
  </si>
  <si>
    <t>Test Period ended 9/30/19</t>
  </si>
  <si>
    <t>QTR 12/31/18</t>
  </si>
  <si>
    <t xml:space="preserve">QTR 3/31/19 </t>
  </si>
  <si>
    <t xml:space="preserve">QTR 6/30/19 </t>
  </si>
  <si>
    <t>QTR 9/30/19</t>
  </si>
  <si>
    <t>Total Test Period</t>
  </si>
  <si>
    <t>Employee</t>
  </si>
  <si>
    <t>Position</t>
  </si>
  <si>
    <t>Employee #</t>
  </si>
  <si>
    <t>Hours</t>
  </si>
  <si>
    <t>Payroll</t>
  </si>
  <si>
    <t>Deletions</t>
  </si>
  <si>
    <t>Raises/New Hire During Year</t>
  </si>
  <si>
    <t>Adjusted</t>
  </si>
  <si>
    <t>Deckhand</t>
  </si>
  <si>
    <t>Shop</t>
  </si>
  <si>
    <t>HR</t>
  </si>
  <si>
    <t>Office</t>
  </si>
  <si>
    <t>Captain</t>
  </si>
  <si>
    <t>Dispatch</t>
  </si>
  <si>
    <t>Shop/Deckhand</t>
  </si>
  <si>
    <t xml:space="preserve">Total Payroll </t>
  </si>
  <si>
    <t>Total Payroll</t>
  </si>
  <si>
    <t>&lt;2&gt;</t>
  </si>
  <si>
    <t>&lt;!&gt;</t>
  </si>
  <si>
    <t>Regulatory Depreciation Schedule</t>
  </si>
  <si>
    <t>Months in first year</t>
  </si>
  <si>
    <t>Months in second year</t>
  </si>
  <si>
    <t>A.</t>
  </si>
  <si>
    <t>Purchase date</t>
  </si>
  <si>
    <t>First year</t>
  </si>
  <si>
    <t>B.</t>
  </si>
  <si>
    <t>End of Test Period</t>
  </si>
  <si>
    <t>Second year</t>
  </si>
  <si>
    <t>Date fully Depr</t>
  </si>
  <si>
    <t>D.</t>
  </si>
  <si>
    <t>Beg of Test Period</t>
  </si>
  <si>
    <t>Revised</t>
  </si>
  <si>
    <t>Remaining</t>
  </si>
  <si>
    <t>Total</t>
  </si>
  <si>
    <t>Beginning</t>
  </si>
  <si>
    <t>Allocated</t>
  </si>
  <si>
    <t>Ending</t>
  </si>
  <si>
    <t>E.</t>
  </si>
  <si>
    <t>Disposition Date</t>
  </si>
  <si>
    <t>Date in Service</t>
  </si>
  <si>
    <t>Salvage</t>
  </si>
  <si>
    <t>Year</t>
  </si>
  <si>
    <t xml:space="preserve">Life </t>
  </si>
  <si>
    <t>Accumulated</t>
  </si>
  <si>
    <t>Disposal</t>
  </si>
  <si>
    <t>Branch</t>
  </si>
  <si>
    <t>Accum.</t>
  </si>
  <si>
    <t>Value</t>
  </si>
  <si>
    <t>Method</t>
  </si>
  <si>
    <t>Life</t>
  </si>
  <si>
    <t>Fully</t>
  </si>
  <si>
    <t>at 6/30/16</t>
  </si>
  <si>
    <t>Asset</t>
  </si>
  <si>
    <t>Depreciable</t>
  </si>
  <si>
    <t>Monthly</t>
  </si>
  <si>
    <t>Test year</t>
  </si>
  <si>
    <t>Test yr.</t>
  </si>
  <si>
    <t>%</t>
  </si>
  <si>
    <t>Allo.</t>
  </si>
  <si>
    <t>Depr.</t>
  </si>
  <si>
    <t>Average</t>
  </si>
  <si>
    <t>DESCRIPTION</t>
  </si>
  <si>
    <t>Mo.</t>
  </si>
  <si>
    <t>Depreciated</t>
  </si>
  <si>
    <t xml:space="preserve">  Yr.</t>
  </si>
  <si>
    <t xml:space="preserve"> Mo.</t>
  </si>
  <si>
    <t>Cost</t>
  </si>
  <si>
    <t>Investment</t>
  </si>
  <si>
    <t>C.</t>
  </si>
  <si>
    <t>Schedule No.</t>
  </si>
  <si>
    <t>OFFICE EQUIPMENT</t>
  </si>
  <si>
    <t>OH</t>
  </si>
  <si>
    <t>SL</t>
  </si>
  <si>
    <t>N/A</t>
  </si>
  <si>
    <t>CANON 1C220 COPIER</t>
  </si>
  <si>
    <t>NETWORK SERVE-POE</t>
  </si>
  <si>
    <t>OFFICE WORKSTATIONS</t>
  </si>
  <si>
    <t>E DOCK SOFTWARE</t>
  </si>
  <si>
    <t>COMPUTER</t>
  </si>
  <si>
    <t>FLAT SCREEN MONITOR-LOB</t>
  </si>
  <si>
    <t>E DOCK SOFTWARE UPDATE</t>
  </si>
  <si>
    <t>PEACHTREE UPDATE</t>
  </si>
  <si>
    <t>CPI COMPUTER- OFFICE</t>
  </si>
  <si>
    <t>Office Furniture-Gabi's Office</t>
  </si>
  <si>
    <t>Copy Machine</t>
  </si>
  <si>
    <t>Telephone System</t>
  </si>
  <si>
    <t>Office Furniture</t>
  </si>
  <si>
    <t>Software Update</t>
  </si>
  <si>
    <t>Office Furniture-Angeles Furniture</t>
  </si>
  <si>
    <t>Office Furniture-IKEA</t>
  </si>
  <si>
    <t>Helm-Software Update</t>
  </si>
  <si>
    <t>Photocopy Machine</t>
  </si>
  <si>
    <t>Peachtree Update</t>
  </si>
  <si>
    <t>FORK LIFT</t>
  </si>
  <si>
    <t>TOTES</t>
  </si>
  <si>
    <t>DUMPSTERS</t>
  </si>
  <si>
    <t>WELDER</t>
  </si>
  <si>
    <t>FLYING FORKLIFTS</t>
  </si>
  <si>
    <t>BOOM TRUCK STABILIZERS</t>
  </si>
  <si>
    <t>ENERPAC PIPE BENDER</t>
  </si>
  <si>
    <t>ARTICULATED BORESCOPE</t>
  </si>
  <si>
    <t>FORKLIFTS X2</t>
  </si>
  <si>
    <t>WELDER MODEL LN25</t>
  </si>
  <si>
    <t>TELEPHONE SYSTEM</t>
  </si>
  <si>
    <t>FORKLIFT- UR</t>
  </si>
  <si>
    <t>FORKLIFT- STRETCH</t>
  </si>
  <si>
    <t>WELDER 1/2 RED-D-ARC</t>
  </si>
  <si>
    <t>DROPBOX-CAPITAL IND</t>
  </si>
  <si>
    <t>RED-D-ARC WELDER</t>
  </si>
  <si>
    <t>2002 SPIRIT 9780 TRAILER</t>
  </si>
  <si>
    <t>CYLINDER RACK</t>
  </si>
  <si>
    <t>HYSTER H50XM FORKLIFT</t>
  </si>
  <si>
    <t>SOUND ENGINE</t>
  </si>
  <si>
    <t>11 X 11 NETS X 4</t>
  </si>
  <si>
    <t>11 X 11 NETS X 6</t>
  </si>
  <si>
    <t>GENERATORS</t>
  </si>
  <si>
    <t>11 X 11 NETS X 8</t>
  </si>
  <si>
    <t>4 NETS</t>
  </si>
  <si>
    <t>6- 11 X 11 NETS</t>
  </si>
  <si>
    <t>NETS / STRAPS</t>
  </si>
  <si>
    <t>WINCH / MOUNT- BOOM TRUCK</t>
  </si>
  <si>
    <t>FIRE EXTINGUISHERS</t>
  </si>
  <si>
    <t>OLYMPIC SYNTHETIC PRODUT</t>
  </si>
  <si>
    <t>IDAHO TOTE TRAILER</t>
  </si>
  <si>
    <t>EQUIPMENT UNLIMITED SUPPLY</t>
  </si>
  <si>
    <t>FLYING FORKS</t>
  </si>
  <si>
    <t>Olympic Synthetic 5 Nets - 20x20</t>
  </si>
  <si>
    <t>10 3 Yard Dumpsters</t>
  </si>
  <si>
    <t>Gooseneck Trailer</t>
  </si>
  <si>
    <t>Storage Container</t>
  </si>
  <si>
    <t>2010 Yale Forklift</t>
  </si>
  <si>
    <t>2014 LPG Mazda Forklift</t>
  </si>
  <si>
    <t>Storage Containers</t>
  </si>
  <si>
    <t>Cargo Netting</t>
  </si>
  <si>
    <t>Vessel - Crowe</t>
  </si>
  <si>
    <t>R</t>
  </si>
  <si>
    <t>Vessel-Sioux</t>
  </si>
  <si>
    <t>VESSEL- CHEYENNE</t>
  </si>
  <si>
    <t>VESSEL - STRAIT</t>
  </si>
  <si>
    <t>Strait Arrow Radio Equipment</t>
  </si>
  <si>
    <t>VESSEL-STEALTH</t>
  </si>
  <si>
    <t>EQUIPMENT</t>
  </si>
  <si>
    <t>VESSEL - SOUND</t>
  </si>
  <si>
    <t>BOAT ENGINE- STRAIT</t>
  </si>
  <si>
    <t>TWO-WAY RADIO</t>
  </si>
  <si>
    <t>HONDA GENERATORS X2</t>
  </si>
  <si>
    <t>ENGINE REBUILD-STEALTH</t>
  </si>
  <si>
    <t>ENGINE REBUILD-SIOUX</t>
  </si>
  <si>
    <t>VESSEL- SWIFT 48'</t>
  </si>
  <si>
    <t>CYLINDER RACKS</t>
  </si>
  <si>
    <t>TRANSMISSION- STRAIT</t>
  </si>
  <si>
    <t>BOAT REPAIRS-STRAIT</t>
  </si>
  <si>
    <t>BOAT REPAIRS- GENERAL</t>
  </si>
  <si>
    <t>BOAT REPAIRS- CHEYENNE</t>
  </si>
  <si>
    <t>BOAT REPAIRS- STEALTH</t>
  </si>
  <si>
    <t>BOAT REPAIRS- SOUND</t>
  </si>
  <si>
    <t>HANDHELD RADIOS &amp; SUPPLIES</t>
  </si>
  <si>
    <t>AED RESCUE KITS X 6</t>
  </si>
  <si>
    <t>HYDRO CYLINDER REPLACEMENT</t>
  </si>
  <si>
    <t>BOAT REPAIRS- MISC UPGRADE</t>
  </si>
  <si>
    <t>LIFESLING LIFTING TACKLE</t>
  </si>
  <si>
    <t>PFD LIGHTS</t>
  </si>
  <si>
    <t>HEMILIGHT PFD LIGHTS</t>
  </si>
  <si>
    <t>LIFESLING WHITE BAG X 8</t>
  </si>
  <si>
    <t>ENGINE REPAIRS- SOUND, SW</t>
  </si>
  <si>
    <t>LIFESLING LIFTING TACKLE X</t>
  </si>
  <si>
    <t>COLDWATER / ICE RESCUE SUIT</t>
  </si>
  <si>
    <t>PFD LIGHTS (ACR 3766)</t>
  </si>
  <si>
    <t>HEMILIGHTS PFD LIGHTS</t>
  </si>
  <si>
    <t>MISC REPAIRS- SWIFT</t>
  </si>
  <si>
    <t>BOAT REPAIRS</t>
  </si>
  <si>
    <t>BOAT REPAIRS- MISC</t>
  </si>
  <si>
    <t>PORT MAIN ENGINE REBUILD</t>
  </si>
  <si>
    <t>INFLATABLE CREW BOAT</t>
  </si>
  <si>
    <t>COLD WATER / ICE SUITS</t>
  </si>
  <si>
    <t>SWIFT ARROW CONTROLS</t>
  </si>
  <si>
    <t>SWIFT ENGINE REBUILD</t>
  </si>
  <si>
    <t>BRAVE ARROW-NBV Depr over 3 yrs</t>
  </si>
  <si>
    <t>ACTUATOR- CHEYENNE ARROW</t>
  </si>
  <si>
    <t>ACTUATOR- SWIFT ARROW</t>
  </si>
  <si>
    <t>CONTROL HEAD- STRAIT ARROW</t>
  </si>
  <si>
    <t>CONTROL HEAD- STEALTH ARROW</t>
  </si>
  <si>
    <t>GLASS- BRAVE ARROW</t>
  </si>
  <si>
    <t>RADAR PARTS - BRAVE ARROW</t>
  </si>
  <si>
    <t>GARMIN- BRAVE ARROW</t>
  </si>
  <si>
    <t>ELECTRONICS- BRAVE</t>
  </si>
  <si>
    <t>LIFERAFT</t>
  </si>
  <si>
    <t>HARRIS ELECTRIC- GARMIN 4</t>
  </si>
  <si>
    <t>HARRIS ELECTRIC- ANTENNA</t>
  </si>
  <si>
    <t>HARRIS ELECTRIC- COMNAV</t>
  </si>
  <si>
    <t>HARRIS ELECTRIC- ARPA RAD</t>
  </si>
  <si>
    <t>WIZTRONICS-RADIOS &amp; ANTENNA</t>
  </si>
  <si>
    <t>GEORGES DIESEL- 12-71 ENGINE</t>
  </si>
  <si>
    <t>GEORGES DIESEL- LEFT HAND</t>
  </si>
  <si>
    <t>GEORGES DIESEL- RIGHT HAND</t>
  </si>
  <si>
    <t>GEORGES DIESEL- TRANSMISSION</t>
  </si>
  <si>
    <t>MARINE SANITATION-STRAIT</t>
  </si>
  <si>
    <t>Actuator - Strait</t>
  </si>
  <si>
    <t>Marine Sanitation Devise-Crow</t>
  </si>
  <si>
    <t>Rebuild &amp; Welding on Crow</t>
  </si>
  <si>
    <t>Propeller  - Sound Arrow</t>
  </si>
  <si>
    <t>Brave - Bilge Pump</t>
  </si>
  <si>
    <t>Pacific Arrow-Purchase</t>
  </si>
  <si>
    <t>Pacific Arrow Incidental Acquisition Costs-Trans</t>
  </si>
  <si>
    <t>Pacific Arrow-Use Tax</t>
  </si>
  <si>
    <t>Chief Arrow Purchase</t>
  </si>
  <si>
    <t>Chief Arrow-Incidental Acquisition Costs</t>
  </si>
  <si>
    <t>Chief Arrow-Use Tax</t>
  </si>
  <si>
    <t>Pacific Arrow-Improvements</t>
  </si>
  <si>
    <t>Pacific Arrow - Life raft</t>
  </si>
  <si>
    <t>Chief Arrow - Improvements</t>
  </si>
  <si>
    <t>Chief Arrow-Life raft</t>
  </si>
  <si>
    <t>Pacific-Improvements</t>
  </si>
  <si>
    <t>Engines for Sioux Arrow</t>
  </si>
  <si>
    <t>Strait Arrow Capitalized Repairs</t>
  </si>
  <si>
    <t>Brave - Improvements</t>
  </si>
  <si>
    <t>Pacific Improvements</t>
  </si>
  <si>
    <t>Chief Improvements</t>
  </si>
  <si>
    <t>Sioux Arrow - Capitalized Repairs</t>
  </si>
  <si>
    <t>Brave - Capitalized Repairs</t>
  </si>
  <si>
    <t>Crow - Improvements</t>
  </si>
  <si>
    <t xml:space="preserve">Swift Arrow </t>
  </si>
  <si>
    <t>Sealth Arrow - Imrpovements</t>
  </si>
  <si>
    <t>Brave Arrow - Capitalized Repairs</t>
  </si>
  <si>
    <t>Cheyenne - Capitalized Repairs</t>
  </si>
  <si>
    <t>Pacific - Engine &amp; Improvements</t>
  </si>
  <si>
    <t>Strait - Improvements</t>
  </si>
  <si>
    <t>Brave Arrow - Deck Replacement</t>
  </si>
  <si>
    <t>Barge-Juneau</t>
  </si>
  <si>
    <t>U</t>
  </si>
  <si>
    <t>Barge-Wolfpacker</t>
  </si>
  <si>
    <t>SEWAGE TANK</t>
  </si>
  <si>
    <t>VESSEL- WARRIOR</t>
  </si>
  <si>
    <t>REBUILD-WARRIOR</t>
  </si>
  <si>
    <t>DIESEL PUMP</t>
  </si>
  <si>
    <t>BOAT ADDITION</t>
  </si>
  <si>
    <t>BOAT REPAIRS- WARRIOR</t>
  </si>
  <si>
    <t>BARGE DECK UPGRADES</t>
  </si>
  <si>
    <t>WARRIOR ENGINE WORK</t>
  </si>
  <si>
    <t>TRANSMISSION-WARRIOR</t>
  </si>
  <si>
    <t>WARRIOR REPAIR</t>
  </si>
  <si>
    <t>TRANSMISSION WORK - BOAT</t>
  </si>
  <si>
    <t>PROP WORK</t>
  </si>
  <si>
    <t>STEEL REPAIR- WARRIOR</t>
  </si>
  <si>
    <t>BOAT LAUNCH FEE</t>
  </si>
  <si>
    <t>GEORGES DIESEL- WARRIOR</t>
  </si>
  <si>
    <t>GEORGES DIESEL- CONVERT</t>
  </si>
  <si>
    <t>GEORGES DIESEL- ASSEMBLE</t>
  </si>
  <si>
    <t>PINNACLE MARINE- ACTUATOR</t>
  </si>
  <si>
    <t>Anchor Winch - Warrior</t>
  </si>
  <si>
    <t>Eaton Motor - Warrior</t>
  </si>
  <si>
    <t>Vessel - Motega</t>
  </si>
  <si>
    <t>Motega - Electrical</t>
  </si>
  <si>
    <t>Motega - Interior Lighting</t>
  </si>
  <si>
    <t>Motega - Hydraulic System</t>
  </si>
  <si>
    <t>Motega - Fire Detection System</t>
  </si>
  <si>
    <t>Motega - Video Surveillance System</t>
  </si>
  <si>
    <t>Motega - Cargo Tank Pump</t>
  </si>
  <si>
    <t>Motega-Cargo Fresh Water Pump</t>
  </si>
  <si>
    <t>Motega - Oil Boom</t>
  </si>
  <si>
    <t>Motega - Crane Scale</t>
  </si>
  <si>
    <t>Motega - New Steering System</t>
  </si>
  <si>
    <t>Motega - Crane Pump</t>
  </si>
  <si>
    <t>Motega-Rescue Ladder-Oil Boom</t>
  </si>
  <si>
    <t>Motega-Oil Boom &amp; Skiff Cover</t>
  </si>
  <si>
    <t>Motega-Rescue Lighting</t>
  </si>
  <si>
    <t>Motega-Haul &amp; Paint</t>
  </si>
  <si>
    <t>Motega-Refer &amp; Freezer</t>
  </si>
  <si>
    <t>Motega-Interior</t>
  </si>
  <si>
    <t>Motega-Boom Boat</t>
  </si>
  <si>
    <t>Motega-Rescue Suit</t>
  </si>
  <si>
    <t>Vacuum Tank &amp; Pump</t>
  </si>
  <si>
    <t>Motega-Z Drives</t>
  </si>
  <si>
    <t>Motega - Capital Improvements</t>
  </si>
  <si>
    <t>Motega - Z Drives</t>
  </si>
  <si>
    <t>Motega - Z Drive Improvements</t>
  </si>
  <si>
    <t>Pumps/Steam Cleaner for Vacuum System</t>
  </si>
  <si>
    <t>Wolfpacker Improvements</t>
  </si>
  <si>
    <t>Portable Storage Garage for Vacuum System</t>
  </si>
  <si>
    <t>Trailer</t>
  </si>
  <si>
    <t>Motega Improvements</t>
  </si>
  <si>
    <t>Warrior - Capitalized Repairs</t>
  </si>
  <si>
    <t>Warrior - Winch</t>
  </si>
  <si>
    <t>Motegao Haul Out</t>
  </si>
  <si>
    <t>Motega</t>
  </si>
  <si>
    <t>BOOM TRUCK</t>
  </si>
  <si>
    <t>1995 FORD F350</t>
  </si>
  <si>
    <t>SHOP UTILITY TRUCK</t>
  </si>
  <si>
    <t>CHEVY TRUCK</t>
  </si>
  <si>
    <t>2011 GMC YUKON XL- TRADE IN</t>
  </si>
  <si>
    <t>2010 GMC SIERRA</t>
  </si>
  <si>
    <t>AUTO REPAIRS- MISC</t>
  </si>
  <si>
    <t>CHEVY TRANSMISSION REPAIR</t>
  </si>
  <si>
    <t>2007 CHEVY C4500</t>
  </si>
  <si>
    <t>Cargo Trailer</t>
  </si>
  <si>
    <t>2013 Dodge Ram 3500</t>
  </si>
  <si>
    <t>1989 Ford Boom Truck</t>
  </si>
  <si>
    <t>2007 Dodge Pickup</t>
  </si>
  <si>
    <t>Boom Truck Improvements</t>
  </si>
  <si>
    <t>Boom Truck Rebuild</t>
  </si>
  <si>
    <t>BUILDING SUPPLIES</t>
  </si>
  <si>
    <t>BUILDING SUPPLIES- CABINET</t>
  </si>
  <si>
    <t>ABSOLUTE AIR-SHOP HEATER</t>
  </si>
  <si>
    <t>NUERA TECHNOLOGY</t>
  </si>
  <si>
    <t>FENCING</t>
  </si>
  <si>
    <t>Crane T-4-Primary Lease Term 5 year</t>
  </si>
  <si>
    <t>Office Remodel-Depr on Life on Lease</t>
  </si>
  <si>
    <t>UTILITIES &amp; TC PERMIT</t>
  </si>
  <si>
    <t>GOODWILL - TACOMA</t>
  </si>
  <si>
    <t>Total of all assets excluding permits &amp; goodwill</t>
  </si>
  <si>
    <t>Vessels</t>
  </si>
  <si>
    <t>Unregulated</t>
  </si>
  <si>
    <t>Direct Allocation</t>
  </si>
  <si>
    <t>Overhed Equipment Depreciation</t>
  </si>
  <si>
    <t>Allocated on Vessel Operating Hours</t>
  </si>
  <si>
    <t>Office Equipment</t>
  </si>
  <si>
    <t>Sevice Vehicles</t>
  </si>
  <si>
    <t>Real Estate</t>
  </si>
  <si>
    <t>&lt;3&gt;</t>
  </si>
  <si>
    <t xml:space="preserve">Depreciation </t>
  </si>
  <si>
    <t>To record regulaotry depreciaiton expenses</t>
  </si>
  <si>
    <t>&lt;5&gt;</t>
  </si>
  <si>
    <t>&lt;4&gt;</t>
  </si>
  <si>
    <t>Depreciation Worksheet</t>
  </si>
  <si>
    <t>Vessel - Deprciation Worksheet</t>
  </si>
  <si>
    <t>Tariff Billing Activity</t>
  </si>
  <si>
    <t>October 1, 2018 to September 30, 2019</t>
  </si>
  <si>
    <t>Description</t>
  </si>
  <si>
    <t>Published Rate</t>
  </si>
  <si>
    <t>Proposed Rate</t>
  </si>
  <si>
    <t>Qty/Hours</t>
  </si>
  <si>
    <t>Current Revenue at Current Rates</t>
  </si>
  <si>
    <t>Revenue at Proposed Rates</t>
  </si>
  <si>
    <t>Launches</t>
  </si>
  <si>
    <t>Overtime Launches</t>
  </si>
  <si>
    <t>Holiday Launches</t>
  </si>
  <si>
    <t>Overtime Holiday Launches</t>
  </si>
  <si>
    <t>Total Launches</t>
  </si>
  <si>
    <t>Deckhand(s)</t>
  </si>
  <si>
    <t>Overtime Deckhand(s)</t>
  </si>
  <si>
    <t>Holiday Deckhand(s)</t>
  </si>
  <si>
    <t>Overtime Holiday Deckhand(s)</t>
  </si>
  <si>
    <t>Total Deckhand</t>
  </si>
  <si>
    <t>Current Revenue per Price Out</t>
  </si>
  <si>
    <t>Current Revenue Per Books</t>
  </si>
  <si>
    <t>Difference</t>
  </si>
  <si>
    <t>Percentage</t>
  </si>
  <si>
    <t>Engine Hours October 1, 2018 to September 30, 2019</t>
  </si>
  <si>
    <t>P</t>
  </si>
  <si>
    <t>S</t>
  </si>
  <si>
    <t>Combined</t>
  </si>
  <si>
    <t>Vessel</t>
  </si>
  <si>
    <t>Start time</t>
  </si>
  <si>
    <t>End Time</t>
  </si>
  <si>
    <t>Hours by Engine</t>
  </si>
  <si>
    <t>Vessel Total Engine Hours</t>
  </si>
  <si>
    <t>Subtotal</t>
  </si>
  <si>
    <t>% Hrs</t>
  </si>
  <si>
    <t>Brave</t>
  </si>
  <si>
    <t>Cheyenne</t>
  </si>
  <si>
    <t>Chief</t>
  </si>
  <si>
    <t>Crow</t>
  </si>
  <si>
    <t>Pacific</t>
  </si>
  <si>
    <t>Sealth</t>
  </si>
  <si>
    <t>Sioux</t>
  </si>
  <si>
    <t>Sound</t>
  </si>
  <si>
    <t>Strait</t>
  </si>
  <si>
    <t>Swift</t>
  </si>
  <si>
    <t>WARRIOR</t>
  </si>
  <si>
    <t>MOTEGA</t>
  </si>
  <si>
    <t>Notes:</t>
  </si>
  <si>
    <t>NONE</t>
  </si>
  <si>
    <t>Source: WH Log Hour Meter Entries</t>
  </si>
  <si>
    <t>JA Johnson</t>
  </si>
  <si>
    <t xml:space="preserve">Arrow Launch Service, Inc. </t>
  </si>
  <si>
    <t>Crew Labor Hours by Vessel Type</t>
  </si>
  <si>
    <t>Hour Multiplier</t>
  </si>
  <si>
    <t>Weighted Hours</t>
  </si>
  <si>
    <t>% of Whole</t>
  </si>
  <si>
    <t>Non-Regulated Vessels</t>
  </si>
  <si>
    <t>Holiday (2x)</t>
  </si>
  <si>
    <t>Non-Reg</t>
  </si>
  <si>
    <t>Premium (1.5)</t>
  </si>
  <si>
    <t>Regular (1x)</t>
  </si>
  <si>
    <t>Special (2x)</t>
  </si>
  <si>
    <t>Total Non-Reg</t>
  </si>
  <si>
    <t>Regulated Vessels</t>
  </si>
  <si>
    <t>Total Reg:</t>
  </si>
  <si>
    <t>Grand Total</t>
  </si>
  <si>
    <r>
      <rPr>
        <b/>
        <sz val="11"/>
        <color theme="1"/>
        <rFont val="Calibri"/>
        <family val="2"/>
        <scheme val="minor"/>
      </rPr>
      <t>Non-Regulated Vessels</t>
    </r>
    <r>
      <rPr>
        <sz val="11"/>
        <color theme="1"/>
        <rFont val="Calibri"/>
        <family val="2"/>
        <scheme val="minor"/>
      </rPr>
      <t xml:space="preserve"> incl. MOTEGA, WARRIOR, WOLFPACKER (BARGES)</t>
    </r>
  </si>
  <si>
    <r>
      <rPr>
        <b/>
        <sz val="11"/>
        <color theme="1"/>
        <rFont val="Calibri"/>
        <family val="2"/>
        <scheme val="minor"/>
      </rPr>
      <t>Regulated Vessels</t>
    </r>
    <r>
      <rPr>
        <sz val="11"/>
        <color theme="1"/>
        <rFont val="Calibri"/>
        <family val="2"/>
        <scheme val="minor"/>
      </rPr>
      <t xml:space="preserve"> All Others</t>
    </r>
  </si>
  <si>
    <t>Reclassifiation entry for WUTC Regulatory Fee</t>
  </si>
  <si>
    <t xml:space="preserve">Unamortized Accounting Costs </t>
  </si>
  <si>
    <t>MEI Certificate Case</t>
  </si>
  <si>
    <t>Total Accounting Costs MEI Case</t>
  </si>
  <si>
    <t>Amortize over 5 years</t>
  </si>
  <si>
    <t>Per Year Amount</t>
  </si>
  <si>
    <t>Rate Period Amortization began 3-1-18</t>
  </si>
  <si>
    <t>Current Rate Case</t>
  </si>
  <si>
    <t>January 2020</t>
  </si>
  <si>
    <t>December 2019</t>
  </si>
  <si>
    <t>February 2020</t>
  </si>
  <si>
    <t>March 2020</t>
  </si>
  <si>
    <t>Amoritize over 2 years</t>
  </si>
  <si>
    <t xml:space="preserve">Unamortized Attorney Costs </t>
  </si>
  <si>
    <t>Total Attorney Costs MEI Case</t>
  </si>
  <si>
    <t>Attorney Fees</t>
  </si>
  <si>
    <t>Accounting  Fees</t>
  </si>
  <si>
    <t>and attorney</t>
  </si>
  <si>
    <t>Restating Entries and Reference</t>
  </si>
  <si>
    <t>Account ID</t>
  </si>
  <si>
    <t>Account Description</t>
  </si>
  <si>
    <t>Date</t>
  </si>
  <si>
    <t>Reference</t>
  </si>
  <si>
    <t>Jrnl</t>
  </si>
  <si>
    <t>Trans Description</t>
  </si>
  <si>
    <t>Debit Amt</t>
  </si>
  <si>
    <t>Credit Amt</t>
  </si>
  <si>
    <t>Anacortes</t>
  </si>
  <si>
    <t>Bellingham</t>
  </si>
  <si>
    <t>Port Angeles</t>
  </si>
  <si>
    <t>Seattle</t>
  </si>
  <si>
    <t>Tacoma</t>
  </si>
  <si>
    <t>General</t>
  </si>
  <si>
    <t>40710</t>
  </si>
  <si>
    <t>747 10/1/2018</t>
  </si>
  <si>
    <t>PJ</t>
  </si>
  <si>
    <t>Port of Anacortes - 747 10/1/2018</t>
  </si>
  <si>
    <t>970 10/1/2018</t>
  </si>
  <si>
    <t>Port of Anacortes - 970 10/1/2018</t>
  </si>
  <si>
    <t>11/1/2018 970</t>
  </si>
  <si>
    <t>Port of Anacortes - 11/1/2018 970</t>
  </si>
  <si>
    <t>11/1/2018 747</t>
  </si>
  <si>
    <t>Port of Anacortes - 11/1/2018 747</t>
  </si>
  <si>
    <t>992 12/1/2018</t>
  </si>
  <si>
    <t>Port of Anacortes - 992 12/1/2018</t>
  </si>
  <si>
    <t>747 12/1/2018</t>
  </si>
  <si>
    <t>Port of Anacortes - 747 12/1/2018</t>
  </si>
  <si>
    <t>991 12/1/2018</t>
  </si>
  <si>
    <t>Port of Anacortes - 991 12/1/2018</t>
  </si>
  <si>
    <t>970 12/1/2018</t>
  </si>
  <si>
    <t>Port of Anacortes - 970 12/1/2018</t>
  </si>
  <si>
    <t>970 1/1/2019</t>
  </si>
  <si>
    <t>Port of Anacortes - 970 1/1/2019</t>
  </si>
  <si>
    <t>991 1/1/19</t>
  </si>
  <si>
    <t>Port of Anacortes - 991 1/1/19</t>
  </si>
  <si>
    <t>747 1/1/19</t>
  </si>
  <si>
    <t>Port of Anacortes - 747 1/1/19</t>
  </si>
  <si>
    <t>992 1/1/2019</t>
  </si>
  <si>
    <t>Port of Anacortes - 992 1/1/2019</t>
  </si>
  <si>
    <t>991 2/1/19</t>
  </si>
  <si>
    <t>Port of Anacortes - 991 2/1/19</t>
  </si>
  <si>
    <t>747 2/1/19</t>
  </si>
  <si>
    <t>Port of Anacortes - 747 2/1/19</t>
  </si>
  <si>
    <t>970 2/1/19</t>
  </si>
  <si>
    <t>Port of Anacortes - 970 2/1/19</t>
  </si>
  <si>
    <t>992 2/1/19</t>
  </si>
  <si>
    <t>Port of Anacortes - 992 2/1/19</t>
  </si>
  <si>
    <t>Acct 991  3/1/19</t>
  </si>
  <si>
    <t>Port of Anacortes - Account 991 March 2019</t>
  </si>
  <si>
    <t>Acct 970 3/1/2019</t>
  </si>
  <si>
    <t>Port of Anacortes - Acct 970 March 2019</t>
  </si>
  <si>
    <t>Acct 747 3/1/2019</t>
  </si>
  <si>
    <t>Port of Anacortes - Acct 747 March 2019</t>
  </si>
  <si>
    <t>Acct 992 3/1/2019</t>
  </si>
  <si>
    <t>Port of Anacortes - Acct 992 March 2019</t>
  </si>
  <si>
    <t>Acct 747 4/1/19</t>
  </si>
  <si>
    <t>Port of Anacortes - 747 moorage a22</t>
  </si>
  <si>
    <t>Acct 970 4/1/19</t>
  </si>
  <si>
    <t>Port of Anacortes - 970 moorage</t>
  </si>
  <si>
    <t>Acct 991 4/1/19</t>
  </si>
  <si>
    <t>Port of Anacortes - 991 web locker</t>
  </si>
  <si>
    <t>Acct 992 4/1/19</t>
  </si>
  <si>
    <t>Port of Anacortes - 992 web locker</t>
  </si>
  <si>
    <t>970 5/1/19</t>
  </si>
  <si>
    <t>Port of Anacortes - 970</t>
  </si>
  <si>
    <t>992 5/1/19</t>
  </si>
  <si>
    <t>Port of Anacortes - 992</t>
  </si>
  <si>
    <t>991 5/1/19</t>
  </si>
  <si>
    <t>Port of Anacortes - 991</t>
  </si>
  <si>
    <t>747 5/1/19</t>
  </si>
  <si>
    <t>Port of Anacortes - 747</t>
  </si>
  <si>
    <t>970 6/1/19</t>
  </si>
  <si>
    <t>Port of Anacortes - Account 970 6/1/19 June moorage</t>
  </si>
  <si>
    <t>747 6/1/19</t>
  </si>
  <si>
    <t>Port of Anacortes - Account 747 6/1/19 June moorage</t>
  </si>
  <si>
    <t>991 6/1/19</t>
  </si>
  <si>
    <t>Port of Anacortes - Account 991 6/1/19 June moorage</t>
  </si>
  <si>
    <t>992 6/1/19</t>
  </si>
  <si>
    <t>Port of Anacortes - Account 992 6/1/19 June moorage</t>
  </si>
  <si>
    <t>103546</t>
  </si>
  <si>
    <t>Port of Anacortes - dockage</t>
  </si>
  <si>
    <t>747 7/1/19</t>
  </si>
  <si>
    <t>Port of Anacortes - moorage</t>
  </si>
  <si>
    <t>970 7/1/19</t>
  </si>
  <si>
    <t>992 7/1/19</t>
  </si>
  <si>
    <t>911 7/1/19</t>
  </si>
  <si>
    <t>Port of Anacortes</t>
  </si>
  <si>
    <t>Port of Anacortes - web locker</t>
  </si>
  <si>
    <t>991 8/1/19</t>
  </si>
  <si>
    <t>Port of Anacortes - electricity</t>
  </si>
  <si>
    <t>Port of Anacortes - Web locker w-57</t>
  </si>
  <si>
    <t>992 8/1/19</t>
  </si>
  <si>
    <t>Port of Anacortes - web locker w-56</t>
  </si>
  <si>
    <t>Port of Anacortes - electric</t>
  </si>
  <si>
    <t>747 8/1/19</t>
  </si>
  <si>
    <t>Port of Anacortes - moorage A-22</t>
  </si>
  <si>
    <t>970 8/1/19</t>
  </si>
  <si>
    <t>992 9/1</t>
  </si>
  <si>
    <t>Port of Anacortes - Electric &amp; W-56</t>
  </si>
  <si>
    <t>991 9/1</t>
  </si>
  <si>
    <t>Port of Anacortes - Electric &amp; w-57</t>
  </si>
  <si>
    <t>970 9/1</t>
  </si>
  <si>
    <t>Port of Anacortes - Moorage</t>
  </si>
  <si>
    <t>747 9/1</t>
  </si>
  <si>
    <t>Port of Anacortes - a-22</t>
  </si>
  <si>
    <t>40715</t>
  </si>
  <si>
    <t>INV20295</t>
  </si>
  <si>
    <t>Port of Bellingham - INV20295</t>
  </si>
  <si>
    <t>RE013362</t>
  </si>
  <si>
    <t>Port of Bellingham - LICENSE TO OPERATE-FAIRHAVEN TERMINAL -4/1 TO 3/31</t>
  </si>
  <si>
    <t>INV21257</t>
  </si>
  <si>
    <t>Port of Bellingham - INV21257 trans moorage</t>
  </si>
  <si>
    <t>INV21524</t>
  </si>
  <si>
    <t>Port of Bellingham - Sioux arrow</t>
  </si>
  <si>
    <t>40720</t>
  </si>
  <si>
    <t>Oct 2018 Moorage</t>
  </si>
  <si>
    <t>PA Marine Moorage</t>
  </si>
  <si>
    <t>156238/156109</t>
  </si>
  <si>
    <t>PA Marine Moorage - 156238/156109</t>
  </si>
  <si>
    <t>156675/ 156546</t>
  </si>
  <si>
    <t>PA Marine Moorage - 156675/156546</t>
  </si>
  <si>
    <t>156978/157108</t>
  </si>
  <si>
    <t>PA Marine Moorage - 156978/157108</t>
  </si>
  <si>
    <t>157423/157556</t>
  </si>
  <si>
    <t>PA Marine Moorage - 157423/157556</t>
  </si>
  <si>
    <t>157849</t>
  </si>
  <si>
    <t>PA Marine Boatyard - 157849</t>
  </si>
  <si>
    <t>157995</t>
  </si>
  <si>
    <t>PA Marine Moorage - 157995 moorage</t>
  </si>
  <si>
    <t>157861</t>
  </si>
  <si>
    <t>PA Marine Moorage - 157861 electric usage</t>
  </si>
  <si>
    <t>158312</t>
  </si>
  <si>
    <t>PA Marine Moorage - 158312 moorage</t>
  </si>
  <si>
    <t>158446</t>
  </si>
  <si>
    <t>PA Marine Moorage - 158446 moorage</t>
  </si>
  <si>
    <t>158916</t>
  </si>
  <si>
    <t>PA Marine Moorage - 158916 moorage dock 1,2,3</t>
  </si>
  <si>
    <t>158785</t>
  </si>
  <si>
    <t>PA Marine Moorage - 158785 electric usage</t>
  </si>
  <si>
    <t>159421</t>
  </si>
  <si>
    <t>PA Marine Moorage - June Moorage</t>
  </si>
  <si>
    <t>159292</t>
  </si>
  <si>
    <t>PA Marine Moorage - PA Moorage Utility</t>
  </si>
  <si>
    <t>159896</t>
  </si>
  <si>
    <t>PA Marine Moorage - Moorage: c 01 c 02 c 03</t>
  </si>
  <si>
    <t>159772</t>
  </si>
  <si>
    <t>PA Marine Moorage - Electric</t>
  </si>
  <si>
    <t>160407</t>
  </si>
  <si>
    <t>PA Marine - moorage</t>
  </si>
  <si>
    <t>160281</t>
  </si>
  <si>
    <t>160408</t>
  </si>
  <si>
    <t>170039</t>
  </si>
  <si>
    <t>PA Marine Moorage - C-A,1 ,2,3</t>
  </si>
  <si>
    <t>170167</t>
  </si>
  <si>
    <t>40730</t>
  </si>
  <si>
    <t>HM-6274 10/01</t>
  </si>
  <si>
    <t>Port of Seattle - October Moorage</t>
  </si>
  <si>
    <t>6408/6342</t>
  </si>
  <si>
    <t>Port of Seattle - 6408/6342</t>
  </si>
  <si>
    <t>HM-6546</t>
  </si>
  <si>
    <t>Port of Seattle - HM-6546</t>
  </si>
  <si>
    <t>10370</t>
  </si>
  <si>
    <t>Port of Seattle - 10370</t>
  </si>
  <si>
    <t>OC-48273</t>
  </si>
  <si>
    <t>Port of Seattle - OC-48273</t>
  </si>
  <si>
    <t>HM-6755</t>
  </si>
  <si>
    <t>Port of Seattle - HM-6755</t>
  </si>
  <si>
    <t>HM-6830</t>
  </si>
  <si>
    <t>Port of Seattle - HM-6830 moorage, leasehold</t>
  </si>
  <si>
    <t>HM-6902</t>
  </si>
  <si>
    <t>Port of Seattle - HM-6902 moorage</t>
  </si>
  <si>
    <t>HM-7033</t>
  </si>
  <si>
    <t>Port of Seattle - HM-7033</t>
  </si>
  <si>
    <t>10408</t>
  </si>
  <si>
    <t>Port of Seattle - Moorage</t>
  </si>
  <si>
    <t>HM-7185</t>
  </si>
  <si>
    <t>Port of Seattle - 8/01-8/31</t>
  </si>
  <si>
    <t>HM-7252</t>
  </si>
  <si>
    <t>Port of Seattle - electric</t>
  </si>
  <si>
    <t>HM-7321</t>
  </si>
  <si>
    <t>Port of Seattle - moorage finance charge</t>
  </si>
  <si>
    <t>HM-7394</t>
  </si>
  <si>
    <t>Port of Seattle - tax</t>
  </si>
  <si>
    <t>40750</t>
  </si>
  <si>
    <t>9047 Harmon 10/22</t>
  </si>
  <si>
    <t>First Bankcard - 0947 Harmon 10/22 moorage</t>
  </si>
  <si>
    <t>Oct pd Nov18</t>
  </si>
  <si>
    <t>American Express</t>
  </si>
  <si>
    <t>9036 7/19/19</t>
  </si>
  <si>
    <t>First Bankcard - moorage- Everett</t>
  </si>
  <si>
    <t>August 2019</t>
  </si>
  <si>
    <t>40760</t>
  </si>
  <si>
    <t>646</t>
  </si>
  <si>
    <t>Foss Waterway Seaport - Motega Moorage for 19/20 Feb</t>
  </si>
  <si>
    <t>00150678440</t>
  </si>
  <si>
    <t>Baxter Auto Parts Inc. - temp rtv sili</t>
  </si>
  <si>
    <t>40790</t>
  </si>
  <si>
    <t>DVL-1471</t>
  </si>
  <si>
    <t>Das Vier, LLC - October Moorage</t>
  </si>
  <si>
    <t>1506</t>
  </si>
  <si>
    <t>Foss Waterway Marina - 1506</t>
  </si>
  <si>
    <t>89287</t>
  </si>
  <si>
    <t>CDJ</t>
  </si>
  <si>
    <t>Streich Bros. Inc - Moorage Tacoma</t>
  </si>
  <si>
    <t>FC 3173</t>
  </si>
  <si>
    <t>Foss Waterway Marina - FC 3173 from inv#1506</t>
  </si>
  <si>
    <t>2705</t>
  </si>
  <si>
    <t>Foss Waterway Marina - 2705</t>
  </si>
  <si>
    <t>DVL-1482</t>
  </si>
  <si>
    <t>Das Vier, LLC - DVL-1482</t>
  </si>
  <si>
    <t>2428</t>
  </si>
  <si>
    <t>Foss Waterway Marina - 2428</t>
  </si>
  <si>
    <t>DVL-1495</t>
  </si>
  <si>
    <t>Das Vier, LLC - DVL-1495</t>
  </si>
  <si>
    <t>3260</t>
  </si>
  <si>
    <t>Foss Waterway Marina - 3260</t>
  </si>
  <si>
    <t>DVL-1509</t>
  </si>
  <si>
    <t>Das Vier, LLC - DVL-1509</t>
  </si>
  <si>
    <t>4109</t>
  </si>
  <si>
    <t>Foss Waterway Marina - 4109</t>
  </si>
  <si>
    <t>DVL-1522</t>
  </si>
  <si>
    <t>Das Vier, LLC - DVL-1522</t>
  </si>
  <si>
    <t>4908</t>
  </si>
  <si>
    <t>Foss Waterway Marina - 4908</t>
  </si>
  <si>
    <t>5690</t>
  </si>
  <si>
    <t>Foss Waterway Marina - 5690</t>
  </si>
  <si>
    <t>DVL-1535</t>
  </si>
  <si>
    <t>Das Vier, LLC - DVL-1535 moorage</t>
  </si>
  <si>
    <t>DVL-1547</t>
  </si>
  <si>
    <t>Das Vier, LLC - DVL-1547 one month of moorage for april 2019</t>
  </si>
  <si>
    <t>6625</t>
  </si>
  <si>
    <t>Foss Waterway Marina - 6625 March moorage</t>
  </si>
  <si>
    <t>DVL-1560</t>
  </si>
  <si>
    <t>Das Vier, LLC - DVL-1560 May moorage</t>
  </si>
  <si>
    <t>7580</t>
  </si>
  <si>
    <t>Foss Waterway Marina - 7580 April moorage</t>
  </si>
  <si>
    <t>DVL-1572</t>
  </si>
  <si>
    <t>Das Vier, LLC - DVL-1572 June moorage</t>
  </si>
  <si>
    <t>8571</t>
  </si>
  <si>
    <t>Foss Waterway Marina - 8571 moorage</t>
  </si>
  <si>
    <t>1586</t>
  </si>
  <si>
    <t>Das Vier, LLC - moorage</t>
  </si>
  <si>
    <t>9586</t>
  </si>
  <si>
    <t>Foss Waterway Marina - Moorage</t>
  </si>
  <si>
    <t>dvl-1599</t>
  </si>
  <si>
    <t>Das Vier, LLC - August 2019</t>
  </si>
  <si>
    <t>10788</t>
  </si>
  <si>
    <t>DV-1613</t>
  </si>
  <si>
    <t>Das Vier, LLC - September</t>
  </si>
  <si>
    <t>11930</t>
  </si>
  <si>
    <t>Foss Waterway Marina - moorage tacoma</t>
  </si>
  <si>
    <t>12693</t>
  </si>
  <si>
    <t>Foss Waterway Marina - Moorage October</t>
  </si>
  <si>
    <t>Reclass from Rent</t>
  </si>
  <si>
    <t>Port of Port Angeles Rent Increase Notice 11/27/19 2.6%</t>
  </si>
  <si>
    <t>Port of Anacortes Rent Increase Notice 12/02/19 3%</t>
  </si>
  <si>
    <t>Balance</t>
  </si>
  <si>
    <t>914 Marine Dr</t>
  </si>
  <si>
    <t>916 Marine Drive</t>
  </si>
  <si>
    <t>937 Boathaven Dr</t>
  </si>
  <si>
    <t>T-4</t>
  </si>
  <si>
    <t>North Harbor Diesel</t>
  </si>
  <si>
    <t>Shop  &amp;  Trailer Rental</t>
  </si>
  <si>
    <t>Alaska USA</t>
  </si>
  <si>
    <t>8582490</t>
  </si>
  <si>
    <t>PA Marine - October Rent</t>
  </si>
  <si>
    <t>151652</t>
  </si>
  <si>
    <t>Port of Port Angeles - 914 Marine Drive</t>
  </si>
  <si>
    <t>151653</t>
  </si>
  <si>
    <t>Port of Port Angeles - 916 Marine Dr.</t>
  </si>
  <si>
    <t>151654</t>
  </si>
  <si>
    <t>Port of Port Angeles - 937 Boathaven Dr.</t>
  </si>
  <si>
    <t>151651</t>
  </si>
  <si>
    <t>Port of Port Angeles - T4</t>
  </si>
  <si>
    <t>10/01/18</t>
  </si>
  <si>
    <t>North Harbor diesel &amp; Yacht Se</t>
  </si>
  <si>
    <t>Oct 2018</t>
  </si>
  <si>
    <t>PA Marine - Oct 2018</t>
  </si>
  <si>
    <t>991 10/1/2018</t>
  </si>
  <si>
    <t>Port of Anacortes - 991 10/1/2018</t>
  </si>
  <si>
    <t>992 10/1/2018</t>
  </si>
  <si>
    <t>Port of Anacortes - 992 10/1/2018</t>
  </si>
  <si>
    <t>11/1/2018 991</t>
  </si>
  <si>
    <t>Port of Anacortes - 11/1/2018 991</t>
  </si>
  <si>
    <t>152238</t>
  </si>
  <si>
    <t>152239</t>
  </si>
  <si>
    <t>Port of Port Angeles - 914 Marine Dr</t>
  </si>
  <si>
    <t>152240</t>
  </si>
  <si>
    <t>Port of Port Angeles - 916 Marine Drive</t>
  </si>
  <si>
    <t>152241</t>
  </si>
  <si>
    <t>Port of Port Angeles - 937 Boat Haven Dr</t>
  </si>
  <si>
    <t>8582492</t>
  </si>
  <si>
    <t>PA Marine - 8582492</t>
  </si>
  <si>
    <t>8582493</t>
  </si>
  <si>
    <t>PA Marine - 8582493</t>
  </si>
  <si>
    <t>156239</t>
  </si>
  <si>
    <t>PA Marine - 156239</t>
  </si>
  <si>
    <t>11/1/2018 992</t>
  </si>
  <si>
    <t>Port of Anacortes - 11/1/2018 992</t>
  </si>
  <si>
    <t>088104/088105</t>
  </si>
  <si>
    <t>North Harbor diesel &amp; Yacht Se - 088104/088105</t>
  </si>
  <si>
    <t>Nov/Dec 2018</t>
  </si>
  <si>
    <t>Jack or Terri Harmon - Crew Trailer Rental</t>
  </si>
  <si>
    <t>online11/13</t>
  </si>
  <si>
    <t>AlaskaUSA - Rent</t>
  </si>
  <si>
    <t>8582495</t>
  </si>
  <si>
    <t>PA Marine - 8582495</t>
  </si>
  <si>
    <t>152730</t>
  </si>
  <si>
    <t>Port of Port Angeles - 152730 T4</t>
  </si>
  <si>
    <t>152732</t>
  </si>
  <si>
    <t>Port of Port Angeles - 152732 916 Marine Dr</t>
  </si>
  <si>
    <t>152733</t>
  </si>
  <si>
    <t>Port of Port Angeles - 152733 937 Boat Haven Dr</t>
  </si>
  <si>
    <t>152731</t>
  </si>
  <si>
    <t>Port of Port Angeles - 152731 914 Marine Dr</t>
  </si>
  <si>
    <t>156676</t>
  </si>
  <si>
    <t>PA Marine - 156676</t>
  </si>
  <si>
    <t>Storage Rent 12/2018</t>
  </si>
  <si>
    <t>Anacortes Marine Group - Storage Rent 12/2018</t>
  </si>
  <si>
    <t>to clear stale item</t>
  </si>
  <si>
    <t>GENJ</t>
  </si>
  <si>
    <t>87532</t>
  </si>
  <si>
    <t/>
  </si>
  <si>
    <t>153317</t>
  </si>
  <si>
    <t>Port of Port Angeles - 937 Boat Haven</t>
  </si>
  <si>
    <t>153316</t>
  </si>
  <si>
    <t>Port of Port Angeles - 916 Marine Dr</t>
  </si>
  <si>
    <t>153315</t>
  </si>
  <si>
    <t>153314</t>
  </si>
  <si>
    <t>157109</t>
  </si>
  <si>
    <t>PA Marine - 157109</t>
  </si>
  <si>
    <t>8582497</t>
  </si>
  <si>
    <t>PA Marine - 830 Boathaven Dr.</t>
  </si>
  <si>
    <t>10212</t>
  </si>
  <si>
    <t>Anacortes Marine Group - 10212</t>
  </si>
  <si>
    <t>10323</t>
  </si>
  <si>
    <t>Anacortes Marine Group - 10323</t>
  </si>
  <si>
    <t>153994</t>
  </si>
  <si>
    <t>Port of Port Angeles - 153994</t>
  </si>
  <si>
    <t>153996</t>
  </si>
  <si>
    <t>Port of Port Angeles - 153996</t>
  </si>
  <si>
    <t>153993</t>
  </si>
  <si>
    <t>Port of Port Angeles - 153993</t>
  </si>
  <si>
    <t>157557</t>
  </si>
  <si>
    <t>PA Marine - 157557</t>
  </si>
  <si>
    <t>8582499</t>
  </si>
  <si>
    <t>PA Marine - 8582499</t>
  </si>
  <si>
    <t>153995</t>
  </si>
  <si>
    <t>Port of Port Angeles - 153995</t>
  </si>
  <si>
    <t>8582501</t>
  </si>
  <si>
    <t>PA Marine - 8582501 shop rent</t>
  </si>
  <si>
    <t>157996</t>
  </si>
  <si>
    <t>PA Marine - 157996 parking</t>
  </si>
  <si>
    <t>154538</t>
  </si>
  <si>
    <t>Port of Port Angeles - 154538 marine termanal</t>
  </si>
  <si>
    <t>154539</t>
  </si>
  <si>
    <t>Port of Port Angeles - 154539 marine trades area</t>
  </si>
  <si>
    <t>154540</t>
  </si>
  <si>
    <t>Port of Port Angeles - 154540 marine trades area</t>
  </si>
  <si>
    <t>154541</t>
  </si>
  <si>
    <t>Port of Port Angeles - 154541 pa boat haven</t>
  </si>
  <si>
    <t>10481</t>
  </si>
  <si>
    <t>Anacortes Marine Group - 10481 rent storage lot 5</t>
  </si>
  <si>
    <t>155061</t>
  </si>
  <si>
    <t>Port of Port Angeles - 155061- T4 lease</t>
  </si>
  <si>
    <t>155062</t>
  </si>
  <si>
    <t>Port of Port Angeles - 155062- 914 marine dr</t>
  </si>
  <si>
    <t>155063</t>
  </si>
  <si>
    <t>Port of Port Angeles - 155063- 916 marine dr</t>
  </si>
  <si>
    <t>155064</t>
  </si>
  <si>
    <t>Port of Port Angeles - 155064- 937 boathaven dr</t>
  </si>
  <si>
    <t>158447</t>
  </si>
  <si>
    <t>PA Marine - 158477 parking</t>
  </si>
  <si>
    <t>8582502</t>
  </si>
  <si>
    <t>PA Marine - 8582502 830 boathaven dr</t>
  </si>
  <si>
    <t>10630</t>
  </si>
  <si>
    <t>Anacortes Marine Group - 10630</t>
  </si>
  <si>
    <t>155644 5/1/19</t>
  </si>
  <si>
    <t>Port of Port Angeles - 155644- 916 marine dr</t>
  </si>
  <si>
    <t>155645 5/1/19</t>
  </si>
  <si>
    <t>Port of Port Angeles - 155645- 937 boathaven dr</t>
  </si>
  <si>
    <t>155642 5/1/19</t>
  </si>
  <si>
    <t>Port of Port Angeles - 155642- t4 lease</t>
  </si>
  <si>
    <t>155643 5/1/19</t>
  </si>
  <si>
    <t>Port of Port Angeles - 155643- 914 marine dr</t>
  </si>
  <si>
    <t>158917</t>
  </si>
  <si>
    <t>PA Marine - 158917 shed #2</t>
  </si>
  <si>
    <t>8582504</t>
  </si>
  <si>
    <t>PA Marine - 8582504 property at 830 boathaven dr</t>
  </si>
  <si>
    <t>10809</t>
  </si>
  <si>
    <t>Anacortes Marine Group - 10809 5-055 and 056 may storage rent</t>
  </si>
  <si>
    <t>159422</t>
  </si>
  <si>
    <t>PA Marine - June Rent</t>
  </si>
  <si>
    <t>8582506</t>
  </si>
  <si>
    <t>156284</t>
  </si>
  <si>
    <t>Port of Port Angeles - #156284 987 Boat Haven Dr</t>
  </si>
  <si>
    <t>156283</t>
  </si>
  <si>
    <t>Port of Port Angeles - #156283 916 Marine Dr</t>
  </si>
  <si>
    <t>156281</t>
  </si>
  <si>
    <t>Port of Port Angeles - #156281 T4 Lease</t>
  </si>
  <si>
    <t>156282</t>
  </si>
  <si>
    <t>Port of Port Angeles - #156282 914 Marine Dr</t>
  </si>
  <si>
    <t>11045</t>
  </si>
  <si>
    <t>Anacortes Marine Group - Rent Storage June &amp; July</t>
  </si>
  <si>
    <t>156922</t>
  </si>
  <si>
    <t>Port of Port Angeles - T4 launch</t>
  </si>
  <si>
    <t>156923</t>
  </si>
  <si>
    <t>156924</t>
  </si>
  <si>
    <t>Port of Port Angeles - 916 Marine</t>
  </si>
  <si>
    <t>156925</t>
  </si>
  <si>
    <t>159897</t>
  </si>
  <si>
    <t>PA Marine - Monthly Shed storage</t>
  </si>
  <si>
    <t>8582508</t>
  </si>
  <si>
    <t>PA Marine - july 830 boathaven dr</t>
  </si>
  <si>
    <t>8582510</t>
  </si>
  <si>
    <t>PA Marine - Shop rent</t>
  </si>
  <si>
    <t>PA Marine</t>
  </si>
  <si>
    <t>157576</t>
  </si>
  <si>
    <t>157575</t>
  </si>
  <si>
    <t>Port of Port Angeles - t4 lease</t>
  </si>
  <si>
    <t>157577</t>
  </si>
  <si>
    <t>157578</t>
  </si>
  <si>
    <t>Port of Port Angeles - 937 Boat Haven Dr.</t>
  </si>
  <si>
    <t>11172</t>
  </si>
  <si>
    <t>Anacortes Marine Group - August lot 5</t>
  </si>
  <si>
    <t>91471</t>
  </si>
  <si>
    <t>PA Marine - Rent</t>
  </si>
  <si>
    <t>159187</t>
  </si>
  <si>
    <t>Port of Port Angeles - Marine Terminal t4</t>
  </si>
  <si>
    <t>158188</t>
  </si>
  <si>
    <t>Port of Port Angeles - Marine trades area 914 Marine dr</t>
  </si>
  <si>
    <t>158189</t>
  </si>
  <si>
    <t>Port of Port Angeles - 916 marine dr</t>
  </si>
  <si>
    <t>158190</t>
  </si>
  <si>
    <t>Port of Port Angeles - 937 boat haven dr</t>
  </si>
  <si>
    <t>170168</t>
  </si>
  <si>
    <t>PA Marine - Monthly shed storage</t>
  </si>
  <si>
    <t>8582512</t>
  </si>
  <si>
    <t>PA Marine - 830 shop rent</t>
  </si>
  <si>
    <t>11299</t>
  </si>
  <si>
    <t>Anacortes Marine Group - Storage lot 5, electric</t>
  </si>
  <si>
    <t>Adjust 4th Qtr 2018 3.1% increase implemented 1/1/19</t>
  </si>
  <si>
    <t>Adjust rent 10/1/18 to 2/28/19  for increase implemented 3/1/19</t>
  </si>
  <si>
    <t>Reclass to moorage</t>
  </si>
  <si>
    <t>Reclass to Auot</t>
  </si>
  <si>
    <t>&lt;6&gt;</t>
  </si>
  <si>
    <t>Rents</t>
  </si>
  <si>
    <t>Auto</t>
  </si>
  <si>
    <t>&lt;6 &amp; 7&gt;</t>
  </si>
  <si>
    <t>&lt;7&gt;</t>
  </si>
  <si>
    <t>To recallsfy accounting posting errors in the rent accounts</t>
  </si>
  <si>
    <t>To record published cost increases from moorage providers</t>
  </si>
  <si>
    <t>Target Revenue</t>
  </si>
  <si>
    <t>COLA Raise 2%</t>
  </si>
  <si>
    <t>Merit Raise 8.4%</t>
  </si>
  <si>
    <t>Merit Raise 11%</t>
  </si>
  <si>
    <t>Merit Raise $2.50 Hr</t>
  </si>
  <si>
    <t>Promotion to Captain</t>
  </si>
  <si>
    <t>Merit Raise 5%</t>
  </si>
  <si>
    <t>Merit Raise</t>
  </si>
  <si>
    <t>Merit Raise 8%</t>
  </si>
  <si>
    <t>Merit Raise 7%</t>
  </si>
  <si>
    <t>New Hire</t>
  </si>
  <si>
    <t>New Hires after test period - Prospective</t>
  </si>
  <si>
    <t xml:space="preserve">Dispatch </t>
  </si>
  <si>
    <t xml:space="preserve">To record adjusted insurnace cost after allocation from related entity </t>
  </si>
  <si>
    <t>&lt;8&gt;</t>
  </si>
  <si>
    <t>Arrow Marine Serivces, Inc. and remove owner's disability policy cost</t>
  </si>
  <si>
    <t xml:space="preserve">Port of Seattle Harbor Island Marina - 5% prospective increase </t>
  </si>
  <si>
    <t>Pro Forma and Reference</t>
  </si>
  <si>
    <t>I</t>
  </si>
  <si>
    <t>(A)</t>
  </si>
  <si>
    <t>Record personel additions and eliminations during test year along with merit raises</t>
  </si>
  <si>
    <t>Record personel additions  during prospective rate year</t>
  </si>
  <si>
    <t>(C)</t>
  </si>
  <si>
    <t>(B)</t>
  </si>
  <si>
    <t>To record amortization of MEI case costs for accountant</t>
  </si>
  <si>
    <t>To record amortization of current rate case for accountant</t>
  </si>
  <si>
    <t>J</t>
  </si>
  <si>
    <t>K</t>
  </si>
  <si>
    <t>Analysis of Increased Health Cost Including Dependents for CY 2020</t>
  </si>
  <si>
    <t>Basis Co. pays 50% of Dependents</t>
  </si>
  <si>
    <t>Annual</t>
  </si>
  <si>
    <t>Type</t>
  </si>
  <si>
    <t>Name</t>
  </si>
  <si>
    <t>Division</t>
  </si>
  <si>
    <t>Coverage Type</t>
  </si>
  <si>
    <t>Plan</t>
  </si>
  <si>
    <t>Age</t>
  </si>
  <si>
    <t>Total Cost</t>
  </si>
  <si>
    <t>Employee Cost</t>
  </si>
  <si>
    <t>Dependent Cost</t>
  </si>
  <si>
    <t>Arrow Share Employee (75%)</t>
  </si>
  <si>
    <t>Arrow Share Dependent (50%)</t>
  </si>
  <si>
    <t>Total Arrow Share</t>
  </si>
  <si>
    <t>Annual Arrow Dependent Cost</t>
  </si>
  <si>
    <t>Employee Share Emp. (25%)</t>
  </si>
  <si>
    <t>Employee Share Dependent (50%)</t>
  </si>
  <si>
    <t>Total Employee Share</t>
  </si>
  <si>
    <t>Annual Employee Dependent Cost</t>
  </si>
  <si>
    <t>Existing</t>
  </si>
  <si>
    <t>ALS</t>
  </si>
  <si>
    <t>M65</t>
  </si>
  <si>
    <t>EE&amp;S</t>
  </si>
  <si>
    <t>F80</t>
  </si>
  <si>
    <t>EE&amp;C</t>
  </si>
  <si>
    <t>&lt;35</t>
  </si>
  <si>
    <t>35-49</t>
  </si>
  <si>
    <t>Modify</t>
  </si>
  <si>
    <t>New</t>
  </si>
  <si>
    <t>EE&amp;F</t>
  </si>
  <si>
    <t>Increase for Dependent Coverage</t>
  </si>
  <si>
    <t xml:space="preserve">To record additional cost of employer paid health care for prospective </t>
  </si>
  <si>
    <t>rate year</t>
  </si>
  <si>
    <t>REDACTED</t>
  </si>
  <si>
    <t>Shop Foreman 10/19</t>
  </si>
  <si>
    <t>Maintenance Dept. Supervisor 10/19</t>
  </si>
  <si>
    <t>REDACTED-effective 5/1</t>
  </si>
  <si>
    <t>REDACTED-effective 3/1</t>
  </si>
  <si>
    <t>Sales -</t>
  </si>
  <si>
    <t>Freight-</t>
  </si>
  <si>
    <t>Freight Deckhand-</t>
  </si>
  <si>
    <t>Tariff Deckhand-</t>
  </si>
  <si>
    <t>Crane -</t>
  </si>
  <si>
    <t xml:space="preserve">Forklift - </t>
  </si>
  <si>
    <t xml:space="preserve">Port Charges - </t>
  </si>
  <si>
    <t xml:space="preserve">Dumpster - </t>
  </si>
  <si>
    <t xml:space="preserve">Sales - </t>
  </si>
  <si>
    <t xml:space="preserve">Crane - </t>
  </si>
  <si>
    <t xml:space="preserve">Freight Deckhand - </t>
  </si>
  <si>
    <t>2018-2019 Insurance Policy Cost Analysis</t>
  </si>
  <si>
    <t>Policy Period 8/31/18 to 8/31/19</t>
  </si>
  <si>
    <t>Policy Detail</t>
  </si>
  <si>
    <t>Policy</t>
  </si>
  <si>
    <t>Rating Basis</t>
  </si>
  <si>
    <t>AMS</t>
  </si>
  <si>
    <t>Notes</t>
  </si>
  <si>
    <t>Marine General liablity</t>
  </si>
  <si>
    <t>Hull</t>
  </si>
  <si>
    <t>Vessels (ALS)</t>
  </si>
  <si>
    <t>USL&amp;H</t>
  </si>
  <si>
    <t>Classification of Duties</t>
  </si>
  <si>
    <t>boat build - ALS; Stevedoring - AMS</t>
  </si>
  <si>
    <t>Pollution</t>
  </si>
  <si>
    <t>Per Unit</t>
  </si>
  <si>
    <t>basis $802.59 per unit, 21 ALS; 8 AMS</t>
  </si>
  <si>
    <t>Aviation</t>
  </si>
  <si>
    <t>Use (ALS)</t>
  </si>
  <si>
    <t>Package</t>
  </si>
  <si>
    <t>Insured Values</t>
  </si>
  <si>
    <t>Executive Risk</t>
  </si>
  <si>
    <t>Property</t>
  </si>
  <si>
    <t>Subtotal Premium</t>
  </si>
  <si>
    <t>Bumbershoot/Excess</t>
  </si>
  <si>
    <t>Per Dollar of Premium</t>
  </si>
  <si>
    <t>Per $</t>
  </si>
  <si>
    <t>Per Month</t>
  </si>
  <si>
    <t>Rate Year 10-1-2018 to 9-30-19 - 11 Months</t>
  </si>
  <si>
    <t>Rate Year 10-1-2018 to 9-30-19 -   1 Month</t>
  </si>
  <si>
    <t>Add - State Farm Auto Premiums</t>
  </si>
  <si>
    <t>Pro Forma Insurance before allocation</t>
  </si>
  <si>
    <t>Adjustment</t>
  </si>
  <si>
    <t>2019-2020 Insurance Policy Cost Analysis</t>
  </si>
  <si>
    <t>estimate $866.27 per unit, 20 ALS; 10 AMS</t>
  </si>
  <si>
    <t>58300</t>
  </si>
  <si>
    <t>Travelers - Insurance</t>
  </si>
  <si>
    <t>Nov pd Dec</t>
  </si>
  <si>
    <t>State Farm - Company Vehicle</t>
  </si>
  <si>
    <t>Premium Refund</t>
  </si>
  <si>
    <t>online th</t>
  </si>
  <si>
    <t>89571</t>
  </si>
  <si>
    <t>MCM - Insurance</t>
  </si>
  <si>
    <t>online1/11/19</t>
  </si>
  <si>
    <t>insurance refund</t>
  </si>
  <si>
    <t>180362838561240</t>
  </si>
  <si>
    <t>9047 jack harmon</t>
  </si>
  <si>
    <t>First Bankcard</t>
  </si>
  <si>
    <t>361608014251070</t>
  </si>
  <si>
    <t>672963405361990</t>
  </si>
  <si>
    <t>2862</t>
  </si>
  <si>
    <t>AssuredPartners of Wa, LLC - Customs bond</t>
  </si>
  <si>
    <t>online5/10 2019</t>
  </si>
  <si>
    <t>91148541000</t>
  </si>
  <si>
    <t>AssuredPartners of Wa, LLC - 05/30/19-05/30/20 BOND for Launch.</t>
  </si>
  <si>
    <t>May pd in June19</t>
  </si>
  <si>
    <t>State Farm -Long Term Care - Remove</t>
  </si>
  <si>
    <t>June pd in July19</t>
  </si>
  <si>
    <t>State Farm-Auto Umbrella Liabliity</t>
  </si>
  <si>
    <t>September2019</t>
  </si>
  <si>
    <t>58500</t>
  </si>
  <si>
    <t>online11/6/18</t>
  </si>
  <si>
    <t>Imperial PFS - Insurance- Vessel</t>
  </si>
  <si>
    <t>Dec222018</t>
  </si>
  <si>
    <t>Bank of America - Financed Premium Payment</t>
  </si>
  <si>
    <t>Payment 7-4/1/19</t>
  </si>
  <si>
    <t>Imperial PFS - Payment 7 of 10</t>
  </si>
  <si>
    <t>CAF-823214</t>
  </si>
  <si>
    <t>online06/05/19</t>
  </si>
  <si>
    <t>online07/08/19</t>
  </si>
  <si>
    <t>TLH/Ins.Overpayment</t>
  </si>
  <si>
    <t>Refund from Insurance for Overpayment Ck#6482 Assured Partners</t>
  </si>
  <si>
    <t>58700</t>
  </si>
  <si>
    <t>11/22/18</t>
  </si>
  <si>
    <t>Bank of America - Insurance-DodgeP/U through State Farm/Trailer-State Farm</t>
  </si>
  <si>
    <t>03/22/19</t>
  </si>
  <si>
    <t>Bank of America - Insurance through State Farm for JH vehicle</t>
  </si>
  <si>
    <t>Less - Long-term care policy removed</t>
  </si>
  <si>
    <t>Summary</t>
  </si>
  <si>
    <t>Reclass Long-Term Care</t>
  </si>
  <si>
    <t>Estimated Revenue Adjustment @ 93% Operating Ratio</t>
  </si>
  <si>
    <t>Revised Resutls of Operations</t>
  </si>
  <si>
    <t>Gross Sales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</si>
</sst>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* #,##0.00;\(&quot;$&quot;* #,##0.00\)"/>
    <numFmt numFmtId="165" formatCode="#,##0.00;\(#,##0.00\)"/>
    <numFmt numFmtId="166" formatCode="m/d/yy"/>
    <numFmt numFmtId="167" formatCode="#,##0.00;\-#,##0.00;* ??"/>
    <numFmt numFmtId="168" formatCode="[$-409]mmmm\ d\,\ yyyy;@"/>
    <numFmt numFmtId="169" formatCode="m/d/yy;@"/>
    <numFmt numFmtId="170" formatCode="#,##0.0"/>
    <numFmt numFmtId="171" formatCode="0.0000%"/>
    <numFmt numFmtId="172" formatCode="[$-409]mmmm\-yy;@"/>
    <numFmt numFmtId="173" formatCode="0.0"/>
  </numFmts>
  <fonts count="47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12"/>
      <color rgb="FF000000"/>
      <name val="Times New Roman"/>
      <family val="1"/>
    </font>
    <font>
      <b/>
      <sz val="14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0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0"/>
      <color rgb="FF000000"/>
      <name val="Times New Roman"/>
      <family val="1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sz val="12"/>
      <color theme="1"/>
      <name val="Calibri"/>
      <family val="2"/>
    </font>
    <font>
      <sz val="12"/>
      <color indexed="8"/>
      <name val="Calibri"/>
      <family val="2"/>
    </font>
    <font>
      <sz val="10"/>
      <name val="Times New Roman"/>
      <family val="1"/>
    </font>
    <font>
      <sz val="12"/>
      <name val="Arial"/>
      <family val="2"/>
    </font>
    <font>
      <b/>
      <sz val="10"/>
      <name val="Times New Roman"/>
      <family val="1"/>
    </font>
    <font>
      <b/>
      <u/>
      <sz val="10"/>
      <name val="Times New Roman"/>
      <family val="1"/>
    </font>
    <font>
      <sz val="11"/>
      <name val="Times New Roman"/>
      <family val="1"/>
    </font>
    <font>
      <sz val="10"/>
      <name val="Arial"/>
      <family val="2"/>
    </font>
    <font>
      <sz val="12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i/>
      <sz val="12"/>
      <color theme="3" tint="-0.249977111117893"/>
      <name val="Calibri"/>
      <family val="2"/>
      <scheme val="minor"/>
    </font>
    <font>
      <sz val="11"/>
      <color rgb="FFFF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rgb="FF000000"/>
      <name val="Times New Roman"/>
      <family val="1"/>
    </font>
    <font>
      <sz val="11"/>
      <color rgb="FF000000"/>
      <name val="Calibri"/>
      <family val="2"/>
    </font>
    <font>
      <sz val="11"/>
      <color rgb="FF000000"/>
      <name val="Times New Roman"/>
      <family val="1"/>
    </font>
    <font>
      <sz val="11"/>
      <color theme="1"/>
      <name val="Cambria"/>
      <family val="1"/>
    </font>
    <font>
      <u val="double"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8"/>
      <color theme="4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1"/>
      <color rgb="FF00000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</fills>
  <borders count="3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7" fillId="0" borderId="0"/>
    <xf numFmtId="0" fontId="21" fillId="0" borderId="0"/>
  </cellStyleXfs>
  <cellXfs count="368">
    <xf numFmtId="0" fontId="0" fillId="0" borderId="0" xfId="0"/>
    <xf numFmtId="0" fontId="1" fillId="0" borderId="0" xfId="0" applyFont="1"/>
    <xf numFmtId="49" fontId="1" fillId="0" borderId="0" xfId="0" applyNumberFormat="1" applyFont="1" applyAlignment="1">
      <alignment horizontal="center"/>
    </xf>
    <xf numFmtId="49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165" fontId="1" fillId="0" borderId="0" xfId="0" applyNumberFormat="1" applyFont="1" applyAlignment="1">
      <alignment horizontal="right"/>
    </xf>
    <xf numFmtId="49" fontId="0" fillId="0" borderId="0" xfId="0" applyNumberFormat="1" applyAlignment="1">
      <alignment horizontal="left"/>
    </xf>
    <xf numFmtId="165" fontId="0" fillId="0" borderId="1" xfId="0" applyNumberFormat="1" applyBorder="1" applyAlignment="1">
      <alignment horizontal="right"/>
    </xf>
    <xf numFmtId="49" fontId="0" fillId="0" borderId="2" xfId="0" applyNumberFormat="1" applyBorder="1" applyAlignment="1">
      <alignment horizontal="left"/>
    </xf>
    <xf numFmtId="165" fontId="1" fillId="0" borderId="3" xfId="0" applyNumberFormat="1" applyFont="1" applyBorder="1" applyAlignment="1">
      <alignment horizontal="right"/>
    </xf>
    <xf numFmtId="165" fontId="1" fillId="0" borderId="4" xfId="0" applyNumberFormat="1" applyFont="1" applyBorder="1" applyAlignment="1">
      <alignment horizontal="right"/>
    </xf>
    <xf numFmtId="39" fontId="1" fillId="0" borderId="0" xfId="0" applyNumberFormat="1" applyFont="1"/>
    <xf numFmtId="4" fontId="1" fillId="0" borderId="0" xfId="0" applyNumberFormat="1" applyFont="1" applyAlignment="1">
      <alignment horizontal="right"/>
    </xf>
    <xf numFmtId="4" fontId="1" fillId="0" borderId="0" xfId="0" applyNumberFormat="1" applyFont="1"/>
    <xf numFmtId="165" fontId="1" fillId="0" borderId="0" xfId="0" applyNumberFormat="1" applyFont="1"/>
    <xf numFmtId="39" fontId="1" fillId="0" borderId="3" xfId="0" applyNumberFormat="1" applyFont="1" applyBorder="1"/>
    <xf numFmtId="165" fontId="1" fillId="0" borderId="0" xfId="0" applyNumberFormat="1" applyFont="1" applyBorder="1" applyAlignment="1">
      <alignment horizontal="right"/>
    </xf>
    <xf numFmtId="165" fontId="0" fillId="0" borderId="0" xfId="0" applyNumberFormat="1" applyBorder="1" applyAlignment="1">
      <alignment horizontal="right"/>
    </xf>
    <xf numFmtId="4" fontId="1" fillId="0" borderId="3" xfId="0" applyNumberFormat="1" applyFont="1" applyBorder="1"/>
    <xf numFmtId="0" fontId="3" fillId="0" borderId="0" xfId="0" applyFont="1" applyAlignment="1">
      <alignment horizontal="centerContinuous"/>
    </xf>
    <xf numFmtId="0" fontId="4" fillId="0" borderId="5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" fillId="0" borderId="7" xfId="0" applyFont="1" applyBorder="1" applyAlignment="1">
      <alignment horizontal="centerContinuous"/>
    </xf>
    <xf numFmtId="0" fontId="5" fillId="0" borderId="7" xfId="0" applyFont="1" applyBorder="1" applyAlignment="1">
      <alignment horizontal="center"/>
    </xf>
    <xf numFmtId="0" fontId="5" fillId="0" borderId="7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49" fontId="2" fillId="0" borderId="0" xfId="0" applyNumberFormat="1" applyFont="1" applyAlignment="1">
      <alignment horizontal="left"/>
    </xf>
    <xf numFmtId="3" fontId="0" fillId="0" borderId="0" xfId="0" applyNumberFormat="1"/>
    <xf numFmtId="165" fontId="0" fillId="0" borderId="2" xfId="0" applyNumberFormat="1" applyBorder="1" applyAlignment="1">
      <alignment horizontal="right"/>
    </xf>
    <xf numFmtId="164" fontId="1" fillId="0" borderId="0" xfId="0" applyNumberFormat="1" applyFont="1" applyBorder="1" applyAlignment="1">
      <alignment horizontal="right"/>
    </xf>
    <xf numFmtId="0" fontId="7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8" fillId="0" borderId="0" xfId="0" applyFont="1"/>
    <xf numFmtId="0" fontId="0" fillId="0" borderId="7" xfId="0" applyBorder="1" applyAlignment="1">
      <alignment horizontal="center"/>
    </xf>
    <xf numFmtId="0" fontId="0" fillId="0" borderId="7" xfId="0" applyBorder="1" applyAlignment="1">
      <alignment horizontal="center" wrapText="1"/>
    </xf>
    <xf numFmtId="10" fontId="0" fillId="0" borderId="0" xfId="0" applyNumberFormat="1"/>
    <xf numFmtId="0" fontId="0" fillId="0" borderId="0" xfId="0" quotePrefix="1"/>
    <xf numFmtId="49" fontId="1" fillId="0" borderId="7" xfId="0" applyNumberFormat="1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49" fontId="9" fillId="0" borderId="0" xfId="0" applyNumberFormat="1" applyFont="1" applyAlignment="1">
      <alignment horizontal="center"/>
    </xf>
    <xf numFmtId="4" fontId="0" fillId="0" borderId="0" xfId="0" applyNumberFormat="1"/>
    <xf numFmtId="0" fontId="6" fillId="0" borderId="1" xfId="0" applyFont="1" applyBorder="1" applyAlignment="1">
      <alignment horizontal="centerContinuous"/>
    </xf>
    <xf numFmtId="0" fontId="4" fillId="0" borderId="1" xfId="0" applyFont="1" applyBorder="1" applyAlignment="1">
      <alignment horizontal="centerContinuous"/>
    </xf>
    <xf numFmtId="0" fontId="5" fillId="0" borderId="7" xfId="0" applyFont="1" applyBorder="1" applyAlignment="1">
      <alignment horizontal="centerContinuous"/>
    </xf>
    <xf numFmtId="0" fontId="4" fillId="0" borderId="0" xfId="0" applyFont="1" applyAlignment="1">
      <alignment horizontal="centerContinuous"/>
    </xf>
    <xf numFmtId="0" fontId="11" fillId="0" borderId="0" xfId="0" applyFont="1" applyAlignment="1">
      <alignment horizontal="centerContinuous"/>
    </xf>
    <xf numFmtId="49" fontId="12" fillId="0" borderId="0" xfId="0" applyNumberFormat="1" applyFont="1" applyAlignment="1">
      <alignment horizontal="centerContinuous"/>
    </xf>
    <xf numFmtId="49" fontId="13" fillId="0" borderId="0" xfId="0" applyNumberFormat="1" applyFont="1" applyAlignment="1">
      <alignment horizontal="centerContinuous"/>
    </xf>
    <xf numFmtId="166" fontId="13" fillId="0" borderId="0" xfId="0" applyNumberFormat="1" applyFont="1" applyAlignment="1">
      <alignment horizontal="centerContinuous"/>
    </xf>
    <xf numFmtId="167" fontId="13" fillId="0" borderId="0" xfId="0" applyNumberFormat="1" applyFont="1" applyAlignment="1">
      <alignment horizontal="centerContinuous"/>
    </xf>
    <xf numFmtId="0" fontId="13" fillId="0" borderId="0" xfId="0" applyFont="1" applyAlignment="1">
      <alignment horizontal="centerContinuous"/>
    </xf>
    <xf numFmtId="0" fontId="14" fillId="0" borderId="0" xfId="0" applyFont="1"/>
    <xf numFmtId="0" fontId="12" fillId="0" borderId="0" xfId="0" applyFont="1" applyAlignment="1">
      <alignment horizontal="centerContinuous"/>
    </xf>
    <xf numFmtId="49" fontId="13" fillId="0" borderId="0" xfId="0" applyNumberFormat="1" applyFont="1" applyAlignment="1">
      <alignment horizontal="left"/>
    </xf>
    <xf numFmtId="49" fontId="13" fillId="0" borderId="2" xfId="0" applyNumberFormat="1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14" fillId="0" borderId="2" xfId="0" applyFont="1" applyBorder="1" applyAlignment="1">
      <alignment horizontal="center" wrapText="1"/>
    </xf>
    <xf numFmtId="0" fontId="2" fillId="0" borderId="0" xfId="1" applyNumberFormat="1" applyFont="1" applyFill="1" applyAlignment="1">
      <alignment horizontal="left"/>
    </xf>
    <xf numFmtId="0" fontId="2" fillId="0" borderId="0" xfId="1" applyNumberFormat="1" applyFont="1" applyFill="1" applyAlignment="1">
      <alignment horizontal="center" vertical="top"/>
    </xf>
    <xf numFmtId="1" fontId="2" fillId="0" borderId="0" xfId="1" applyNumberFormat="1" applyFont="1" applyAlignment="1">
      <alignment horizontal="right" vertical="top"/>
    </xf>
    <xf numFmtId="0" fontId="13" fillId="0" borderId="0" xfId="0" applyFont="1"/>
    <xf numFmtId="0" fontId="13" fillId="0" borderId="0" xfId="0" applyFont="1" applyAlignment="1">
      <alignment horizontal="right"/>
    </xf>
    <xf numFmtId="43" fontId="2" fillId="0" borderId="0" xfId="1" applyFont="1" applyAlignment="1">
      <alignment horizontal="left"/>
    </xf>
    <xf numFmtId="4" fontId="2" fillId="0" borderId="0" xfId="0" applyNumberFormat="1" applyFont="1" applyAlignment="1">
      <alignment horizontal="right"/>
    </xf>
    <xf numFmtId="4" fontId="13" fillId="0" borderId="0" xfId="0" applyNumberFormat="1" applyFont="1" applyAlignment="1">
      <alignment horizontal="right"/>
    </xf>
    <xf numFmtId="4" fontId="13" fillId="0" borderId="0" xfId="0" applyNumberFormat="1" applyFont="1"/>
    <xf numFmtId="4" fontId="14" fillId="0" borderId="0" xfId="0" applyNumberFormat="1" applyFont="1"/>
    <xf numFmtId="0" fontId="2" fillId="0" borderId="0" xfId="0" applyFont="1" applyAlignment="1">
      <alignment horizontal="center"/>
    </xf>
    <xf numFmtId="1" fontId="2" fillId="0" borderId="0" xfId="0" applyNumberFormat="1" applyFont="1" applyAlignment="1">
      <alignment horizontal="right"/>
    </xf>
    <xf numFmtId="4" fontId="11" fillId="0" borderId="0" xfId="0" applyNumberFormat="1" applyFont="1"/>
    <xf numFmtId="4" fontId="11" fillId="0" borderId="0" xfId="0" applyNumberFormat="1" applyFont="1" applyAlignment="1">
      <alignment horizontal="right"/>
    </xf>
    <xf numFmtId="4" fontId="4" fillId="0" borderId="0" xfId="0" applyNumberFormat="1" applyFont="1" applyAlignment="1">
      <alignment horizontal="right"/>
    </xf>
    <xf numFmtId="43" fontId="13" fillId="0" borderId="0" xfId="1" applyFont="1"/>
    <xf numFmtId="0" fontId="2" fillId="0" borderId="0" xfId="1" applyNumberFormat="1" applyFont="1" applyFill="1" applyAlignment="1">
      <alignment horizontal="center"/>
    </xf>
    <xf numFmtId="43" fontId="2" fillId="0" borderId="0" xfId="1" applyFont="1" applyFill="1" applyAlignment="1">
      <alignment horizontal="left"/>
    </xf>
    <xf numFmtId="43" fontId="2" fillId="0" borderId="0" xfId="1" applyFont="1" applyBorder="1" applyAlignment="1">
      <alignment horizontal="left"/>
    </xf>
    <xf numFmtId="0" fontId="14" fillId="0" borderId="0" xfId="0" applyFont="1" applyAlignment="1">
      <alignment horizontal="center"/>
    </xf>
    <xf numFmtId="0" fontId="14" fillId="0" borderId="3" xfId="0" applyFont="1" applyBorder="1"/>
    <xf numFmtId="4" fontId="14" fillId="0" borderId="3" xfId="0" applyNumberFormat="1" applyFont="1" applyBorder="1"/>
    <xf numFmtId="0" fontId="13" fillId="0" borderId="0" xfId="0" applyFont="1" applyAlignment="1">
      <alignment horizontal="left"/>
    </xf>
    <xf numFmtId="1" fontId="13" fillId="0" borderId="0" xfId="0" applyNumberFormat="1" applyFont="1" applyAlignment="1">
      <alignment horizontal="left"/>
    </xf>
    <xf numFmtId="4" fontId="2" fillId="0" borderId="0" xfId="1" applyNumberFormat="1" applyFont="1" applyAlignment="1">
      <alignment horizontal="left"/>
    </xf>
    <xf numFmtId="0" fontId="16" fillId="0" borderId="0" xfId="0" applyFont="1"/>
    <xf numFmtId="3" fontId="18" fillId="0" borderId="0" xfId="4" applyNumberFormat="1" applyFont="1" applyAlignment="1">
      <alignment horizontal="centerContinuous"/>
    </xf>
    <xf numFmtId="3" fontId="16" fillId="0" borderId="0" xfId="4" applyNumberFormat="1" applyFont="1" applyAlignment="1">
      <alignment horizontal="centerContinuous"/>
    </xf>
    <xf numFmtId="3" fontId="16" fillId="0" borderId="0" xfId="4" applyNumberFormat="1" applyFont="1"/>
    <xf numFmtId="3" fontId="16" fillId="2" borderId="0" xfId="4" applyNumberFormat="1" applyFont="1" applyFill="1"/>
    <xf numFmtId="3" fontId="16" fillId="0" borderId="0" xfId="4" applyNumberFormat="1" applyFont="1" applyAlignment="1">
      <alignment horizontal="left"/>
    </xf>
    <xf numFmtId="168" fontId="18" fillId="0" borderId="0" xfId="4" quotePrefix="1" applyNumberFormat="1" applyFont="1" applyAlignment="1">
      <alignment horizontal="centerContinuous"/>
    </xf>
    <xf numFmtId="3" fontId="16" fillId="0" borderId="0" xfId="4" applyNumberFormat="1" applyFont="1" applyAlignment="1">
      <alignment horizontal="center"/>
    </xf>
    <xf numFmtId="1" fontId="16" fillId="0" borderId="0" xfId="4" applyNumberFormat="1" applyFont="1"/>
    <xf numFmtId="3" fontId="18" fillId="0" borderId="0" xfId="4" applyNumberFormat="1" applyFont="1" applyAlignment="1">
      <alignment horizontal="center"/>
    </xf>
    <xf numFmtId="3" fontId="18" fillId="0" borderId="0" xfId="4" applyNumberFormat="1" applyFont="1"/>
    <xf numFmtId="3" fontId="18" fillId="2" borderId="0" xfId="4" applyNumberFormat="1" applyFont="1" applyFill="1"/>
    <xf numFmtId="3" fontId="18" fillId="2" borderId="0" xfId="4" applyNumberFormat="1" applyFont="1" applyFill="1" applyAlignment="1">
      <alignment horizontal="center"/>
    </xf>
    <xf numFmtId="0" fontId="18" fillId="0" borderId="0" xfId="0" applyFont="1"/>
    <xf numFmtId="3" fontId="19" fillId="0" borderId="0" xfId="4" applyNumberFormat="1" applyFont="1" applyAlignment="1">
      <alignment horizontal="center"/>
    </xf>
    <xf numFmtId="14" fontId="19" fillId="0" borderId="0" xfId="4" quotePrefix="1" applyNumberFormat="1" applyFont="1" applyAlignment="1">
      <alignment horizontal="center"/>
    </xf>
    <xf numFmtId="3" fontId="19" fillId="2" borderId="0" xfId="4" applyNumberFormat="1" applyFont="1" applyFill="1" applyAlignment="1">
      <alignment horizontal="center"/>
    </xf>
    <xf numFmtId="3" fontId="19" fillId="0" borderId="0" xfId="4" applyNumberFormat="1" applyFont="1"/>
    <xf numFmtId="169" fontId="19" fillId="0" borderId="0" xfId="4" applyNumberFormat="1" applyFont="1" applyAlignment="1">
      <alignment horizontal="center"/>
    </xf>
    <xf numFmtId="3" fontId="19" fillId="0" borderId="0" xfId="4" applyNumberFormat="1" applyFont="1" applyAlignment="1">
      <alignment horizontal="left"/>
    </xf>
    <xf numFmtId="1" fontId="16" fillId="0" borderId="0" xfId="4" applyNumberFormat="1" applyFont="1" applyAlignment="1">
      <alignment horizontal="center"/>
    </xf>
    <xf numFmtId="4" fontId="16" fillId="0" borderId="0" xfId="4" applyNumberFormat="1" applyFont="1"/>
    <xf numFmtId="0" fontId="20" fillId="0" borderId="0" xfId="0" applyFont="1"/>
    <xf numFmtId="1" fontId="20" fillId="0" borderId="0" xfId="5" applyNumberFormat="1" applyFont="1" applyAlignment="1">
      <alignment horizontal="center"/>
    </xf>
    <xf numFmtId="1" fontId="20" fillId="0" borderId="0" xfId="4" applyNumberFormat="1" applyFont="1" applyAlignment="1">
      <alignment horizontal="center"/>
    </xf>
    <xf numFmtId="9" fontId="20" fillId="0" borderId="0" xfId="4" applyNumberFormat="1" applyFont="1"/>
    <xf numFmtId="3" fontId="20" fillId="0" borderId="0" xfId="4" applyNumberFormat="1" applyFont="1" applyAlignment="1">
      <alignment horizontal="center"/>
    </xf>
    <xf numFmtId="3" fontId="20" fillId="0" borderId="0" xfId="4" applyNumberFormat="1" applyFont="1"/>
    <xf numFmtId="1" fontId="20" fillId="0" borderId="0" xfId="4" applyNumberFormat="1" applyFont="1"/>
    <xf numFmtId="3" fontId="20" fillId="0" borderId="0" xfId="0" applyNumberFormat="1" applyFont="1"/>
    <xf numFmtId="3" fontId="20" fillId="2" borderId="0" xfId="4" applyNumberFormat="1" applyFont="1" applyFill="1"/>
    <xf numFmtId="4" fontId="20" fillId="0" borderId="0" xfId="0" applyNumberFormat="1" applyFont="1"/>
    <xf numFmtId="0" fontId="0" fillId="2" borderId="0" xfId="0" applyFill="1"/>
    <xf numFmtId="9" fontId="0" fillId="0" borderId="0" xfId="0" applyNumberFormat="1"/>
    <xf numFmtId="9" fontId="20" fillId="2" borderId="0" xfId="3" applyFont="1" applyFill="1"/>
    <xf numFmtId="9" fontId="20" fillId="0" borderId="0" xfId="3" applyFont="1"/>
    <xf numFmtId="14" fontId="0" fillId="0" borderId="0" xfId="0" applyNumberFormat="1"/>
    <xf numFmtId="9" fontId="20" fillId="0" borderId="0" xfId="3" applyFont="1" applyBorder="1"/>
    <xf numFmtId="9" fontId="20" fillId="2" borderId="0" xfId="3" applyFont="1" applyFill="1" applyBorder="1"/>
    <xf numFmtId="3" fontId="0" fillId="0" borderId="3" xfId="0" applyNumberFormat="1" applyBorder="1"/>
    <xf numFmtId="3" fontId="20" fillId="0" borderId="3" xfId="0" applyNumberFormat="1" applyFont="1" applyBorder="1"/>
    <xf numFmtId="9" fontId="20" fillId="2" borderId="3" xfId="3" applyFont="1" applyFill="1" applyBorder="1"/>
    <xf numFmtId="3" fontId="20" fillId="0" borderId="3" xfId="4" applyNumberFormat="1" applyFont="1" applyBorder="1"/>
    <xf numFmtId="9" fontId="20" fillId="0" borderId="3" xfId="3" applyFont="1" applyBorder="1"/>
    <xf numFmtId="3" fontId="0" fillId="2" borderId="0" xfId="0" applyNumberFormat="1" applyFill="1"/>
    <xf numFmtId="0" fontId="22" fillId="0" borderId="0" xfId="0" applyFont="1"/>
    <xf numFmtId="0" fontId="0" fillId="2" borderId="0" xfId="0" applyFill="1" applyAlignment="1">
      <alignment horizontal="center"/>
    </xf>
    <xf numFmtId="0" fontId="0" fillId="3" borderId="0" xfId="0" applyFill="1"/>
    <xf numFmtId="0" fontId="0" fillId="3" borderId="0" xfId="0" applyFill="1" applyAlignment="1">
      <alignment horizontal="center"/>
    </xf>
    <xf numFmtId="14" fontId="0" fillId="3" borderId="0" xfId="0" applyNumberFormat="1" applyFill="1"/>
    <xf numFmtId="3" fontId="0" fillId="3" borderId="0" xfId="0" applyNumberFormat="1" applyFill="1"/>
    <xf numFmtId="3" fontId="20" fillId="3" borderId="0" xfId="0" applyNumberFormat="1" applyFont="1" applyFill="1"/>
    <xf numFmtId="3" fontId="20" fillId="3" borderId="0" xfId="4" applyNumberFormat="1" applyFont="1" applyFill="1"/>
    <xf numFmtId="9" fontId="20" fillId="3" borderId="0" xfId="3" applyFont="1" applyFill="1"/>
    <xf numFmtId="4" fontId="20" fillId="3" borderId="0" xfId="0" applyNumberFormat="1" applyFont="1" applyFill="1"/>
    <xf numFmtId="0" fontId="22" fillId="3" borderId="0" xfId="0" applyFont="1" applyFill="1"/>
    <xf numFmtId="9" fontId="20" fillId="3" borderId="0" xfId="3" applyFont="1" applyFill="1" applyBorder="1"/>
    <xf numFmtId="10" fontId="0" fillId="3" borderId="0" xfId="0" applyNumberFormat="1" applyFill="1"/>
    <xf numFmtId="0" fontId="0" fillId="4" borderId="0" xfId="0" applyFill="1"/>
    <xf numFmtId="0" fontId="0" fillId="4" borderId="0" xfId="0" applyFill="1" applyAlignment="1">
      <alignment horizontal="center"/>
    </xf>
    <xf numFmtId="0" fontId="25" fillId="0" borderId="0" xfId="0" applyFont="1" applyAlignment="1">
      <alignment horizontal="left"/>
    </xf>
    <xf numFmtId="0" fontId="7" fillId="0" borderId="0" xfId="0" applyFont="1"/>
    <xf numFmtId="0" fontId="0" fillId="5" borderId="0" xfId="0" applyFill="1"/>
    <xf numFmtId="0" fontId="25" fillId="0" borderId="0" xfId="0" applyFont="1" applyAlignment="1">
      <alignment vertical="center"/>
    </xf>
    <xf numFmtId="0" fontId="25" fillId="0" borderId="0" xfId="0" applyFont="1" applyAlignment="1">
      <alignment horizontal="center" vertical="center"/>
    </xf>
    <xf numFmtId="0" fontId="25" fillId="5" borderId="0" xfId="0" applyFont="1" applyFill="1" applyAlignment="1">
      <alignment horizontal="center" vertical="center" wrapText="1"/>
    </xf>
    <xf numFmtId="0" fontId="25" fillId="0" borderId="0" xfId="0" applyFont="1" applyAlignment="1">
      <alignment horizontal="center" wrapText="1"/>
    </xf>
    <xf numFmtId="44" fontId="25" fillId="0" borderId="13" xfId="2" applyFont="1" applyBorder="1" applyAlignment="1">
      <alignment horizontal="center" vertical="center"/>
    </xf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44" fontId="28" fillId="5" borderId="0" xfId="2" applyFont="1" applyFill="1"/>
    <xf numFmtId="44" fontId="10" fillId="0" borderId="0" xfId="2" applyFont="1" applyFill="1"/>
    <xf numFmtId="0" fontId="0" fillId="0" borderId="0" xfId="0" applyAlignment="1">
      <alignment horizontal="right"/>
    </xf>
    <xf numFmtId="44" fontId="0" fillId="0" borderId="0" xfId="0" applyNumberFormat="1"/>
    <xf numFmtId="0" fontId="0" fillId="0" borderId="2" xfId="0" applyBorder="1"/>
    <xf numFmtId="0" fontId="0" fillId="0" borderId="2" xfId="0" applyBorder="1" applyAlignment="1">
      <alignment wrapText="1"/>
    </xf>
    <xf numFmtId="44" fontId="28" fillId="5" borderId="2" xfId="2" applyFont="1" applyFill="1" applyBorder="1"/>
    <xf numFmtId="44" fontId="10" fillId="0" borderId="2" xfId="2" applyFont="1" applyFill="1" applyBorder="1"/>
    <xf numFmtId="0" fontId="0" fillId="0" borderId="2" xfId="0" applyBorder="1" applyAlignment="1">
      <alignment horizontal="right"/>
    </xf>
    <xf numFmtId="0" fontId="29" fillId="0" borderId="0" xfId="0" applyFont="1"/>
    <xf numFmtId="0" fontId="10" fillId="0" borderId="0" xfId="0" applyFont="1"/>
    <xf numFmtId="170" fontId="0" fillId="0" borderId="0" xfId="0" applyNumberFormat="1" applyAlignment="1">
      <alignment horizontal="right" vertical="center"/>
    </xf>
    <xf numFmtId="4" fontId="0" fillId="0" borderId="3" xfId="0" applyNumberFormat="1" applyBorder="1"/>
    <xf numFmtId="171" fontId="0" fillId="0" borderId="0" xfId="0" applyNumberFormat="1"/>
    <xf numFmtId="0" fontId="30" fillId="0" borderId="0" xfId="0" applyFont="1" applyAlignment="1">
      <alignment horizontal="centerContinuous"/>
    </xf>
    <xf numFmtId="0" fontId="0" fillId="0" borderId="0" xfId="0" applyAlignment="1">
      <alignment horizontal="center" vertical="center"/>
    </xf>
    <xf numFmtId="0" fontId="25" fillId="0" borderId="18" xfId="0" applyFont="1" applyBorder="1" applyAlignment="1">
      <alignment horizontal="center" vertical="center" wrapText="1"/>
    </xf>
    <xf numFmtId="0" fontId="0" fillId="6" borderId="9" xfId="0" applyFill="1" applyBorder="1" applyAlignment="1">
      <alignment horizontal="center" vertical="center"/>
    </xf>
    <xf numFmtId="0" fontId="0" fillId="6" borderId="11" xfId="0" applyFill="1" applyBorder="1" applyAlignment="1">
      <alignment horizontal="center"/>
    </xf>
    <xf numFmtId="3" fontId="0" fillId="0" borderId="19" xfId="1" applyNumberFormat="1" applyFont="1" applyBorder="1" applyAlignment="1">
      <alignment horizontal="right"/>
    </xf>
    <xf numFmtId="3" fontId="0" fillId="0" borderId="8" xfId="1" applyNumberFormat="1" applyFont="1" applyBorder="1" applyAlignment="1">
      <alignment horizontal="right"/>
    </xf>
    <xf numFmtId="3" fontId="25" fillId="0" borderId="20" xfId="1" applyNumberFormat="1" applyFont="1" applyBorder="1" applyAlignment="1">
      <alignment horizontal="center"/>
    </xf>
    <xf numFmtId="3" fontId="0" fillId="7" borderId="8" xfId="1" applyNumberFormat="1" applyFont="1" applyFill="1" applyBorder="1" applyAlignment="1">
      <alignment horizontal="right"/>
    </xf>
    <xf numFmtId="3" fontId="0" fillId="0" borderId="19" xfId="1" applyNumberFormat="1" applyFont="1" applyFill="1" applyBorder="1" applyAlignment="1">
      <alignment horizontal="right"/>
    </xf>
    <xf numFmtId="3" fontId="0" fillId="0" borderId="22" xfId="1" applyNumberFormat="1" applyFont="1" applyBorder="1" applyAlignment="1">
      <alignment horizontal="right"/>
    </xf>
    <xf numFmtId="3" fontId="0" fillId="0" borderId="23" xfId="1" applyNumberFormat="1" applyFont="1" applyBorder="1" applyAlignment="1">
      <alignment horizontal="right"/>
    </xf>
    <xf numFmtId="3" fontId="25" fillId="0" borderId="24" xfId="1" applyNumberFormat="1" applyFont="1" applyBorder="1" applyAlignment="1">
      <alignment horizontal="center"/>
    </xf>
    <xf numFmtId="3" fontId="0" fillId="0" borderId="0" xfId="0" applyNumberFormat="1" applyAlignment="1">
      <alignment horizontal="right"/>
    </xf>
    <xf numFmtId="3" fontId="25" fillId="0" borderId="26" xfId="0" applyNumberFormat="1" applyFont="1" applyBorder="1" applyAlignment="1">
      <alignment horizontal="right"/>
    </xf>
    <xf numFmtId="3" fontId="25" fillId="0" borderId="27" xfId="1" applyNumberFormat="1" applyFont="1" applyBorder="1" applyAlignment="1">
      <alignment horizontal="center"/>
    </xf>
    <xf numFmtId="0" fontId="31" fillId="0" borderId="0" xfId="0" applyFont="1"/>
    <xf numFmtId="43" fontId="0" fillId="0" borderId="0" xfId="0" applyNumberFormat="1"/>
    <xf numFmtId="0" fontId="25" fillId="0" borderId="0" xfId="0" applyFont="1" applyAlignment="1">
      <alignment horizontal="centerContinuous"/>
    </xf>
    <xf numFmtId="0" fontId="0" fillId="5" borderId="0" xfId="0" applyFill="1" applyAlignment="1">
      <alignment horizontal="center" vertical="center"/>
    </xf>
    <xf numFmtId="0" fontId="0" fillId="5" borderId="0" xfId="0" applyFill="1" applyAlignment="1">
      <alignment horizontal="center" vertical="center" wrapText="1"/>
    </xf>
    <xf numFmtId="43" fontId="0" fillId="5" borderId="0" xfId="1" applyFont="1" applyFill="1" applyAlignment="1">
      <alignment horizontal="center" vertical="center" wrapText="1"/>
    </xf>
    <xf numFmtId="0" fontId="25" fillId="0" borderId="0" xfId="0" applyFont="1"/>
    <xf numFmtId="43" fontId="0" fillId="0" borderId="0" xfId="1" applyFont="1"/>
    <xf numFmtId="0" fontId="0" fillId="0" borderId="3" xfId="0" applyBorder="1"/>
    <xf numFmtId="43" fontId="0" fillId="0" borderId="3" xfId="1" applyFont="1" applyBorder="1"/>
    <xf numFmtId="0" fontId="0" fillId="0" borderId="3" xfId="0" applyBorder="1" applyAlignment="1">
      <alignment horizontal="center"/>
    </xf>
    <xf numFmtId="43" fontId="25" fillId="0" borderId="0" xfId="1" applyFont="1"/>
    <xf numFmtId="0" fontId="25" fillId="0" borderId="0" xfId="0" applyFont="1" applyAlignment="1">
      <alignment horizontal="center"/>
    </xf>
    <xf numFmtId="43" fontId="25" fillId="0" borderId="0" xfId="1" applyFont="1" applyBorder="1"/>
    <xf numFmtId="9" fontId="0" fillId="0" borderId="0" xfId="3" applyFont="1" applyBorder="1" applyAlignment="1">
      <alignment horizontal="center" vertical="center"/>
    </xf>
    <xf numFmtId="43" fontId="0" fillId="0" borderId="0" xfId="1" applyFont="1" applyBorder="1"/>
    <xf numFmtId="9" fontId="0" fillId="0" borderId="0" xfId="3" applyFont="1" applyAlignment="1">
      <alignment horizontal="center" vertical="center"/>
    </xf>
    <xf numFmtId="0" fontId="25" fillId="0" borderId="28" xfId="0" applyFont="1" applyBorder="1"/>
    <xf numFmtId="43" fontId="25" fillId="0" borderId="28" xfId="1" applyFont="1" applyBorder="1"/>
    <xf numFmtId="0" fontId="25" fillId="0" borderId="28" xfId="0" applyFont="1" applyBorder="1" applyAlignment="1">
      <alignment horizontal="center"/>
    </xf>
    <xf numFmtId="9" fontId="0" fillId="0" borderId="28" xfId="3" applyFont="1" applyBorder="1" applyAlignment="1">
      <alignment horizontal="center" vertical="center"/>
    </xf>
    <xf numFmtId="9" fontId="25" fillId="0" borderId="0" xfId="0" applyNumberFormat="1" applyFont="1" applyAlignment="1">
      <alignment horizontal="center"/>
    </xf>
    <xf numFmtId="9" fontId="25" fillId="0" borderId="0" xfId="3" applyFont="1" applyBorder="1" applyAlignment="1">
      <alignment vertical="center"/>
    </xf>
    <xf numFmtId="9" fontId="25" fillId="0" borderId="3" xfId="3" applyFont="1" applyBorder="1" applyAlignment="1">
      <alignment vertical="center"/>
    </xf>
    <xf numFmtId="9" fontId="25" fillId="0" borderId="0" xfId="3" applyFont="1" applyAlignment="1">
      <alignment vertical="center"/>
    </xf>
    <xf numFmtId="9" fontId="0" fillId="6" borderId="21" xfId="3" applyFont="1" applyFill="1" applyBorder="1" applyAlignment="1">
      <alignment vertical="center"/>
    </xf>
    <xf numFmtId="9" fontId="0" fillId="6" borderId="25" xfId="3" applyFont="1" applyFill="1" applyBorder="1" applyAlignment="1">
      <alignment vertical="center"/>
    </xf>
    <xf numFmtId="172" fontId="0" fillId="0" borderId="0" xfId="0" applyNumberFormat="1"/>
    <xf numFmtId="172" fontId="0" fillId="0" borderId="0" xfId="0" quotePrefix="1" applyNumberFormat="1"/>
    <xf numFmtId="49" fontId="32" fillId="0" borderId="4" xfId="0" applyNumberFormat="1" applyFont="1" applyBorder="1" applyAlignment="1">
      <alignment horizontal="left"/>
    </xf>
    <xf numFmtId="49" fontId="32" fillId="0" borderId="4" xfId="0" applyNumberFormat="1" applyFont="1" applyBorder="1" applyAlignment="1">
      <alignment horizontal="right"/>
    </xf>
    <xf numFmtId="0" fontId="11" fillId="0" borderId="0" xfId="0" applyFont="1" applyAlignment="1">
      <alignment horizontal="center"/>
    </xf>
    <xf numFmtId="0" fontId="11" fillId="0" borderId="0" xfId="0" applyFont="1"/>
    <xf numFmtId="166" fontId="2" fillId="0" borderId="0" xfId="0" applyNumberFormat="1" applyFont="1" applyAlignment="1">
      <alignment horizontal="left"/>
    </xf>
    <xf numFmtId="167" fontId="2" fillId="0" borderId="0" xfId="0" applyNumberFormat="1" applyFont="1" applyAlignment="1">
      <alignment horizontal="right"/>
    </xf>
    <xf numFmtId="167" fontId="11" fillId="0" borderId="0" xfId="0" applyNumberFormat="1" applyFont="1"/>
    <xf numFmtId="167" fontId="2" fillId="0" borderId="3" xfId="0" applyNumberFormat="1" applyFont="1" applyBorder="1" applyAlignment="1">
      <alignment horizontal="right"/>
    </xf>
    <xf numFmtId="0" fontId="11" fillId="0" borderId="3" xfId="0" applyFont="1" applyBorder="1"/>
    <xf numFmtId="167" fontId="11" fillId="0" borderId="3" xfId="0" applyNumberFormat="1" applyFont="1" applyBorder="1"/>
    <xf numFmtId="4" fontId="11" fillId="0" borderId="3" xfId="0" applyNumberFormat="1" applyFont="1" applyBorder="1"/>
    <xf numFmtId="49" fontId="32" fillId="0" borderId="4" xfId="0" applyNumberFormat="1" applyFont="1" applyBorder="1" applyAlignment="1">
      <alignment horizontal="center"/>
    </xf>
    <xf numFmtId="49" fontId="32" fillId="0" borderId="3" xfId="0" applyNumberFormat="1" applyFont="1" applyBorder="1" applyAlignment="1">
      <alignment horizontal="center"/>
    </xf>
    <xf numFmtId="49" fontId="32" fillId="0" borderId="3" xfId="0" applyNumberFormat="1" applyFont="1" applyBorder="1" applyAlignment="1">
      <alignment horizontal="center" wrapText="1"/>
    </xf>
    <xf numFmtId="166" fontId="33" fillId="0" borderId="0" xfId="0" applyNumberFormat="1" applyFont="1" applyAlignment="1">
      <alignment horizontal="left"/>
    </xf>
    <xf numFmtId="49" fontId="33" fillId="0" borderId="0" xfId="0" applyNumberFormat="1" applyFont="1" applyAlignment="1">
      <alignment horizontal="left"/>
    </xf>
    <xf numFmtId="4" fontId="33" fillId="0" borderId="0" xfId="0" applyNumberFormat="1" applyFont="1" applyAlignment="1">
      <alignment horizontal="left"/>
    </xf>
    <xf numFmtId="4" fontId="33" fillId="0" borderId="0" xfId="0" applyNumberFormat="1" applyFont="1" applyAlignment="1">
      <alignment horizontal="right"/>
    </xf>
    <xf numFmtId="4" fontId="34" fillId="0" borderId="0" xfId="0" applyNumberFormat="1" applyFont="1" applyAlignment="1">
      <alignment horizontal="right"/>
    </xf>
    <xf numFmtId="39" fontId="0" fillId="0" borderId="0" xfId="0" applyNumberFormat="1"/>
    <xf numFmtId="4" fontId="33" fillId="0" borderId="3" xfId="0" applyNumberFormat="1" applyFont="1" applyBorder="1" applyAlignment="1">
      <alignment horizontal="right"/>
    </xf>
    <xf numFmtId="4" fontId="34" fillId="0" borderId="3" xfId="0" applyNumberFormat="1" applyFont="1" applyBorder="1" applyAlignment="1">
      <alignment horizontal="right"/>
    </xf>
    <xf numFmtId="167" fontId="0" fillId="0" borderId="0" xfId="0" applyNumberFormat="1"/>
    <xf numFmtId="0" fontId="35" fillId="0" borderId="8" xfId="0" applyFont="1" applyBorder="1" applyAlignment="1">
      <alignment horizontal="center"/>
    </xf>
    <xf numFmtId="0" fontId="35" fillId="0" borderId="1" xfId="0" applyFont="1" applyBorder="1" applyAlignment="1">
      <alignment horizontal="center"/>
    </xf>
    <xf numFmtId="0" fontId="35" fillId="0" borderId="6" xfId="0" applyFont="1" applyBorder="1" applyAlignment="1">
      <alignment horizontal="center"/>
    </xf>
    <xf numFmtId="3" fontId="0" fillId="0" borderId="0" xfId="0" applyNumberFormat="1" applyFont="1" applyAlignment="1">
      <alignment horizontal="center"/>
    </xf>
    <xf numFmtId="4" fontId="0" fillId="0" borderId="12" xfId="0" applyNumberFormat="1" applyBorder="1" applyAlignment="1">
      <alignment horizontal="right" vertical="center"/>
    </xf>
    <xf numFmtId="4" fontId="0" fillId="0" borderId="14" xfId="0" applyNumberFormat="1" applyBorder="1" applyAlignment="1">
      <alignment horizontal="right" vertical="center"/>
    </xf>
    <xf numFmtId="4" fontId="29" fillId="0" borderId="12" xfId="0" applyNumberFormat="1" applyFont="1" applyBorder="1" applyAlignment="1">
      <alignment horizontal="left" vertical="center"/>
    </xf>
    <xf numFmtId="4" fontId="0" fillId="0" borderId="12" xfId="0" applyNumberFormat="1" applyBorder="1"/>
    <xf numFmtId="39" fontId="28" fillId="0" borderId="0" xfId="2" applyNumberFormat="1" applyFont="1" applyBorder="1" applyAlignment="1">
      <alignment horizontal="right" vertical="center"/>
    </xf>
    <xf numFmtId="39" fontId="0" fillId="0" borderId="13" xfId="2" applyNumberFormat="1" applyFont="1" applyBorder="1" applyAlignment="1">
      <alignment horizontal="right"/>
    </xf>
    <xf numFmtId="39" fontId="28" fillId="0" borderId="2" xfId="2" applyNumberFormat="1" applyFont="1" applyBorder="1" applyAlignment="1">
      <alignment horizontal="right" vertical="center"/>
    </xf>
    <xf numFmtId="39" fontId="0" fillId="0" borderId="15" xfId="2" applyNumberFormat="1" applyFont="1" applyBorder="1" applyAlignment="1">
      <alignment horizontal="right"/>
    </xf>
    <xf numFmtId="39" fontId="29" fillId="0" borderId="0" xfId="2" applyNumberFormat="1" applyFont="1" applyBorder="1" applyAlignment="1">
      <alignment horizontal="right"/>
    </xf>
    <xf numFmtId="39" fontId="0" fillId="0" borderId="13" xfId="0" applyNumberFormat="1" applyBorder="1" applyAlignment="1">
      <alignment horizontal="right"/>
    </xf>
    <xf numFmtId="39" fontId="0" fillId="0" borderId="0" xfId="2" applyNumberFormat="1" applyFont="1" applyBorder="1" applyAlignment="1">
      <alignment horizontal="right"/>
    </xf>
    <xf numFmtId="0" fontId="0" fillId="0" borderId="0" xfId="0" applyBorder="1"/>
    <xf numFmtId="170" fontId="29" fillId="0" borderId="0" xfId="0" applyNumberFormat="1" applyFont="1" applyBorder="1" applyAlignment="1">
      <alignment horizontal="left" vertical="center"/>
    </xf>
    <xf numFmtId="44" fontId="10" fillId="0" borderId="0" xfId="2" applyFont="1" applyFill="1" applyBorder="1"/>
    <xf numFmtId="39" fontId="0" fillId="0" borderId="29" xfId="0" applyNumberFormat="1" applyBorder="1" applyAlignment="1">
      <alignment horizontal="right"/>
    </xf>
    <xf numFmtId="44" fontId="0" fillId="0" borderId="0" xfId="2" applyFont="1" applyFill="1"/>
    <xf numFmtId="10" fontId="0" fillId="0" borderId="0" xfId="0" applyNumberFormat="1" applyAlignment="1">
      <alignment horizontal="right"/>
    </xf>
    <xf numFmtId="0" fontId="6" fillId="0" borderId="1" xfId="0" applyFont="1" applyBorder="1" applyAlignment="1"/>
    <xf numFmtId="0" fontId="4" fillId="0" borderId="1" xfId="0" applyFont="1" applyBorder="1" applyAlignment="1"/>
    <xf numFmtId="0" fontId="35" fillId="0" borderId="7" xfId="0" applyFont="1" applyBorder="1" applyAlignment="1">
      <alignment horizontal="center" wrapText="1"/>
    </xf>
    <xf numFmtId="0" fontId="0" fillId="0" borderId="0" xfId="0" applyFont="1"/>
    <xf numFmtId="49" fontId="11" fillId="0" borderId="0" xfId="0" applyNumberFormat="1" applyFont="1"/>
    <xf numFmtId="3" fontId="11" fillId="0" borderId="0" xfId="0" applyNumberFormat="1" applyFont="1"/>
    <xf numFmtId="3" fontId="0" fillId="0" borderId="0" xfId="0" applyNumberFormat="1" applyFont="1"/>
    <xf numFmtId="3" fontId="11" fillId="0" borderId="3" xfId="0" applyNumberFormat="1" applyFont="1" applyBorder="1"/>
    <xf numFmtId="10" fontId="36" fillId="0" borderId="0" xfId="0" applyNumberFormat="1" applyFont="1"/>
    <xf numFmtId="3" fontId="11" fillId="0" borderId="0" xfId="0" applyNumberFormat="1" applyFont="1" applyAlignment="1">
      <alignment horizontal="center"/>
    </xf>
    <xf numFmtId="3" fontId="37" fillId="0" borderId="0" xfId="0" applyNumberFormat="1" applyFont="1" applyAlignment="1">
      <alignment horizontal="center"/>
    </xf>
    <xf numFmtId="3" fontId="11" fillId="0" borderId="0" xfId="0" applyNumberFormat="1" applyFont="1" applyAlignment="1">
      <alignment horizontal="right"/>
    </xf>
    <xf numFmtId="0" fontId="0" fillId="0" borderId="0" xfId="0" applyFont="1" applyAlignment="1">
      <alignment horizontal="center"/>
    </xf>
    <xf numFmtId="37" fontId="11" fillId="0" borderId="0" xfId="0" applyNumberFormat="1" applyFont="1"/>
    <xf numFmtId="49" fontId="38" fillId="0" borderId="0" xfId="0" applyNumberFormat="1" applyFont="1" applyAlignment="1">
      <alignment horizontal="left"/>
    </xf>
    <xf numFmtId="3" fontId="11" fillId="0" borderId="0" xfId="0" quotePrefix="1" applyNumberFormat="1" applyFont="1" applyAlignment="1">
      <alignment horizontal="center"/>
    </xf>
    <xf numFmtId="3" fontId="11" fillId="0" borderId="4" xfId="0" applyNumberFormat="1" applyFont="1" applyBorder="1"/>
    <xf numFmtId="10" fontId="11" fillId="0" borderId="0" xfId="0" applyNumberFormat="1" applyFont="1"/>
    <xf numFmtId="0" fontId="0" fillId="0" borderId="3" xfId="0" applyFont="1" applyBorder="1"/>
    <xf numFmtId="0" fontId="29" fillId="0" borderId="0" xfId="0" applyFont="1" applyAlignment="1">
      <alignment horizontal="center"/>
    </xf>
    <xf numFmtId="0" fontId="0" fillId="0" borderId="0" xfId="0" applyAlignment="1">
      <alignment vertical="center"/>
    </xf>
    <xf numFmtId="0" fontId="0" fillId="0" borderId="5" xfId="0" applyBorder="1" applyAlignment="1">
      <alignment horizontal="center" vertical="center" wrapText="1"/>
    </xf>
    <xf numFmtId="0" fontId="31" fillId="0" borderId="1" xfId="0" applyFont="1" applyBorder="1" applyAlignment="1">
      <alignment horizontal="center" vertical="center" wrapText="1"/>
    </xf>
    <xf numFmtId="0" fontId="31" fillId="0" borderId="6" xfId="0" applyFont="1" applyBorder="1" applyAlignment="1">
      <alignment horizontal="center" vertical="center" wrapText="1"/>
    </xf>
    <xf numFmtId="44" fontId="0" fillId="0" borderId="32" xfId="2" applyFont="1" applyBorder="1"/>
    <xf numFmtId="44" fontId="0" fillId="0" borderId="0" xfId="2" applyFont="1" applyBorder="1"/>
    <xf numFmtId="44" fontId="0" fillId="0" borderId="31" xfId="2" applyFont="1" applyBorder="1"/>
    <xf numFmtId="44" fontId="25" fillId="0" borderId="0" xfId="2" applyFont="1"/>
    <xf numFmtId="44" fontId="0" fillId="0" borderId="32" xfId="0" applyNumberFormat="1" applyBorder="1"/>
    <xf numFmtId="44" fontId="0" fillId="0" borderId="33" xfId="2" applyFont="1" applyBorder="1"/>
    <xf numFmtId="44" fontId="0" fillId="0" borderId="3" xfId="2" applyFont="1" applyBorder="1"/>
    <xf numFmtId="44" fontId="0" fillId="0" borderId="34" xfId="2" applyFont="1" applyBorder="1"/>
    <xf numFmtId="44" fontId="0" fillId="0" borderId="3" xfId="0" applyNumberFormat="1" applyBorder="1"/>
    <xf numFmtId="44" fontId="25" fillId="0" borderId="3" xfId="2" applyFont="1" applyBorder="1"/>
    <xf numFmtId="44" fontId="0" fillId="0" borderId="33" xfId="0" applyNumberFormat="1" applyBorder="1"/>
    <xf numFmtId="0" fontId="42" fillId="0" borderId="3" xfId="0" applyFont="1" applyBorder="1"/>
    <xf numFmtId="0" fontId="42" fillId="0" borderId="3" xfId="0" applyFont="1" applyBorder="1" applyAlignment="1">
      <alignment horizontal="center"/>
    </xf>
    <xf numFmtId="44" fontId="42" fillId="0" borderId="33" xfId="2" applyFont="1" applyBorder="1"/>
    <xf numFmtId="44" fontId="42" fillId="0" borderId="3" xfId="2" applyFont="1" applyBorder="1"/>
    <xf numFmtId="44" fontId="42" fillId="0" borderId="34" xfId="2" applyFont="1" applyBorder="1"/>
    <xf numFmtId="44" fontId="42" fillId="0" borderId="3" xfId="0" applyNumberFormat="1" applyFont="1" applyBorder="1"/>
    <xf numFmtId="44" fontId="29" fillId="0" borderId="3" xfId="2" applyFont="1" applyBorder="1"/>
    <xf numFmtId="44" fontId="42" fillId="0" borderId="33" xfId="0" applyNumberFormat="1" applyFont="1" applyBorder="1"/>
    <xf numFmtId="16" fontId="0" fillId="0" borderId="0" xfId="0" applyNumberFormat="1"/>
    <xf numFmtId="44" fontId="0" fillId="0" borderId="5" xfId="2" applyFont="1" applyBorder="1"/>
    <xf numFmtId="44" fontId="0" fillId="0" borderId="1" xfId="2" applyFont="1" applyBorder="1"/>
    <xf numFmtId="0" fontId="0" fillId="0" borderId="33" xfId="0" applyBorder="1"/>
    <xf numFmtId="44" fontId="0" fillId="0" borderId="0" xfId="2" applyFont="1"/>
    <xf numFmtId="0" fontId="0" fillId="0" borderId="32" xfId="0" applyBorder="1"/>
    <xf numFmtId="0" fontId="0" fillId="0" borderId="28" xfId="0" applyBorder="1" applyAlignment="1">
      <alignment horizontal="center"/>
    </xf>
    <xf numFmtId="44" fontId="0" fillId="0" borderId="28" xfId="2" applyFont="1" applyBorder="1" applyAlignment="1">
      <alignment horizontal="center"/>
    </xf>
    <xf numFmtId="49" fontId="0" fillId="0" borderId="0" xfId="0" applyNumberFormat="1"/>
    <xf numFmtId="37" fontId="0" fillId="0" borderId="0" xfId="0" applyNumberFormat="1"/>
    <xf numFmtId="173" fontId="0" fillId="0" borderId="0" xfId="0" applyNumberFormat="1"/>
    <xf numFmtId="0" fontId="0" fillId="0" borderId="0" xfId="0" applyAlignment="1"/>
    <xf numFmtId="3" fontId="0" fillId="0" borderId="0" xfId="0" applyNumberFormat="1" applyAlignment="1"/>
    <xf numFmtId="44" fontId="25" fillId="0" borderId="0" xfId="2" applyFont="1" applyAlignment="1">
      <alignment horizontal="centerContinuous"/>
    </xf>
    <xf numFmtId="0" fontId="44" fillId="0" borderId="0" xfId="0" applyFont="1" applyAlignment="1">
      <alignment horizontal="center"/>
    </xf>
    <xf numFmtId="44" fontId="0" fillId="0" borderId="3" xfId="2" applyFont="1" applyFill="1" applyBorder="1"/>
    <xf numFmtId="0" fontId="42" fillId="0" borderId="0" xfId="0" applyFont="1"/>
    <xf numFmtId="44" fontId="42" fillId="0" borderId="0" xfId="2" applyFont="1" applyFill="1"/>
    <xf numFmtId="44" fontId="42" fillId="0" borderId="0" xfId="2" applyFont="1"/>
    <xf numFmtId="44" fontId="42" fillId="0" borderId="0" xfId="0" applyNumberFormat="1" applyFont="1"/>
    <xf numFmtId="9" fontId="42" fillId="0" borderId="0" xfId="3" applyFont="1" applyAlignment="1">
      <alignment horizontal="center"/>
    </xf>
    <xf numFmtId="0" fontId="0" fillId="0" borderId="28" xfId="0" applyBorder="1"/>
    <xf numFmtId="44" fontId="0" fillId="0" borderId="28" xfId="2" applyFont="1" applyBorder="1"/>
    <xf numFmtId="44" fontId="25" fillId="0" borderId="0" xfId="0" applyNumberFormat="1" applyFont="1"/>
    <xf numFmtId="49" fontId="46" fillId="0" borderId="4" xfId="0" applyNumberFormat="1" applyFont="1" applyBorder="1" applyAlignment="1">
      <alignment horizontal="left"/>
    </xf>
    <xf numFmtId="49" fontId="46" fillId="0" borderId="4" xfId="0" applyNumberFormat="1" applyFont="1" applyBorder="1" applyAlignment="1">
      <alignment horizontal="right"/>
    </xf>
    <xf numFmtId="49" fontId="34" fillId="0" borderId="0" xfId="0" applyNumberFormat="1" applyFont="1" applyAlignment="1">
      <alignment horizontal="left"/>
    </xf>
    <xf numFmtId="166" fontId="34" fillId="0" borderId="0" xfId="0" applyNumberFormat="1" applyFont="1" applyAlignment="1">
      <alignment horizontal="left"/>
    </xf>
    <xf numFmtId="167" fontId="34" fillId="0" borderId="0" xfId="0" applyNumberFormat="1" applyFont="1" applyAlignment="1">
      <alignment horizontal="right"/>
    </xf>
    <xf numFmtId="167" fontId="34" fillId="0" borderId="0" xfId="0" applyNumberFormat="1" applyFont="1" applyAlignment="1">
      <alignment horizontal="left"/>
    </xf>
    <xf numFmtId="167" fontId="0" fillId="0" borderId="3" xfId="0" applyNumberFormat="1" applyBorder="1"/>
    <xf numFmtId="0" fontId="35" fillId="0" borderId="8" xfId="0" applyFont="1" applyFill="1" applyBorder="1" applyAlignment="1">
      <alignment horizontal="center" wrapText="1"/>
    </xf>
    <xf numFmtId="0" fontId="0" fillId="0" borderId="30" xfId="0" applyBorder="1" applyAlignment="1">
      <alignment horizontal="center" wrapText="1"/>
    </xf>
    <xf numFmtId="0" fontId="28" fillId="0" borderId="0" xfId="0" applyFont="1" applyAlignment="1">
      <alignment horizontal="center" wrapText="1"/>
    </xf>
    <xf numFmtId="0" fontId="28" fillId="0" borderId="31" xfId="0" applyFont="1" applyBorder="1" applyAlignment="1">
      <alignment horizontal="center" wrapText="1"/>
    </xf>
    <xf numFmtId="0" fontId="39" fillId="0" borderId="0" xfId="0" applyFont="1" applyAlignment="1">
      <alignment horizontal="center" wrapText="1"/>
    </xf>
    <xf numFmtId="0" fontId="40" fillId="0" borderId="32" xfId="0" applyFont="1" applyBorder="1" applyAlignment="1">
      <alignment horizontal="center" wrapText="1"/>
    </xf>
    <xf numFmtId="0" fontId="40" fillId="0" borderId="0" xfId="0" applyFont="1" applyAlignment="1">
      <alignment horizontal="center" wrapText="1"/>
    </xf>
    <xf numFmtId="0" fontId="40" fillId="0" borderId="31" xfId="0" applyFont="1" applyBorder="1" applyAlignment="1">
      <alignment horizontal="center" wrapText="1"/>
    </xf>
    <xf numFmtId="0" fontId="41" fillId="0" borderId="0" xfId="0" applyFont="1" applyAlignment="1">
      <alignment horizontal="center" wrapText="1"/>
    </xf>
    <xf numFmtId="0" fontId="0" fillId="0" borderId="0" xfId="0" applyAlignment="1">
      <alignment horizontal="left"/>
    </xf>
    <xf numFmtId="0" fontId="14" fillId="0" borderId="0" xfId="0" applyFont="1" applyFill="1" applyBorder="1" applyAlignment="1">
      <alignment horizontal="center"/>
    </xf>
    <xf numFmtId="0" fontId="25" fillId="0" borderId="0" xfId="0" applyFont="1" applyAlignment="1"/>
    <xf numFmtId="0" fontId="45" fillId="0" borderId="0" xfId="0" applyFont="1" applyAlignment="1"/>
    <xf numFmtId="0" fontId="43" fillId="0" borderId="0" xfId="0" applyFont="1" applyAlignment="1"/>
    <xf numFmtId="0" fontId="15" fillId="0" borderId="0" xfId="0" applyFont="1" applyAlignment="1">
      <alignment horizontal="center"/>
    </xf>
    <xf numFmtId="167" fontId="13" fillId="0" borderId="0" xfId="0" applyNumberFormat="1" applyFont="1" applyAlignment="1">
      <alignment horizontal="center"/>
    </xf>
    <xf numFmtId="0" fontId="26" fillId="0" borderId="0" xfId="0" applyFont="1" applyAlignment="1">
      <alignment horizontal="center"/>
    </xf>
    <xf numFmtId="0" fontId="27" fillId="0" borderId="9" xfId="0" applyFont="1" applyBorder="1" applyAlignment="1">
      <alignment horizontal="center"/>
    </xf>
    <xf numFmtId="0" fontId="27" fillId="0" borderId="10" xfId="0" applyFont="1" applyBorder="1" applyAlignment="1">
      <alignment horizontal="center"/>
    </xf>
    <xf numFmtId="0" fontId="27" fillId="0" borderId="11" xfId="0" applyFont="1" applyBorder="1" applyAlignment="1">
      <alignment horizontal="center"/>
    </xf>
    <xf numFmtId="0" fontId="25" fillId="0" borderId="12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3" fontId="0" fillId="6" borderId="19" xfId="0" applyNumberFormat="1" applyFill="1" applyBorder="1" applyAlignment="1">
      <alignment horizontal="center" vertical="center"/>
    </xf>
    <xf numFmtId="0" fontId="0" fillId="6" borderId="19" xfId="0" applyFill="1" applyBorder="1" applyAlignment="1">
      <alignment horizontal="center" vertical="center"/>
    </xf>
    <xf numFmtId="0" fontId="0" fillId="6" borderId="22" xfId="0" applyFill="1" applyBorder="1" applyAlignment="1">
      <alignment horizontal="center" vertical="center"/>
    </xf>
    <xf numFmtId="0" fontId="30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5" fillId="0" borderId="5" xfId="0" applyFont="1" applyBorder="1" applyAlignment="1">
      <alignment horizontal="center"/>
    </xf>
    <xf numFmtId="0" fontId="25" fillId="0" borderId="1" xfId="0" applyFont="1" applyBorder="1" applyAlignment="1">
      <alignment horizontal="center"/>
    </xf>
    <xf numFmtId="0" fontId="25" fillId="0" borderId="6" xfId="0" applyFont="1" applyBorder="1" applyAlignment="1">
      <alignment horizontal="center"/>
    </xf>
    <xf numFmtId="0" fontId="45" fillId="0" borderId="0" xfId="0" applyFont="1" applyAlignment="1">
      <alignment horizontal="center"/>
    </xf>
    <xf numFmtId="0" fontId="43" fillId="0" borderId="0" xfId="0" applyFont="1" applyAlignment="1">
      <alignment horizontal="center"/>
    </xf>
  </cellXfs>
  <cellStyles count="6">
    <cellStyle name="Comma" xfId="1" builtinId="3"/>
    <cellStyle name="Currency" xfId="2" builtinId="4"/>
    <cellStyle name="Normal" xfId="0" builtinId="0"/>
    <cellStyle name="Normal_Depr Sch" xfId="5" xr:uid="{A328C179-6B57-4913-A982-68B4DEC5F6E0}"/>
    <cellStyle name="Normal_Sheet2" xfId="4" xr:uid="{3BF23D86-CB45-4514-A516-B17B1B6312DA}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28" Type="http://schemas.openxmlformats.org/officeDocument/2006/relationships/customXml" Target="../customXml/item4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0%20Health%20Insurance%20Costs%20Share%20Arrow%2050percent%20dependent%20(002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Insurance%20Allocat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P+65"/>
      <sheetName val="F80"/>
      <sheetName val="BillRecon"/>
      <sheetName val="Compare"/>
      <sheetName val="2020 Cost Projector"/>
    </sheetNames>
    <sheetDataSet>
      <sheetData sheetId="0">
        <row r="8">
          <cell r="B8">
            <v>289.33</v>
          </cell>
          <cell r="D8">
            <v>719.06</v>
          </cell>
          <cell r="E8">
            <v>429.72999999999996</v>
          </cell>
          <cell r="F8">
            <v>661.76</v>
          </cell>
          <cell r="G8">
            <v>372.43</v>
          </cell>
        </row>
        <row r="9">
          <cell r="B9">
            <v>480.34</v>
          </cell>
          <cell r="F9">
            <v>1005.58</v>
          </cell>
          <cell r="G9">
            <v>525.24</v>
          </cell>
          <cell r="H9">
            <v>1674.07</v>
          </cell>
          <cell r="I9">
            <v>1193.73</v>
          </cell>
        </row>
        <row r="10">
          <cell r="B10">
            <v>814.59</v>
          </cell>
          <cell r="H10">
            <v>2438.0700000000002</v>
          </cell>
          <cell r="I10">
            <v>1623.48</v>
          </cell>
        </row>
      </sheetData>
      <sheetData sheetId="1">
        <row r="8">
          <cell r="B8">
            <v>217.5</v>
          </cell>
          <cell r="F8">
            <v>496.55</v>
          </cell>
          <cell r="G8">
            <v>279.05</v>
          </cell>
        </row>
        <row r="9">
          <cell r="B9">
            <v>360.66</v>
          </cell>
          <cell r="D9">
            <v>861.58</v>
          </cell>
          <cell r="E9">
            <v>500.92</v>
          </cell>
        </row>
      </sheetData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reakdown 2018-2019"/>
      <sheetName val="Policy Cost Worksheet 2018-2019"/>
      <sheetName val="Breakdown 2019-2020"/>
      <sheetName val="Policy Cost Worksheet 2019-2020"/>
    </sheetNames>
    <sheetDataSet>
      <sheetData sheetId="0" refreshError="1"/>
      <sheetData sheetId="1" refreshError="1"/>
      <sheetData sheetId="2">
        <row r="30">
          <cell r="E30">
            <v>14292.335308785283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200"/>
  <sheetViews>
    <sheetView zoomScale="125" zoomScaleNormal="125" workbookViewId="0">
      <pane ySplit="1" topLeftCell="A175" activePane="bottomLeft" state="frozenSplit"/>
      <selection pane="bottomLeft" activeCell="A2" sqref="A2:F199"/>
    </sheetView>
  </sheetViews>
  <sheetFormatPr defaultColWidth="9.140625" defaultRowHeight="12.75" x14ac:dyDescent="0.2"/>
  <cols>
    <col min="1" max="1" width="32.140625" style="1" customWidth="1"/>
    <col min="2" max="3" width="11.7109375" style="1" customWidth="1"/>
    <col min="4" max="4" width="12.42578125" style="1" customWidth="1"/>
    <col min="5" max="5" width="11.7109375" style="1" customWidth="1"/>
    <col min="6" max="6" width="12.42578125" style="1" customWidth="1"/>
    <col min="7" max="7" width="13.140625" style="1" bestFit="1" customWidth="1"/>
    <col min="8" max="10" width="11.28515625" style="1" bestFit="1" customWidth="1"/>
    <col min="11" max="16" width="13.140625" style="1" customWidth="1"/>
    <col min="17" max="18" width="9" style="1" bestFit="1" customWidth="1"/>
    <col min="19" max="19" width="11.7109375" style="1" customWidth="1"/>
    <col min="20" max="16384" width="9.140625" style="1"/>
  </cols>
  <sheetData>
    <row r="1" spans="1:18" ht="25.5" x14ac:dyDescent="0.2">
      <c r="A1" s="2"/>
      <c r="B1" s="39" t="s">
        <v>149</v>
      </c>
      <c r="C1" s="39" t="s">
        <v>150</v>
      </c>
      <c r="D1" s="40" t="s">
        <v>151</v>
      </c>
      <c r="E1" s="39" t="s">
        <v>152</v>
      </c>
      <c r="F1" s="41" t="s">
        <v>148</v>
      </c>
      <c r="G1" s="41" t="s">
        <v>153</v>
      </c>
      <c r="H1" s="41" t="s">
        <v>111</v>
      </c>
      <c r="I1" s="40" t="s">
        <v>154</v>
      </c>
      <c r="J1" s="40" t="s">
        <v>155</v>
      </c>
      <c r="K1" s="40" t="s">
        <v>221</v>
      </c>
      <c r="L1" s="40" t="s">
        <v>222</v>
      </c>
      <c r="M1" s="40" t="s">
        <v>223</v>
      </c>
      <c r="N1" s="40" t="s">
        <v>224</v>
      </c>
      <c r="O1" s="40" t="s">
        <v>225</v>
      </c>
      <c r="P1" s="40" t="s">
        <v>226</v>
      </c>
      <c r="Q1" s="40" t="s">
        <v>156</v>
      </c>
      <c r="R1" s="41" t="s">
        <v>157</v>
      </c>
    </row>
    <row r="2" spans="1:18" x14ac:dyDescent="0.2">
      <c r="A2" s="42" t="s">
        <v>0</v>
      </c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</row>
    <row r="3" spans="1:18" x14ac:dyDescent="0.2">
      <c r="A3" s="3" t="s">
        <v>1170</v>
      </c>
      <c r="B3" s="12">
        <v>1054113.5</v>
      </c>
      <c r="C3" s="12">
        <v>1367879.05</v>
      </c>
      <c r="D3" s="13">
        <f t="shared" ref="D3:D34" si="0">+C3-B3</f>
        <v>313765.55000000005</v>
      </c>
      <c r="E3" s="12">
        <v>954382.85</v>
      </c>
      <c r="F3" s="13">
        <f>+D3+E3</f>
        <v>1268148.3999999999</v>
      </c>
      <c r="G3" s="13">
        <f>+F3</f>
        <v>1268148.3999999999</v>
      </c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</row>
    <row r="4" spans="1:18" x14ac:dyDescent="0.2">
      <c r="A4" s="3" t="s">
        <v>1171</v>
      </c>
      <c r="B4" s="5">
        <v>172138.18</v>
      </c>
      <c r="C4" s="5">
        <v>236192.91</v>
      </c>
      <c r="D4" s="11">
        <f t="shared" si="0"/>
        <v>64054.73000000001</v>
      </c>
      <c r="E4" s="12">
        <v>168831.31</v>
      </c>
      <c r="F4" s="11">
        <f t="shared" ref="F4:F17" si="1">+D4+E4</f>
        <v>232886.04</v>
      </c>
      <c r="G4" s="13"/>
      <c r="H4" s="13">
        <f>+F4</f>
        <v>232886.04</v>
      </c>
      <c r="I4" s="13"/>
      <c r="J4" s="13"/>
      <c r="K4" s="13"/>
      <c r="L4" s="13"/>
      <c r="M4" s="13"/>
      <c r="N4" s="13"/>
      <c r="O4" s="13"/>
      <c r="P4" s="13"/>
      <c r="Q4" s="13"/>
      <c r="R4" s="13"/>
    </row>
    <row r="5" spans="1:18" x14ac:dyDescent="0.2">
      <c r="A5" s="3" t="s">
        <v>1172</v>
      </c>
      <c r="B5" s="5">
        <v>45731.86</v>
      </c>
      <c r="C5" s="5">
        <v>65638.11</v>
      </c>
      <c r="D5" s="11">
        <f t="shared" si="0"/>
        <v>19906.25</v>
      </c>
      <c r="E5" s="12">
        <v>53181.25</v>
      </c>
      <c r="F5" s="11">
        <f t="shared" si="1"/>
        <v>73087.5</v>
      </c>
      <c r="G5" s="13"/>
      <c r="H5" s="13"/>
      <c r="I5" s="13">
        <f>+F5</f>
        <v>73087.5</v>
      </c>
      <c r="J5" s="13"/>
      <c r="K5" s="13"/>
      <c r="L5" s="13"/>
      <c r="M5" s="13"/>
      <c r="N5" s="13"/>
      <c r="O5" s="13"/>
      <c r="P5" s="13"/>
      <c r="Q5" s="13"/>
      <c r="R5" s="13"/>
    </row>
    <row r="6" spans="1:18" x14ac:dyDescent="0.2">
      <c r="A6" s="3" t="s">
        <v>1173</v>
      </c>
      <c r="B6" s="5">
        <v>202991.65</v>
      </c>
      <c r="C6" s="5">
        <v>269472.90000000002</v>
      </c>
      <c r="D6" s="11">
        <f t="shared" si="0"/>
        <v>66481.250000000029</v>
      </c>
      <c r="E6" s="12">
        <v>167387.5</v>
      </c>
      <c r="F6" s="11">
        <f t="shared" si="1"/>
        <v>233868.75000000003</v>
      </c>
      <c r="G6" s="13"/>
      <c r="H6" s="13"/>
      <c r="I6" s="13"/>
      <c r="J6" s="13">
        <f>+F6</f>
        <v>233868.75000000003</v>
      </c>
      <c r="K6" s="13"/>
      <c r="L6" s="13"/>
      <c r="M6" s="13"/>
      <c r="N6" s="13"/>
      <c r="O6" s="13"/>
      <c r="P6" s="13"/>
      <c r="Q6" s="13"/>
      <c r="R6" s="13"/>
    </row>
    <row r="7" spans="1:18" x14ac:dyDescent="0.2">
      <c r="A7" s="3" t="s">
        <v>1170</v>
      </c>
      <c r="B7" s="5">
        <v>0</v>
      </c>
      <c r="C7" s="5">
        <v>5806.48</v>
      </c>
      <c r="D7" s="11">
        <f t="shared" si="0"/>
        <v>5806.48</v>
      </c>
      <c r="E7" s="12">
        <v>0</v>
      </c>
      <c r="F7" s="11">
        <f t="shared" si="1"/>
        <v>5806.48</v>
      </c>
      <c r="G7" s="13">
        <f>+F7</f>
        <v>5806.48</v>
      </c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</row>
    <row r="8" spans="1:18" x14ac:dyDescent="0.2">
      <c r="A8" s="3" t="s">
        <v>1174</v>
      </c>
      <c r="B8" s="5">
        <v>63150</v>
      </c>
      <c r="C8" s="5">
        <v>80925</v>
      </c>
      <c r="D8" s="11">
        <f t="shared" si="0"/>
        <v>17775</v>
      </c>
      <c r="E8" s="12">
        <v>59662.5</v>
      </c>
      <c r="F8" s="11">
        <f t="shared" si="1"/>
        <v>77437.5</v>
      </c>
      <c r="G8" s="13"/>
      <c r="H8" s="13"/>
      <c r="I8" s="13"/>
      <c r="J8" s="13"/>
      <c r="K8" s="13">
        <f>+F8</f>
        <v>77437.5</v>
      </c>
      <c r="L8" s="13"/>
      <c r="M8" s="13"/>
      <c r="N8" s="13"/>
      <c r="O8" s="13"/>
      <c r="P8" s="13"/>
      <c r="Q8" s="13"/>
      <c r="R8" s="13"/>
    </row>
    <row r="9" spans="1:18" x14ac:dyDescent="0.2">
      <c r="A9" s="3" t="s">
        <v>1175</v>
      </c>
      <c r="B9" s="5">
        <v>20250</v>
      </c>
      <c r="C9" s="5">
        <v>26010</v>
      </c>
      <c r="D9" s="11">
        <f t="shared" si="0"/>
        <v>5760</v>
      </c>
      <c r="E9" s="12">
        <v>19237.5</v>
      </c>
      <c r="F9" s="11">
        <f t="shared" si="1"/>
        <v>24997.5</v>
      </c>
      <c r="G9" s="13"/>
      <c r="H9" s="13"/>
      <c r="I9" s="13"/>
      <c r="J9" s="13"/>
      <c r="K9" s="13"/>
      <c r="L9" s="13">
        <f>+F9</f>
        <v>24997.5</v>
      </c>
      <c r="M9" s="13"/>
      <c r="N9" s="13"/>
      <c r="O9" s="13"/>
      <c r="P9" s="13"/>
      <c r="Q9" s="13"/>
      <c r="R9" s="13"/>
    </row>
    <row r="10" spans="1:18" x14ac:dyDescent="0.2">
      <c r="A10" s="3" t="s">
        <v>1176</v>
      </c>
      <c r="B10" s="5">
        <v>30825</v>
      </c>
      <c r="C10" s="5">
        <v>39625</v>
      </c>
      <c r="D10" s="11">
        <f t="shared" si="0"/>
        <v>8800</v>
      </c>
      <c r="E10" s="12">
        <v>29743.75</v>
      </c>
      <c r="F10" s="11">
        <f t="shared" si="1"/>
        <v>38543.75</v>
      </c>
      <c r="G10" s="13"/>
      <c r="H10" s="13"/>
      <c r="I10" s="13"/>
      <c r="J10" s="13"/>
      <c r="K10" s="13"/>
      <c r="L10" s="13"/>
      <c r="M10" s="13">
        <f>+F10</f>
        <v>38543.75</v>
      </c>
      <c r="N10" s="13"/>
      <c r="O10" s="13"/>
      <c r="P10" s="13"/>
      <c r="Q10" s="13"/>
      <c r="R10" s="13"/>
    </row>
    <row r="11" spans="1:18" x14ac:dyDescent="0.2">
      <c r="A11" s="3" t="s">
        <v>1177</v>
      </c>
      <c r="B11" s="5">
        <v>22425</v>
      </c>
      <c r="C11" s="5">
        <v>28080</v>
      </c>
      <c r="D11" s="11">
        <f t="shared" si="0"/>
        <v>5655</v>
      </c>
      <c r="E11" s="12">
        <v>22425</v>
      </c>
      <c r="F11" s="11">
        <f t="shared" si="1"/>
        <v>28080</v>
      </c>
      <c r="G11" s="13"/>
      <c r="H11" s="13"/>
      <c r="I11" s="13"/>
      <c r="J11" s="13"/>
      <c r="K11" s="13"/>
      <c r="L11" s="13"/>
      <c r="M11" s="13"/>
      <c r="N11" s="13">
        <f>+F11</f>
        <v>28080</v>
      </c>
      <c r="O11" s="13"/>
      <c r="P11" s="13"/>
      <c r="Q11" s="13"/>
      <c r="R11" s="13"/>
    </row>
    <row r="12" spans="1:18" x14ac:dyDescent="0.2">
      <c r="A12" s="3" t="s">
        <v>1178</v>
      </c>
      <c r="B12" s="5">
        <v>805568.97</v>
      </c>
      <c r="C12" s="5">
        <v>963163.98</v>
      </c>
      <c r="D12" s="11">
        <f t="shared" si="0"/>
        <v>157595.01</v>
      </c>
      <c r="E12" s="12">
        <v>563486.18999999994</v>
      </c>
      <c r="F12" s="11">
        <f t="shared" si="1"/>
        <v>721081.2</v>
      </c>
      <c r="G12" s="13">
        <f>+F12</f>
        <v>721081.2</v>
      </c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</row>
    <row r="13" spans="1:18" x14ac:dyDescent="0.2">
      <c r="A13" s="3" t="s">
        <v>1171</v>
      </c>
      <c r="B13" s="5">
        <v>68789.06</v>
      </c>
      <c r="C13" s="5">
        <v>88427.61</v>
      </c>
      <c r="D13" s="11">
        <f t="shared" si="0"/>
        <v>19638.550000000003</v>
      </c>
      <c r="E13" s="12">
        <v>74659.12</v>
      </c>
      <c r="F13" s="11">
        <f t="shared" si="1"/>
        <v>94297.67</v>
      </c>
      <c r="G13" s="13"/>
      <c r="H13" s="13">
        <f>+F13</f>
        <v>94297.67</v>
      </c>
      <c r="I13" s="13"/>
      <c r="J13" s="13"/>
      <c r="K13" s="13"/>
      <c r="L13" s="13"/>
      <c r="M13" s="13"/>
      <c r="N13" s="13"/>
      <c r="O13" s="13"/>
      <c r="P13" s="13"/>
      <c r="Q13" s="13"/>
      <c r="R13" s="13"/>
    </row>
    <row r="14" spans="1:18" x14ac:dyDescent="0.2">
      <c r="A14" s="3" t="s">
        <v>1172</v>
      </c>
      <c r="B14" s="5">
        <v>17712.84</v>
      </c>
      <c r="C14" s="5">
        <v>22831.59</v>
      </c>
      <c r="D14" s="11">
        <f t="shared" si="0"/>
        <v>5118.75</v>
      </c>
      <c r="E14" s="12">
        <v>23287.5</v>
      </c>
      <c r="F14" s="11">
        <f t="shared" si="1"/>
        <v>28406.25</v>
      </c>
      <c r="G14" s="13"/>
      <c r="H14" s="13"/>
      <c r="I14" s="13">
        <f>+F14</f>
        <v>28406.25</v>
      </c>
      <c r="J14" s="13"/>
      <c r="K14" s="13"/>
      <c r="L14" s="13"/>
      <c r="M14" s="13"/>
      <c r="N14" s="13"/>
      <c r="O14" s="13"/>
      <c r="P14" s="13"/>
      <c r="Q14" s="13"/>
      <c r="R14" s="13"/>
    </row>
    <row r="15" spans="1:18" x14ac:dyDescent="0.2">
      <c r="A15" s="3" t="s">
        <v>1173</v>
      </c>
      <c r="B15" s="5">
        <v>154926.70000000001</v>
      </c>
      <c r="C15" s="5">
        <v>185295.45</v>
      </c>
      <c r="D15" s="11">
        <f t="shared" si="0"/>
        <v>30368.75</v>
      </c>
      <c r="E15" s="12">
        <v>111765.88</v>
      </c>
      <c r="F15" s="11">
        <f t="shared" si="1"/>
        <v>142134.63</v>
      </c>
      <c r="G15" s="13"/>
      <c r="H15" s="13"/>
      <c r="I15" s="13"/>
      <c r="J15" s="13">
        <f>+F15</f>
        <v>142134.63</v>
      </c>
      <c r="K15" s="13"/>
      <c r="L15" s="13"/>
      <c r="M15" s="13"/>
      <c r="N15" s="13"/>
      <c r="O15" s="13"/>
      <c r="P15" s="13"/>
      <c r="Q15" s="13"/>
      <c r="R15" s="13"/>
    </row>
    <row r="16" spans="1:18" x14ac:dyDescent="0.2">
      <c r="A16" s="3" t="s">
        <v>1</v>
      </c>
      <c r="B16" s="5">
        <v>0</v>
      </c>
      <c r="C16" s="5">
        <v>0</v>
      </c>
      <c r="D16" s="11">
        <f t="shared" si="0"/>
        <v>0</v>
      </c>
      <c r="E16" s="12">
        <v>6400</v>
      </c>
      <c r="F16" s="11">
        <f t="shared" si="1"/>
        <v>6400</v>
      </c>
      <c r="G16" s="13"/>
      <c r="H16" s="13"/>
      <c r="I16" s="13"/>
      <c r="J16" s="13"/>
      <c r="K16" s="13"/>
      <c r="L16" s="13"/>
      <c r="M16" s="13"/>
      <c r="N16" s="13"/>
      <c r="O16" s="13">
        <f>+F16</f>
        <v>6400</v>
      </c>
      <c r="P16" s="13"/>
      <c r="Q16" s="13"/>
      <c r="R16" s="13"/>
    </row>
    <row r="17" spans="1:18" x14ac:dyDescent="0.2">
      <c r="A17" s="3" t="s">
        <v>2</v>
      </c>
      <c r="B17" s="5">
        <v>140079.99</v>
      </c>
      <c r="C17" s="5">
        <v>200802.34</v>
      </c>
      <c r="D17" s="11">
        <f t="shared" si="0"/>
        <v>60722.350000000006</v>
      </c>
      <c r="E17" s="12">
        <v>169474.75</v>
      </c>
      <c r="F17" s="11">
        <f t="shared" si="1"/>
        <v>230197.1</v>
      </c>
      <c r="G17" s="13"/>
      <c r="H17" s="13"/>
      <c r="I17" s="13"/>
      <c r="J17" s="13"/>
      <c r="K17" s="13"/>
      <c r="L17" s="13"/>
      <c r="M17" s="13"/>
      <c r="N17" s="13"/>
      <c r="O17" s="13"/>
      <c r="P17" s="13">
        <f>+F17</f>
        <v>230197.1</v>
      </c>
      <c r="Q17" s="13"/>
      <c r="R17" s="13"/>
    </row>
    <row r="18" spans="1:18" x14ac:dyDescent="0.2">
      <c r="A18" s="3" t="s">
        <v>1178</v>
      </c>
      <c r="B18" s="5">
        <v>508908.47</v>
      </c>
      <c r="C18" s="5">
        <v>670353</v>
      </c>
      <c r="D18" s="11">
        <f t="shared" si="0"/>
        <v>161444.53000000003</v>
      </c>
      <c r="E18" s="5">
        <v>512824.12</v>
      </c>
      <c r="F18" s="11">
        <f t="shared" ref="F18:F51" si="2">+D18+E18</f>
        <v>674268.65</v>
      </c>
      <c r="G18" s="13">
        <f>+F18</f>
        <v>674268.65</v>
      </c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</row>
    <row r="19" spans="1:18" x14ac:dyDescent="0.2">
      <c r="A19" s="3" t="s">
        <v>1171</v>
      </c>
      <c r="B19" s="5">
        <v>56400.31</v>
      </c>
      <c r="C19" s="5">
        <v>77511.460000000006</v>
      </c>
      <c r="D19" s="11">
        <f t="shared" si="0"/>
        <v>21111.150000000009</v>
      </c>
      <c r="E19" s="5">
        <v>51488.18</v>
      </c>
      <c r="F19" s="11">
        <f t="shared" si="2"/>
        <v>72599.330000000016</v>
      </c>
      <c r="G19" s="13"/>
      <c r="H19" s="13">
        <f>+F19</f>
        <v>72599.330000000016</v>
      </c>
      <c r="I19" s="13"/>
      <c r="J19" s="13"/>
      <c r="K19" s="13"/>
      <c r="L19" s="13"/>
      <c r="M19" s="13"/>
      <c r="N19" s="13"/>
      <c r="O19" s="13"/>
      <c r="P19" s="13"/>
      <c r="Q19" s="13"/>
      <c r="R19" s="13"/>
    </row>
    <row r="20" spans="1:18" x14ac:dyDescent="0.2">
      <c r="A20" s="3" t="s">
        <v>1172</v>
      </c>
      <c r="B20" s="5">
        <v>14960.02</v>
      </c>
      <c r="C20" s="5">
        <v>21685.02</v>
      </c>
      <c r="D20" s="11">
        <f t="shared" si="0"/>
        <v>6725</v>
      </c>
      <c r="E20" s="5">
        <v>14962.5</v>
      </c>
      <c r="F20" s="11">
        <f t="shared" si="2"/>
        <v>21687.5</v>
      </c>
      <c r="G20" s="13"/>
      <c r="H20" s="13"/>
      <c r="I20" s="13">
        <f>+F20</f>
        <v>21687.5</v>
      </c>
      <c r="J20" s="13"/>
      <c r="K20" s="13"/>
      <c r="L20" s="13"/>
      <c r="M20" s="13"/>
      <c r="N20" s="13"/>
      <c r="O20" s="13"/>
      <c r="P20" s="13"/>
      <c r="Q20" s="13"/>
      <c r="R20" s="13"/>
    </row>
    <row r="21" spans="1:18" x14ac:dyDescent="0.2">
      <c r="A21" s="3" t="s">
        <v>1173</v>
      </c>
      <c r="B21" s="5">
        <v>97125.27</v>
      </c>
      <c r="C21" s="5">
        <v>130512.77</v>
      </c>
      <c r="D21" s="11">
        <f t="shared" si="0"/>
        <v>33387.5</v>
      </c>
      <c r="E21" s="5">
        <v>102136.63</v>
      </c>
      <c r="F21" s="11">
        <f t="shared" si="2"/>
        <v>135524.13</v>
      </c>
      <c r="G21" s="13"/>
      <c r="H21" s="13"/>
      <c r="I21" s="13"/>
      <c r="J21" s="13">
        <f>+F21</f>
        <v>135524.13</v>
      </c>
      <c r="K21" s="13"/>
      <c r="L21" s="13"/>
      <c r="M21" s="13"/>
      <c r="N21" s="13"/>
      <c r="O21" s="13"/>
      <c r="P21" s="13"/>
      <c r="Q21" s="13"/>
      <c r="R21" s="13"/>
    </row>
    <row r="22" spans="1:18" x14ac:dyDescent="0.2">
      <c r="A22" s="3" t="s">
        <v>1179</v>
      </c>
      <c r="B22" s="5">
        <v>10800</v>
      </c>
      <c r="C22" s="5">
        <v>14400</v>
      </c>
      <c r="D22" s="11">
        <f t="shared" si="0"/>
        <v>3600</v>
      </c>
      <c r="E22" s="5">
        <v>11400</v>
      </c>
      <c r="F22" s="11">
        <f t="shared" si="2"/>
        <v>15000</v>
      </c>
      <c r="G22" s="13"/>
      <c r="H22" s="13"/>
      <c r="I22" s="13"/>
      <c r="J22" s="13"/>
      <c r="K22" s="13">
        <f t="shared" ref="K22:K39" si="3">+F22</f>
        <v>15000</v>
      </c>
      <c r="L22" s="13"/>
      <c r="M22" s="13"/>
      <c r="N22" s="13"/>
      <c r="O22" s="13"/>
      <c r="P22" s="13"/>
      <c r="Q22" s="13"/>
      <c r="R22" s="13"/>
    </row>
    <row r="23" spans="1:18" x14ac:dyDescent="0.2">
      <c r="A23" s="3" t="s">
        <v>1175</v>
      </c>
      <c r="B23" s="5">
        <v>3050</v>
      </c>
      <c r="C23" s="5">
        <v>4200</v>
      </c>
      <c r="D23" s="11">
        <f t="shared" si="0"/>
        <v>1150</v>
      </c>
      <c r="E23" s="5">
        <v>2550</v>
      </c>
      <c r="F23" s="11">
        <f t="shared" si="2"/>
        <v>3700</v>
      </c>
      <c r="G23" s="13"/>
      <c r="H23" s="13"/>
      <c r="I23" s="13"/>
      <c r="J23" s="13"/>
      <c r="K23" s="13"/>
      <c r="L23" s="13">
        <f>+F23</f>
        <v>3700</v>
      </c>
      <c r="M23" s="13"/>
      <c r="N23" s="13"/>
      <c r="O23" s="13"/>
      <c r="P23" s="13"/>
      <c r="Q23" s="13"/>
      <c r="R23" s="13"/>
    </row>
    <row r="24" spans="1:18" x14ac:dyDescent="0.2">
      <c r="A24" s="3" t="s">
        <v>1176</v>
      </c>
      <c r="B24" s="5">
        <v>6321.94</v>
      </c>
      <c r="C24" s="5">
        <v>8271.94</v>
      </c>
      <c r="D24" s="11">
        <f t="shared" si="0"/>
        <v>1950.0000000000009</v>
      </c>
      <c r="E24" s="5">
        <v>5925</v>
      </c>
      <c r="F24" s="11">
        <f t="shared" si="2"/>
        <v>7875.0000000000009</v>
      </c>
      <c r="G24" s="13"/>
      <c r="H24" s="13"/>
      <c r="I24" s="13"/>
      <c r="J24" s="13"/>
      <c r="K24" s="13"/>
      <c r="L24" s="13"/>
      <c r="M24" s="13">
        <f>+F24</f>
        <v>7875.0000000000009</v>
      </c>
      <c r="N24" s="13"/>
      <c r="O24" s="13"/>
      <c r="P24" s="13"/>
      <c r="Q24" s="13"/>
      <c r="R24" s="13"/>
    </row>
    <row r="25" spans="1:18" x14ac:dyDescent="0.2">
      <c r="A25" s="3" t="s">
        <v>1177</v>
      </c>
      <c r="B25" s="5">
        <v>390</v>
      </c>
      <c r="C25" s="5">
        <v>390</v>
      </c>
      <c r="D25" s="11">
        <f t="shared" si="0"/>
        <v>0</v>
      </c>
      <c r="E25" s="5">
        <v>195</v>
      </c>
      <c r="F25" s="11">
        <f t="shared" si="2"/>
        <v>195</v>
      </c>
      <c r="G25" s="13"/>
      <c r="H25" s="13"/>
      <c r="I25" s="13"/>
      <c r="J25" s="13"/>
      <c r="K25" s="13"/>
      <c r="L25" s="13"/>
      <c r="M25" s="13"/>
      <c r="N25" s="13">
        <f>+F25</f>
        <v>195</v>
      </c>
      <c r="O25" s="13"/>
      <c r="P25" s="13"/>
      <c r="Q25" s="13"/>
      <c r="R25" s="13"/>
    </row>
    <row r="26" spans="1:18" x14ac:dyDescent="0.2">
      <c r="A26" s="3" t="s">
        <v>1178</v>
      </c>
      <c r="B26" s="5">
        <v>247145.48</v>
      </c>
      <c r="C26" s="5">
        <v>305405.49</v>
      </c>
      <c r="D26" s="11">
        <f t="shared" si="0"/>
        <v>58260.00999999998</v>
      </c>
      <c r="E26" s="5">
        <v>175499.47</v>
      </c>
      <c r="F26" s="11">
        <f t="shared" si="2"/>
        <v>233759.47999999998</v>
      </c>
      <c r="G26" s="13"/>
      <c r="H26" s="13"/>
      <c r="I26" s="13"/>
      <c r="J26" s="13"/>
      <c r="K26" s="13"/>
      <c r="L26" s="13"/>
      <c r="M26" s="13"/>
      <c r="N26" s="13"/>
      <c r="O26" s="13"/>
      <c r="P26" s="13">
        <f>+F26</f>
        <v>233759.47999999998</v>
      </c>
      <c r="Q26" s="13"/>
      <c r="R26" s="13"/>
    </row>
    <row r="27" spans="1:18" x14ac:dyDescent="0.2">
      <c r="A27" s="3" t="s">
        <v>1172</v>
      </c>
      <c r="B27" s="5">
        <v>37847.89</v>
      </c>
      <c r="C27" s="5">
        <v>48166.64</v>
      </c>
      <c r="D27" s="11">
        <f t="shared" si="0"/>
        <v>10318.75</v>
      </c>
      <c r="E27" s="5">
        <v>31893.75</v>
      </c>
      <c r="F27" s="11">
        <f t="shared" si="2"/>
        <v>42212.5</v>
      </c>
      <c r="G27" s="13"/>
      <c r="H27" s="13"/>
      <c r="I27" s="13"/>
      <c r="J27" s="13"/>
      <c r="K27" s="13"/>
      <c r="L27" s="13"/>
      <c r="M27" s="13"/>
      <c r="N27" s="13"/>
      <c r="O27" s="13"/>
      <c r="P27" s="13">
        <f>+F27</f>
        <v>42212.5</v>
      </c>
      <c r="Q27" s="13"/>
      <c r="R27" s="13"/>
    </row>
    <row r="28" spans="1:18" x14ac:dyDescent="0.2">
      <c r="A28" s="3" t="s">
        <v>1179</v>
      </c>
      <c r="B28" s="5">
        <v>37261</v>
      </c>
      <c r="C28" s="5">
        <v>46611</v>
      </c>
      <c r="D28" s="11">
        <f t="shared" si="0"/>
        <v>9350</v>
      </c>
      <c r="E28" s="5">
        <v>23512.5</v>
      </c>
      <c r="F28" s="11">
        <f t="shared" si="2"/>
        <v>32862.5</v>
      </c>
      <c r="G28" s="13"/>
      <c r="H28" s="13"/>
      <c r="I28" s="13"/>
      <c r="J28" s="13"/>
      <c r="K28" s="13">
        <f t="shared" si="3"/>
        <v>32862.5</v>
      </c>
      <c r="L28" s="13"/>
      <c r="M28" s="13"/>
      <c r="N28" s="13"/>
      <c r="O28" s="13"/>
      <c r="P28" s="13"/>
      <c r="Q28" s="13"/>
      <c r="R28" s="13"/>
    </row>
    <row r="29" spans="1:18" x14ac:dyDescent="0.2">
      <c r="A29" s="3" t="s">
        <v>1175</v>
      </c>
      <c r="B29" s="5">
        <v>6350</v>
      </c>
      <c r="C29" s="5">
        <v>8100</v>
      </c>
      <c r="D29" s="11">
        <f t="shared" si="0"/>
        <v>1750</v>
      </c>
      <c r="E29" s="5">
        <v>4787.5</v>
      </c>
      <c r="F29" s="11">
        <f t="shared" si="2"/>
        <v>6537.5</v>
      </c>
      <c r="G29" s="13"/>
      <c r="H29" s="13"/>
      <c r="I29" s="13"/>
      <c r="J29" s="13"/>
      <c r="K29" s="13"/>
      <c r="L29" s="13">
        <f>+F29</f>
        <v>6537.5</v>
      </c>
      <c r="M29" s="13"/>
      <c r="N29" s="13"/>
      <c r="O29" s="13"/>
      <c r="P29" s="13"/>
      <c r="Q29" s="13"/>
      <c r="R29" s="13"/>
    </row>
    <row r="30" spans="1:18" x14ac:dyDescent="0.2">
      <c r="A30" s="3" t="s">
        <v>1176</v>
      </c>
      <c r="B30" s="5">
        <v>8075</v>
      </c>
      <c r="C30" s="5">
        <v>10375</v>
      </c>
      <c r="D30" s="11">
        <f t="shared" si="0"/>
        <v>2300</v>
      </c>
      <c r="E30" s="5">
        <v>6550</v>
      </c>
      <c r="F30" s="11">
        <f t="shared" si="2"/>
        <v>8850</v>
      </c>
      <c r="G30" s="13"/>
      <c r="H30" s="13"/>
      <c r="I30" s="13"/>
      <c r="J30" s="13"/>
      <c r="K30" s="13"/>
      <c r="L30" s="13"/>
      <c r="M30" s="13">
        <f>+F30</f>
        <v>8850</v>
      </c>
      <c r="N30" s="13"/>
      <c r="O30" s="13"/>
      <c r="P30" s="13"/>
      <c r="Q30" s="13"/>
      <c r="R30" s="13"/>
    </row>
    <row r="31" spans="1:18" x14ac:dyDescent="0.2">
      <c r="A31" s="3" t="s">
        <v>1177</v>
      </c>
      <c r="B31" s="5">
        <v>640</v>
      </c>
      <c r="C31" s="5">
        <v>640</v>
      </c>
      <c r="D31" s="11">
        <f t="shared" si="0"/>
        <v>0</v>
      </c>
      <c r="E31" s="5">
        <v>585</v>
      </c>
      <c r="F31" s="11">
        <f t="shared" si="2"/>
        <v>585</v>
      </c>
      <c r="G31" s="13"/>
      <c r="H31" s="13"/>
      <c r="I31" s="13"/>
      <c r="J31" s="13"/>
      <c r="K31" s="13"/>
      <c r="L31" s="13"/>
      <c r="M31" s="13"/>
      <c r="N31" s="13">
        <f>+F31</f>
        <v>585</v>
      </c>
      <c r="O31" s="13"/>
      <c r="P31" s="13"/>
      <c r="Q31" s="13"/>
      <c r="R31" s="13"/>
    </row>
    <row r="32" spans="1:18" x14ac:dyDescent="0.2">
      <c r="A32" s="3" t="s">
        <v>1179</v>
      </c>
      <c r="B32" s="5">
        <v>54150</v>
      </c>
      <c r="C32" s="5">
        <v>64950</v>
      </c>
      <c r="D32" s="11">
        <f t="shared" si="0"/>
        <v>10800</v>
      </c>
      <c r="E32" s="5">
        <v>51225</v>
      </c>
      <c r="F32" s="11">
        <f t="shared" si="2"/>
        <v>62025</v>
      </c>
      <c r="G32" s="13"/>
      <c r="H32" s="13"/>
      <c r="I32" s="13"/>
      <c r="J32" s="13"/>
      <c r="K32" s="13">
        <f t="shared" si="3"/>
        <v>62025</v>
      </c>
      <c r="L32" s="13"/>
      <c r="M32" s="13"/>
      <c r="N32" s="13"/>
      <c r="O32" s="13"/>
      <c r="P32" s="13"/>
      <c r="Q32" s="13"/>
      <c r="R32" s="13"/>
    </row>
    <row r="33" spans="1:18" x14ac:dyDescent="0.2">
      <c r="A33" s="3" t="s">
        <v>1175</v>
      </c>
      <c r="B33" s="5">
        <v>17100</v>
      </c>
      <c r="C33" s="5">
        <v>20500</v>
      </c>
      <c r="D33" s="11">
        <f t="shared" si="0"/>
        <v>3400</v>
      </c>
      <c r="E33" s="5">
        <v>16000</v>
      </c>
      <c r="F33" s="11">
        <f t="shared" si="2"/>
        <v>19400</v>
      </c>
      <c r="G33" s="13"/>
      <c r="H33" s="13"/>
      <c r="I33" s="13"/>
      <c r="J33" s="13"/>
      <c r="K33" s="13"/>
      <c r="L33" s="13">
        <f>+F33</f>
        <v>19400</v>
      </c>
      <c r="M33" s="13"/>
      <c r="N33" s="13"/>
      <c r="O33" s="13"/>
      <c r="P33" s="13"/>
      <c r="Q33" s="13"/>
      <c r="R33" s="13"/>
    </row>
    <row r="34" spans="1:18" x14ac:dyDescent="0.2">
      <c r="A34" s="3" t="s">
        <v>1176</v>
      </c>
      <c r="B34" s="5">
        <v>20725</v>
      </c>
      <c r="C34" s="5">
        <v>25250</v>
      </c>
      <c r="D34" s="11">
        <f t="shared" si="0"/>
        <v>4525</v>
      </c>
      <c r="E34" s="5">
        <v>18992.71</v>
      </c>
      <c r="F34" s="11">
        <f t="shared" si="2"/>
        <v>23517.71</v>
      </c>
      <c r="G34" s="13"/>
      <c r="H34" s="13"/>
      <c r="I34" s="13"/>
      <c r="J34" s="13"/>
      <c r="K34" s="13"/>
      <c r="L34" s="13"/>
      <c r="M34" s="13">
        <f>+F34</f>
        <v>23517.71</v>
      </c>
      <c r="N34" s="13"/>
      <c r="O34" s="13"/>
      <c r="P34" s="13"/>
      <c r="Q34" s="13"/>
      <c r="R34" s="13"/>
    </row>
    <row r="35" spans="1:18" x14ac:dyDescent="0.2">
      <c r="A35" s="3" t="s">
        <v>1177</v>
      </c>
      <c r="B35" s="5">
        <v>5070</v>
      </c>
      <c r="C35" s="5">
        <v>5850</v>
      </c>
      <c r="D35" s="11">
        <f t="shared" ref="D35:D52" si="4">+C35-B35</f>
        <v>780</v>
      </c>
      <c r="E35" s="5">
        <v>3705</v>
      </c>
      <c r="F35" s="11">
        <f t="shared" si="2"/>
        <v>4485</v>
      </c>
      <c r="G35" s="13"/>
      <c r="H35" s="13"/>
      <c r="I35" s="13"/>
      <c r="J35" s="13"/>
      <c r="K35" s="13"/>
      <c r="L35" s="13"/>
      <c r="M35" s="13"/>
      <c r="N35" s="13">
        <f>+F35</f>
        <v>4485</v>
      </c>
      <c r="O35" s="13"/>
      <c r="P35" s="13"/>
      <c r="Q35" s="13"/>
      <c r="R35" s="13"/>
    </row>
    <row r="36" spans="1:18" x14ac:dyDescent="0.2">
      <c r="A36" s="3" t="s">
        <v>3</v>
      </c>
      <c r="B36" s="5">
        <v>0</v>
      </c>
      <c r="C36" s="5">
        <v>0</v>
      </c>
      <c r="D36" s="11">
        <f t="shared" si="4"/>
        <v>0</v>
      </c>
      <c r="E36" s="5">
        <v>425</v>
      </c>
      <c r="F36" s="11">
        <f t="shared" si="2"/>
        <v>425</v>
      </c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>
        <f>+F36</f>
        <v>425</v>
      </c>
    </row>
    <row r="37" spans="1:18" x14ac:dyDescent="0.2">
      <c r="A37" s="3" t="s">
        <v>1178</v>
      </c>
      <c r="B37" s="5">
        <v>106445.63</v>
      </c>
      <c r="C37" s="5">
        <v>145434.38</v>
      </c>
      <c r="D37" s="11">
        <f t="shared" si="4"/>
        <v>38988.75</v>
      </c>
      <c r="E37" s="5">
        <v>144981.88</v>
      </c>
      <c r="F37" s="11">
        <f t="shared" si="2"/>
        <v>183970.63</v>
      </c>
      <c r="G37" s="13"/>
      <c r="H37" s="13"/>
      <c r="I37" s="13"/>
      <c r="J37" s="13"/>
      <c r="K37" s="13"/>
      <c r="L37" s="13"/>
      <c r="M37" s="13"/>
      <c r="N37" s="13"/>
      <c r="O37" s="13"/>
      <c r="P37" s="13">
        <f>+F37</f>
        <v>183970.63</v>
      </c>
      <c r="Q37" s="13"/>
      <c r="R37" s="13"/>
    </row>
    <row r="38" spans="1:18" x14ac:dyDescent="0.2">
      <c r="A38" s="3" t="s">
        <v>1180</v>
      </c>
      <c r="B38" s="5">
        <v>22351.59</v>
      </c>
      <c r="C38" s="5">
        <v>34064.089999999997</v>
      </c>
      <c r="D38" s="11">
        <f t="shared" si="4"/>
        <v>11712.499999999996</v>
      </c>
      <c r="E38" s="5">
        <v>28400</v>
      </c>
      <c r="F38" s="11">
        <f t="shared" si="2"/>
        <v>40112.5</v>
      </c>
      <c r="G38" s="13"/>
      <c r="H38" s="13"/>
      <c r="I38" s="13"/>
      <c r="J38" s="13"/>
      <c r="K38" s="13"/>
      <c r="L38" s="13"/>
      <c r="M38" s="13"/>
      <c r="N38" s="13"/>
      <c r="O38" s="13"/>
      <c r="P38" s="13">
        <f>+F38</f>
        <v>40112.5</v>
      </c>
      <c r="Q38" s="13"/>
      <c r="R38" s="13"/>
    </row>
    <row r="39" spans="1:18" x14ac:dyDescent="0.2">
      <c r="A39" s="3" t="s">
        <v>1179</v>
      </c>
      <c r="B39" s="5">
        <v>8625</v>
      </c>
      <c r="C39" s="5">
        <v>11250</v>
      </c>
      <c r="D39" s="11">
        <f t="shared" si="4"/>
        <v>2625</v>
      </c>
      <c r="E39" s="5">
        <v>11925</v>
      </c>
      <c r="F39" s="11">
        <f t="shared" si="2"/>
        <v>14550</v>
      </c>
      <c r="G39" s="13"/>
      <c r="H39" s="13"/>
      <c r="I39" s="13"/>
      <c r="J39" s="13"/>
      <c r="K39" s="13">
        <f t="shared" si="3"/>
        <v>14550</v>
      </c>
      <c r="L39" s="13"/>
      <c r="M39" s="13"/>
      <c r="N39" s="13"/>
      <c r="O39" s="13"/>
      <c r="P39" s="13"/>
      <c r="Q39" s="13"/>
      <c r="R39" s="13"/>
    </row>
    <row r="40" spans="1:18" x14ac:dyDescent="0.2">
      <c r="A40" s="3" t="s">
        <v>1175</v>
      </c>
      <c r="B40" s="5">
        <v>2875</v>
      </c>
      <c r="C40" s="5">
        <v>3750</v>
      </c>
      <c r="D40" s="11">
        <f t="shared" si="4"/>
        <v>875</v>
      </c>
      <c r="E40" s="5">
        <v>4050</v>
      </c>
      <c r="F40" s="11">
        <f t="shared" si="2"/>
        <v>4925</v>
      </c>
      <c r="G40" s="13"/>
      <c r="H40" s="13"/>
      <c r="I40" s="13"/>
      <c r="J40" s="13"/>
      <c r="K40" s="13"/>
      <c r="L40" s="13">
        <f>+F40</f>
        <v>4925</v>
      </c>
      <c r="M40" s="13"/>
      <c r="N40" s="13"/>
      <c r="O40" s="13"/>
      <c r="P40" s="13"/>
      <c r="Q40" s="13"/>
      <c r="R40" s="13"/>
    </row>
    <row r="41" spans="1:18" x14ac:dyDescent="0.2">
      <c r="A41" s="3" t="s">
        <v>1176</v>
      </c>
      <c r="B41" s="5">
        <v>3875</v>
      </c>
      <c r="C41" s="5">
        <v>5225</v>
      </c>
      <c r="D41" s="11">
        <f t="shared" si="4"/>
        <v>1350</v>
      </c>
      <c r="E41" s="5">
        <v>4375</v>
      </c>
      <c r="F41" s="11">
        <f t="shared" si="2"/>
        <v>5725</v>
      </c>
      <c r="G41" s="13"/>
      <c r="H41" s="13"/>
      <c r="I41" s="13"/>
      <c r="J41" s="13"/>
      <c r="K41" s="13"/>
      <c r="L41" s="13"/>
      <c r="M41" s="13">
        <f>+F41</f>
        <v>5725</v>
      </c>
      <c r="N41" s="13"/>
      <c r="O41" s="13"/>
      <c r="P41" s="13"/>
      <c r="Q41" s="13"/>
      <c r="R41" s="13"/>
    </row>
    <row r="42" spans="1:18" x14ac:dyDescent="0.2">
      <c r="A42" s="3" t="s">
        <v>1177</v>
      </c>
      <c r="B42" s="5">
        <v>0</v>
      </c>
      <c r="C42" s="5">
        <v>0</v>
      </c>
      <c r="D42" s="11">
        <f t="shared" si="4"/>
        <v>0</v>
      </c>
      <c r="E42" s="5">
        <v>390</v>
      </c>
      <c r="F42" s="11">
        <f t="shared" si="2"/>
        <v>390</v>
      </c>
      <c r="G42" s="13"/>
      <c r="H42" s="13"/>
      <c r="I42" s="13"/>
      <c r="J42" s="13"/>
      <c r="K42" s="13"/>
      <c r="L42" s="13"/>
      <c r="M42" s="13"/>
      <c r="N42" s="13">
        <f>+F42</f>
        <v>390</v>
      </c>
      <c r="O42" s="13"/>
      <c r="P42" s="13"/>
      <c r="Q42" s="13"/>
      <c r="R42" s="13"/>
    </row>
    <row r="43" spans="1:18" x14ac:dyDescent="0.2">
      <c r="A43" s="3" t="s">
        <v>1178</v>
      </c>
      <c r="B43" s="5">
        <v>294309.01</v>
      </c>
      <c r="C43" s="5">
        <v>363685.24</v>
      </c>
      <c r="D43" s="11">
        <f t="shared" si="4"/>
        <v>69376.229999999981</v>
      </c>
      <c r="E43" s="5">
        <v>223660.54</v>
      </c>
      <c r="F43" s="11">
        <f t="shared" si="2"/>
        <v>293036.77</v>
      </c>
      <c r="G43" s="13">
        <f>+F43</f>
        <v>293036.77</v>
      </c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</row>
    <row r="44" spans="1:18" x14ac:dyDescent="0.2">
      <c r="A44" s="3" t="s">
        <v>1171</v>
      </c>
      <c r="B44" s="5">
        <v>57027.44</v>
      </c>
      <c r="C44" s="5">
        <v>65943.960000000006</v>
      </c>
      <c r="D44" s="11">
        <f t="shared" si="4"/>
        <v>8916.5200000000041</v>
      </c>
      <c r="E44" s="5">
        <v>44189.22</v>
      </c>
      <c r="F44" s="11">
        <f t="shared" si="2"/>
        <v>53105.740000000005</v>
      </c>
      <c r="G44" s="13"/>
      <c r="H44" s="13">
        <f>+F44</f>
        <v>53105.740000000005</v>
      </c>
      <c r="I44" s="13"/>
      <c r="J44" s="13"/>
      <c r="K44" s="13"/>
      <c r="L44" s="13"/>
      <c r="M44" s="13"/>
      <c r="N44" s="13"/>
      <c r="O44" s="13"/>
      <c r="P44" s="13"/>
      <c r="Q44" s="13"/>
      <c r="R44" s="13"/>
    </row>
    <row r="45" spans="1:18" x14ac:dyDescent="0.2">
      <c r="A45" s="3" t="s">
        <v>1172</v>
      </c>
      <c r="B45" s="5">
        <v>16876.349999999999</v>
      </c>
      <c r="C45" s="5">
        <v>19201.349999999999</v>
      </c>
      <c r="D45" s="11">
        <f t="shared" si="4"/>
        <v>2325</v>
      </c>
      <c r="E45" s="5">
        <v>13731.25</v>
      </c>
      <c r="F45" s="11">
        <f t="shared" si="2"/>
        <v>16056.25</v>
      </c>
      <c r="G45" s="13"/>
      <c r="H45" s="13"/>
      <c r="I45" s="13">
        <f>+F45</f>
        <v>16056.25</v>
      </c>
      <c r="J45" s="13"/>
      <c r="K45" s="13"/>
      <c r="L45" s="13"/>
      <c r="M45" s="13"/>
      <c r="N45" s="13"/>
      <c r="O45" s="13"/>
      <c r="P45" s="13"/>
      <c r="Q45" s="13"/>
      <c r="R45" s="13"/>
    </row>
    <row r="46" spans="1:18" x14ac:dyDescent="0.2">
      <c r="A46" s="3" t="s">
        <v>1173</v>
      </c>
      <c r="B46" s="5">
        <v>56116.67</v>
      </c>
      <c r="C46" s="5">
        <v>69691.67</v>
      </c>
      <c r="D46" s="11">
        <f t="shared" si="4"/>
        <v>13575</v>
      </c>
      <c r="E46" s="5">
        <v>42856.25</v>
      </c>
      <c r="F46" s="11">
        <f t="shared" si="2"/>
        <v>56431.25</v>
      </c>
      <c r="G46" s="13"/>
      <c r="H46" s="13"/>
      <c r="I46" s="13"/>
      <c r="J46" s="13">
        <f>+F46</f>
        <v>56431.25</v>
      </c>
      <c r="K46" s="13"/>
      <c r="L46" s="13"/>
      <c r="M46" s="13"/>
      <c r="N46" s="13"/>
      <c r="O46" s="13"/>
      <c r="P46" s="13"/>
      <c r="Q46" s="13"/>
      <c r="R46" s="13"/>
    </row>
    <row r="47" spans="1:18" x14ac:dyDescent="0.2">
      <c r="A47" s="3" t="s">
        <v>1179</v>
      </c>
      <c r="B47" s="5">
        <v>9425</v>
      </c>
      <c r="C47" s="5">
        <v>11075</v>
      </c>
      <c r="D47" s="11">
        <f t="shared" si="4"/>
        <v>1650</v>
      </c>
      <c r="E47" s="5">
        <v>9650</v>
      </c>
      <c r="F47" s="11">
        <f t="shared" si="2"/>
        <v>11300</v>
      </c>
      <c r="G47" s="13"/>
      <c r="H47" s="13"/>
      <c r="I47" s="13"/>
      <c r="J47" s="13"/>
      <c r="K47" s="13">
        <f>+F47</f>
        <v>11300</v>
      </c>
      <c r="L47" s="13"/>
      <c r="M47" s="13"/>
      <c r="N47" s="13"/>
      <c r="O47" s="13"/>
      <c r="P47" s="13"/>
      <c r="Q47" s="13"/>
      <c r="R47" s="13"/>
    </row>
    <row r="48" spans="1:18" x14ac:dyDescent="0.2">
      <c r="A48" s="3" t="s">
        <v>1175</v>
      </c>
      <c r="B48" s="5">
        <v>3225</v>
      </c>
      <c r="C48" s="5">
        <v>3775</v>
      </c>
      <c r="D48" s="11">
        <f t="shared" si="4"/>
        <v>550</v>
      </c>
      <c r="E48" s="5">
        <v>2425</v>
      </c>
      <c r="F48" s="11">
        <f t="shared" si="2"/>
        <v>2975</v>
      </c>
      <c r="G48" s="13"/>
      <c r="H48" s="13"/>
      <c r="I48" s="13"/>
      <c r="J48" s="13"/>
      <c r="K48" s="13"/>
      <c r="L48" s="13">
        <f>+F48</f>
        <v>2975</v>
      </c>
      <c r="M48" s="13"/>
      <c r="N48" s="13"/>
      <c r="O48" s="13"/>
      <c r="P48" s="13"/>
      <c r="Q48" s="13"/>
      <c r="R48" s="13"/>
    </row>
    <row r="49" spans="1:19" x14ac:dyDescent="0.2">
      <c r="A49" s="3" t="s">
        <v>1176</v>
      </c>
      <c r="B49" s="5">
        <v>5150</v>
      </c>
      <c r="C49" s="5">
        <v>6125</v>
      </c>
      <c r="D49" s="11">
        <f t="shared" si="4"/>
        <v>975</v>
      </c>
      <c r="E49" s="5">
        <v>4150</v>
      </c>
      <c r="F49" s="11">
        <f t="shared" si="2"/>
        <v>5125</v>
      </c>
      <c r="G49" s="13"/>
      <c r="H49" s="13"/>
      <c r="I49" s="13"/>
      <c r="J49" s="13"/>
      <c r="K49" s="13"/>
      <c r="L49" s="13"/>
      <c r="M49" s="13">
        <f>+F49</f>
        <v>5125</v>
      </c>
      <c r="N49" s="13"/>
      <c r="O49" s="13"/>
      <c r="P49" s="13"/>
      <c r="Q49" s="13"/>
      <c r="R49" s="13"/>
    </row>
    <row r="50" spans="1:19" x14ac:dyDescent="0.2">
      <c r="A50" s="3" t="s">
        <v>4</v>
      </c>
      <c r="B50" s="5">
        <v>5998.92</v>
      </c>
      <c r="C50" s="5">
        <v>7339.63</v>
      </c>
      <c r="D50" s="11">
        <f t="shared" si="4"/>
        <v>1340.71</v>
      </c>
      <c r="E50" s="5">
        <v>3870.78</v>
      </c>
      <c r="F50" s="11">
        <f t="shared" si="2"/>
        <v>5211.49</v>
      </c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>
        <f>+F50</f>
        <v>5211.49</v>
      </c>
      <c r="R50" s="13"/>
    </row>
    <row r="51" spans="1:19" x14ac:dyDescent="0.2">
      <c r="A51" s="3" t="s">
        <v>5</v>
      </c>
      <c r="B51" s="9">
        <v>9709.16</v>
      </c>
      <c r="C51" s="9">
        <v>11681.16</v>
      </c>
      <c r="D51" s="15">
        <f t="shared" si="4"/>
        <v>1972</v>
      </c>
      <c r="E51" s="9">
        <v>6503.05</v>
      </c>
      <c r="F51" s="15">
        <f t="shared" si="2"/>
        <v>8475.0499999999993</v>
      </c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>
        <f>+F51</f>
        <v>8475.0499999999993</v>
      </c>
    </row>
    <row r="52" spans="1:19" x14ac:dyDescent="0.2">
      <c r="A52" s="3" t="s">
        <v>6</v>
      </c>
      <c r="B52" s="16">
        <f>ROUND(SUBTOTAL(9, B2:B51), 5)</f>
        <v>4533032.9000000004</v>
      </c>
      <c r="C52" s="16">
        <f>ROUND(SUBTOTAL(9, C2:C51), 5)</f>
        <v>5801564.2199999997</v>
      </c>
      <c r="D52" s="11">
        <f t="shared" si="4"/>
        <v>1268531.3199999994</v>
      </c>
      <c r="E52" s="13">
        <f>SUM(E3:E51)</f>
        <v>4003740.4299999997</v>
      </c>
      <c r="F52" s="13">
        <f t="shared" ref="F52:R52" si="5">SUM(F3:F51)</f>
        <v>5272271.7499999991</v>
      </c>
      <c r="G52" s="13">
        <f t="shared" si="5"/>
        <v>2962341.5</v>
      </c>
      <c r="H52" s="13">
        <f t="shared" si="5"/>
        <v>452888.78</v>
      </c>
      <c r="I52" s="13">
        <f t="shared" si="5"/>
        <v>139237.5</v>
      </c>
      <c r="J52" s="13">
        <f t="shared" si="5"/>
        <v>567958.76</v>
      </c>
      <c r="K52" s="13">
        <f t="shared" si="5"/>
        <v>213175</v>
      </c>
      <c r="L52" s="13">
        <f t="shared" si="5"/>
        <v>62535</v>
      </c>
      <c r="M52" s="13">
        <f t="shared" si="5"/>
        <v>89636.459999999992</v>
      </c>
      <c r="N52" s="13">
        <f t="shared" si="5"/>
        <v>33735</v>
      </c>
      <c r="O52" s="13">
        <f t="shared" si="5"/>
        <v>6400</v>
      </c>
      <c r="P52" s="13">
        <f t="shared" si="5"/>
        <v>730252.21</v>
      </c>
      <c r="Q52" s="13">
        <f t="shared" si="5"/>
        <v>5211.49</v>
      </c>
      <c r="R52" s="13">
        <f t="shared" si="5"/>
        <v>8900.0499999999993</v>
      </c>
      <c r="S52" s="13">
        <f>SUM(G52:R52)</f>
        <v>5272271.75</v>
      </c>
    </row>
    <row r="53" spans="1:19" customFormat="1" ht="15" x14ac:dyDescent="0.25">
      <c r="A53" s="6"/>
      <c r="B53" s="17"/>
      <c r="C53" s="17"/>
      <c r="F53" s="11"/>
      <c r="S53" s="43">
        <f>+S52-F52</f>
        <v>0</v>
      </c>
    </row>
    <row r="54" spans="1:19" x14ac:dyDescent="0.2">
      <c r="A54" s="42" t="s">
        <v>7</v>
      </c>
      <c r="F54" s="11"/>
    </row>
    <row r="55" spans="1:19" x14ac:dyDescent="0.2">
      <c r="A55" s="3" t="s">
        <v>3</v>
      </c>
      <c r="B55" s="5">
        <v>38</v>
      </c>
      <c r="C55" s="5">
        <v>-129</v>
      </c>
      <c r="D55" s="11">
        <f t="shared" ref="D55:D83" si="6">+C55-B55</f>
        <v>-167</v>
      </c>
      <c r="E55" s="5">
        <v>709.86</v>
      </c>
      <c r="F55" s="11">
        <f t="shared" ref="F55:F83" si="7">+D55+E55</f>
        <v>542.86</v>
      </c>
    </row>
    <row r="56" spans="1:19" x14ac:dyDescent="0.2">
      <c r="A56" s="3" t="s">
        <v>8</v>
      </c>
      <c r="B56" s="5"/>
      <c r="C56" s="5">
        <v>-2.2999999999999998</v>
      </c>
      <c r="D56" s="11">
        <f t="shared" si="6"/>
        <v>-2.2999999999999998</v>
      </c>
      <c r="E56" s="5">
        <v>0</v>
      </c>
      <c r="F56" s="11">
        <f t="shared" si="7"/>
        <v>-2.2999999999999998</v>
      </c>
    </row>
    <row r="57" spans="1:19" x14ac:dyDescent="0.2">
      <c r="A57" s="3" t="s">
        <v>9</v>
      </c>
      <c r="B57" s="5">
        <v>779.25</v>
      </c>
      <c r="C57" s="5">
        <v>1420.58</v>
      </c>
      <c r="D57" s="11">
        <f t="shared" si="6"/>
        <v>641.32999999999993</v>
      </c>
      <c r="E57" s="5">
        <v>693</v>
      </c>
      <c r="F57" s="11">
        <f t="shared" si="7"/>
        <v>1334.33</v>
      </c>
    </row>
    <row r="58" spans="1:19" x14ac:dyDescent="0.2">
      <c r="A58" s="3" t="s">
        <v>10</v>
      </c>
      <c r="B58" s="5">
        <v>0</v>
      </c>
      <c r="C58" s="5">
        <v>0</v>
      </c>
      <c r="D58" s="11">
        <f t="shared" si="6"/>
        <v>0</v>
      </c>
      <c r="E58" s="5">
        <v>0</v>
      </c>
      <c r="F58" s="11">
        <f t="shared" si="7"/>
        <v>0</v>
      </c>
    </row>
    <row r="59" spans="1:19" x14ac:dyDescent="0.2">
      <c r="A59" s="3" t="s">
        <v>11</v>
      </c>
      <c r="B59" s="5">
        <v>985.5</v>
      </c>
      <c r="C59" s="5">
        <v>985.5</v>
      </c>
      <c r="D59" s="11">
        <f t="shared" si="6"/>
        <v>0</v>
      </c>
      <c r="E59" s="5">
        <v>157.6</v>
      </c>
      <c r="F59" s="11">
        <f t="shared" si="7"/>
        <v>157.6</v>
      </c>
    </row>
    <row r="60" spans="1:19" x14ac:dyDescent="0.2">
      <c r="A60" s="3" t="s">
        <v>12</v>
      </c>
      <c r="B60" s="5">
        <v>14274.22</v>
      </c>
      <c r="C60" s="5">
        <v>15938.47</v>
      </c>
      <c r="D60" s="11">
        <f t="shared" si="6"/>
        <v>1664.25</v>
      </c>
      <c r="E60" s="5">
        <v>12365.58</v>
      </c>
      <c r="F60" s="11">
        <f t="shared" si="7"/>
        <v>14029.83</v>
      </c>
    </row>
    <row r="61" spans="1:19" x14ac:dyDescent="0.2">
      <c r="A61" s="3" t="s">
        <v>13</v>
      </c>
      <c r="B61" s="5">
        <v>121.36</v>
      </c>
      <c r="C61" s="5">
        <v>121.36</v>
      </c>
      <c r="D61" s="11">
        <f t="shared" si="6"/>
        <v>0</v>
      </c>
      <c r="E61" s="5">
        <v>0</v>
      </c>
      <c r="F61" s="11">
        <f t="shared" si="7"/>
        <v>0</v>
      </c>
    </row>
    <row r="62" spans="1:19" x14ac:dyDescent="0.2">
      <c r="A62" s="3" t="s">
        <v>14</v>
      </c>
      <c r="B62" s="5">
        <v>4829.38</v>
      </c>
      <c r="C62" s="5">
        <v>7810.35</v>
      </c>
      <c r="D62" s="11">
        <f t="shared" si="6"/>
        <v>2980.9700000000003</v>
      </c>
      <c r="E62" s="5">
        <v>3846.6</v>
      </c>
      <c r="F62" s="11">
        <f t="shared" si="7"/>
        <v>6827.57</v>
      </c>
    </row>
    <row r="63" spans="1:19" x14ac:dyDescent="0.2">
      <c r="A63" s="3" t="s">
        <v>15</v>
      </c>
      <c r="B63" s="5">
        <v>10949.45</v>
      </c>
      <c r="C63" s="5">
        <v>16820.86</v>
      </c>
      <c r="D63" s="11">
        <f t="shared" si="6"/>
        <v>5871.41</v>
      </c>
      <c r="E63" s="5">
        <v>11292.23</v>
      </c>
      <c r="F63" s="11">
        <f t="shared" si="7"/>
        <v>17163.64</v>
      </c>
    </row>
    <row r="64" spans="1:19" x14ac:dyDescent="0.2">
      <c r="A64" s="3" t="s">
        <v>16</v>
      </c>
      <c r="B64" s="5">
        <v>0</v>
      </c>
      <c r="C64" s="5">
        <v>0</v>
      </c>
      <c r="D64" s="11">
        <f t="shared" si="6"/>
        <v>0</v>
      </c>
      <c r="E64" s="5">
        <v>0</v>
      </c>
      <c r="F64" s="11">
        <f t="shared" si="7"/>
        <v>0</v>
      </c>
    </row>
    <row r="65" spans="1:6" x14ac:dyDescent="0.2">
      <c r="A65" s="3" t="s">
        <v>17</v>
      </c>
      <c r="B65" s="5">
        <v>1907.13</v>
      </c>
      <c r="C65" s="5">
        <v>6288.05</v>
      </c>
      <c r="D65" s="11">
        <f t="shared" si="6"/>
        <v>4380.92</v>
      </c>
      <c r="E65" s="5">
        <v>978.64</v>
      </c>
      <c r="F65" s="11">
        <f t="shared" si="7"/>
        <v>5359.56</v>
      </c>
    </row>
    <row r="66" spans="1:6" x14ac:dyDescent="0.2">
      <c r="A66" s="3" t="s">
        <v>18</v>
      </c>
      <c r="B66" s="5">
        <v>1920.45</v>
      </c>
      <c r="C66" s="5">
        <v>3067.82</v>
      </c>
      <c r="D66" s="11">
        <f t="shared" si="6"/>
        <v>1147.3700000000001</v>
      </c>
      <c r="E66" s="5">
        <v>6825.53</v>
      </c>
      <c r="F66" s="11">
        <f t="shared" si="7"/>
        <v>7972.9</v>
      </c>
    </row>
    <row r="67" spans="1:6" x14ac:dyDescent="0.2">
      <c r="A67" s="3" t="s">
        <v>19</v>
      </c>
      <c r="B67" s="5">
        <v>641.91</v>
      </c>
      <c r="C67" s="5">
        <v>3500.22</v>
      </c>
      <c r="D67" s="11">
        <f t="shared" si="6"/>
        <v>2858.31</v>
      </c>
      <c r="E67" s="5">
        <v>1526.88</v>
      </c>
      <c r="F67" s="11">
        <f t="shared" si="7"/>
        <v>4385.1900000000005</v>
      </c>
    </row>
    <row r="68" spans="1:6" x14ac:dyDescent="0.2">
      <c r="A68" s="3" t="s">
        <v>20</v>
      </c>
      <c r="B68" s="5">
        <v>15858.64</v>
      </c>
      <c r="C68" s="5">
        <v>20762.23</v>
      </c>
      <c r="D68" s="11">
        <f t="shared" si="6"/>
        <v>4903.59</v>
      </c>
      <c r="E68" s="5">
        <v>17149.84</v>
      </c>
      <c r="F68" s="11">
        <f t="shared" si="7"/>
        <v>22053.43</v>
      </c>
    </row>
    <row r="69" spans="1:6" x14ac:dyDescent="0.2">
      <c r="A69" s="3" t="s">
        <v>21</v>
      </c>
      <c r="B69" s="5">
        <v>2815.83</v>
      </c>
      <c r="C69" s="5">
        <v>2815.83</v>
      </c>
      <c r="D69" s="11">
        <f t="shared" si="6"/>
        <v>0</v>
      </c>
      <c r="E69" s="5">
        <v>0</v>
      </c>
      <c r="F69" s="11">
        <f t="shared" si="7"/>
        <v>0</v>
      </c>
    </row>
    <row r="70" spans="1:6" x14ac:dyDescent="0.2">
      <c r="A70" s="3" t="s">
        <v>22</v>
      </c>
      <c r="B70" s="5">
        <v>5073.3599999999997</v>
      </c>
      <c r="C70" s="5">
        <v>6914.85</v>
      </c>
      <c r="D70" s="11">
        <f t="shared" si="6"/>
        <v>1841.4900000000007</v>
      </c>
      <c r="E70" s="5">
        <v>4486.5600000000004</v>
      </c>
      <c r="F70" s="11">
        <f t="shared" si="7"/>
        <v>6328.0500000000011</v>
      </c>
    </row>
    <row r="71" spans="1:6" x14ac:dyDescent="0.2">
      <c r="A71" s="3" t="s">
        <v>23</v>
      </c>
      <c r="B71" s="5">
        <v>77571.81</v>
      </c>
      <c r="C71" s="5">
        <v>104007.93</v>
      </c>
      <c r="D71" s="11">
        <f t="shared" si="6"/>
        <v>26436.119999999995</v>
      </c>
      <c r="E71" s="5">
        <v>51753.86</v>
      </c>
      <c r="F71" s="11">
        <f t="shared" si="7"/>
        <v>78189.98</v>
      </c>
    </row>
    <row r="72" spans="1:6" x14ac:dyDescent="0.2">
      <c r="A72" s="3" t="s">
        <v>24</v>
      </c>
      <c r="B72" s="5">
        <v>9467.89</v>
      </c>
      <c r="C72" s="5">
        <v>16579.73</v>
      </c>
      <c r="D72" s="11">
        <f t="shared" si="6"/>
        <v>7111.84</v>
      </c>
      <c r="E72" s="5">
        <v>31170.43</v>
      </c>
      <c r="F72" s="11">
        <f t="shared" si="7"/>
        <v>38282.270000000004</v>
      </c>
    </row>
    <row r="73" spans="1:6" x14ac:dyDescent="0.2">
      <c r="A73" s="3" t="s">
        <v>25</v>
      </c>
      <c r="B73" s="5">
        <v>31202.799999999999</v>
      </c>
      <c r="C73" s="5">
        <v>34565.43</v>
      </c>
      <c r="D73" s="11">
        <f t="shared" si="6"/>
        <v>3362.630000000001</v>
      </c>
      <c r="E73" s="5">
        <v>13471.44</v>
      </c>
      <c r="F73" s="11">
        <f t="shared" si="7"/>
        <v>16834.07</v>
      </c>
    </row>
    <row r="74" spans="1:6" x14ac:dyDescent="0.2">
      <c r="A74" s="3" t="s">
        <v>26</v>
      </c>
      <c r="B74" s="5">
        <v>4612.72</v>
      </c>
      <c r="C74" s="5">
        <v>7901.7</v>
      </c>
      <c r="D74" s="11">
        <f t="shared" si="6"/>
        <v>3288.9799999999996</v>
      </c>
      <c r="E74" s="5">
        <v>2453.89</v>
      </c>
      <c r="F74" s="11">
        <f t="shared" si="7"/>
        <v>5742.869999999999</v>
      </c>
    </row>
    <row r="75" spans="1:6" x14ac:dyDescent="0.2">
      <c r="A75" s="3" t="s">
        <v>27</v>
      </c>
      <c r="B75" s="5">
        <v>3262.92</v>
      </c>
      <c r="C75" s="5">
        <v>3262.92</v>
      </c>
      <c r="D75" s="11">
        <f t="shared" si="6"/>
        <v>0</v>
      </c>
      <c r="E75" s="5">
        <v>2249.7600000000002</v>
      </c>
      <c r="F75" s="11">
        <f t="shared" si="7"/>
        <v>2249.7600000000002</v>
      </c>
    </row>
    <row r="76" spans="1:6" x14ac:dyDescent="0.2">
      <c r="A76" s="3" t="s">
        <v>28</v>
      </c>
      <c r="B76" s="5">
        <v>5911.95</v>
      </c>
      <c r="C76" s="5">
        <v>7318.1</v>
      </c>
      <c r="D76" s="11">
        <f t="shared" si="6"/>
        <v>1406.1500000000005</v>
      </c>
      <c r="E76" s="5">
        <v>6726.61</v>
      </c>
      <c r="F76" s="11">
        <f t="shared" si="7"/>
        <v>8132.76</v>
      </c>
    </row>
    <row r="77" spans="1:6" x14ac:dyDescent="0.2">
      <c r="A77" s="3" t="s">
        <v>29</v>
      </c>
      <c r="B77" s="5">
        <v>14975.23</v>
      </c>
      <c r="C77" s="5">
        <v>16195.71</v>
      </c>
      <c r="D77" s="11">
        <f t="shared" si="6"/>
        <v>1220.4799999999996</v>
      </c>
      <c r="E77" s="5">
        <v>8195.9699999999993</v>
      </c>
      <c r="F77" s="11">
        <f t="shared" si="7"/>
        <v>9416.4499999999989</v>
      </c>
    </row>
    <row r="78" spans="1:6" x14ac:dyDescent="0.2">
      <c r="A78" s="3" t="s">
        <v>30</v>
      </c>
      <c r="B78" s="5">
        <v>27778.5</v>
      </c>
      <c r="C78" s="5">
        <v>29743.63</v>
      </c>
      <c r="D78" s="11">
        <f t="shared" si="6"/>
        <v>1965.130000000001</v>
      </c>
      <c r="E78" s="5">
        <v>6050.39</v>
      </c>
      <c r="F78" s="11">
        <f t="shared" si="7"/>
        <v>8015.5200000000013</v>
      </c>
    </row>
    <row r="79" spans="1:6" x14ac:dyDescent="0.2">
      <c r="A79" s="3" t="s">
        <v>31</v>
      </c>
      <c r="B79" s="5">
        <v>56366.59</v>
      </c>
      <c r="C79" s="5">
        <v>79851.3</v>
      </c>
      <c r="D79" s="11">
        <f t="shared" si="6"/>
        <v>23484.710000000006</v>
      </c>
      <c r="E79" s="5">
        <v>68128.23</v>
      </c>
      <c r="F79" s="11">
        <f t="shared" si="7"/>
        <v>91612.94</v>
      </c>
    </row>
    <row r="80" spans="1:6" x14ac:dyDescent="0.2">
      <c r="A80" s="3" t="s">
        <v>32</v>
      </c>
      <c r="B80" s="5">
        <v>490.81</v>
      </c>
      <c r="C80" s="5">
        <v>606.91</v>
      </c>
      <c r="D80" s="11">
        <f t="shared" si="6"/>
        <v>116.09999999999997</v>
      </c>
      <c r="E80" s="5">
        <v>507.32</v>
      </c>
      <c r="F80" s="11">
        <f t="shared" si="7"/>
        <v>623.41999999999996</v>
      </c>
    </row>
    <row r="81" spans="1:6" x14ac:dyDescent="0.2">
      <c r="A81" s="3" t="s">
        <v>33</v>
      </c>
      <c r="B81" s="5">
        <v>15748.73</v>
      </c>
      <c r="C81" s="5">
        <v>20694.36</v>
      </c>
      <c r="D81" s="11">
        <f t="shared" si="6"/>
        <v>4945.630000000001</v>
      </c>
      <c r="E81" s="5">
        <v>17918.45</v>
      </c>
      <c r="F81" s="11">
        <f t="shared" si="7"/>
        <v>22864.080000000002</v>
      </c>
    </row>
    <row r="82" spans="1:6" x14ac:dyDescent="0.2">
      <c r="A82" s="3" t="s">
        <v>34</v>
      </c>
      <c r="B82" s="5">
        <v>15426.07</v>
      </c>
      <c r="C82" s="5">
        <v>21504.7</v>
      </c>
      <c r="D82" s="11">
        <f t="shared" si="6"/>
        <v>6078.630000000001</v>
      </c>
      <c r="E82" s="5">
        <v>18915.04</v>
      </c>
      <c r="F82" s="11">
        <f t="shared" si="7"/>
        <v>24993.670000000002</v>
      </c>
    </row>
    <row r="83" spans="1:6" x14ac:dyDescent="0.2">
      <c r="A83" s="3" t="s">
        <v>35</v>
      </c>
      <c r="B83" s="5">
        <v>1987.05</v>
      </c>
      <c r="C83" s="5">
        <v>3296.56</v>
      </c>
      <c r="D83" s="11">
        <f t="shared" si="6"/>
        <v>1309.51</v>
      </c>
      <c r="E83" s="5">
        <v>279.5</v>
      </c>
      <c r="F83" s="11">
        <f t="shared" si="7"/>
        <v>1589.01</v>
      </c>
    </row>
    <row r="84" spans="1:6" x14ac:dyDescent="0.2">
      <c r="A84" s="3" t="s">
        <v>36</v>
      </c>
      <c r="B84" s="5">
        <v>0</v>
      </c>
      <c r="C84" s="5">
        <v>0</v>
      </c>
      <c r="D84" s="11">
        <f t="shared" ref="D84:D107" si="8">+C84-B84</f>
        <v>0</v>
      </c>
      <c r="E84" s="5">
        <v>94.02</v>
      </c>
      <c r="F84" s="11">
        <f t="shared" ref="F84:F107" si="9">+D84+E84</f>
        <v>94.02</v>
      </c>
    </row>
    <row r="85" spans="1:6" x14ac:dyDescent="0.2">
      <c r="A85" s="3" t="s">
        <v>37</v>
      </c>
      <c r="B85" s="5">
        <v>13883.75</v>
      </c>
      <c r="C85" s="5">
        <v>20751.560000000001</v>
      </c>
      <c r="D85" s="11">
        <f t="shared" si="8"/>
        <v>6867.8100000000013</v>
      </c>
      <c r="E85" s="5">
        <v>19904.28</v>
      </c>
      <c r="F85" s="11">
        <f t="shared" si="9"/>
        <v>26772.09</v>
      </c>
    </row>
    <row r="86" spans="1:6" x14ac:dyDescent="0.2">
      <c r="A86" s="3" t="s">
        <v>38</v>
      </c>
      <c r="B86" s="5">
        <v>36272.39</v>
      </c>
      <c r="C86" s="5">
        <v>37954.57</v>
      </c>
      <c r="D86" s="11">
        <f t="shared" si="8"/>
        <v>1682.1800000000003</v>
      </c>
      <c r="E86" s="5">
        <v>31488.95</v>
      </c>
      <c r="F86" s="11">
        <f t="shared" si="9"/>
        <v>33171.130000000005</v>
      </c>
    </row>
    <row r="87" spans="1:6" x14ac:dyDescent="0.2">
      <c r="A87" s="3" t="s">
        <v>39</v>
      </c>
      <c r="B87" s="5">
        <v>2727.27</v>
      </c>
      <c r="C87" s="5">
        <v>-3643.73</v>
      </c>
      <c r="D87" s="11">
        <f t="shared" si="8"/>
        <v>-6371</v>
      </c>
      <c r="E87" s="5">
        <v>7860.55</v>
      </c>
      <c r="F87" s="11">
        <f t="shared" si="9"/>
        <v>1489.5500000000002</v>
      </c>
    </row>
    <row r="88" spans="1:6" x14ac:dyDescent="0.2">
      <c r="A88" s="3" t="s">
        <v>40</v>
      </c>
      <c r="B88" s="5">
        <v>39180.660000000003</v>
      </c>
      <c r="C88" s="5">
        <v>58519.66</v>
      </c>
      <c r="D88" s="11">
        <f t="shared" si="8"/>
        <v>19339</v>
      </c>
      <c r="E88" s="5">
        <v>29190.99</v>
      </c>
      <c r="F88" s="11">
        <f t="shared" si="9"/>
        <v>48529.990000000005</v>
      </c>
    </row>
    <row r="89" spans="1:6" x14ac:dyDescent="0.2">
      <c r="A89" s="3" t="s">
        <v>41</v>
      </c>
      <c r="B89" s="5">
        <v>3672.53</v>
      </c>
      <c r="C89" s="5">
        <v>10929.04</v>
      </c>
      <c r="D89" s="11">
        <f t="shared" si="8"/>
        <v>7256.51</v>
      </c>
      <c r="E89" s="5">
        <v>7973.14</v>
      </c>
      <c r="F89" s="11">
        <f t="shared" si="9"/>
        <v>15229.650000000001</v>
      </c>
    </row>
    <row r="90" spans="1:6" x14ac:dyDescent="0.2">
      <c r="A90" s="3" t="s">
        <v>42</v>
      </c>
      <c r="B90" s="5">
        <v>24166.73</v>
      </c>
      <c r="C90" s="5">
        <v>27476.74</v>
      </c>
      <c r="D90" s="11">
        <f t="shared" si="8"/>
        <v>3310.010000000002</v>
      </c>
      <c r="E90" s="5">
        <v>31595.84</v>
      </c>
      <c r="F90" s="11">
        <f t="shared" si="9"/>
        <v>34905.850000000006</v>
      </c>
    </row>
    <row r="91" spans="1:6" x14ac:dyDescent="0.2">
      <c r="A91" s="3" t="s">
        <v>43</v>
      </c>
      <c r="B91" s="5">
        <v>109895.42</v>
      </c>
      <c r="C91" s="5">
        <v>167354.65</v>
      </c>
      <c r="D91" s="11">
        <f t="shared" si="8"/>
        <v>57459.229999999996</v>
      </c>
      <c r="E91" s="5">
        <v>91319.92</v>
      </c>
      <c r="F91" s="11">
        <f t="shared" si="9"/>
        <v>148779.15</v>
      </c>
    </row>
    <row r="92" spans="1:6" x14ac:dyDescent="0.2">
      <c r="A92" s="3" t="s">
        <v>44</v>
      </c>
      <c r="B92" s="5">
        <v>29760.61</v>
      </c>
      <c r="C92" s="5">
        <v>35003.760000000002</v>
      </c>
      <c r="D92" s="11">
        <f t="shared" si="8"/>
        <v>5243.1500000000015</v>
      </c>
      <c r="E92" s="5">
        <v>28275.86</v>
      </c>
      <c r="F92" s="11">
        <f t="shared" si="9"/>
        <v>33519.01</v>
      </c>
    </row>
    <row r="93" spans="1:6" x14ac:dyDescent="0.2">
      <c r="A93" s="3" t="s">
        <v>45</v>
      </c>
      <c r="B93" s="5">
        <v>18072.82</v>
      </c>
      <c r="C93" s="5">
        <v>23030.21</v>
      </c>
      <c r="D93" s="11">
        <f t="shared" si="8"/>
        <v>4957.3899999999994</v>
      </c>
      <c r="E93" s="5">
        <v>21457.66</v>
      </c>
      <c r="F93" s="11">
        <f t="shared" si="9"/>
        <v>26415.05</v>
      </c>
    </row>
    <row r="94" spans="1:6" x14ac:dyDescent="0.2">
      <c r="A94" s="3" t="s">
        <v>46</v>
      </c>
      <c r="B94" s="5">
        <v>29324.87</v>
      </c>
      <c r="C94" s="5">
        <v>39546.980000000003</v>
      </c>
      <c r="D94" s="11">
        <f t="shared" si="8"/>
        <v>10222.110000000004</v>
      </c>
      <c r="E94" s="5">
        <v>25678.65</v>
      </c>
      <c r="F94" s="11">
        <f t="shared" si="9"/>
        <v>35900.760000000009</v>
      </c>
    </row>
    <row r="95" spans="1:6" x14ac:dyDescent="0.2">
      <c r="A95" s="3" t="s">
        <v>47</v>
      </c>
      <c r="B95" s="5">
        <v>17436.009999999998</v>
      </c>
      <c r="C95" s="5">
        <v>28489.72</v>
      </c>
      <c r="D95" s="11">
        <f t="shared" si="8"/>
        <v>11053.710000000003</v>
      </c>
      <c r="E95" s="5">
        <v>31063.05</v>
      </c>
      <c r="F95" s="11">
        <f t="shared" si="9"/>
        <v>42116.76</v>
      </c>
    </row>
    <row r="96" spans="1:6" x14ac:dyDescent="0.2">
      <c r="A96" s="3" t="s">
        <v>48</v>
      </c>
      <c r="B96" s="5">
        <v>430.45</v>
      </c>
      <c r="C96" s="5">
        <v>560.45000000000005</v>
      </c>
      <c r="D96" s="11">
        <f t="shared" si="8"/>
        <v>130.00000000000006</v>
      </c>
      <c r="E96" s="5">
        <v>28.17</v>
      </c>
      <c r="F96" s="11">
        <f t="shared" si="9"/>
        <v>158.17000000000007</v>
      </c>
    </row>
    <row r="97" spans="1:6" x14ac:dyDescent="0.2">
      <c r="A97" s="3" t="s">
        <v>49</v>
      </c>
      <c r="B97" s="5">
        <v>29986.93</v>
      </c>
      <c r="C97" s="5">
        <v>44963.83</v>
      </c>
      <c r="D97" s="11">
        <f t="shared" si="8"/>
        <v>14976.900000000001</v>
      </c>
      <c r="E97" s="5">
        <v>47105.599999999999</v>
      </c>
      <c r="F97" s="11">
        <f t="shared" si="9"/>
        <v>62082.5</v>
      </c>
    </row>
    <row r="98" spans="1:6" x14ac:dyDescent="0.2">
      <c r="A98" s="3" t="s">
        <v>50</v>
      </c>
      <c r="B98" s="5">
        <v>21614.28</v>
      </c>
      <c r="C98" s="5">
        <v>28601.21</v>
      </c>
      <c r="D98" s="11">
        <f t="shared" si="8"/>
        <v>6986.93</v>
      </c>
      <c r="E98" s="5">
        <v>30050.32</v>
      </c>
      <c r="F98" s="11">
        <f t="shared" si="9"/>
        <v>37037.25</v>
      </c>
    </row>
    <row r="99" spans="1:6" x14ac:dyDescent="0.2">
      <c r="A99" s="3" t="s">
        <v>51</v>
      </c>
      <c r="B99" s="5">
        <v>22055.37</v>
      </c>
      <c r="C99" s="5">
        <v>27250.34</v>
      </c>
      <c r="D99" s="11">
        <f t="shared" si="8"/>
        <v>5194.9700000000012</v>
      </c>
      <c r="E99" s="5">
        <v>49218.78</v>
      </c>
      <c r="F99" s="11">
        <f t="shared" si="9"/>
        <v>54413.75</v>
      </c>
    </row>
    <row r="100" spans="1:6" x14ac:dyDescent="0.2">
      <c r="A100" s="3" t="s">
        <v>52</v>
      </c>
      <c r="B100" s="5">
        <v>185</v>
      </c>
      <c r="C100" s="5">
        <v>185</v>
      </c>
      <c r="D100" s="11">
        <f t="shared" si="8"/>
        <v>0</v>
      </c>
      <c r="F100" s="11">
        <f t="shared" si="9"/>
        <v>0</v>
      </c>
    </row>
    <row r="101" spans="1:6" x14ac:dyDescent="0.2">
      <c r="A101" s="3" t="s">
        <v>53</v>
      </c>
      <c r="B101" s="5">
        <v>1762.04</v>
      </c>
      <c r="C101" s="5">
        <v>1762.04</v>
      </c>
      <c r="D101" s="11">
        <f t="shared" si="8"/>
        <v>0</v>
      </c>
      <c r="E101" s="5">
        <v>467.23</v>
      </c>
      <c r="F101" s="11">
        <f t="shared" si="9"/>
        <v>467.23</v>
      </c>
    </row>
    <row r="102" spans="1:6" x14ac:dyDescent="0.2">
      <c r="A102" s="3" t="s">
        <v>54</v>
      </c>
      <c r="B102" s="5">
        <v>0</v>
      </c>
      <c r="C102" s="5">
        <v>0</v>
      </c>
      <c r="D102" s="11">
        <f t="shared" si="8"/>
        <v>0</v>
      </c>
      <c r="E102" s="5">
        <v>0</v>
      </c>
      <c r="F102" s="11">
        <f t="shared" si="9"/>
        <v>0</v>
      </c>
    </row>
    <row r="103" spans="1:6" x14ac:dyDescent="0.2">
      <c r="A103" s="3" t="s">
        <v>55</v>
      </c>
      <c r="B103" s="5">
        <v>1186.3599999999999</v>
      </c>
      <c r="C103" s="5">
        <v>1186.3599999999999</v>
      </c>
      <c r="D103" s="11">
        <f t="shared" si="8"/>
        <v>0</v>
      </c>
      <c r="E103" s="5">
        <v>931.57</v>
      </c>
      <c r="F103" s="11">
        <f t="shared" si="9"/>
        <v>931.57</v>
      </c>
    </row>
    <row r="104" spans="1:6" x14ac:dyDescent="0.2">
      <c r="A104" s="3" t="s">
        <v>56</v>
      </c>
      <c r="B104" s="5">
        <v>691.43</v>
      </c>
      <c r="C104" s="5">
        <v>955.41</v>
      </c>
      <c r="D104" s="11">
        <f t="shared" si="8"/>
        <v>263.98</v>
      </c>
      <c r="E104" s="5">
        <v>3393.34</v>
      </c>
      <c r="F104" s="11">
        <f t="shared" si="9"/>
        <v>3657.32</v>
      </c>
    </row>
    <row r="105" spans="1:6" x14ac:dyDescent="0.2">
      <c r="A105" s="3" t="s">
        <v>57</v>
      </c>
      <c r="B105" s="5">
        <v>206.55</v>
      </c>
      <c r="C105" s="5">
        <v>298.95</v>
      </c>
      <c r="D105" s="11">
        <f t="shared" si="8"/>
        <v>92.399999999999977</v>
      </c>
      <c r="E105" s="5">
        <v>0</v>
      </c>
      <c r="F105" s="11">
        <f t="shared" si="9"/>
        <v>92.399999999999977</v>
      </c>
    </row>
    <row r="106" spans="1:6" x14ac:dyDescent="0.2">
      <c r="A106" s="3" t="s">
        <v>58</v>
      </c>
      <c r="B106" s="5">
        <v>538.52</v>
      </c>
      <c r="C106" s="5">
        <v>901.09</v>
      </c>
      <c r="D106" s="11">
        <f t="shared" si="8"/>
        <v>362.57000000000005</v>
      </c>
      <c r="E106" s="5">
        <v>2920.88</v>
      </c>
      <c r="F106" s="11">
        <f t="shared" si="9"/>
        <v>3283.4500000000003</v>
      </c>
    </row>
    <row r="107" spans="1:6" x14ac:dyDescent="0.2">
      <c r="A107" s="3" t="s">
        <v>59</v>
      </c>
      <c r="B107" s="5">
        <v>0</v>
      </c>
      <c r="C107" s="5">
        <v>0</v>
      </c>
      <c r="D107" s="11">
        <f t="shared" si="8"/>
        <v>0</v>
      </c>
      <c r="E107" s="5">
        <v>183.29</v>
      </c>
      <c r="F107" s="11">
        <f t="shared" si="9"/>
        <v>183.29</v>
      </c>
    </row>
    <row r="108" spans="1:6" x14ac:dyDescent="0.2">
      <c r="A108" s="3" t="s">
        <v>60</v>
      </c>
      <c r="B108" s="5">
        <v>2876.87</v>
      </c>
      <c r="C108" s="5">
        <v>4011.06</v>
      </c>
      <c r="D108" s="11">
        <f t="shared" ref="D108:D132" si="10">+C108-B108</f>
        <v>1134.19</v>
      </c>
      <c r="E108" s="5">
        <v>3720.11</v>
      </c>
      <c r="F108" s="11">
        <f t="shared" ref="F108:F132" si="11">+D108+E108</f>
        <v>4854.3</v>
      </c>
    </row>
    <row r="109" spans="1:6" x14ac:dyDescent="0.2">
      <c r="A109" s="3" t="s">
        <v>61</v>
      </c>
      <c r="B109" s="5">
        <v>51079.93</v>
      </c>
      <c r="C109" s="5">
        <v>69064.37</v>
      </c>
      <c r="D109" s="11">
        <f t="shared" si="10"/>
        <v>17984.439999999995</v>
      </c>
      <c r="E109" s="5">
        <v>45486.28</v>
      </c>
      <c r="F109" s="11">
        <f t="shared" si="11"/>
        <v>63470.719999999994</v>
      </c>
    </row>
    <row r="110" spans="1:6" x14ac:dyDescent="0.2">
      <c r="A110" s="3" t="s">
        <v>62</v>
      </c>
      <c r="B110" s="5">
        <v>0</v>
      </c>
      <c r="C110" s="5">
        <v>0</v>
      </c>
      <c r="D110" s="11">
        <f t="shared" si="10"/>
        <v>0</v>
      </c>
      <c r="E110" s="5">
        <v>1534.69</v>
      </c>
      <c r="F110" s="11">
        <f t="shared" si="11"/>
        <v>1534.69</v>
      </c>
    </row>
    <row r="111" spans="1:6" x14ac:dyDescent="0.2">
      <c r="A111" s="3" t="s">
        <v>63</v>
      </c>
      <c r="B111" s="5">
        <v>400</v>
      </c>
      <c r="C111" s="5">
        <v>400</v>
      </c>
      <c r="D111" s="11">
        <f t="shared" si="10"/>
        <v>0</v>
      </c>
      <c r="E111" s="5">
        <v>125.61</v>
      </c>
      <c r="F111" s="11">
        <f t="shared" si="11"/>
        <v>125.61</v>
      </c>
    </row>
    <row r="112" spans="1:6" x14ac:dyDescent="0.2">
      <c r="A112" s="3" t="s">
        <v>64</v>
      </c>
      <c r="B112" s="5">
        <v>27.16</v>
      </c>
      <c r="C112" s="5">
        <v>27.16</v>
      </c>
      <c r="D112" s="11">
        <f t="shared" si="10"/>
        <v>0</v>
      </c>
      <c r="E112" s="5">
        <v>1844.88</v>
      </c>
      <c r="F112" s="11">
        <f t="shared" si="11"/>
        <v>1844.88</v>
      </c>
    </row>
    <row r="113" spans="1:6" x14ac:dyDescent="0.2">
      <c r="A113" s="3" t="s">
        <v>65</v>
      </c>
      <c r="B113" s="5">
        <v>0</v>
      </c>
      <c r="C113" s="5">
        <v>0</v>
      </c>
      <c r="D113" s="11">
        <f t="shared" si="10"/>
        <v>0</v>
      </c>
      <c r="E113" s="5">
        <v>269.02</v>
      </c>
      <c r="F113" s="11">
        <f t="shared" si="11"/>
        <v>269.02</v>
      </c>
    </row>
    <row r="114" spans="1:6" x14ac:dyDescent="0.2">
      <c r="A114" s="3" t="s">
        <v>66</v>
      </c>
      <c r="B114" s="5">
        <v>0</v>
      </c>
      <c r="C114" s="5">
        <v>0</v>
      </c>
      <c r="D114" s="11">
        <f t="shared" si="10"/>
        <v>0</v>
      </c>
      <c r="E114" s="5">
        <v>12.56</v>
      </c>
      <c r="F114" s="11">
        <f t="shared" si="11"/>
        <v>12.56</v>
      </c>
    </row>
    <row r="115" spans="1:6" x14ac:dyDescent="0.2">
      <c r="A115" s="3" t="s">
        <v>67</v>
      </c>
      <c r="B115" s="5">
        <v>1031.3</v>
      </c>
      <c r="C115" s="5">
        <v>1347.22</v>
      </c>
      <c r="D115" s="11">
        <f t="shared" si="10"/>
        <v>315.92000000000007</v>
      </c>
      <c r="E115" s="5">
        <v>2936.61</v>
      </c>
      <c r="F115" s="11">
        <f t="shared" si="11"/>
        <v>3252.53</v>
      </c>
    </row>
    <row r="116" spans="1:6" x14ac:dyDescent="0.2">
      <c r="A116" s="3" t="s">
        <v>68</v>
      </c>
      <c r="B116" s="5">
        <v>131.61000000000001</v>
      </c>
      <c r="C116" s="5">
        <v>131.61000000000001</v>
      </c>
      <c r="D116" s="11">
        <f t="shared" si="10"/>
        <v>0</v>
      </c>
      <c r="E116" s="5">
        <v>2938.4</v>
      </c>
      <c r="F116" s="11">
        <f t="shared" si="11"/>
        <v>2938.4</v>
      </c>
    </row>
    <row r="117" spans="1:6" x14ac:dyDescent="0.2">
      <c r="A117" s="3" t="s">
        <v>69</v>
      </c>
      <c r="B117" s="5">
        <v>413.15</v>
      </c>
      <c r="C117" s="5">
        <v>649.89</v>
      </c>
      <c r="D117" s="11">
        <f t="shared" si="10"/>
        <v>236.74</v>
      </c>
      <c r="E117" s="5">
        <v>1961.56</v>
      </c>
      <c r="F117" s="11">
        <f t="shared" si="11"/>
        <v>2198.3000000000002</v>
      </c>
    </row>
    <row r="118" spans="1:6" x14ac:dyDescent="0.2">
      <c r="A118" s="3" t="s">
        <v>70</v>
      </c>
      <c r="B118" s="5">
        <v>0</v>
      </c>
      <c r="C118" s="5">
        <v>0</v>
      </c>
      <c r="D118" s="11">
        <f t="shared" si="10"/>
        <v>0</v>
      </c>
      <c r="E118" s="5">
        <v>1630.5</v>
      </c>
      <c r="F118" s="11">
        <f t="shared" si="11"/>
        <v>1630.5</v>
      </c>
    </row>
    <row r="119" spans="1:6" x14ac:dyDescent="0.2">
      <c r="A119" s="3" t="s">
        <v>71</v>
      </c>
      <c r="B119" s="5">
        <v>4815.9799999999996</v>
      </c>
      <c r="C119" s="5">
        <v>4815.9799999999996</v>
      </c>
      <c r="D119" s="11">
        <f t="shared" si="10"/>
        <v>0</v>
      </c>
      <c r="E119" s="5">
        <v>1043.52</v>
      </c>
      <c r="F119" s="11">
        <f t="shared" si="11"/>
        <v>1043.52</v>
      </c>
    </row>
    <row r="120" spans="1:6" x14ac:dyDescent="0.2">
      <c r="A120" s="3" t="s">
        <v>72</v>
      </c>
      <c r="B120" s="5">
        <v>119702.43</v>
      </c>
      <c r="C120" s="5">
        <v>158426.97</v>
      </c>
      <c r="D120" s="11">
        <f t="shared" si="10"/>
        <v>38724.540000000008</v>
      </c>
      <c r="E120" s="5">
        <v>119712.61</v>
      </c>
      <c r="F120" s="11">
        <f t="shared" si="11"/>
        <v>158437.15000000002</v>
      </c>
    </row>
    <row r="121" spans="1:6" x14ac:dyDescent="0.2">
      <c r="A121" s="3" t="s">
        <v>73</v>
      </c>
      <c r="B121" s="5">
        <v>1320380.8500000001</v>
      </c>
      <c r="C121" s="5">
        <v>1690407.64</v>
      </c>
      <c r="D121" s="11">
        <f t="shared" si="10"/>
        <v>370026.7899999998</v>
      </c>
      <c r="E121" s="5">
        <v>1178586.4099999999</v>
      </c>
      <c r="F121" s="11">
        <f t="shared" si="11"/>
        <v>1548613.1999999997</v>
      </c>
    </row>
    <row r="122" spans="1:6" x14ac:dyDescent="0.2">
      <c r="A122" s="3" t="s">
        <v>74</v>
      </c>
      <c r="B122" s="5">
        <v>90.48</v>
      </c>
      <c r="C122" s="5">
        <v>90.48</v>
      </c>
      <c r="D122" s="11">
        <f t="shared" si="10"/>
        <v>0</v>
      </c>
      <c r="E122" s="5">
        <v>18029.16</v>
      </c>
      <c r="F122" s="11">
        <f t="shared" si="11"/>
        <v>18029.16</v>
      </c>
    </row>
    <row r="123" spans="1:6" x14ac:dyDescent="0.2">
      <c r="A123" s="3" t="s">
        <v>75</v>
      </c>
      <c r="B123" s="5">
        <v>209331.44</v>
      </c>
      <c r="C123" s="5">
        <v>265374.08000000002</v>
      </c>
      <c r="D123" s="11">
        <f t="shared" si="10"/>
        <v>56042.640000000014</v>
      </c>
      <c r="E123" s="5">
        <v>170394.54</v>
      </c>
      <c r="F123" s="11">
        <f t="shared" si="11"/>
        <v>226437.18000000002</v>
      </c>
    </row>
    <row r="124" spans="1:6" x14ac:dyDescent="0.2">
      <c r="A124" s="3" t="s">
        <v>76</v>
      </c>
      <c r="B124" s="5">
        <v>15967.52</v>
      </c>
      <c r="C124" s="5">
        <v>15967.52</v>
      </c>
      <c r="D124" s="11">
        <f t="shared" si="10"/>
        <v>0</v>
      </c>
      <c r="E124" s="5">
        <v>0</v>
      </c>
      <c r="F124" s="11">
        <f t="shared" si="11"/>
        <v>0</v>
      </c>
    </row>
    <row r="125" spans="1:6" x14ac:dyDescent="0.2">
      <c r="A125" s="3" t="s">
        <v>77</v>
      </c>
      <c r="B125" s="5">
        <v>21517.07</v>
      </c>
      <c r="C125" s="5">
        <v>33130.730000000003</v>
      </c>
      <c r="D125" s="11">
        <f t="shared" si="10"/>
        <v>11613.660000000003</v>
      </c>
      <c r="E125" s="5">
        <v>31572.1</v>
      </c>
      <c r="F125" s="11">
        <f t="shared" si="11"/>
        <v>43185.760000000002</v>
      </c>
    </row>
    <row r="126" spans="1:6" x14ac:dyDescent="0.2">
      <c r="A126" s="3" t="s">
        <v>78</v>
      </c>
      <c r="B126" s="5">
        <v>146049.15</v>
      </c>
      <c r="C126" s="5">
        <v>197198.22</v>
      </c>
      <c r="D126" s="11">
        <f t="shared" si="10"/>
        <v>51149.070000000007</v>
      </c>
      <c r="E126" s="5">
        <v>103069.56</v>
      </c>
      <c r="F126" s="11">
        <f t="shared" si="11"/>
        <v>154218.63</v>
      </c>
    </row>
    <row r="127" spans="1:6" x14ac:dyDescent="0.2">
      <c r="A127" s="3" t="s">
        <v>79</v>
      </c>
      <c r="B127" s="5">
        <v>1598.6</v>
      </c>
      <c r="C127" s="5">
        <v>0</v>
      </c>
      <c r="D127" s="11">
        <f t="shared" si="10"/>
        <v>-1598.6</v>
      </c>
      <c r="E127" s="5">
        <v>0</v>
      </c>
      <c r="F127" s="11">
        <f t="shared" si="11"/>
        <v>-1598.6</v>
      </c>
    </row>
    <row r="128" spans="1:6" x14ac:dyDescent="0.2">
      <c r="A128" s="3" t="s">
        <v>80</v>
      </c>
      <c r="B128" s="5">
        <v>21640.57</v>
      </c>
      <c r="C128" s="5">
        <v>2309.46</v>
      </c>
      <c r="D128" s="11">
        <f t="shared" si="10"/>
        <v>-19331.11</v>
      </c>
      <c r="E128" s="5">
        <v>1795.28</v>
      </c>
      <c r="F128" s="11">
        <f t="shared" si="11"/>
        <v>-17535.830000000002</v>
      </c>
    </row>
    <row r="129" spans="1:6" x14ac:dyDescent="0.2">
      <c r="A129" s="3" t="s">
        <v>81</v>
      </c>
      <c r="B129" s="5">
        <v>5591.57</v>
      </c>
      <c r="C129" s="5">
        <v>20497.36</v>
      </c>
      <c r="D129" s="11">
        <f t="shared" si="10"/>
        <v>14905.79</v>
      </c>
      <c r="E129" s="5">
        <v>7679.1</v>
      </c>
      <c r="F129" s="11">
        <f t="shared" si="11"/>
        <v>22584.89</v>
      </c>
    </row>
    <row r="130" spans="1:6" x14ac:dyDescent="0.2">
      <c r="A130" s="3" t="s">
        <v>82</v>
      </c>
      <c r="B130" s="5">
        <v>0</v>
      </c>
      <c r="C130" s="5">
        <v>6818.89</v>
      </c>
      <c r="D130" s="11">
        <f t="shared" si="10"/>
        <v>6818.89</v>
      </c>
      <c r="E130" s="5">
        <v>2410.62</v>
      </c>
      <c r="F130" s="11">
        <f t="shared" si="11"/>
        <v>9229.51</v>
      </c>
    </row>
    <row r="131" spans="1:6" x14ac:dyDescent="0.2">
      <c r="A131" s="3" t="s">
        <v>83</v>
      </c>
      <c r="B131" s="5">
        <v>1542.48</v>
      </c>
      <c r="C131" s="5">
        <v>1542.48</v>
      </c>
      <c r="D131" s="11">
        <f t="shared" si="10"/>
        <v>0</v>
      </c>
      <c r="E131" s="5">
        <v>0</v>
      </c>
      <c r="F131" s="11">
        <f t="shared" si="11"/>
        <v>0</v>
      </c>
    </row>
    <row r="132" spans="1:6" x14ac:dyDescent="0.2">
      <c r="A132" s="3" t="s">
        <v>84</v>
      </c>
      <c r="B132" s="9">
        <v>4227.12</v>
      </c>
      <c r="C132" s="5">
        <v>4927.8599999999997</v>
      </c>
      <c r="D132" s="15">
        <f t="shared" si="10"/>
        <v>700.73999999999978</v>
      </c>
      <c r="E132" s="9">
        <v>3589.49</v>
      </c>
      <c r="F132" s="15">
        <f t="shared" si="11"/>
        <v>4290.2299999999996</v>
      </c>
    </row>
    <row r="133" spans="1:6" x14ac:dyDescent="0.2">
      <c r="A133" s="3" t="s">
        <v>85</v>
      </c>
      <c r="B133" s="10">
        <f>SUM(B55:B132)</f>
        <v>2656462.8199999998</v>
      </c>
      <c r="C133" s="10">
        <f>SUM(C55:C132)</f>
        <v>3461060.6199999996</v>
      </c>
      <c r="D133" s="10">
        <f>SUM(D55:D132)</f>
        <v>804597.79999999993</v>
      </c>
      <c r="E133" s="10">
        <f>SUM(E55:E132)</f>
        <v>2448397.9100000006</v>
      </c>
      <c r="F133" s="10">
        <f>SUM(F55:F132)</f>
        <v>3252995.7099999995</v>
      </c>
    </row>
    <row r="134" spans="1:6" customFormat="1" ht="15" x14ac:dyDescent="0.25">
      <c r="A134" s="6"/>
      <c r="B134" s="1"/>
      <c r="C134" s="7"/>
      <c r="D134" s="11"/>
      <c r="F134" s="11"/>
    </row>
    <row r="135" spans="1:6" x14ac:dyDescent="0.2">
      <c r="A135" s="3" t="s">
        <v>86</v>
      </c>
      <c r="B135" s="16">
        <f>-(ROUND(-B52+B133, 5))</f>
        <v>1876570.08</v>
      </c>
      <c r="C135" s="16">
        <f>-(ROUND(-C52+C133, 5))</f>
        <v>2340503.6</v>
      </c>
      <c r="D135" s="5">
        <f>-(ROUND(-D52+D133, 5))</f>
        <v>463933.52</v>
      </c>
      <c r="E135" s="5">
        <f>-(ROUND(-E52+E133, 5))</f>
        <v>1555342.52</v>
      </c>
      <c r="F135" s="5">
        <f>-(ROUND(-F52+F133, 5))</f>
        <v>2019276.04</v>
      </c>
    </row>
    <row r="136" spans="1:6" customFormat="1" ht="15" x14ac:dyDescent="0.25">
      <c r="A136" s="6"/>
      <c r="B136" s="17"/>
      <c r="C136" s="17"/>
      <c r="F136" s="11"/>
    </row>
    <row r="137" spans="1:6" x14ac:dyDescent="0.2">
      <c r="A137" s="42" t="s">
        <v>220</v>
      </c>
      <c r="F137" s="11"/>
    </row>
    <row r="138" spans="1:6" x14ac:dyDescent="0.2">
      <c r="A138" s="3" t="s">
        <v>87</v>
      </c>
      <c r="B138" s="5"/>
      <c r="C138" s="5">
        <v>1953</v>
      </c>
      <c r="D138" s="11">
        <f t="shared" ref="D138:D167" si="12">+C138-B138</f>
        <v>1953</v>
      </c>
      <c r="E138" s="5">
        <v>0</v>
      </c>
      <c r="F138" s="11">
        <f t="shared" ref="F138:F167" si="13">+D138+E138</f>
        <v>1953</v>
      </c>
    </row>
    <row r="139" spans="1:6" x14ac:dyDescent="0.2">
      <c r="A139" s="3" t="s">
        <v>88</v>
      </c>
      <c r="B139" s="5"/>
      <c r="C139" s="5">
        <v>0</v>
      </c>
      <c r="D139" s="11">
        <f t="shared" si="12"/>
        <v>0</v>
      </c>
      <c r="E139" s="5">
        <v>55.91</v>
      </c>
      <c r="F139" s="11">
        <f t="shared" si="13"/>
        <v>55.91</v>
      </c>
    </row>
    <row r="140" spans="1:6" x14ac:dyDescent="0.2">
      <c r="A140" s="3" t="s">
        <v>89</v>
      </c>
      <c r="B140" s="5"/>
      <c r="C140" s="5">
        <v>0</v>
      </c>
      <c r="D140" s="11">
        <f t="shared" si="12"/>
        <v>0</v>
      </c>
      <c r="E140" s="5">
        <v>3431.48</v>
      </c>
      <c r="F140" s="11">
        <f t="shared" si="13"/>
        <v>3431.48</v>
      </c>
    </row>
    <row r="141" spans="1:6" x14ac:dyDescent="0.2">
      <c r="A141" s="3" t="s">
        <v>90</v>
      </c>
      <c r="B141" s="5">
        <v>9227.4699999999993</v>
      </c>
      <c r="C141" s="5">
        <v>3416.54</v>
      </c>
      <c r="D141" s="11">
        <f t="shared" si="12"/>
        <v>-5810.9299999999994</v>
      </c>
      <c r="E141" s="5">
        <v>0</v>
      </c>
      <c r="F141" s="11">
        <f t="shared" si="13"/>
        <v>-5810.9299999999994</v>
      </c>
    </row>
    <row r="142" spans="1:6" x14ac:dyDescent="0.2">
      <c r="A142" s="3" t="s">
        <v>91</v>
      </c>
      <c r="B142" s="5">
        <v>1295</v>
      </c>
      <c r="C142" s="5">
        <v>3140</v>
      </c>
      <c r="D142" s="11">
        <f t="shared" si="12"/>
        <v>1845</v>
      </c>
      <c r="E142" s="5">
        <v>1990</v>
      </c>
      <c r="F142" s="11">
        <f t="shared" si="13"/>
        <v>3835</v>
      </c>
    </row>
    <row r="143" spans="1:6" x14ac:dyDescent="0.2">
      <c r="A143" s="3" t="s">
        <v>92</v>
      </c>
      <c r="B143" s="5">
        <v>117895.67999999999</v>
      </c>
      <c r="C143" s="5">
        <v>157194.23999999999</v>
      </c>
      <c r="D143" s="11">
        <f t="shared" si="12"/>
        <v>39298.559999999998</v>
      </c>
      <c r="E143" s="5">
        <v>117895.67999999999</v>
      </c>
      <c r="F143" s="11">
        <f t="shared" si="13"/>
        <v>157194.23999999999</v>
      </c>
    </row>
    <row r="144" spans="1:6" x14ac:dyDescent="0.2">
      <c r="A144" s="3" t="s">
        <v>93</v>
      </c>
      <c r="B144" s="5">
        <v>147676.60999999999</v>
      </c>
      <c r="C144" s="5">
        <v>197237.93</v>
      </c>
      <c r="D144" s="11">
        <f t="shared" si="12"/>
        <v>49561.320000000007</v>
      </c>
      <c r="E144" s="5">
        <v>150502.31</v>
      </c>
      <c r="F144" s="11">
        <f t="shared" si="13"/>
        <v>200063.63</v>
      </c>
    </row>
    <row r="145" spans="1:6" x14ac:dyDescent="0.2">
      <c r="A145" s="3" t="s">
        <v>94</v>
      </c>
      <c r="B145" s="5">
        <v>43410.84</v>
      </c>
      <c r="C145" s="5">
        <v>56342.89</v>
      </c>
      <c r="D145" s="11">
        <f t="shared" si="12"/>
        <v>12932.050000000003</v>
      </c>
      <c r="E145" s="5">
        <v>34441.74</v>
      </c>
      <c r="F145" s="11">
        <f t="shared" si="13"/>
        <v>47373.79</v>
      </c>
    </row>
    <row r="146" spans="1:6" x14ac:dyDescent="0.2">
      <c r="A146" s="3" t="s">
        <v>95</v>
      </c>
      <c r="B146" s="5">
        <v>448.52</v>
      </c>
      <c r="C146" s="5">
        <v>493.48</v>
      </c>
      <c r="D146" s="11">
        <f t="shared" si="12"/>
        <v>44.960000000000036</v>
      </c>
      <c r="E146" s="5">
        <v>5406.8</v>
      </c>
      <c r="F146" s="11">
        <f t="shared" si="13"/>
        <v>5451.76</v>
      </c>
    </row>
    <row r="147" spans="1:6" x14ac:dyDescent="0.2">
      <c r="A147" s="3" t="s">
        <v>96</v>
      </c>
      <c r="B147" s="5">
        <v>17226.43</v>
      </c>
      <c r="C147" s="5">
        <v>35967.629999999997</v>
      </c>
      <c r="D147" s="11">
        <f t="shared" si="12"/>
        <v>18741.199999999997</v>
      </c>
      <c r="E147" s="5">
        <v>35771.75</v>
      </c>
      <c r="F147" s="11">
        <f t="shared" si="13"/>
        <v>54512.95</v>
      </c>
    </row>
    <row r="148" spans="1:6" x14ac:dyDescent="0.2">
      <c r="A148" s="3" t="s">
        <v>97</v>
      </c>
      <c r="B148" s="5">
        <v>60659.34</v>
      </c>
      <c r="C148" s="5">
        <v>64797.45</v>
      </c>
      <c r="D148" s="11">
        <f t="shared" si="12"/>
        <v>4138.1100000000006</v>
      </c>
      <c r="E148" s="5">
        <v>24583.8</v>
      </c>
      <c r="F148" s="11">
        <f t="shared" si="13"/>
        <v>28721.91</v>
      </c>
    </row>
    <row r="149" spans="1:6" x14ac:dyDescent="0.2">
      <c r="A149" s="3" t="s">
        <v>98</v>
      </c>
      <c r="B149" s="5">
        <v>112523</v>
      </c>
      <c r="C149" s="5">
        <v>124285.52</v>
      </c>
      <c r="D149" s="11">
        <f t="shared" si="12"/>
        <v>11762.520000000004</v>
      </c>
      <c r="E149" s="5">
        <v>25148.55</v>
      </c>
      <c r="F149" s="11">
        <f t="shared" si="13"/>
        <v>36911.070000000007</v>
      </c>
    </row>
    <row r="150" spans="1:6" x14ac:dyDescent="0.2">
      <c r="A150" s="3" t="s">
        <v>99</v>
      </c>
      <c r="B150" s="5">
        <v>22255.68</v>
      </c>
      <c r="C150" s="5">
        <v>30099.97</v>
      </c>
      <c r="D150" s="11">
        <f t="shared" si="12"/>
        <v>7844.2900000000009</v>
      </c>
      <c r="E150" s="5">
        <v>27860.65</v>
      </c>
      <c r="F150" s="11">
        <f t="shared" si="13"/>
        <v>35704.94</v>
      </c>
    </row>
    <row r="151" spans="1:6" x14ac:dyDescent="0.2">
      <c r="A151" s="3" t="s">
        <v>100</v>
      </c>
      <c r="B151" s="5">
        <v>1364.8</v>
      </c>
      <c r="C151" s="5">
        <v>6932.24</v>
      </c>
      <c r="D151" s="11">
        <f t="shared" si="12"/>
        <v>5567.44</v>
      </c>
      <c r="E151" s="5">
        <v>1033.68</v>
      </c>
      <c r="F151" s="11">
        <f t="shared" si="13"/>
        <v>6601.12</v>
      </c>
    </row>
    <row r="152" spans="1:6" x14ac:dyDescent="0.2">
      <c r="A152" s="3" t="s">
        <v>101</v>
      </c>
      <c r="B152" s="5">
        <v>69</v>
      </c>
      <c r="C152" s="5">
        <v>106</v>
      </c>
      <c r="D152" s="11">
        <f t="shared" si="12"/>
        <v>37</v>
      </c>
      <c r="E152" s="5">
        <v>20</v>
      </c>
      <c r="F152" s="11">
        <f t="shared" si="13"/>
        <v>57</v>
      </c>
    </row>
    <row r="153" spans="1:6" x14ac:dyDescent="0.2">
      <c r="A153" s="3" t="s">
        <v>102</v>
      </c>
      <c r="B153" s="5">
        <v>6834.06</v>
      </c>
      <c r="C153" s="5">
        <v>4173.32</v>
      </c>
      <c r="D153" s="11">
        <f t="shared" si="12"/>
        <v>-2660.7400000000007</v>
      </c>
      <c r="E153" s="5">
        <v>5598.33</v>
      </c>
      <c r="F153" s="11">
        <f t="shared" si="13"/>
        <v>2937.5899999999992</v>
      </c>
    </row>
    <row r="154" spans="1:6" x14ac:dyDescent="0.2">
      <c r="A154" s="3" t="s">
        <v>103</v>
      </c>
      <c r="B154" s="5">
        <v>183317.44</v>
      </c>
      <c r="C154" s="5">
        <v>313167</v>
      </c>
      <c r="D154" s="11">
        <f t="shared" si="12"/>
        <v>129849.56</v>
      </c>
      <c r="E154" s="5">
        <v>181754.44</v>
      </c>
      <c r="F154" s="11">
        <f t="shared" si="13"/>
        <v>311604</v>
      </c>
    </row>
    <row r="155" spans="1:6" x14ac:dyDescent="0.2">
      <c r="A155" s="3" t="s">
        <v>104</v>
      </c>
      <c r="B155" s="5">
        <v>6205</v>
      </c>
      <c r="C155" s="5">
        <v>6205</v>
      </c>
      <c r="D155" s="11">
        <f t="shared" si="12"/>
        <v>0</v>
      </c>
      <c r="E155" s="5">
        <v>7040</v>
      </c>
      <c r="F155" s="11">
        <f t="shared" si="13"/>
        <v>7040</v>
      </c>
    </row>
    <row r="156" spans="1:6" x14ac:dyDescent="0.2">
      <c r="A156" s="3" t="s">
        <v>105</v>
      </c>
      <c r="B156" s="5">
        <v>7199</v>
      </c>
      <c r="C156" s="5">
        <v>8619.02</v>
      </c>
      <c r="D156" s="11">
        <f t="shared" si="12"/>
        <v>1420.0200000000004</v>
      </c>
      <c r="E156" s="5">
        <v>23443.3</v>
      </c>
      <c r="F156" s="11">
        <f t="shared" si="13"/>
        <v>24863.32</v>
      </c>
    </row>
    <row r="157" spans="1:6" x14ac:dyDescent="0.2">
      <c r="A157" s="3" t="s">
        <v>106</v>
      </c>
      <c r="B157" s="5">
        <v>150</v>
      </c>
      <c r="C157" s="5">
        <v>0</v>
      </c>
      <c r="D157" s="11">
        <f t="shared" si="12"/>
        <v>-150</v>
      </c>
      <c r="E157" s="5">
        <v>0</v>
      </c>
      <c r="F157" s="11">
        <f t="shared" si="13"/>
        <v>-150</v>
      </c>
    </row>
    <row r="158" spans="1:6" x14ac:dyDescent="0.2">
      <c r="A158" s="3" t="s">
        <v>107</v>
      </c>
      <c r="B158" s="5">
        <v>12023.47</v>
      </c>
      <c r="C158" s="5">
        <v>19855.650000000001</v>
      </c>
      <c r="D158" s="11">
        <f t="shared" si="12"/>
        <v>7832.1800000000021</v>
      </c>
      <c r="E158" s="5">
        <v>9037.7000000000007</v>
      </c>
      <c r="F158" s="11">
        <f t="shared" si="13"/>
        <v>16869.880000000005</v>
      </c>
    </row>
    <row r="159" spans="1:6" x14ac:dyDescent="0.2">
      <c r="A159" s="3" t="s">
        <v>108</v>
      </c>
      <c r="B159" s="5">
        <v>51776.6</v>
      </c>
      <c r="C159" s="5">
        <v>50817</v>
      </c>
      <c r="D159" s="11">
        <f t="shared" si="12"/>
        <v>-959.59999999999854</v>
      </c>
      <c r="E159" s="5">
        <v>26023.45</v>
      </c>
      <c r="F159" s="11">
        <f t="shared" si="13"/>
        <v>25063.850000000002</v>
      </c>
    </row>
    <row r="160" spans="1:6" x14ac:dyDescent="0.2">
      <c r="A160" s="3" t="s">
        <v>109</v>
      </c>
      <c r="C160" s="5">
        <v>23841.24</v>
      </c>
      <c r="D160" s="11">
        <f t="shared" si="12"/>
        <v>23841.24</v>
      </c>
      <c r="E160" s="5">
        <v>12249.8</v>
      </c>
      <c r="F160" s="11">
        <f t="shared" si="13"/>
        <v>36091.040000000001</v>
      </c>
    </row>
    <row r="161" spans="1:6" x14ac:dyDescent="0.2">
      <c r="A161" s="3" t="s">
        <v>110</v>
      </c>
      <c r="B161" s="5">
        <v>10028.02</v>
      </c>
      <c r="C161" s="5">
        <v>10507.18</v>
      </c>
      <c r="D161" s="11">
        <f t="shared" si="12"/>
        <v>479.15999999999985</v>
      </c>
      <c r="E161" s="5">
        <v>5084.09</v>
      </c>
      <c r="F161" s="11">
        <f t="shared" si="13"/>
        <v>5563.25</v>
      </c>
    </row>
    <row r="162" spans="1:6" x14ac:dyDescent="0.2">
      <c r="A162" s="3" t="s">
        <v>111</v>
      </c>
      <c r="B162" s="5">
        <v>600</v>
      </c>
      <c r="C162" s="5">
        <v>600</v>
      </c>
      <c r="D162" s="11">
        <f t="shared" si="12"/>
        <v>0</v>
      </c>
      <c r="E162" s="5">
        <v>0</v>
      </c>
      <c r="F162" s="11">
        <f t="shared" si="13"/>
        <v>0</v>
      </c>
    </row>
    <row r="163" spans="1:6" x14ac:dyDescent="0.2">
      <c r="A163" s="3" t="s">
        <v>112</v>
      </c>
      <c r="B163" s="5">
        <v>41119.589999999997</v>
      </c>
      <c r="C163" s="5">
        <v>54773.55</v>
      </c>
      <c r="D163" s="11">
        <f t="shared" si="12"/>
        <v>13653.960000000006</v>
      </c>
      <c r="E163" s="5">
        <v>32380.93</v>
      </c>
      <c r="F163" s="11">
        <f t="shared" si="13"/>
        <v>46034.890000000007</v>
      </c>
    </row>
    <row r="164" spans="1:6" x14ac:dyDescent="0.2">
      <c r="A164" s="3" t="s">
        <v>113</v>
      </c>
      <c r="B164" s="5">
        <v>96915.81</v>
      </c>
      <c r="C164" s="5">
        <v>138784.94</v>
      </c>
      <c r="D164" s="11">
        <f t="shared" si="12"/>
        <v>41869.130000000005</v>
      </c>
      <c r="E164" s="5">
        <v>56659.360000000001</v>
      </c>
      <c r="F164" s="11">
        <f t="shared" si="13"/>
        <v>98528.49</v>
      </c>
    </row>
    <row r="165" spans="1:6" x14ac:dyDescent="0.2">
      <c r="A165" s="3" t="s">
        <v>114</v>
      </c>
      <c r="B165" s="5">
        <v>12497.98</v>
      </c>
      <c r="C165" s="5">
        <v>16984.53</v>
      </c>
      <c r="D165" s="11">
        <f t="shared" si="12"/>
        <v>4486.5499999999993</v>
      </c>
      <c r="E165" s="5">
        <v>26382.73</v>
      </c>
      <c r="F165" s="11">
        <f t="shared" si="13"/>
        <v>30869.279999999999</v>
      </c>
    </row>
    <row r="166" spans="1:6" x14ac:dyDescent="0.2">
      <c r="A166" s="3" t="s">
        <v>115</v>
      </c>
      <c r="B166" s="5">
        <v>94292.79</v>
      </c>
      <c r="C166" s="5">
        <v>122394.1</v>
      </c>
      <c r="D166" s="11">
        <f t="shared" si="12"/>
        <v>28101.310000000012</v>
      </c>
      <c r="E166" s="5">
        <v>96772.02</v>
      </c>
      <c r="F166" s="11">
        <f t="shared" si="13"/>
        <v>124873.33000000002</v>
      </c>
    </row>
    <row r="167" spans="1:6" x14ac:dyDescent="0.2">
      <c r="A167" s="3" t="s">
        <v>116</v>
      </c>
      <c r="B167" s="5">
        <v>2387.38</v>
      </c>
      <c r="C167" s="5">
        <v>2963.24</v>
      </c>
      <c r="D167" s="11">
        <f t="shared" si="12"/>
        <v>575.85999999999967</v>
      </c>
      <c r="E167" s="5">
        <v>836.49</v>
      </c>
      <c r="F167" s="11">
        <f t="shared" si="13"/>
        <v>1412.3499999999997</v>
      </c>
    </row>
    <row r="168" spans="1:6" x14ac:dyDescent="0.2">
      <c r="A168" s="3" t="s">
        <v>117</v>
      </c>
      <c r="B168" s="5">
        <v>26309.18</v>
      </c>
      <c r="C168" s="5">
        <v>27848.43</v>
      </c>
      <c r="D168" s="11">
        <f t="shared" ref="D168:D195" si="14">+C168-B168</f>
        <v>1539.25</v>
      </c>
      <c r="E168" s="5">
        <v>10981.8</v>
      </c>
      <c r="F168" s="11">
        <f t="shared" ref="F168:F195" si="15">+D168+E168</f>
        <v>12521.05</v>
      </c>
    </row>
    <row r="169" spans="1:6" x14ac:dyDescent="0.2">
      <c r="A169" s="3" t="s">
        <v>118</v>
      </c>
      <c r="B169" s="5">
        <v>3426.45</v>
      </c>
      <c r="C169" s="5">
        <v>1795.83</v>
      </c>
      <c r="D169" s="11">
        <f t="shared" si="14"/>
        <v>-1630.62</v>
      </c>
      <c r="E169" s="5">
        <v>-38</v>
      </c>
      <c r="F169" s="11">
        <f t="shared" si="15"/>
        <v>-1668.62</v>
      </c>
    </row>
    <row r="170" spans="1:6" x14ac:dyDescent="0.2">
      <c r="A170" s="3" t="s">
        <v>119</v>
      </c>
      <c r="B170" s="5">
        <v>100164.36</v>
      </c>
      <c r="C170" s="5">
        <v>114558.09</v>
      </c>
      <c r="D170" s="11">
        <f t="shared" si="14"/>
        <v>14393.729999999996</v>
      </c>
      <c r="E170" s="5">
        <v>84217.02</v>
      </c>
      <c r="F170" s="11">
        <f t="shared" si="15"/>
        <v>98610.75</v>
      </c>
    </row>
    <row r="171" spans="1:6" x14ac:dyDescent="0.2">
      <c r="A171" s="3" t="s">
        <v>120</v>
      </c>
      <c r="B171" s="5">
        <v>6874.56</v>
      </c>
      <c r="C171" s="5">
        <v>9140.0300000000007</v>
      </c>
      <c r="D171" s="11">
        <f t="shared" si="14"/>
        <v>2265.4700000000003</v>
      </c>
      <c r="E171" s="5">
        <v>6667.61</v>
      </c>
      <c r="F171" s="11">
        <f t="shared" si="15"/>
        <v>8933.08</v>
      </c>
    </row>
    <row r="172" spans="1:6" x14ac:dyDescent="0.2">
      <c r="A172" s="3" t="s">
        <v>121</v>
      </c>
      <c r="B172" s="5">
        <v>3486.25</v>
      </c>
      <c r="C172" s="5">
        <v>3771.25</v>
      </c>
      <c r="D172" s="11">
        <f t="shared" si="14"/>
        <v>285</v>
      </c>
      <c r="E172" s="5">
        <v>7057.5</v>
      </c>
      <c r="F172" s="11">
        <f t="shared" si="15"/>
        <v>7342.5</v>
      </c>
    </row>
    <row r="173" spans="1:6" x14ac:dyDescent="0.2">
      <c r="A173" s="3" t="s">
        <v>122</v>
      </c>
      <c r="B173" s="5">
        <v>88316.44</v>
      </c>
      <c r="C173" s="5">
        <v>134802.85</v>
      </c>
      <c r="D173" s="11">
        <f t="shared" si="14"/>
        <v>46486.41</v>
      </c>
      <c r="E173" s="5">
        <v>88647.23</v>
      </c>
      <c r="F173" s="11">
        <f t="shared" si="15"/>
        <v>135133.64000000001</v>
      </c>
    </row>
    <row r="174" spans="1:6" x14ac:dyDescent="0.2">
      <c r="A174" s="3" t="s">
        <v>123</v>
      </c>
      <c r="B174" s="5">
        <v>1174.48</v>
      </c>
      <c r="C174" s="5">
        <v>1664.48</v>
      </c>
      <c r="D174" s="11">
        <f t="shared" si="14"/>
        <v>490</v>
      </c>
      <c r="E174" s="5">
        <v>30.52</v>
      </c>
      <c r="F174" s="11">
        <f t="shared" si="15"/>
        <v>520.52</v>
      </c>
    </row>
    <row r="175" spans="1:6" x14ac:dyDescent="0.2">
      <c r="A175" s="3" t="s">
        <v>124</v>
      </c>
      <c r="B175" s="5">
        <v>14580.94</v>
      </c>
      <c r="C175" s="5">
        <v>22032.54</v>
      </c>
      <c r="D175" s="11">
        <f t="shared" si="14"/>
        <v>7451.6</v>
      </c>
      <c r="E175" s="5">
        <v>17133.93</v>
      </c>
      <c r="F175" s="11">
        <f t="shared" si="15"/>
        <v>24585.53</v>
      </c>
    </row>
    <row r="176" spans="1:6" x14ac:dyDescent="0.2">
      <c r="A176" s="3" t="s">
        <v>125</v>
      </c>
      <c r="B176" s="5">
        <v>2309.12</v>
      </c>
      <c r="C176" s="5">
        <v>3968.95</v>
      </c>
      <c r="D176" s="11">
        <f t="shared" si="14"/>
        <v>1659.83</v>
      </c>
      <c r="E176" s="5">
        <v>3016.7</v>
      </c>
      <c r="F176" s="11">
        <f t="shared" si="15"/>
        <v>4676.53</v>
      </c>
    </row>
    <row r="177" spans="1:6" x14ac:dyDescent="0.2">
      <c r="A177" s="3" t="s">
        <v>126</v>
      </c>
      <c r="B177" s="5">
        <v>2856</v>
      </c>
      <c r="C177" s="5">
        <v>2856</v>
      </c>
      <c r="D177" s="11">
        <f t="shared" si="14"/>
        <v>0</v>
      </c>
      <c r="E177" s="5">
        <v>1350.43</v>
      </c>
      <c r="F177" s="11">
        <f t="shared" si="15"/>
        <v>1350.43</v>
      </c>
    </row>
    <row r="178" spans="1:6" x14ac:dyDescent="0.2">
      <c r="A178" s="3" t="s">
        <v>127</v>
      </c>
      <c r="B178" s="5">
        <v>5128.59</v>
      </c>
      <c r="C178" s="5">
        <v>4685.32</v>
      </c>
      <c r="D178" s="11">
        <f t="shared" si="14"/>
        <v>-443.27000000000044</v>
      </c>
      <c r="E178" s="5">
        <v>6422.15</v>
      </c>
      <c r="F178" s="11">
        <f t="shared" si="15"/>
        <v>5978.8799999999992</v>
      </c>
    </row>
    <row r="179" spans="1:6" x14ac:dyDescent="0.2">
      <c r="A179" s="3" t="s">
        <v>128</v>
      </c>
      <c r="B179" s="5">
        <v>17.05</v>
      </c>
      <c r="C179" s="5">
        <v>17.05</v>
      </c>
      <c r="D179" s="11">
        <f t="shared" si="14"/>
        <v>0</v>
      </c>
      <c r="E179" s="5">
        <v>0</v>
      </c>
      <c r="F179" s="11">
        <f t="shared" si="15"/>
        <v>0</v>
      </c>
    </row>
    <row r="180" spans="1:6" x14ac:dyDescent="0.2">
      <c r="A180" s="3" t="s">
        <v>129</v>
      </c>
      <c r="B180" s="5">
        <v>13.67</v>
      </c>
      <c r="C180" s="5">
        <v>13.67</v>
      </c>
      <c r="D180" s="11">
        <f t="shared" si="14"/>
        <v>0</v>
      </c>
      <c r="E180" s="5">
        <v>0</v>
      </c>
      <c r="F180" s="11">
        <f t="shared" si="15"/>
        <v>0</v>
      </c>
    </row>
    <row r="181" spans="1:6" x14ac:dyDescent="0.2">
      <c r="A181" s="3" t="s">
        <v>130</v>
      </c>
      <c r="B181" s="5">
        <v>561.33000000000004</v>
      </c>
      <c r="C181" s="5">
        <v>665.04</v>
      </c>
      <c r="D181" s="11">
        <f t="shared" si="14"/>
        <v>103.70999999999992</v>
      </c>
      <c r="E181" s="5">
        <v>987.18</v>
      </c>
      <c r="F181" s="11">
        <f t="shared" si="15"/>
        <v>1090.8899999999999</v>
      </c>
    </row>
    <row r="182" spans="1:6" x14ac:dyDescent="0.2">
      <c r="A182" s="3" t="s">
        <v>131</v>
      </c>
      <c r="B182" s="5">
        <v>0</v>
      </c>
      <c r="C182" s="5">
        <v>0</v>
      </c>
      <c r="D182" s="11">
        <f t="shared" si="14"/>
        <v>0</v>
      </c>
      <c r="E182" s="5">
        <v>766.47</v>
      </c>
      <c r="F182" s="11">
        <f t="shared" si="15"/>
        <v>766.47</v>
      </c>
    </row>
    <row r="183" spans="1:6" x14ac:dyDescent="0.2">
      <c r="A183" s="3" t="s">
        <v>132</v>
      </c>
      <c r="B183" s="5">
        <v>914.95</v>
      </c>
      <c r="C183" s="5">
        <v>2737.71</v>
      </c>
      <c r="D183" s="11">
        <f t="shared" si="14"/>
        <v>1822.76</v>
      </c>
      <c r="E183" s="5">
        <v>941.38</v>
      </c>
      <c r="F183" s="11">
        <f t="shared" si="15"/>
        <v>2764.14</v>
      </c>
    </row>
    <row r="184" spans="1:6" x14ac:dyDescent="0.2">
      <c r="A184" s="3" t="s">
        <v>134</v>
      </c>
      <c r="B184" s="5">
        <v>33046.639999999999</v>
      </c>
      <c r="C184" s="5">
        <v>42292.44</v>
      </c>
      <c r="D184" s="11">
        <f t="shared" si="14"/>
        <v>9245.8000000000029</v>
      </c>
      <c r="E184" s="5">
        <v>28399.09</v>
      </c>
      <c r="F184" s="11">
        <f t="shared" si="15"/>
        <v>37644.89</v>
      </c>
    </row>
    <row r="185" spans="1:6" x14ac:dyDescent="0.2">
      <c r="A185" s="3" t="s">
        <v>135</v>
      </c>
      <c r="B185" s="5">
        <v>4495</v>
      </c>
      <c r="C185" s="5">
        <v>4495</v>
      </c>
      <c r="D185" s="11">
        <f t="shared" si="14"/>
        <v>0</v>
      </c>
      <c r="E185" s="5">
        <v>4298.38</v>
      </c>
      <c r="F185" s="11">
        <f t="shared" si="15"/>
        <v>4298.38</v>
      </c>
    </row>
    <row r="186" spans="1:6" x14ac:dyDescent="0.2">
      <c r="A186" s="3" t="s">
        <v>136</v>
      </c>
      <c r="B186" s="5">
        <v>2247.1</v>
      </c>
      <c r="C186" s="5">
        <v>2247.1</v>
      </c>
      <c r="D186" s="11">
        <f t="shared" si="14"/>
        <v>0</v>
      </c>
      <c r="E186" s="5">
        <v>2610</v>
      </c>
      <c r="F186" s="11">
        <f t="shared" si="15"/>
        <v>2610</v>
      </c>
    </row>
    <row r="187" spans="1:6" x14ac:dyDescent="0.2">
      <c r="A187" s="3" t="s">
        <v>137</v>
      </c>
      <c r="B187" s="5">
        <v>59770.58</v>
      </c>
      <c r="C187" s="5">
        <v>85222.65</v>
      </c>
      <c r="D187" s="11">
        <f t="shared" si="14"/>
        <v>25452.069999999992</v>
      </c>
      <c r="E187" s="5">
        <v>69673.58</v>
      </c>
      <c r="F187" s="11">
        <f t="shared" si="15"/>
        <v>95125.65</v>
      </c>
    </row>
    <row r="188" spans="1:6" x14ac:dyDescent="0.2">
      <c r="A188" s="3" t="s">
        <v>138</v>
      </c>
      <c r="B188" s="5">
        <v>4771.82</v>
      </c>
      <c r="C188" s="5">
        <v>4706.82</v>
      </c>
      <c r="D188" s="11">
        <f t="shared" si="14"/>
        <v>-65</v>
      </c>
      <c r="E188" s="5">
        <v>-541.98</v>
      </c>
      <c r="F188" s="11">
        <f t="shared" si="15"/>
        <v>-606.98</v>
      </c>
    </row>
    <row r="189" spans="1:6" x14ac:dyDescent="0.2">
      <c r="A189" s="3" t="s">
        <v>139</v>
      </c>
      <c r="B189" s="5">
        <v>167500.48000000001</v>
      </c>
      <c r="C189" s="5">
        <v>190673.38</v>
      </c>
      <c r="D189" s="11">
        <f t="shared" si="14"/>
        <v>23172.899999999994</v>
      </c>
      <c r="E189" s="5">
        <v>144473.32999999999</v>
      </c>
      <c r="F189" s="11">
        <f t="shared" si="15"/>
        <v>167646.22999999998</v>
      </c>
    </row>
    <row r="190" spans="1:6" x14ac:dyDescent="0.2">
      <c r="A190" s="3" t="s">
        <v>140</v>
      </c>
      <c r="B190" s="5">
        <v>17626.45</v>
      </c>
      <c r="C190" s="5">
        <v>26138.38</v>
      </c>
      <c r="D190" s="11">
        <f t="shared" si="14"/>
        <v>8511.93</v>
      </c>
      <c r="E190" s="5">
        <v>26145.06</v>
      </c>
      <c r="F190" s="11">
        <f t="shared" si="15"/>
        <v>34656.990000000005</v>
      </c>
    </row>
    <row r="191" spans="1:6" x14ac:dyDescent="0.2">
      <c r="A191" s="3" t="s">
        <v>141</v>
      </c>
      <c r="B191" s="5">
        <v>17610.55</v>
      </c>
      <c r="C191" s="5">
        <v>22212.06</v>
      </c>
      <c r="D191" s="11">
        <f t="shared" si="14"/>
        <v>4601.510000000002</v>
      </c>
      <c r="E191" s="5">
        <v>18324.509999999998</v>
      </c>
      <c r="F191" s="11">
        <f t="shared" si="15"/>
        <v>22926.02</v>
      </c>
    </row>
    <row r="192" spans="1:6" x14ac:dyDescent="0.2">
      <c r="A192" s="3" t="s">
        <v>142</v>
      </c>
      <c r="B192" s="5">
        <v>23155.96</v>
      </c>
      <c r="C192" s="5">
        <v>91255.89</v>
      </c>
      <c r="D192" s="11">
        <f t="shared" si="14"/>
        <v>68099.929999999993</v>
      </c>
      <c r="E192" s="5">
        <v>50754.71</v>
      </c>
      <c r="F192" s="11">
        <f t="shared" si="15"/>
        <v>118854.63999999998</v>
      </c>
    </row>
    <row r="193" spans="1:6" x14ac:dyDescent="0.2">
      <c r="A193" s="3" t="s">
        <v>143</v>
      </c>
      <c r="B193" s="13">
        <v>17126.46</v>
      </c>
      <c r="C193" s="5">
        <v>27236.58</v>
      </c>
      <c r="D193" s="11">
        <f t="shared" si="14"/>
        <v>10110.120000000003</v>
      </c>
      <c r="E193" s="5">
        <v>25105.41</v>
      </c>
      <c r="F193" s="11">
        <f t="shared" si="15"/>
        <v>35215.53</v>
      </c>
    </row>
    <row r="194" spans="1:6" x14ac:dyDescent="0.2">
      <c r="A194" s="3" t="s">
        <v>144</v>
      </c>
      <c r="B194" s="5">
        <v>-3550.81</v>
      </c>
      <c r="C194" s="5">
        <v>0</v>
      </c>
      <c r="D194" s="11">
        <f t="shared" si="14"/>
        <v>3550.81</v>
      </c>
      <c r="E194" s="5">
        <v>4119.51</v>
      </c>
      <c r="F194" s="11">
        <f t="shared" si="15"/>
        <v>7670.32</v>
      </c>
    </row>
    <row r="195" spans="1:6" x14ac:dyDescent="0.2">
      <c r="A195" s="3" t="s">
        <v>145</v>
      </c>
      <c r="B195" s="9">
        <v>0</v>
      </c>
      <c r="C195" s="5">
        <v>0</v>
      </c>
      <c r="D195" s="15">
        <f t="shared" si="14"/>
        <v>0</v>
      </c>
      <c r="E195" s="9">
        <v>0</v>
      </c>
      <c r="F195" s="15">
        <f t="shared" si="15"/>
        <v>0</v>
      </c>
    </row>
    <row r="196" spans="1:6" customFormat="1" ht="15" x14ac:dyDescent="0.25">
      <c r="A196" s="6"/>
      <c r="B196" s="7"/>
      <c r="C196" s="7"/>
      <c r="D196" s="11"/>
      <c r="F196" s="11"/>
    </row>
    <row r="197" spans="1:6" x14ac:dyDescent="0.2">
      <c r="A197" s="3" t="s">
        <v>146</v>
      </c>
      <c r="B197" s="16">
        <f>SUM(B138:B195)</f>
        <v>1659333.11</v>
      </c>
      <c r="C197" s="16">
        <f>ROUND(SUBTOTAL(9, C137:C196), 5)</f>
        <v>2282690.2000000002</v>
      </c>
      <c r="D197" s="11">
        <f>+C197-B197</f>
        <v>623357.09000000008</v>
      </c>
      <c r="E197" s="14">
        <f>SUM(E138:E195)</f>
        <v>1512948.5099999998</v>
      </c>
      <c r="F197" s="11">
        <f>+D197+E197</f>
        <v>2136305.5999999996</v>
      </c>
    </row>
    <row r="198" spans="1:6" customFormat="1" ht="15" x14ac:dyDescent="0.25">
      <c r="A198" s="6"/>
      <c r="B198" s="17"/>
      <c r="C198" s="17"/>
      <c r="D198" s="11">
        <f>+C198-B198</f>
        <v>0</v>
      </c>
      <c r="F198" s="11">
        <f>+D198+E198</f>
        <v>0</v>
      </c>
    </row>
    <row r="199" spans="1:6" x14ac:dyDescent="0.2">
      <c r="A199" s="3" t="s">
        <v>147</v>
      </c>
      <c r="B199" s="31">
        <f>+B135-B197</f>
        <v>217236.96999999997</v>
      </c>
      <c r="C199" s="31">
        <f>-(ROUND(-C135+C197, 5))</f>
        <v>57813.4</v>
      </c>
      <c r="D199" s="11">
        <f>+C199-B199</f>
        <v>-159423.56999999998</v>
      </c>
      <c r="E199" s="4">
        <f>-(ROUND(-E135+E197, 5))</f>
        <v>42394.01</v>
      </c>
      <c r="F199" s="11">
        <f>+D199+E199</f>
        <v>-117029.55999999997</v>
      </c>
    </row>
    <row r="200" spans="1:6" customFormat="1" ht="15.75" thickBot="1" x14ac:dyDescent="0.3">
      <c r="A200" s="8"/>
      <c r="B200" s="30"/>
      <c r="C200" s="30"/>
    </row>
  </sheetData>
  <printOptions horizontalCentered="1" headings="1" gridLines="1"/>
  <pageMargins left="0.25" right="0.25" top="1.25" bottom="0.75" header="0.3" footer="0.3"/>
  <pageSetup fitToHeight="0" orientation="portrait" horizontalDpi="4294967293" verticalDpi="4294967293" r:id="rId1"/>
  <headerFooter>
    <oddHeader xml:space="preserve">&amp;C&amp;"Times New Roman"&amp;8 
&amp;10 Arrow Launch Service
 Income Statement
 For the Twelve Months Ending December 31, 2018
 &amp;L&amp;"Times New Roman"&amp;8
&amp;10
</oddHeader>
    <oddFooter>&amp;L&amp;10&amp;"Times New Roman"&amp;D at &amp;T&amp;R&amp;10&amp;"Times New Roman"Page: &amp;P&amp;C&amp;10&amp;"Times New Roman"For Management Purposes Only</oddFooter>
  </headerFooter>
  <rowBreaks count="1" manualBreakCount="1">
    <brk id="135" max="5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459C01-6D0F-475F-9026-ED19E9B4653D}">
  <dimension ref="A1:E27"/>
  <sheetViews>
    <sheetView workbookViewId="0">
      <selection activeCell="E16" sqref="E16"/>
    </sheetView>
  </sheetViews>
  <sheetFormatPr defaultRowHeight="15" x14ac:dyDescent="0.25"/>
  <cols>
    <col min="1" max="1" width="21.85546875" customWidth="1"/>
    <col min="2" max="2" width="11.28515625" customWidth="1"/>
    <col min="3" max="3" width="11.7109375" customWidth="1"/>
    <col min="4" max="4" width="10.5703125" bestFit="1" customWidth="1"/>
    <col min="5" max="5" width="12" customWidth="1"/>
  </cols>
  <sheetData>
    <row r="1" spans="1:5" ht="18.75" x14ac:dyDescent="0.3">
      <c r="A1" s="32" t="s">
        <v>614</v>
      </c>
      <c r="B1" s="188"/>
      <c r="C1" s="188"/>
      <c r="D1" s="188"/>
      <c r="E1" s="188"/>
    </row>
    <row r="2" spans="1:5" ht="15.75" x14ac:dyDescent="0.25">
      <c r="A2" s="360" t="s">
        <v>615</v>
      </c>
      <c r="B2" s="360"/>
      <c r="C2" s="360"/>
      <c r="D2" s="360"/>
      <c r="E2" s="360"/>
    </row>
    <row r="5" spans="1:5" ht="30" x14ac:dyDescent="0.25">
      <c r="A5" s="148"/>
      <c r="B5" s="189" t="s">
        <v>243</v>
      </c>
      <c r="C5" s="190" t="s">
        <v>616</v>
      </c>
      <c r="D5" s="191" t="s">
        <v>617</v>
      </c>
      <c r="E5" s="189" t="s">
        <v>618</v>
      </c>
    </row>
    <row r="6" spans="1:5" x14ac:dyDescent="0.25">
      <c r="A6" s="192" t="s">
        <v>619</v>
      </c>
      <c r="C6" s="27"/>
      <c r="D6" s="193"/>
    </row>
    <row r="7" spans="1:5" x14ac:dyDescent="0.25">
      <c r="A7" t="s">
        <v>620</v>
      </c>
      <c r="B7" s="193">
        <v>63.75</v>
      </c>
      <c r="C7" s="27">
        <v>2</v>
      </c>
      <c r="D7" s="193">
        <v>127.5</v>
      </c>
      <c r="E7" s="354" t="s">
        <v>621</v>
      </c>
    </row>
    <row r="8" spans="1:5" x14ac:dyDescent="0.25">
      <c r="A8" t="s">
        <v>622</v>
      </c>
      <c r="B8" s="193">
        <v>214.25</v>
      </c>
      <c r="C8" s="27">
        <v>1.5</v>
      </c>
      <c r="D8" s="193">
        <v>321.375</v>
      </c>
      <c r="E8" s="354"/>
    </row>
    <row r="9" spans="1:5" x14ac:dyDescent="0.25">
      <c r="A9" t="s">
        <v>623</v>
      </c>
      <c r="B9" s="193">
        <v>6170.75</v>
      </c>
      <c r="C9" s="27">
        <v>1</v>
      </c>
      <c r="D9" s="193">
        <v>6170.75</v>
      </c>
      <c r="E9" s="210">
        <f>D11/D20</f>
        <v>0.1631523191009166</v>
      </c>
    </row>
    <row r="10" spans="1:5" x14ac:dyDescent="0.25">
      <c r="A10" s="194" t="s">
        <v>624</v>
      </c>
      <c r="B10" s="195">
        <v>11</v>
      </c>
      <c r="C10" s="196">
        <v>2</v>
      </c>
      <c r="D10" s="195">
        <v>22</v>
      </c>
      <c r="E10" s="209"/>
    </row>
    <row r="11" spans="1:5" x14ac:dyDescent="0.25">
      <c r="A11" s="192" t="s">
        <v>625</v>
      </c>
      <c r="B11" s="197">
        <f>SUM(B7:B10)</f>
        <v>6459.75</v>
      </c>
      <c r="C11" s="198"/>
      <c r="D11" s="199">
        <f>SUM(D7:D10)</f>
        <v>6641.625</v>
      </c>
      <c r="E11" s="200"/>
    </row>
    <row r="12" spans="1:5" x14ac:dyDescent="0.25">
      <c r="A12" s="192"/>
      <c r="B12" s="197"/>
      <c r="C12" s="198"/>
      <c r="D12" s="199"/>
      <c r="E12" s="200"/>
    </row>
    <row r="13" spans="1:5" x14ac:dyDescent="0.25">
      <c r="A13" s="192" t="s">
        <v>626</v>
      </c>
      <c r="B13" s="197"/>
      <c r="C13" s="27"/>
      <c r="D13" s="193"/>
    </row>
    <row r="14" spans="1:5" x14ac:dyDescent="0.25">
      <c r="A14" t="s">
        <v>620</v>
      </c>
      <c r="B14" s="193">
        <v>473.5</v>
      </c>
      <c r="C14" s="27">
        <v>2</v>
      </c>
      <c r="D14" s="193">
        <v>947</v>
      </c>
      <c r="E14" s="354" t="s">
        <v>153</v>
      </c>
    </row>
    <row r="15" spans="1:5" x14ac:dyDescent="0.25">
      <c r="A15" t="s">
        <v>622</v>
      </c>
      <c r="B15" s="193">
        <v>2991.5</v>
      </c>
      <c r="C15" s="27">
        <v>1.5</v>
      </c>
      <c r="D15" s="193">
        <v>4487.25</v>
      </c>
      <c r="E15" s="354"/>
    </row>
    <row r="16" spans="1:5" x14ac:dyDescent="0.25">
      <c r="A16" t="s">
        <v>623</v>
      </c>
      <c r="B16" s="201">
        <v>28230.25</v>
      </c>
      <c r="C16" s="27">
        <v>1</v>
      </c>
      <c r="D16" s="201">
        <v>28230.25</v>
      </c>
      <c r="E16" s="208">
        <f>D18/D20</f>
        <v>0.83684768089908346</v>
      </c>
    </row>
    <row r="17" spans="1:5" x14ac:dyDescent="0.25">
      <c r="A17" s="194" t="s">
        <v>624</v>
      </c>
      <c r="B17" s="195">
        <v>201</v>
      </c>
      <c r="C17" s="196">
        <v>2</v>
      </c>
      <c r="D17" s="195">
        <v>402</v>
      </c>
      <c r="E17" s="209"/>
    </row>
    <row r="18" spans="1:5" x14ac:dyDescent="0.25">
      <c r="A18" s="192" t="s">
        <v>627</v>
      </c>
      <c r="B18" s="197">
        <f>SUM(B14:B17)</f>
        <v>31896.25</v>
      </c>
      <c r="C18" s="198"/>
      <c r="D18" s="197">
        <f>SUM(D14:D17)</f>
        <v>34066.5</v>
      </c>
      <c r="E18" s="202"/>
    </row>
    <row r="19" spans="1:5" ht="15.75" thickBot="1" x14ac:dyDescent="0.3">
      <c r="A19" s="203"/>
      <c r="B19" s="204"/>
      <c r="C19" s="205"/>
      <c r="D19" s="204"/>
      <c r="E19" s="206"/>
    </row>
    <row r="20" spans="1:5" ht="15.75" thickTop="1" x14ac:dyDescent="0.25">
      <c r="A20" s="192" t="s">
        <v>628</v>
      </c>
      <c r="B20" s="197">
        <f>B18+B11</f>
        <v>38356</v>
      </c>
      <c r="C20" s="198"/>
      <c r="D20" s="197">
        <f>D18+D11</f>
        <v>40708.125</v>
      </c>
      <c r="E20" s="207">
        <f>SUM(E16+E9)</f>
        <v>1</v>
      </c>
    </row>
    <row r="26" spans="1:5" x14ac:dyDescent="0.25">
      <c r="A26" t="s">
        <v>629</v>
      </c>
    </row>
    <row r="27" spans="1:5" x14ac:dyDescent="0.25">
      <c r="A27" t="s">
        <v>630</v>
      </c>
    </row>
  </sheetData>
  <mergeCells count="3">
    <mergeCell ref="A2:E2"/>
    <mergeCell ref="E7:E8"/>
    <mergeCell ref="E14:E15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5F43FA-3ED0-48E0-AA14-B0AEB6D27FAE}">
  <dimension ref="A1:H55"/>
  <sheetViews>
    <sheetView workbookViewId="0">
      <selection activeCell="C25" sqref="C25"/>
    </sheetView>
  </sheetViews>
  <sheetFormatPr defaultRowHeight="15" x14ac:dyDescent="0.25"/>
  <cols>
    <col min="1" max="1" width="12.85546875" bestFit="1" customWidth="1"/>
  </cols>
  <sheetData>
    <row r="1" spans="1:8" x14ac:dyDescent="0.25">
      <c r="A1" s="188" t="s">
        <v>158</v>
      </c>
      <c r="B1" s="188"/>
      <c r="C1" s="188"/>
      <c r="D1" s="188"/>
      <c r="E1" s="188"/>
      <c r="F1" s="188"/>
      <c r="G1" s="188"/>
      <c r="H1" s="188"/>
    </row>
    <row r="2" spans="1:8" x14ac:dyDescent="0.25">
      <c r="A2" s="188" t="s">
        <v>638</v>
      </c>
      <c r="B2" s="188"/>
      <c r="C2" s="188"/>
      <c r="D2" s="188"/>
      <c r="E2" s="188"/>
      <c r="F2" s="188"/>
      <c r="G2" s="188"/>
      <c r="H2" s="188"/>
    </row>
    <row r="3" spans="1:8" x14ac:dyDescent="0.25">
      <c r="A3" s="188" t="s">
        <v>632</v>
      </c>
      <c r="B3" s="188"/>
      <c r="C3" s="188"/>
      <c r="D3" s="188"/>
      <c r="E3" s="188"/>
      <c r="F3" s="188"/>
      <c r="G3" s="188"/>
      <c r="H3" s="188"/>
    </row>
    <row r="4" spans="1:8" x14ac:dyDescent="0.25">
      <c r="A4" s="188" t="s">
        <v>633</v>
      </c>
      <c r="B4" s="188"/>
      <c r="C4" s="188"/>
      <c r="D4" s="188"/>
      <c r="E4" s="188"/>
      <c r="F4" s="188"/>
      <c r="G4" s="188"/>
      <c r="H4" s="188"/>
    </row>
    <row r="7" spans="1:8" x14ac:dyDescent="0.25">
      <c r="A7" t="s">
        <v>634</v>
      </c>
      <c r="H7" s="43">
        <v>43961.55</v>
      </c>
    </row>
    <row r="8" spans="1:8" x14ac:dyDescent="0.25">
      <c r="A8" t="s">
        <v>635</v>
      </c>
      <c r="D8" t="s">
        <v>636</v>
      </c>
      <c r="H8" s="43">
        <f>+H7/5</f>
        <v>8792.3100000000013</v>
      </c>
    </row>
    <row r="9" spans="1:8" x14ac:dyDescent="0.25">
      <c r="H9" s="43"/>
    </row>
    <row r="10" spans="1:8" x14ac:dyDescent="0.25">
      <c r="A10" t="s">
        <v>637</v>
      </c>
      <c r="H10" s="43"/>
    </row>
    <row r="11" spans="1:8" x14ac:dyDescent="0.25">
      <c r="B11" s="122">
        <v>43160</v>
      </c>
      <c r="C11" s="122">
        <v>43525</v>
      </c>
      <c r="H11" s="43">
        <f>+H8</f>
        <v>8792.3100000000013</v>
      </c>
    </row>
    <row r="12" spans="1:8" x14ac:dyDescent="0.25">
      <c r="B12" s="122">
        <v>43525</v>
      </c>
      <c r="C12" s="122">
        <v>43891</v>
      </c>
      <c r="H12" s="43">
        <f>+H8</f>
        <v>8792.3100000000013</v>
      </c>
    </row>
    <row r="13" spans="1:8" x14ac:dyDescent="0.25">
      <c r="B13" s="122">
        <v>43891</v>
      </c>
      <c r="C13" s="122">
        <v>44256</v>
      </c>
      <c r="H13" s="43">
        <f>+H8</f>
        <v>8792.3100000000013</v>
      </c>
    </row>
    <row r="14" spans="1:8" x14ac:dyDescent="0.25">
      <c r="B14" s="122">
        <v>44256</v>
      </c>
      <c r="C14" s="122">
        <v>44621</v>
      </c>
      <c r="H14" s="43">
        <f>+H8</f>
        <v>8792.3100000000013</v>
      </c>
    </row>
    <row r="15" spans="1:8" x14ac:dyDescent="0.25">
      <c r="B15" s="122">
        <v>44621</v>
      </c>
      <c r="C15" s="122">
        <v>44986</v>
      </c>
      <c r="H15" s="168">
        <f>+H8</f>
        <v>8792.3100000000013</v>
      </c>
    </row>
    <row r="16" spans="1:8" x14ac:dyDescent="0.25">
      <c r="H16" s="43">
        <f>SUM(H11:H15)</f>
        <v>43961.55</v>
      </c>
    </row>
    <row r="17" spans="1:8" x14ac:dyDescent="0.25">
      <c r="H17" s="43"/>
    </row>
    <row r="18" spans="1:8" x14ac:dyDescent="0.25">
      <c r="H18" s="43"/>
    </row>
    <row r="19" spans="1:8" x14ac:dyDescent="0.25">
      <c r="A19" t="s">
        <v>638</v>
      </c>
      <c r="H19" s="43"/>
    </row>
    <row r="20" spans="1:8" x14ac:dyDescent="0.25">
      <c r="A20" s="214" t="s">
        <v>640</v>
      </c>
      <c r="H20" s="43">
        <f>5550-185-138.75</f>
        <v>5226.25</v>
      </c>
    </row>
    <row r="21" spans="1:8" x14ac:dyDescent="0.25">
      <c r="A21" s="214" t="s">
        <v>639</v>
      </c>
      <c r="H21" s="43">
        <v>7500</v>
      </c>
    </row>
    <row r="22" spans="1:8" x14ac:dyDescent="0.25">
      <c r="A22" s="214" t="s">
        <v>641</v>
      </c>
      <c r="H22" s="43">
        <v>7500</v>
      </c>
    </row>
    <row r="23" spans="1:8" x14ac:dyDescent="0.25">
      <c r="A23" s="214" t="s">
        <v>642</v>
      </c>
      <c r="H23" s="168">
        <v>5000</v>
      </c>
    </row>
    <row r="24" spans="1:8" x14ac:dyDescent="0.25">
      <c r="A24" s="213"/>
      <c r="H24" s="43">
        <f>SUM(H20:H23)</f>
        <v>25226.25</v>
      </c>
    </row>
    <row r="25" spans="1:8" x14ac:dyDescent="0.25">
      <c r="A25" s="213"/>
      <c r="H25" s="43"/>
    </row>
    <row r="26" spans="1:8" x14ac:dyDescent="0.25">
      <c r="A26" s="213" t="s">
        <v>643</v>
      </c>
      <c r="H26" s="43">
        <f>+H24/2</f>
        <v>12613.125</v>
      </c>
    </row>
    <row r="27" spans="1:8" x14ac:dyDescent="0.25">
      <c r="H27" s="43"/>
    </row>
    <row r="28" spans="1:8" x14ac:dyDescent="0.25">
      <c r="H28" s="43"/>
    </row>
    <row r="29" spans="1:8" x14ac:dyDescent="0.25">
      <c r="H29" s="43"/>
    </row>
    <row r="30" spans="1:8" x14ac:dyDescent="0.25">
      <c r="H30" s="43"/>
    </row>
    <row r="31" spans="1:8" x14ac:dyDescent="0.25">
      <c r="H31" s="43"/>
    </row>
    <row r="32" spans="1:8" x14ac:dyDescent="0.25">
      <c r="H32" s="43"/>
    </row>
    <row r="33" spans="8:8" x14ac:dyDescent="0.25">
      <c r="H33" s="43"/>
    </row>
    <row r="34" spans="8:8" x14ac:dyDescent="0.25">
      <c r="H34" s="43"/>
    </row>
    <row r="35" spans="8:8" x14ac:dyDescent="0.25">
      <c r="H35" s="43"/>
    </row>
    <row r="36" spans="8:8" x14ac:dyDescent="0.25">
      <c r="H36" s="43"/>
    </row>
    <row r="37" spans="8:8" x14ac:dyDescent="0.25">
      <c r="H37" s="43"/>
    </row>
    <row r="38" spans="8:8" x14ac:dyDescent="0.25">
      <c r="H38" s="43"/>
    </row>
    <row r="39" spans="8:8" x14ac:dyDescent="0.25">
      <c r="H39" s="43"/>
    </row>
    <row r="40" spans="8:8" x14ac:dyDescent="0.25">
      <c r="H40" s="43"/>
    </row>
    <row r="41" spans="8:8" x14ac:dyDescent="0.25">
      <c r="H41" s="43"/>
    </row>
    <row r="42" spans="8:8" x14ac:dyDescent="0.25">
      <c r="H42" s="43"/>
    </row>
    <row r="43" spans="8:8" x14ac:dyDescent="0.25">
      <c r="H43" s="43"/>
    </row>
    <row r="44" spans="8:8" x14ac:dyDescent="0.25">
      <c r="H44" s="43"/>
    </row>
    <row r="45" spans="8:8" x14ac:dyDescent="0.25">
      <c r="H45" s="43"/>
    </row>
    <row r="46" spans="8:8" x14ac:dyDescent="0.25">
      <c r="H46" s="43"/>
    </row>
    <row r="47" spans="8:8" x14ac:dyDescent="0.25">
      <c r="H47" s="43"/>
    </row>
    <row r="48" spans="8:8" x14ac:dyDescent="0.25">
      <c r="H48" s="43"/>
    </row>
    <row r="49" spans="8:8" x14ac:dyDescent="0.25">
      <c r="H49" s="43"/>
    </row>
    <row r="50" spans="8:8" x14ac:dyDescent="0.25">
      <c r="H50" s="43"/>
    </row>
    <row r="51" spans="8:8" x14ac:dyDescent="0.25">
      <c r="H51" s="43"/>
    </row>
    <row r="52" spans="8:8" x14ac:dyDescent="0.25">
      <c r="H52" s="43"/>
    </row>
    <row r="53" spans="8:8" x14ac:dyDescent="0.25">
      <c r="H53" s="43"/>
    </row>
    <row r="54" spans="8:8" x14ac:dyDescent="0.25">
      <c r="H54" s="43"/>
    </row>
    <row r="55" spans="8:8" x14ac:dyDescent="0.25">
      <c r="H55" s="43"/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9DE378-9A42-4B32-9FD1-C9FE4537F0AD}">
  <dimension ref="A1:H27"/>
  <sheetViews>
    <sheetView workbookViewId="0">
      <selection activeCell="H21" sqref="H21"/>
    </sheetView>
  </sheetViews>
  <sheetFormatPr defaultRowHeight="15" x14ac:dyDescent="0.25"/>
  <cols>
    <col min="8" max="8" width="10.140625" bestFit="1" customWidth="1"/>
  </cols>
  <sheetData>
    <row r="1" spans="1:8" x14ac:dyDescent="0.25">
      <c r="A1" s="188" t="s">
        <v>158</v>
      </c>
      <c r="B1" s="188"/>
      <c r="C1" s="188"/>
      <c r="D1" s="188"/>
      <c r="E1" s="188"/>
      <c r="F1" s="188"/>
      <c r="G1" s="188"/>
      <c r="H1" s="188"/>
    </row>
    <row r="2" spans="1:8" x14ac:dyDescent="0.25">
      <c r="A2" s="188" t="s">
        <v>638</v>
      </c>
      <c r="B2" s="188"/>
      <c r="C2" s="188"/>
      <c r="D2" s="188"/>
      <c r="E2" s="188"/>
      <c r="F2" s="188"/>
      <c r="G2" s="188"/>
      <c r="H2" s="188"/>
    </row>
    <row r="3" spans="1:8" x14ac:dyDescent="0.25">
      <c r="A3" s="188" t="s">
        <v>644</v>
      </c>
      <c r="B3" s="188"/>
      <c r="C3" s="188"/>
      <c r="D3" s="188"/>
      <c r="E3" s="188"/>
      <c r="F3" s="188"/>
      <c r="G3" s="188"/>
      <c r="H3" s="188"/>
    </row>
    <row r="4" spans="1:8" x14ac:dyDescent="0.25">
      <c r="A4" s="188" t="s">
        <v>633</v>
      </c>
      <c r="B4" s="188"/>
      <c r="C4" s="188"/>
      <c r="D4" s="188"/>
      <c r="E4" s="188"/>
      <c r="F4" s="188"/>
      <c r="G4" s="188"/>
      <c r="H4" s="188"/>
    </row>
    <row r="7" spans="1:8" x14ac:dyDescent="0.25">
      <c r="A7" t="s">
        <v>645</v>
      </c>
      <c r="H7" s="43">
        <v>177458.81</v>
      </c>
    </row>
    <row r="8" spans="1:8" x14ac:dyDescent="0.25">
      <c r="A8" t="s">
        <v>635</v>
      </c>
      <c r="D8" t="s">
        <v>636</v>
      </c>
      <c r="H8" s="43">
        <f>+H7/5</f>
        <v>35491.762000000002</v>
      </c>
    </row>
    <row r="9" spans="1:8" x14ac:dyDescent="0.25">
      <c r="H9" s="43"/>
    </row>
    <row r="10" spans="1:8" x14ac:dyDescent="0.25">
      <c r="A10" t="s">
        <v>637</v>
      </c>
      <c r="H10" s="43"/>
    </row>
    <row r="11" spans="1:8" x14ac:dyDescent="0.25">
      <c r="B11" s="122">
        <v>43160</v>
      </c>
      <c r="C11" s="122">
        <v>43525</v>
      </c>
      <c r="H11" s="43">
        <f>+H8</f>
        <v>35491.762000000002</v>
      </c>
    </row>
    <row r="12" spans="1:8" x14ac:dyDescent="0.25">
      <c r="B12" s="122">
        <v>43525</v>
      </c>
      <c r="C12" s="122">
        <v>43891</v>
      </c>
      <c r="H12" s="43">
        <f>+H8</f>
        <v>35491.762000000002</v>
      </c>
    </row>
    <row r="13" spans="1:8" x14ac:dyDescent="0.25">
      <c r="B13" s="122">
        <v>43891</v>
      </c>
      <c r="C13" s="122">
        <v>44256</v>
      </c>
      <c r="H13" s="43">
        <f>+H8</f>
        <v>35491.762000000002</v>
      </c>
    </row>
    <row r="14" spans="1:8" x14ac:dyDescent="0.25">
      <c r="B14" s="122">
        <v>44256</v>
      </c>
      <c r="C14" s="122">
        <v>44621</v>
      </c>
      <c r="H14" s="43">
        <f>+H8</f>
        <v>35491.762000000002</v>
      </c>
    </row>
    <row r="15" spans="1:8" x14ac:dyDescent="0.25">
      <c r="B15" s="122">
        <v>44621</v>
      </c>
      <c r="C15" s="122">
        <v>44986</v>
      </c>
      <c r="H15" s="168">
        <f>+H8</f>
        <v>35491.762000000002</v>
      </c>
    </row>
    <row r="16" spans="1:8" x14ac:dyDescent="0.25">
      <c r="H16" s="43">
        <f>SUM(H11:H15)</f>
        <v>177458.81</v>
      </c>
    </row>
    <row r="17" spans="1:8" x14ac:dyDescent="0.25">
      <c r="H17" s="43"/>
    </row>
    <row r="18" spans="1:8" x14ac:dyDescent="0.25">
      <c r="H18" s="43"/>
    </row>
    <row r="19" spans="1:8" x14ac:dyDescent="0.25">
      <c r="A19" t="s">
        <v>638</v>
      </c>
      <c r="H19" s="43"/>
    </row>
    <row r="20" spans="1:8" x14ac:dyDescent="0.25">
      <c r="A20" s="214" t="s">
        <v>640</v>
      </c>
      <c r="H20" s="43">
        <v>5000</v>
      </c>
    </row>
    <row r="21" spans="1:8" x14ac:dyDescent="0.25">
      <c r="A21" s="214" t="s">
        <v>639</v>
      </c>
      <c r="H21" s="43">
        <v>7500</v>
      </c>
    </row>
    <row r="22" spans="1:8" x14ac:dyDescent="0.25">
      <c r="A22" s="214" t="s">
        <v>641</v>
      </c>
      <c r="H22" s="43">
        <v>7500</v>
      </c>
    </row>
    <row r="23" spans="1:8" x14ac:dyDescent="0.25">
      <c r="A23" s="214" t="s">
        <v>642</v>
      </c>
      <c r="H23" s="168">
        <v>5000</v>
      </c>
    </row>
    <row r="24" spans="1:8" x14ac:dyDescent="0.25">
      <c r="A24" s="213"/>
      <c r="H24" s="43">
        <f>SUM(H20:H23)</f>
        <v>25000</v>
      </c>
    </row>
    <row r="25" spans="1:8" x14ac:dyDescent="0.25">
      <c r="A25" s="213"/>
      <c r="H25" s="43"/>
    </row>
    <row r="26" spans="1:8" x14ac:dyDescent="0.25">
      <c r="A26" s="213" t="s">
        <v>643</v>
      </c>
      <c r="H26" s="43">
        <f>+H24/2</f>
        <v>12500</v>
      </c>
    </row>
    <row r="27" spans="1:8" x14ac:dyDescent="0.25">
      <c r="H27" s="43"/>
    </row>
  </sheetData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C0B136-62BD-4DEA-BF87-E6A344000340}">
  <sheetPr>
    <pageSetUpPr fitToPage="1"/>
  </sheetPr>
  <dimension ref="A1:S108"/>
  <sheetViews>
    <sheetView workbookViewId="0">
      <selection activeCell="A2" sqref="A2:P102"/>
    </sheetView>
  </sheetViews>
  <sheetFormatPr defaultRowHeight="15" x14ac:dyDescent="0.25"/>
  <cols>
    <col min="1" max="1" width="8.7109375" bestFit="1" customWidth="1"/>
    <col min="2" max="2" width="17" bestFit="1" customWidth="1"/>
    <col min="3" max="3" width="4.7109375" bestFit="1" customWidth="1"/>
    <col min="4" max="4" width="45.42578125" customWidth="1"/>
    <col min="5" max="5" width="11" bestFit="1" customWidth="1"/>
    <col min="6" max="6" width="11.7109375" bestFit="1" customWidth="1"/>
    <col min="7" max="7" width="10.140625" bestFit="1" customWidth="1"/>
    <col min="9" max="16" width="13.7109375" customWidth="1"/>
    <col min="18" max="18" width="10.140625" bestFit="1" customWidth="1"/>
  </cols>
  <sheetData>
    <row r="1" spans="1:19" ht="47.25" x14ac:dyDescent="0.25">
      <c r="A1" s="226" t="s">
        <v>652</v>
      </c>
      <c r="B1" s="226" t="s">
        <v>653</v>
      </c>
      <c r="C1" s="226" t="s">
        <v>654</v>
      </c>
      <c r="D1" s="226" t="s">
        <v>655</v>
      </c>
      <c r="E1" s="226" t="s">
        <v>656</v>
      </c>
      <c r="F1" s="226" t="s">
        <v>657</v>
      </c>
      <c r="G1" s="226" t="s">
        <v>907</v>
      </c>
      <c r="H1" s="227" t="s">
        <v>251</v>
      </c>
      <c r="I1" s="228" t="s">
        <v>908</v>
      </c>
      <c r="J1" s="228" t="s">
        <v>909</v>
      </c>
      <c r="K1" s="228" t="s">
        <v>910</v>
      </c>
      <c r="L1" s="227" t="s">
        <v>911</v>
      </c>
      <c r="M1" s="228" t="s">
        <v>912</v>
      </c>
      <c r="N1" s="228" t="s">
        <v>737</v>
      </c>
      <c r="O1" s="228" t="s">
        <v>913</v>
      </c>
      <c r="P1" s="227" t="s">
        <v>914</v>
      </c>
    </row>
    <row r="2" spans="1:19" x14ac:dyDescent="0.25">
      <c r="A2" s="229">
        <v>43374</v>
      </c>
      <c r="B2" s="230" t="s">
        <v>915</v>
      </c>
      <c r="C2" s="230" t="s">
        <v>666</v>
      </c>
      <c r="D2" s="231" t="s">
        <v>916</v>
      </c>
      <c r="E2" s="232">
        <v>1400</v>
      </c>
      <c r="F2" s="233"/>
      <c r="G2" s="233"/>
      <c r="H2" s="43">
        <f>+E2</f>
        <v>1400</v>
      </c>
      <c r="I2" s="43"/>
      <c r="J2" s="43"/>
      <c r="K2" s="43"/>
      <c r="L2" s="43"/>
      <c r="M2" s="43"/>
      <c r="N2" s="43"/>
      <c r="O2" s="43"/>
      <c r="P2" s="43"/>
      <c r="S2" s="234"/>
    </row>
    <row r="3" spans="1:19" x14ac:dyDescent="0.25">
      <c r="A3" s="229">
        <v>43374</v>
      </c>
      <c r="B3" s="230" t="s">
        <v>917</v>
      </c>
      <c r="C3" s="230" t="s">
        <v>666</v>
      </c>
      <c r="D3" s="231" t="s">
        <v>918</v>
      </c>
      <c r="E3" s="232">
        <v>1564.66</v>
      </c>
      <c r="F3" s="233"/>
      <c r="G3" s="233"/>
      <c r="H3" s="43"/>
      <c r="I3" s="43">
        <f>+E3</f>
        <v>1564.66</v>
      </c>
      <c r="J3" s="43"/>
      <c r="K3" s="43"/>
      <c r="L3" s="43"/>
      <c r="M3" s="43"/>
      <c r="N3" s="43"/>
      <c r="O3" s="43"/>
      <c r="P3" s="43"/>
      <c r="S3" s="234"/>
    </row>
    <row r="4" spans="1:19" x14ac:dyDescent="0.25">
      <c r="A4" s="229">
        <v>43374</v>
      </c>
      <c r="B4" s="230" t="s">
        <v>919</v>
      </c>
      <c r="C4" s="230" t="s">
        <v>666</v>
      </c>
      <c r="D4" s="231" t="s">
        <v>920</v>
      </c>
      <c r="E4" s="232">
        <v>2597.9299999999998</v>
      </c>
      <c r="F4" s="233"/>
      <c r="G4" s="233"/>
      <c r="H4" s="43"/>
      <c r="I4" s="43"/>
      <c r="J4" s="43">
        <f>+E4</f>
        <v>2597.9299999999998</v>
      </c>
      <c r="K4" s="43"/>
      <c r="L4" s="43"/>
      <c r="M4" s="43"/>
      <c r="N4" s="43"/>
      <c r="O4" s="43"/>
      <c r="P4" s="43"/>
      <c r="S4" s="234"/>
    </row>
    <row r="5" spans="1:19" x14ac:dyDescent="0.25">
      <c r="A5" s="229">
        <v>43374</v>
      </c>
      <c r="B5" s="230" t="s">
        <v>921</v>
      </c>
      <c r="C5" s="230" t="s">
        <v>666</v>
      </c>
      <c r="D5" s="231" t="s">
        <v>922</v>
      </c>
      <c r="E5" s="232">
        <v>1232.6099999999999</v>
      </c>
      <c r="F5" s="233"/>
      <c r="G5" s="233"/>
      <c r="H5" s="43"/>
      <c r="I5" s="43"/>
      <c r="J5" s="43"/>
      <c r="K5" s="43">
        <f>+E5</f>
        <v>1232.6099999999999</v>
      </c>
      <c r="L5" s="43"/>
      <c r="M5" s="43"/>
      <c r="N5" s="43"/>
      <c r="O5" s="43"/>
      <c r="P5" s="43"/>
      <c r="S5" s="234"/>
    </row>
    <row r="6" spans="1:19" x14ac:dyDescent="0.25">
      <c r="A6" s="229">
        <v>43374</v>
      </c>
      <c r="B6" s="230" t="s">
        <v>923</v>
      </c>
      <c r="C6" s="230" t="s">
        <v>666</v>
      </c>
      <c r="D6" s="231" t="s">
        <v>924</v>
      </c>
      <c r="E6" s="232">
        <v>2361.75</v>
      </c>
      <c r="F6" s="233"/>
      <c r="G6" s="233"/>
      <c r="H6" s="43"/>
      <c r="I6" s="43"/>
      <c r="J6" s="43"/>
      <c r="K6" s="43"/>
      <c r="L6" s="43">
        <f>+E6</f>
        <v>2361.75</v>
      </c>
      <c r="M6" s="43"/>
      <c r="N6" s="43"/>
      <c r="O6" s="43"/>
      <c r="P6" s="43"/>
      <c r="S6" s="234"/>
    </row>
    <row r="7" spans="1:19" x14ac:dyDescent="0.25">
      <c r="A7" s="229">
        <v>43374</v>
      </c>
      <c r="B7" s="230" t="s">
        <v>925</v>
      </c>
      <c r="C7" s="230" t="s">
        <v>666</v>
      </c>
      <c r="D7" s="231" t="s">
        <v>926</v>
      </c>
      <c r="E7" s="232">
        <v>275</v>
      </c>
      <c r="F7" s="233"/>
      <c r="G7" s="233"/>
      <c r="H7" s="43"/>
      <c r="I7" s="43"/>
      <c r="J7" s="43"/>
      <c r="K7" s="43"/>
      <c r="L7" s="43"/>
      <c r="M7" s="43">
        <f>+E7</f>
        <v>275</v>
      </c>
      <c r="N7" s="43"/>
      <c r="O7" s="43"/>
      <c r="P7" s="43"/>
      <c r="S7" s="234"/>
    </row>
    <row r="8" spans="1:19" x14ac:dyDescent="0.25">
      <c r="A8" s="229">
        <v>43374</v>
      </c>
      <c r="B8" s="230" t="s">
        <v>927</v>
      </c>
      <c r="C8" s="230" t="s">
        <v>666</v>
      </c>
      <c r="D8" s="231" t="s">
        <v>928</v>
      </c>
      <c r="E8" s="232">
        <v>73.22</v>
      </c>
      <c r="F8" s="233"/>
      <c r="G8" s="233"/>
      <c r="H8" s="43">
        <f>+E8</f>
        <v>73.22</v>
      </c>
      <c r="I8" s="43"/>
      <c r="J8" s="43"/>
      <c r="K8" s="43"/>
      <c r="L8" s="43"/>
      <c r="M8" s="43"/>
      <c r="N8" s="43"/>
      <c r="O8" s="43"/>
      <c r="P8" s="43"/>
      <c r="S8" s="234"/>
    </row>
    <row r="9" spans="1:19" x14ac:dyDescent="0.25">
      <c r="A9" s="229">
        <v>43374</v>
      </c>
      <c r="B9" s="230" t="s">
        <v>929</v>
      </c>
      <c r="C9" s="230" t="s">
        <v>666</v>
      </c>
      <c r="D9" s="231" t="s">
        <v>930</v>
      </c>
      <c r="E9" s="232">
        <v>267.37</v>
      </c>
      <c r="F9" s="233"/>
      <c r="G9" s="233"/>
      <c r="H9" s="43"/>
      <c r="I9" s="43"/>
      <c r="J9" s="43"/>
      <c r="K9" s="43"/>
      <c r="L9" s="43"/>
      <c r="M9" s="43"/>
      <c r="N9" s="43">
        <f>+E9</f>
        <v>267.37</v>
      </c>
      <c r="O9" s="43"/>
      <c r="P9" s="43"/>
      <c r="S9" s="234"/>
    </row>
    <row r="10" spans="1:19" x14ac:dyDescent="0.25">
      <c r="A10" s="229">
        <v>43374</v>
      </c>
      <c r="B10" s="230" t="s">
        <v>931</v>
      </c>
      <c r="C10" s="230" t="s">
        <v>666</v>
      </c>
      <c r="D10" s="231" t="s">
        <v>932</v>
      </c>
      <c r="E10" s="232">
        <v>267.37</v>
      </c>
      <c r="F10" s="233"/>
      <c r="G10" s="233"/>
      <c r="H10" s="43"/>
      <c r="I10" s="43"/>
      <c r="J10" s="43"/>
      <c r="K10" s="43"/>
      <c r="L10" s="43"/>
      <c r="M10" s="43"/>
      <c r="N10" s="43">
        <f>+E10</f>
        <v>267.37</v>
      </c>
      <c r="O10" s="43"/>
      <c r="P10" s="43"/>
      <c r="S10" s="234"/>
    </row>
    <row r="11" spans="1:19" x14ac:dyDescent="0.25">
      <c r="A11" s="229">
        <v>43405</v>
      </c>
      <c r="B11" s="230" t="s">
        <v>933</v>
      </c>
      <c r="C11" s="230" t="s">
        <v>666</v>
      </c>
      <c r="D11" s="231" t="s">
        <v>934</v>
      </c>
      <c r="E11" s="232">
        <v>255.58</v>
      </c>
      <c r="F11" s="233"/>
      <c r="G11" s="233"/>
      <c r="H11" s="43"/>
      <c r="I11" s="43"/>
      <c r="J11" s="43"/>
      <c r="K11" s="43"/>
      <c r="L11" s="43"/>
      <c r="M11" s="43"/>
      <c r="N11" s="43">
        <f>+E11</f>
        <v>255.58</v>
      </c>
      <c r="O11" s="43"/>
      <c r="P11" s="43"/>
      <c r="S11" s="234"/>
    </row>
    <row r="12" spans="1:19" x14ac:dyDescent="0.25">
      <c r="A12" s="229">
        <v>43405</v>
      </c>
      <c r="B12" s="230" t="s">
        <v>935</v>
      </c>
      <c r="C12" s="230" t="s">
        <v>666</v>
      </c>
      <c r="D12" s="231" t="s">
        <v>924</v>
      </c>
      <c r="E12" s="232">
        <v>2361.75</v>
      </c>
      <c r="F12" s="233"/>
      <c r="G12" s="233"/>
      <c r="H12" s="43"/>
      <c r="I12" s="43"/>
      <c r="J12" s="43"/>
      <c r="K12" s="43"/>
      <c r="L12" s="43">
        <f>+E12</f>
        <v>2361.75</v>
      </c>
      <c r="M12" s="43"/>
      <c r="N12" s="43"/>
      <c r="O12" s="43"/>
      <c r="P12" s="43"/>
      <c r="S12" s="234"/>
    </row>
    <row r="13" spans="1:19" x14ac:dyDescent="0.25">
      <c r="A13" s="229">
        <v>43405</v>
      </c>
      <c r="B13" s="230" t="s">
        <v>936</v>
      </c>
      <c r="C13" s="230" t="s">
        <v>666</v>
      </c>
      <c r="D13" s="231" t="s">
        <v>937</v>
      </c>
      <c r="E13" s="232">
        <v>1564.66</v>
      </c>
      <c r="F13" s="233"/>
      <c r="G13" s="233"/>
      <c r="H13" s="43"/>
      <c r="I13" s="43">
        <f>+E13</f>
        <v>1564.66</v>
      </c>
      <c r="J13" s="43"/>
      <c r="K13" s="43"/>
      <c r="L13" s="43"/>
      <c r="M13" s="43"/>
      <c r="N13" s="43"/>
      <c r="O13" s="43"/>
      <c r="P13" s="43"/>
      <c r="S13" s="234"/>
    </row>
    <row r="14" spans="1:19" x14ac:dyDescent="0.25">
      <c r="A14" s="229">
        <v>43405</v>
      </c>
      <c r="B14" s="230" t="s">
        <v>938</v>
      </c>
      <c r="C14" s="230" t="s">
        <v>666</v>
      </c>
      <c r="D14" s="231" t="s">
        <v>939</v>
      </c>
      <c r="E14" s="232">
        <v>2597.9299999999998</v>
      </c>
      <c r="F14" s="233"/>
      <c r="G14" s="233"/>
      <c r="H14" s="43"/>
      <c r="I14" s="43"/>
      <c r="J14" s="43">
        <f>+E14</f>
        <v>2597.9299999999998</v>
      </c>
      <c r="K14" s="43"/>
      <c r="L14" s="43"/>
      <c r="M14" s="43"/>
      <c r="N14" s="43"/>
      <c r="O14" s="43"/>
      <c r="P14" s="43"/>
      <c r="S14" s="234"/>
    </row>
    <row r="15" spans="1:19" x14ac:dyDescent="0.25">
      <c r="A15" s="229">
        <v>43405</v>
      </c>
      <c r="B15" s="230" t="s">
        <v>940</v>
      </c>
      <c r="C15" s="230" t="s">
        <v>666</v>
      </c>
      <c r="D15" s="231" t="s">
        <v>941</v>
      </c>
      <c r="E15" s="232">
        <v>1232.6099999999999</v>
      </c>
      <c r="F15" s="233"/>
      <c r="G15" s="233"/>
      <c r="H15" s="43"/>
      <c r="I15" s="43"/>
      <c r="J15" s="43"/>
      <c r="K15" s="43">
        <f>+E15</f>
        <v>1232.6099999999999</v>
      </c>
      <c r="L15" s="43"/>
      <c r="M15" s="43"/>
      <c r="N15" s="43"/>
      <c r="O15" s="43"/>
      <c r="P15" s="43"/>
      <c r="S15" s="234"/>
    </row>
    <row r="16" spans="1:19" x14ac:dyDescent="0.25">
      <c r="A16" s="229">
        <v>43405</v>
      </c>
      <c r="B16" s="230" t="s">
        <v>942</v>
      </c>
      <c r="C16" s="230" t="s">
        <v>666</v>
      </c>
      <c r="D16" s="231" t="s">
        <v>943</v>
      </c>
      <c r="E16" s="232">
        <v>14</v>
      </c>
      <c r="F16" s="233"/>
      <c r="G16" s="233"/>
      <c r="H16" s="43">
        <f>+E16</f>
        <v>14</v>
      </c>
      <c r="I16" s="43"/>
      <c r="J16" s="43"/>
      <c r="K16" s="43"/>
      <c r="L16" s="43"/>
      <c r="M16" s="43"/>
      <c r="N16" s="43"/>
      <c r="O16" s="43"/>
      <c r="P16" s="43"/>
      <c r="S16" s="234"/>
    </row>
    <row r="17" spans="1:19" x14ac:dyDescent="0.25">
      <c r="A17" s="229">
        <v>43405</v>
      </c>
      <c r="B17" s="230" t="s">
        <v>944</v>
      </c>
      <c r="C17" s="230" t="s">
        <v>666</v>
      </c>
      <c r="D17" s="231" t="s">
        <v>945</v>
      </c>
      <c r="E17" s="232">
        <v>1400</v>
      </c>
      <c r="F17" s="233"/>
      <c r="G17" s="233"/>
      <c r="H17" s="43">
        <f>+E17</f>
        <v>1400</v>
      </c>
      <c r="I17" s="43"/>
      <c r="J17" s="43"/>
      <c r="K17" s="43"/>
      <c r="L17" s="43"/>
      <c r="M17" s="43"/>
      <c r="N17" s="43"/>
      <c r="O17" s="43"/>
      <c r="P17" s="43"/>
      <c r="S17" s="234"/>
    </row>
    <row r="18" spans="1:19" x14ac:dyDescent="0.25">
      <c r="A18" s="229">
        <v>43405</v>
      </c>
      <c r="B18" s="230" t="s">
        <v>946</v>
      </c>
      <c r="C18" s="230" t="s">
        <v>666</v>
      </c>
      <c r="D18" s="231" t="s">
        <v>947</v>
      </c>
      <c r="E18" s="232">
        <v>73.22</v>
      </c>
      <c r="F18" s="233"/>
      <c r="G18" s="233"/>
      <c r="H18" s="43">
        <f>+E18</f>
        <v>73.22</v>
      </c>
      <c r="I18" s="43"/>
      <c r="J18" s="43"/>
      <c r="K18" s="43"/>
      <c r="L18" s="43"/>
      <c r="M18" s="43"/>
      <c r="N18" s="43"/>
      <c r="O18" s="43"/>
      <c r="P18" s="43"/>
      <c r="S18" s="234"/>
    </row>
    <row r="19" spans="1:19" x14ac:dyDescent="0.25">
      <c r="A19" s="229">
        <v>43405</v>
      </c>
      <c r="B19" s="230" t="s">
        <v>948</v>
      </c>
      <c r="C19" s="230" t="s">
        <v>666</v>
      </c>
      <c r="D19" s="231" t="s">
        <v>949</v>
      </c>
      <c r="E19" s="232">
        <v>255.58</v>
      </c>
      <c r="F19" s="233"/>
      <c r="G19" s="233"/>
      <c r="H19" s="43"/>
      <c r="I19" s="43"/>
      <c r="J19" s="43"/>
      <c r="K19" s="43"/>
      <c r="L19" s="43"/>
      <c r="M19" s="43"/>
      <c r="N19" s="43">
        <f>+E19</f>
        <v>255.58</v>
      </c>
      <c r="O19" s="43"/>
      <c r="P19" s="43"/>
      <c r="S19" s="234"/>
    </row>
    <row r="20" spans="1:19" x14ac:dyDescent="0.25">
      <c r="A20" s="229">
        <v>43405</v>
      </c>
      <c r="B20" s="230" t="s">
        <v>950</v>
      </c>
      <c r="C20" s="230" t="s">
        <v>666</v>
      </c>
      <c r="D20" s="231" t="s">
        <v>951</v>
      </c>
      <c r="E20" s="232">
        <v>275</v>
      </c>
      <c r="F20" s="233"/>
      <c r="G20" s="233"/>
      <c r="H20" s="43"/>
      <c r="I20" s="43"/>
      <c r="J20" s="43"/>
      <c r="K20" s="43"/>
      <c r="L20" s="43"/>
      <c r="M20" s="43">
        <f>+E20</f>
        <v>275</v>
      </c>
      <c r="N20" s="43"/>
      <c r="O20" s="43"/>
      <c r="P20" s="43"/>
      <c r="S20" s="234"/>
    </row>
    <row r="21" spans="1:19" x14ac:dyDescent="0.25">
      <c r="A21" s="229">
        <v>43417</v>
      </c>
      <c r="B21" s="230" t="s">
        <v>952</v>
      </c>
      <c r="C21" s="230" t="s">
        <v>666</v>
      </c>
      <c r="D21" s="231" t="s">
        <v>953</v>
      </c>
      <c r="E21" s="232">
        <v>1600</v>
      </c>
      <c r="F21" s="233"/>
      <c r="G21" s="233"/>
      <c r="H21" s="43"/>
      <c r="I21" s="43"/>
      <c r="J21" s="43"/>
      <c r="K21" s="43"/>
      <c r="L21" s="43"/>
      <c r="M21" s="43"/>
      <c r="N21" s="43"/>
      <c r="O21" s="43">
        <f>+E21</f>
        <v>1600</v>
      </c>
      <c r="P21" s="43"/>
      <c r="S21" s="234"/>
    </row>
    <row r="22" spans="1:19" x14ac:dyDescent="0.25">
      <c r="A22" s="229">
        <v>43417</v>
      </c>
      <c r="B22" s="230" t="s">
        <v>954</v>
      </c>
      <c r="C22" s="230" t="s">
        <v>853</v>
      </c>
      <c r="D22" s="231" t="s">
        <v>955</v>
      </c>
      <c r="E22" s="232">
        <v>586</v>
      </c>
      <c r="F22" s="233"/>
      <c r="G22" s="233"/>
      <c r="H22" s="43"/>
      <c r="I22" s="43"/>
      <c r="J22" s="43"/>
      <c r="K22" s="43"/>
      <c r="L22" s="43"/>
      <c r="M22" s="43"/>
      <c r="N22" s="43"/>
      <c r="O22" s="43"/>
      <c r="P22" s="43">
        <f>+E22</f>
        <v>586</v>
      </c>
      <c r="S22" s="234"/>
    </row>
    <row r="23" spans="1:19" x14ac:dyDescent="0.25">
      <c r="A23" s="229">
        <v>43430</v>
      </c>
      <c r="B23" s="230" t="s">
        <v>956</v>
      </c>
      <c r="C23" s="230" t="s">
        <v>666</v>
      </c>
      <c r="D23" s="231" t="s">
        <v>957</v>
      </c>
      <c r="E23" s="232">
        <v>1400</v>
      </c>
      <c r="F23" s="233"/>
      <c r="G23" s="233"/>
      <c r="H23" s="43">
        <f>+E23</f>
        <v>1400</v>
      </c>
      <c r="I23" s="43"/>
      <c r="J23" s="43"/>
      <c r="K23" s="43"/>
      <c r="L23" s="43"/>
      <c r="M23" s="43"/>
      <c r="N23" s="43"/>
      <c r="O23" s="43"/>
      <c r="P23" s="43"/>
      <c r="S23" s="234"/>
    </row>
    <row r="24" spans="1:19" x14ac:dyDescent="0.25">
      <c r="A24" s="229">
        <v>43435</v>
      </c>
      <c r="B24" s="230" t="s">
        <v>958</v>
      </c>
      <c r="C24" s="230" t="s">
        <v>666</v>
      </c>
      <c r="D24" s="231" t="s">
        <v>959</v>
      </c>
      <c r="E24" s="232">
        <v>2361.75</v>
      </c>
      <c r="F24" s="233"/>
      <c r="G24" s="233"/>
      <c r="H24" s="43"/>
      <c r="I24" s="43"/>
      <c r="J24" s="43"/>
      <c r="K24" s="43"/>
      <c r="L24" s="43">
        <f>+E24</f>
        <v>2361.75</v>
      </c>
      <c r="M24" s="43"/>
      <c r="N24" s="43"/>
      <c r="O24" s="43"/>
      <c r="P24" s="43"/>
      <c r="S24" s="234"/>
    </row>
    <row r="25" spans="1:19" x14ac:dyDescent="0.25">
      <c r="A25" s="229">
        <v>43435</v>
      </c>
      <c r="B25" s="230" t="s">
        <v>960</v>
      </c>
      <c r="C25" s="230" t="s">
        <v>666</v>
      </c>
      <c r="D25" s="231" t="s">
        <v>961</v>
      </c>
      <c r="E25" s="232">
        <v>2597.9299999999998</v>
      </c>
      <c r="F25" s="233"/>
      <c r="G25" s="233"/>
      <c r="H25" s="43"/>
      <c r="I25" s="43"/>
      <c r="J25" s="43">
        <f>+E25</f>
        <v>2597.9299999999998</v>
      </c>
      <c r="K25" s="43"/>
      <c r="L25" s="43"/>
      <c r="M25" s="43"/>
      <c r="N25" s="43"/>
      <c r="O25" s="43"/>
      <c r="P25" s="43"/>
      <c r="S25" s="234"/>
    </row>
    <row r="26" spans="1:19" x14ac:dyDescent="0.25">
      <c r="A26" s="229">
        <v>43435</v>
      </c>
      <c r="B26" s="230" t="s">
        <v>962</v>
      </c>
      <c r="C26" s="230" t="s">
        <v>666</v>
      </c>
      <c r="D26" s="231" t="s">
        <v>963</v>
      </c>
      <c r="E26" s="232">
        <v>1232.6099999999999</v>
      </c>
      <c r="F26" s="233"/>
      <c r="G26" s="233"/>
      <c r="H26" s="43"/>
      <c r="I26" s="43"/>
      <c r="J26" s="43"/>
      <c r="K26" s="43">
        <f>+E26</f>
        <v>1232.6099999999999</v>
      </c>
      <c r="L26" s="43"/>
      <c r="M26" s="43"/>
      <c r="N26" s="43"/>
      <c r="O26" s="43"/>
      <c r="P26" s="43"/>
      <c r="S26" s="234"/>
    </row>
    <row r="27" spans="1:19" x14ac:dyDescent="0.25">
      <c r="A27" s="229">
        <v>43435</v>
      </c>
      <c r="B27" s="230" t="s">
        <v>964</v>
      </c>
      <c r="C27" s="230" t="s">
        <v>666</v>
      </c>
      <c r="D27" s="231" t="s">
        <v>965</v>
      </c>
      <c r="E27" s="232">
        <v>1564.66</v>
      </c>
      <c r="F27" s="233"/>
      <c r="G27" s="233"/>
      <c r="H27" s="43"/>
      <c r="I27" s="43">
        <f>+E27</f>
        <v>1564.66</v>
      </c>
      <c r="J27" s="43"/>
      <c r="K27" s="43"/>
      <c r="L27" s="43"/>
      <c r="M27" s="43"/>
      <c r="N27" s="43"/>
      <c r="O27" s="43"/>
      <c r="P27" s="43"/>
      <c r="S27" s="234"/>
    </row>
    <row r="28" spans="1:19" x14ac:dyDescent="0.25">
      <c r="A28" s="229">
        <v>43435</v>
      </c>
      <c r="B28" s="230" t="s">
        <v>966</v>
      </c>
      <c r="C28" s="230" t="s">
        <v>666</v>
      </c>
      <c r="D28" s="231" t="s">
        <v>967</v>
      </c>
      <c r="E28" s="232">
        <v>73.22</v>
      </c>
      <c r="F28" s="233"/>
      <c r="G28" s="233"/>
      <c r="H28" s="43">
        <f>+E28</f>
        <v>73.22</v>
      </c>
      <c r="I28" s="43"/>
      <c r="J28" s="43"/>
      <c r="K28" s="43"/>
      <c r="L28" s="43"/>
      <c r="M28" s="43"/>
      <c r="N28" s="43"/>
      <c r="O28" s="43"/>
      <c r="P28" s="43"/>
      <c r="S28" s="234"/>
    </row>
    <row r="29" spans="1:19" x14ac:dyDescent="0.25">
      <c r="A29" s="229">
        <v>43435</v>
      </c>
      <c r="B29" s="230" t="s">
        <v>968</v>
      </c>
      <c r="C29" s="230" t="s">
        <v>666</v>
      </c>
      <c r="D29" s="231" t="s">
        <v>969</v>
      </c>
      <c r="E29" s="232">
        <v>275</v>
      </c>
      <c r="F29" s="233"/>
      <c r="G29" s="233"/>
      <c r="H29" s="43"/>
      <c r="I29" s="43"/>
      <c r="J29" s="43"/>
      <c r="K29" s="43"/>
      <c r="L29" s="43"/>
      <c r="M29" s="43">
        <f>+E29</f>
        <v>275</v>
      </c>
      <c r="N29" s="43"/>
      <c r="O29" s="43"/>
      <c r="P29" s="43"/>
      <c r="S29" s="234"/>
    </row>
    <row r="30" spans="1:19" x14ac:dyDescent="0.25">
      <c r="A30" s="229">
        <v>43465</v>
      </c>
      <c r="B30" s="230" t="s">
        <v>970</v>
      </c>
      <c r="C30" s="230" t="s">
        <v>971</v>
      </c>
      <c r="D30" s="231" t="s">
        <v>972</v>
      </c>
      <c r="E30" s="232"/>
      <c r="F30" s="233">
        <v>275</v>
      </c>
      <c r="G30" s="233"/>
      <c r="H30" s="43"/>
      <c r="I30" s="43"/>
      <c r="J30" s="43"/>
      <c r="K30" s="43"/>
      <c r="L30" s="43"/>
      <c r="M30" s="43">
        <f>-F30</f>
        <v>-275</v>
      </c>
      <c r="N30" s="43"/>
      <c r="O30" s="43"/>
      <c r="P30" s="43"/>
      <c r="S30" s="234"/>
    </row>
    <row r="31" spans="1:19" x14ac:dyDescent="0.25">
      <c r="A31" s="229">
        <v>43465</v>
      </c>
      <c r="B31" s="230" t="s">
        <v>973</v>
      </c>
      <c r="C31" s="230" t="s">
        <v>971</v>
      </c>
      <c r="D31" s="231" t="s">
        <v>973</v>
      </c>
      <c r="E31" s="232">
        <v>15000</v>
      </c>
      <c r="F31" s="233"/>
      <c r="G31" s="233"/>
      <c r="H31" s="43"/>
      <c r="I31" s="43"/>
      <c r="J31" s="43"/>
      <c r="K31" s="43"/>
      <c r="L31" s="43"/>
      <c r="M31" s="43"/>
      <c r="N31" s="43"/>
      <c r="O31" s="43">
        <f>+E31</f>
        <v>15000</v>
      </c>
      <c r="P31" s="43"/>
      <c r="S31" s="234"/>
    </row>
    <row r="32" spans="1:19" x14ac:dyDescent="0.25">
      <c r="A32" s="229">
        <v>43466</v>
      </c>
      <c r="B32" s="230" t="s">
        <v>974</v>
      </c>
      <c r="C32" s="230" t="s">
        <v>666</v>
      </c>
      <c r="D32" s="231" t="s">
        <v>975</v>
      </c>
      <c r="E32" s="232">
        <v>1232.6099999999999</v>
      </c>
      <c r="F32" s="233"/>
      <c r="G32" s="233"/>
      <c r="H32" s="43"/>
      <c r="I32" s="43"/>
      <c r="J32" s="43"/>
      <c r="K32" s="43">
        <f>+E32</f>
        <v>1232.6099999999999</v>
      </c>
      <c r="L32" s="43"/>
      <c r="M32" s="43"/>
      <c r="N32" s="43"/>
      <c r="O32" s="43"/>
      <c r="P32" s="43"/>
      <c r="S32" s="234"/>
    </row>
    <row r="33" spans="1:19" x14ac:dyDescent="0.25">
      <c r="A33" s="229">
        <v>43466</v>
      </c>
      <c r="B33" s="230" t="s">
        <v>976</v>
      </c>
      <c r="C33" s="230" t="s">
        <v>666</v>
      </c>
      <c r="D33" s="231" t="s">
        <v>977</v>
      </c>
      <c r="E33" s="232">
        <v>2597.9299999999998</v>
      </c>
      <c r="F33" s="233"/>
      <c r="G33" s="233"/>
      <c r="H33" s="43"/>
      <c r="I33" s="43"/>
      <c r="J33" s="43">
        <f>+E33</f>
        <v>2597.9299999999998</v>
      </c>
      <c r="K33" s="43"/>
      <c r="L33" s="43"/>
      <c r="M33" s="43"/>
      <c r="N33" s="43"/>
      <c r="O33" s="43"/>
      <c r="P33" s="43"/>
      <c r="S33" s="234"/>
    </row>
    <row r="34" spans="1:19" x14ac:dyDescent="0.25">
      <c r="A34" s="229">
        <v>43466</v>
      </c>
      <c r="B34" s="230" t="s">
        <v>978</v>
      </c>
      <c r="C34" s="230" t="s">
        <v>666</v>
      </c>
      <c r="D34" s="231" t="s">
        <v>937</v>
      </c>
      <c r="E34" s="232">
        <v>1564.66</v>
      </c>
      <c r="F34" s="233"/>
      <c r="G34" s="233"/>
      <c r="H34" s="43"/>
      <c r="I34" s="43">
        <f>+E34</f>
        <v>1564.66</v>
      </c>
      <c r="J34" s="43"/>
      <c r="K34" s="43"/>
      <c r="L34" s="43"/>
      <c r="M34" s="43"/>
      <c r="N34" s="43"/>
      <c r="O34" s="43"/>
      <c r="P34" s="43"/>
      <c r="S34" s="234"/>
    </row>
    <row r="35" spans="1:19" x14ac:dyDescent="0.25">
      <c r="A35" s="229">
        <v>43466</v>
      </c>
      <c r="B35" s="230" t="s">
        <v>979</v>
      </c>
      <c r="C35" s="230" t="s">
        <v>666</v>
      </c>
      <c r="D35" s="231" t="s">
        <v>924</v>
      </c>
      <c r="E35" s="232">
        <v>2361.75</v>
      </c>
      <c r="F35" s="233"/>
      <c r="G35" s="233"/>
      <c r="H35" s="43"/>
      <c r="I35" s="43"/>
      <c r="J35" s="43"/>
      <c r="K35" s="43"/>
      <c r="L35" s="43">
        <f>+E35</f>
        <v>2361.75</v>
      </c>
      <c r="M35" s="43"/>
      <c r="N35" s="43"/>
      <c r="O35" s="43"/>
      <c r="P35" s="43"/>
      <c r="S35" s="234"/>
    </row>
    <row r="36" spans="1:19" x14ac:dyDescent="0.25">
      <c r="A36" s="229">
        <v>43466</v>
      </c>
      <c r="B36" s="230" t="s">
        <v>980</v>
      </c>
      <c r="C36" s="230" t="s">
        <v>666</v>
      </c>
      <c r="D36" s="231" t="s">
        <v>981</v>
      </c>
      <c r="E36" s="232">
        <v>73.349999999999994</v>
      </c>
      <c r="F36" s="233"/>
      <c r="G36" s="233"/>
      <c r="H36" s="43">
        <f>+E36</f>
        <v>73.349999999999994</v>
      </c>
      <c r="I36" s="43"/>
      <c r="J36" s="43"/>
      <c r="K36" s="43"/>
      <c r="L36" s="43"/>
      <c r="M36" s="43"/>
      <c r="N36" s="43"/>
      <c r="O36" s="43"/>
      <c r="P36" s="43"/>
      <c r="S36" s="234"/>
    </row>
    <row r="37" spans="1:19" x14ac:dyDescent="0.25">
      <c r="A37" s="229">
        <v>43467</v>
      </c>
      <c r="B37" s="230" t="s">
        <v>982</v>
      </c>
      <c r="C37" s="230" t="s">
        <v>666</v>
      </c>
      <c r="D37" s="231" t="s">
        <v>983</v>
      </c>
      <c r="E37" s="232">
        <v>1443.2</v>
      </c>
      <c r="F37" s="233"/>
      <c r="G37" s="233"/>
      <c r="H37" s="43">
        <f>+E37</f>
        <v>1443.2</v>
      </c>
      <c r="I37" s="43"/>
      <c r="J37" s="43"/>
      <c r="K37" s="43"/>
      <c r="L37" s="43"/>
      <c r="M37" s="43"/>
      <c r="N37" s="43"/>
      <c r="O37" s="43"/>
      <c r="P37" s="43"/>
      <c r="S37" s="234"/>
    </row>
    <row r="38" spans="1:19" x14ac:dyDescent="0.25">
      <c r="A38" s="229">
        <v>43475</v>
      </c>
      <c r="B38" s="230" t="s">
        <v>984</v>
      </c>
      <c r="C38" s="230" t="s">
        <v>666</v>
      </c>
      <c r="D38" s="231" t="s">
        <v>985</v>
      </c>
      <c r="E38" s="232">
        <v>275</v>
      </c>
      <c r="F38" s="233"/>
      <c r="G38" s="233"/>
      <c r="H38" s="43"/>
      <c r="I38" s="43"/>
      <c r="J38" s="43"/>
      <c r="K38" s="43"/>
      <c r="L38" s="43"/>
      <c r="M38" s="43">
        <f>+E38</f>
        <v>275</v>
      </c>
      <c r="N38" s="43"/>
      <c r="O38" s="43"/>
      <c r="P38" s="43"/>
      <c r="S38" s="234"/>
    </row>
    <row r="39" spans="1:19" x14ac:dyDescent="0.25">
      <c r="A39" s="229">
        <v>43497</v>
      </c>
      <c r="B39" s="230" t="s">
        <v>986</v>
      </c>
      <c r="C39" s="230" t="s">
        <v>666</v>
      </c>
      <c r="D39" s="231" t="s">
        <v>987</v>
      </c>
      <c r="E39" s="232">
        <v>275</v>
      </c>
      <c r="F39" s="233"/>
      <c r="G39" s="233"/>
      <c r="H39" s="43"/>
      <c r="I39" s="43"/>
      <c r="J39" s="43"/>
      <c r="K39" s="43"/>
      <c r="L39" s="43"/>
      <c r="M39" s="43">
        <f>+E39</f>
        <v>275</v>
      </c>
      <c r="N39" s="43"/>
      <c r="O39" s="43"/>
      <c r="P39" s="43"/>
      <c r="S39" s="234"/>
    </row>
    <row r="40" spans="1:19" x14ac:dyDescent="0.25">
      <c r="A40" s="229">
        <v>43497</v>
      </c>
      <c r="B40" s="230" t="s">
        <v>988</v>
      </c>
      <c r="C40" s="230" t="s">
        <v>666</v>
      </c>
      <c r="D40" s="231" t="s">
        <v>989</v>
      </c>
      <c r="E40" s="232">
        <v>1564.66</v>
      </c>
      <c r="F40" s="233"/>
      <c r="G40" s="233"/>
      <c r="H40" s="43"/>
      <c r="I40" s="43">
        <f>+E40</f>
        <v>1564.66</v>
      </c>
      <c r="J40" s="43"/>
      <c r="K40" s="43"/>
      <c r="L40" s="43"/>
      <c r="M40" s="43"/>
      <c r="N40" s="43"/>
      <c r="O40" s="43"/>
      <c r="P40" s="43"/>
      <c r="S40" s="234"/>
    </row>
    <row r="41" spans="1:19" x14ac:dyDescent="0.25">
      <c r="A41" s="229">
        <v>43497</v>
      </c>
      <c r="B41" s="230" t="s">
        <v>990</v>
      </c>
      <c r="C41" s="230" t="s">
        <v>666</v>
      </c>
      <c r="D41" s="231" t="s">
        <v>991</v>
      </c>
      <c r="E41" s="232">
        <v>1232.6099999999999</v>
      </c>
      <c r="F41" s="233"/>
      <c r="G41" s="233"/>
      <c r="H41" s="43"/>
      <c r="I41" s="43"/>
      <c r="J41" s="43"/>
      <c r="K41" s="43">
        <f>+E41</f>
        <v>1232.6099999999999</v>
      </c>
      <c r="L41" s="43"/>
      <c r="M41" s="43"/>
      <c r="N41" s="43"/>
      <c r="O41" s="43"/>
      <c r="P41" s="43"/>
      <c r="S41" s="234"/>
    </row>
    <row r="42" spans="1:19" x14ac:dyDescent="0.25">
      <c r="A42" s="229">
        <v>43497</v>
      </c>
      <c r="B42" s="230" t="s">
        <v>992</v>
      </c>
      <c r="C42" s="230" t="s">
        <v>666</v>
      </c>
      <c r="D42" s="231" t="s">
        <v>993</v>
      </c>
      <c r="E42" s="232">
        <v>2361.75</v>
      </c>
      <c r="F42" s="233"/>
      <c r="G42" s="233"/>
      <c r="H42" s="43"/>
      <c r="I42" s="43"/>
      <c r="J42" s="43"/>
      <c r="K42" s="43"/>
      <c r="L42" s="43">
        <f>+E42</f>
        <v>2361.75</v>
      </c>
      <c r="M42" s="43"/>
      <c r="N42" s="43"/>
      <c r="O42" s="43"/>
      <c r="P42" s="43"/>
      <c r="S42" s="234"/>
    </row>
    <row r="43" spans="1:19" x14ac:dyDescent="0.25">
      <c r="A43" s="229">
        <v>43497</v>
      </c>
      <c r="B43" s="230" t="s">
        <v>994</v>
      </c>
      <c r="C43" s="230" t="s">
        <v>666</v>
      </c>
      <c r="D43" s="231" t="s">
        <v>995</v>
      </c>
      <c r="E43" s="232">
        <v>73.349999999999994</v>
      </c>
      <c r="F43" s="233"/>
      <c r="G43" s="233"/>
      <c r="H43" s="43">
        <f>+E43</f>
        <v>73.349999999999994</v>
      </c>
      <c r="I43" s="43"/>
      <c r="J43" s="43"/>
      <c r="K43" s="43"/>
      <c r="L43" s="43"/>
      <c r="M43" s="43"/>
      <c r="N43" s="43"/>
      <c r="O43" s="43"/>
      <c r="P43" s="43"/>
      <c r="S43" s="234"/>
    </row>
    <row r="44" spans="1:19" x14ac:dyDescent="0.25">
      <c r="A44" s="229">
        <v>43497</v>
      </c>
      <c r="B44" s="230" t="s">
        <v>996</v>
      </c>
      <c r="C44" s="230" t="s">
        <v>666</v>
      </c>
      <c r="D44" s="231" t="s">
        <v>997</v>
      </c>
      <c r="E44" s="232">
        <v>1443.2</v>
      </c>
      <c r="F44" s="233"/>
      <c r="G44" s="233"/>
      <c r="H44" s="43">
        <f>+E44</f>
        <v>1443.2</v>
      </c>
      <c r="I44" s="43"/>
      <c r="J44" s="43"/>
      <c r="K44" s="43"/>
      <c r="L44" s="43"/>
      <c r="M44" s="43"/>
      <c r="N44" s="43"/>
      <c r="O44" s="43"/>
      <c r="P44" s="43"/>
      <c r="S44" s="234"/>
    </row>
    <row r="45" spans="1:19" x14ac:dyDescent="0.25">
      <c r="A45" s="229">
        <v>43497</v>
      </c>
      <c r="B45" s="230" t="s">
        <v>998</v>
      </c>
      <c r="C45" s="230" t="s">
        <v>666</v>
      </c>
      <c r="D45" s="231" t="s">
        <v>999</v>
      </c>
      <c r="E45" s="232">
        <v>2597.9299999999998</v>
      </c>
      <c r="F45" s="233"/>
      <c r="G45" s="233"/>
      <c r="H45" s="43"/>
      <c r="I45" s="43"/>
      <c r="J45" s="43">
        <f>+E45</f>
        <v>2597.9299999999998</v>
      </c>
      <c r="K45" s="43"/>
      <c r="L45" s="43"/>
      <c r="M45" s="43"/>
      <c r="N45" s="43"/>
      <c r="O45" s="43"/>
      <c r="P45" s="43"/>
      <c r="S45" s="234"/>
    </row>
    <row r="46" spans="1:19" x14ac:dyDescent="0.25">
      <c r="A46" s="229">
        <v>43525</v>
      </c>
      <c r="B46" s="230" t="s">
        <v>1000</v>
      </c>
      <c r="C46" s="230" t="s">
        <v>666</v>
      </c>
      <c r="D46" s="231" t="s">
        <v>1001</v>
      </c>
      <c r="E46" s="232">
        <v>1443.2</v>
      </c>
      <c r="F46" s="233"/>
      <c r="G46" s="233"/>
      <c r="H46" s="43">
        <f>+E46</f>
        <v>1443.2</v>
      </c>
      <c r="I46" s="43"/>
      <c r="J46" s="43"/>
      <c r="K46" s="43"/>
      <c r="L46" s="43"/>
      <c r="M46" s="43"/>
      <c r="N46" s="43"/>
      <c r="O46" s="43"/>
      <c r="P46" s="43"/>
      <c r="S46" s="234"/>
    </row>
    <row r="47" spans="1:19" x14ac:dyDescent="0.25">
      <c r="A47" s="229">
        <v>43525</v>
      </c>
      <c r="B47" s="230" t="s">
        <v>1002</v>
      </c>
      <c r="C47" s="230" t="s">
        <v>666</v>
      </c>
      <c r="D47" s="231" t="s">
        <v>1003</v>
      </c>
      <c r="E47" s="232">
        <v>73.349999999999994</v>
      </c>
      <c r="F47" s="233"/>
      <c r="G47" s="233"/>
      <c r="H47" s="43">
        <f>+E47</f>
        <v>73.349999999999994</v>
      </c>
      <c r="I47" s="43"/>
      <c r="J47" s="43"/>
      <c r="K47" s="43"/>
      <c r="L47" s="43"/>
      <c r="M47" s="43"/>
      <c r="N47" s="43"/>
      <c r="O47" s="43"/>
      <c r="P47" s="43"/>
      <c r="S47" s="234"/>
    </row>
    <row r="48" spans="1:19" x14ac:dyDescent="0.25">
      <c r="A48" s="229">
        <v>43525</v>
      </c>
      <c r="B48" s="230" t="s">
        <v>1004</v>
      </c>
      <c r="C48" s="230" t="s">
        <v>666</v>
      </c>
      <c r="D48" s="231" t="s">
        <v>1005</v>
      </c>
      <c r="E48" s="232">
        <v>2420.8000000000002</v>
      </c>
      <c r="F48" s="233"/>
      <c r="G48" s="233"/>
      <c r="H48" s="43"/>
      <c r="I48" s="43"/>
      <c r="J48" s="43"/>
      <c r="K48" s="43"/>
      <c r="L48" s="43">
        <f>+E48</f>
        <v>2420.8000000000002</v>
      </c>
      <c r="M48" s="43"/>
      <c r="N48" s="43"/>
      <c r="O48" s="43"/>
      <c r="P48" s="43"/>
      <c r="S48" s="234"/>
    </row>
    <row r="49" spans="1:19" x14ac:dyDescent="0.25">
      <c r="A49" s="229">
        <v>43525</v>
      </c>
      <c r="B49" s="230" t="s">
        <v>1006</v>
      </c>
      <c r="C49" s="230" t="s">
        <v>666</v>
      </c>
      <c r="D49" s="231" t="s">
        <v>1007</v>
      </c>
      <c r="E49" s="232">
        <v>1603.78</v>
      </c>
      <c r="F49" s="233"/>
      <c r="G49" s="233"/>
      <c r="H49" s="43"/>
      <c r="I49" s="43">
        <f>+E49</f>
        <v>1603.78</v>
      </c>
      <c r="J49" s="43"/>
      <c r="K49" s="43"/>
      <c r="L49" s="43"/>
      <c r="M49" s="43"/>
      <c r="N49" s="43"/>
      <c r="O49" s="43"/>
      <c r="P49" s="43"/>
      <c r="S49" s="234"/>
    </row>
    <row r="50" spans="1:19" x14ac:dyDescent="0.25">
      <c r="A50" s="229">
        <v>43525</v>
      </c>
      <c r="B50" s="230" t="s">
        <v>1008</v>
      </c>
      <c r="C50" s="230" t="s">
        <v>666</v>
      </c>
      <c r="D50" s="231" t="s">
        <v>1009</v>
      </c>
      <c r="E50" s="232">
        <v>2662.88</v>
      </c>
      <c r="F50" s="233"/>
      <c r="G50" s="233"/>
      <c r="H50" s="43"/>
      <c r="I50" s="43"/>
      <c r="J50" s="43">
        <f>+E50</f>
        <v>2662.88</v>
      </c>
      <c r="K50" s="43"/>
      <c r="L50" s="43"/>
      <c r="M50" s="43"/>
      <c r="N50" s="43"/>
      <c r="O50" s="43"/>
      <c r="P50" s="43"/>
      <c r="S50" s="234"/>
    </row>
    <row r="51" spans="1:19" x14ac:dyDescent="0.25">
      <c r="A51" s="229">
        <v>43525</v>
      </c>
      <c r="B51" s="230" t="s">
        <v>1010</v>
      </c>
      <c r="C51" s="230" t="s">
        <v>666</v>
      </c>
      <c r="D51" s="231" t="s">
        <v>1011</v>
      </c>
      <c r="E51" s="232">
        <v>1232.6099999999999</v>
      </c>
      <c r="F51" s="233"/>
      <c r="G51" s="233"/>
      <c r="H51" s="43"/>
      <c r="I51" s="43"/>
      <c r="J51" s="43"/>
      <c r="K51" s="43">
        <f>+E51</f>
        <v>1232.6099999999999</v>
      </c>
      <c r="L51" s="43"/>
      <c r="M51" s="43"/>
      <c r="N51" s="43"/>
      <c r="O51" s="43"/>
      <c r="P51" s="43"/>
      <c r="S51" s="234"/>
    </row>
    <row r="52" spans="1:19" x14ac:dyDescent="0.25">
      <c r="A52" s="229">
        <v>43529</v>
      </c>
      <c r="B52" s="230" t="s">
        <v>1012</v>
      </c>
      <c r="C52" s="230" t="s">
        <v>666</v>
      </c>
      <c r="D52" s="231" t="s">
        <v>1013</v>
      </c>
      <c r="E52" s="232">
        <v>275</v>
      </c>
      <c r="F52" s="233"/>
      <c r="G52" s="233"/>
      <c r="H52" s="43"/>
      <c r="I52" s="43"/>
      <c r="J52" s="43"/>
      <c r="K52" s="43"/>
      <c r="L52" s="43"/>
      <c r="M52" s="43">
        <f>+E52</f>
        <v>275</v>
      </c>
      <c r="N52" s="43"/>
      <c r="O52" s="43"/>
      <c r="P52" s="43"/>
      <c r="S52" s="234"/>
    </row>
    <row r="53" spans="1:19" x14ac:dyDescent="0.25">
      <c r="A53" s="229">
        <v>43556</v>
      </c>
      <c r="B53" s="230" t="s">
        <v>1014</v>
      </c>
      <c r="C53" s="230" t="s">
        <v>666</v>
      </c>
      <c r="D53" s="231" t="s">
        <v>1015</v>
      </c>
      <c r="E53" s="232">
        <v>2420.8000000000002</v>
      </c>
      <c r="F53" s="233"/>
      <c r="G53" s="233"/>
      <c r="H53" s="43"/>
      <c r="I53" s="43"/>
      <c r="J53" s="43"/>
      <c r="K53" s="43"/>
      <c r="L53" s="43">
        <f>+E53</f>
        <v>2420.8000000000002</v>
      </c>
      <c r="M53" s="43"/>
      <c r="N53" s="43"/>
      <c r="O53" s="43"/>
      <c r="P53" s="43"/>
      <c r="S53" s="234"/>
    </row>
    <row r="54" spans="1:19" x14ac:dyDescent="0.25">
      <c r="A54" s="229">
        <v>43556</v>
      </c>
      <c r="B54" s="230" t="s">
        <v>1016</v>
      </c>
      <c r="C54" s="230" t="s">
        <v>666</v>
      </c>
      <c r="D54" s="231" t="s">
        <v>1017</v>
      </c>
      <c r="E54" s="232">
        <v>1603.78</v>
      </c>
      <c r="F54" s="233"/>
      <c r="G54" s="233"/>
      <c r="H54" s="43"/>
      <c r="I54" s="43">
        <f>+E54</f>
        <v>1603.78</v>
      </c>
      <c r="J54" s="43"/>
      <c r="K54" s="43"/>
      <c r="L54" s="43"/>
      <c r="M54" s="43"/>
      <c r="N54" s="43"/>
      <c r="O54" s="43"/>
      <c r="P54" s="43"/>
      <c r="S54" s="234"/>
    </row>
    <row r="55" spans="1:19" x14ac:dyDescent="0.25">
      <c r="A55" s="229">
        <v>43556</v>
      </c>
      <c r="B55" s="230" t="s">
        <v>1018</v>
      </c>
      <c r="C55" s="230" t="s">
        <v>666</v>
      </c>
      <c r="D55" s="231" t="s">
        <v>1019</v>
      </c>
      <c r="E55" s="232">
        <v>2662.88</v>
      </c>
      <c r="F55" s="233"/>
      <c r="G55" s="233"/>
      <c r="H55" s="43"/>
      <c r="I55" s="43"/>
      <c r="J55" s="43">
        <f>+E55</f>
        <v>2662.88</v>
      </c>
      <c r="K55" s="43"/>
      <c r="L55" s="43"/>
      <c r="M55" s="43"/>
      <c r="N55" s="43"/>
      <c r="O55" s="43"/>
      <c r="P55" s="43"/>
      <c r="S55" s="234"/>
    </row>
    <row r="56" spans="1:19" x14ac:dyDescent="0.25">
      <c r="A56" s="229">
        <v>43556</v>
      </c>
      <c r="B56" s="230" t="s">
        <v>1020</v>
      </c>
      <c r="C56" s="230" t="s">
        <v>666</v>
      </c>
      <c r="D56" s="231" t="s">
        <v>1021</v>
      </c>
      <c r="E56" s="232">
        <v>1260.95</v>
      </c>
      <c r="F56" s="233"/>
      <c r="G56" s="233"/>
      <c r="H56" s="43"/>
      <c r="I56" s="43"/>
      <c r="J56" s="43"/>
      <c r="K56" s="43">
        <f>+E56</f>
        <v>1260.95</v>
      </c>
      <c r="L56" s="43"/>
      <c r="M56" s="43"/>
      <c r="N56" s="43"/>
      <c r="O56" s="43"/>
      <c r="P56" s="43"/>
      <c r="S56" s="234"/>
    </row>
    <row r="57" spans="1:19" x14ac:dyDescent="0.25">
      <c r="A57" s="229">
        <v>43556</v>
      </c>
      <c r="B57" s="230" t="s">
        <v>1022</v>
      </c>
      <c r="C57" s="230" t="s">
        <v>666</v>
      </c>
      <c r="D57" s="231" t="s">
        <v>1023</v>
      </c>
      <c r="E57" s="232">
        <v>73.349999999999994</v>
      </c>
      <c r="F57" s="233"/>
      <c r="G57" s="233"/>
      <c r="H57" s="43">
        <f>+E57</f>
        <v>73.349999999999994</v>
      </c>
      <c r="I57" s="43"/>
      <c r="J57" s="43"/>
      <c r="K57" s="43"/>
      <c r="L57" s="43"/>
      <c r="M57" s="43"/>
      <c r="N57" s="43"/>
      <c r="O57" s="43"/>
      <c r="P57" s="43"/>
      <c r="S57" s="234"/>
    </row>
    <row r="58" spans="1:19" x14ac:dyDescent="0.25">
      <c r="A58" s="229">
        <v>43556</v>
      </c>
      <c r="B58" s="230" t="s">
        <v>1024</v>
      </c>
      <c r="C58" s="230" t="s">
        <v>666</v>
      </c>
      <c r="D58" s="231" t="s">
        <v>1025</v>
      </c>
      <c r="E58" s="232">
        <v>1443.2</v>
      </c>
      <c r="F58" s="233"/>
      <c r="G58" s="233"/>
      <c r="H58" s="43">
        <f>+E58</f>
        <v>1443.2</v>
      </c>
      <c r="I58" s="43"/>
      <c r="J58" s="43"/>
      <c r="K58" s="43"/>
      <c r="L58" s="43"/>
      <c r="M58" s="43"/>
      <c r="N58" s="43"/>
      <c r="O58" s="43"/>
      <c r="P58" s="43"/>
      <c r="S58" s="234"/>
    </row>
    <row r="59" spans="1:19" x14ac:dyDescent="0.25">
      <c r="A59" s="229">
        <v>43558</v>
      </c>
      <c r="B59" s="230" t="s">
        <v>1026</v>
      </c>
      <c r="C59" s="230" t="s">
        <v>666</v>
      </c>
      <c r="D59" s="231" t="s">
        <v>1027</v>
      </c>
      <c r="E59" s="232">
        <v>275</v>
      </c>
      <c r="F59" s="233"/>
      <c r="G59" s="233"/>
      <c r="H59" s="43"/>
      <c r="I59" s="43"/>
      <c r="J59" s="43"/>
      <c r="K59" s="43"/>
      <c r="L59" s="43"/>
      <c r="M59" s="43">
        <f>+E59</f>
        <v>275</v>
      </c>
      <c r="N59" s="43"/>
      <c r="O59" s="43"/>
      <c r="P59" s="43"/>
      <c r="S59" s="234"/>
    </row>
    <row r="60" spans="1:19" x14ac:dyDescent="0.25">
      <c r="A60" s="229">
        <v>43586</v>
      </c>
      <c r="B60" s="230" t="s">
        <v>1028</v>
      </c>
      <c r="C60" s="230" t="s">
        <v>666</v>
      </c>
      <c r="D60" s="231" t="s">
        <v>1029</v>
      </c>
      <c r="E60" s="232">
        <v>2662.88</v>
      </c>
      <c r="F60" s="233"/>
      <c r="G60" s="233"/>
      <c r="H60" s="43"/>
      <c r="I60" s="43"/>
      <c r="J60" s="43">
        <f>+E60</f>
        <v>2662.88</v>
      </c>
      <c r="K60" s="43"/>
      <c r="L60" s="43"/>
      <c r="M60" s="43"/>
      <c r="N60" s="43"/>
      <c r="O60" s="43"/>
      <c r="P60" s="43"/>
      <c r="S60" s="234"/>
    </row>
    <row r="61" spans="1:19" x14ac:dyDescent="0.25">
      <c r="A61" s="229">
        <v>43586</v>
      </c>
      <c r="B61" s="230" t="s">
        <v>1030</v>
      </c>
      <c r="C61" s="230" t="s">
        <v>666</v>
      </c>
      <c r="D61" s="231" t="s">
        <v>1031</v>
      </c>
      <c r="E61" s="232">
        <v>1260.95</v>
      </c>
      <c r="F61" s="233"/>
      <c r="G61" s="233"/>
      <c r="H61" s="43"/>
      <c r="I61" s="43"/>
      <c r="J61" s="43"/>
      <c r="K61" s="43">
        <f>+E61</f>
        <v>1260.95</v>
      </c>
      <c r="L61" s="43"/>
      <c r="M61" s="43"/>
      <c r="N61" s="43"/>
      <c r="O61" s="43"/>
      <c r="P61" s="43"/>
      <c r="S61" s="234"/>
    </row>
    <row r="62" spans="1:19" x14ac:dyDescent="0.25">
      <c r="A62" s="229">
        <v>43586</v>
      </c>
      <c r="B62" s="230" t="s">
        <v>1032</v>
      </c>
      <c r="C62" s="230" t="s">
        <v>666</v>
      </c>
      <c r="D62" s="231" t="s">
        <v>1033</v>
      </c>
      <c r="E62" s="232">
        <v>2420.8000000000002</v>
      </c>
      <c r="F62" s="233"/>
      <c r="G62" s="233"/>
      <c r="H62" s="43"/>
      <c r="I62" s="43"/>
      <c r="J62" s="43"/>
      <c r="K62" s="43"/>
      <c r="L62" s="43">
        <f>+E62</f>
        <v>2420.8000000000002</v>
      </c>
      <c r="M62" s="43"/>
      <c r="N62" s="43"/>
      <c r="O62" s="43"/>
      <c r="P62" s="43"/>
      <c r="S62" s="234"/>
    </row>
    <row r="63" spans="1:19" x14ac:dyDescent="0.25">
      <c r="A63" s="229">
        <v>43586</v>
      </c>
      <c r="B63" s="230" t="s">
        <v>1034</v>
      </c>
      <c r="C63" s="230" t="s">
        <v>666</v>
      </c>
      <c r="D63" s="231" t="s">
        <v>1035</v>
      </c>
      <c r="E63" s="232">
        <v>1603.78</v>
      </c>
      <c r="F63" s="233"/>
      <c r="G63" s="233"/>
      <c r="H63" s="43"/>
      <c r="I63" s="43">
        <f>+E63</f>
        <v>1603.78</v>
      </c>
      <c r="J63" s="43"/>
      <c r="K63" s="43"/>
      <c r="L63" s="43"/>
      <c r="M63" s="43"/>
      <c r="N63" s="43"/>
      <c r="O63" s="43"/>
      <c r="P63" s="43"/>
      <c r="S63" s="234"/>
    </row>
    <row r="64" spans="1:19" x14ac:dyDescent="0.25">
      <c r="A64" s="229">
        <v>43586</v>
      </c>
      <c r="B64" s="230" t="s">
        <v>1036</v>
      </c>
      <c r="C64" s="230" t="s">
        <v>666</v>
      </c>
      <c r="D64" s="231" t="s">
        <v>1037</v>
      </c>
      <c r="E64" s="232">
        <v>73.349999999999994</v>
      </c>
      <c r="F64" s="233"/>
      <c r="G64" s="233"/>
      <c r="H64" s="43">
        <f>+E64</f>
        <v>73.349999999999994</v>
      </c>
      <c r="I64" s="43"/>
      <c r="J64" s="43"/>
      <c r="K64" s="43"/>
      <c r="L64" s="43"/>
      <c r="M64" s="43"/>
      <c r="N64" s="43"/>
      <c r="O64" s="43"/>
      <c r="P64" s="43"/>
      <c r="S64" s="234"/>
    </row>
    <row r="65" spans="1:19" x14ac:dyDescent="0.25">
      <c r="A65" s="229">
        <v>43586</v>
      </c>
      <c r="B65" s="230" t="s">
        <v>1038</v>
      </c>
      <c r="C65" s="230" t="s">
        <v>666</v>
      </c>
      <c r="D65" s="231" t="s">
        <v>1039</v>
      </c>
      <c r="E65" s="232">
        <v>1443.2</v>
      </c>
      <c r="F65" s="233"/>
      <c r="G65" s="233"/>
      <c r="H65" s="43">
        <f>+E65</f>
        <v>1443.2</v>
      </c>
      <c r="I65" s="43"/>
      <c r="J65" s="43"/>
      <c r="K65" s="43"/>
      <c r="L65" s="43"/>
      <c r="M65" s="43"/>
      <c r="N65" s="43"/>
      <c r="O65" s="43"/>
      <c r="P65" s="43"/>
      <c r="S65" s="234"/>
    </row>
    <row r="66" spans="1:19" x14ac:dyDescent="0.25">
      <c r="A66" s="229">
        <v>43607</v>
      </c>
      <c r="B66" s="230" t="s">
        <v>1040</v>
      </c>
      <c r="C66" s="230" t="s">
        <v>666</v>
      </c>
      <c r="D66" s="231" t="s">
        <v>1041</v>
      </c>
      <c r="E66" s="232">
        <v>275</v>
      </c>
      <c r="F66" s="233"/>
      <c r="G66" s="233"/>
      <c r="H66" s="43"/>
      <c r="I66" s="43"/>
      <c r="J66" s="43"/>
      <c r="K66" s="43"/>
      <c r="L66" s="43"/>
      <c r="M66" s="43">
        <f>+E66</f>
        <v>275</v>
      </c>
      <c r="N66" s="43"/>
      <c r="O66" s="43"/>
      <c r="P66" s="43"/>
      <c r="S66" s="234"/>
    </row>
    <row r="67" spans="1:19" x14ac:dyDescent="0.25">
      <c r="A67" s="229">
        <v>43617</v>
      </c>
      <c r="B67" s="230" t="s">
        <v>1042</v>
      </c>
      <c r="C67" s="230" t="s">
        <v>666</v>
      </c>
      <c r="D67" s="231" t="s">
        <v>1043</v>
      </c>
      <c r="E67" s="232">
        <v>73.349999999999994</v>
      </c>
      <c r="F67" s="233"/>
      <c r="G67" s="233"/>
      <c r="H67" s="43">
        <f>+E67</f>
        <v>73.349999999999994</v>
      </c>
      <c r="I67" s="43"/>
      <c r="J67" s="43"/>
      <c r="K67" s="43"/>
      <c r="L67" s="43"/>
      <c r="M67" s="43"/>
      <c r="N67" s="43"/>
      <c r="O67" s="43"/>
      <c r="P67" s="43"/>
      <c r="S67" s="234"/>
    </row>
    <row r="68" spans="1:19" x14ac:dyDescent="0.25">
      <c r="A68" s="229">
        <v>43617</v>
      </c>
      <c r="B68" s="230" t="s">
        <v>1044</v>
      </c>
      <c r="C68" s="230" t="s">
        <v>666</v>
      </c>
      <c r="D68" s="231" t="s">
        <v>1043</v>
      </c>
      <c r="E68" s="232">
        <v>1443.2</v>
      </c>
      <c r="F68" s="233"/>
      <c r="G68" s="233"/>
      <c r="H68" s="43">
        <f>+E68</f>
        <v>1443.2</v>
      </c>
      <c r="I68" s="43"/>
      <c r="J68" s="43"/>
      <c r="K68" s="43"/>
      <c r="L68" s="43"/>
      <c r="M68" s="43"/>
      <c r="N68" s="43"/>
      <c r="O68" s="43"/>
      <c r="P68" s="43"/>
      <c r="S68" s="234"/>
    </row>
    <row r="69" spans="1:19" x14ac:dyDescent="0.25">
      <c r="A69" s="229">
        <v>43617</v>
      </c>
      <c r="B69" s="230" t="s">
        <v>1045</v>
      </c>
      <c r="C69" s="230" t="s">
        <v>666</v>
      </c>
      <c r="D69" s="231" t="s">
        <v>1046</v>
      </c>
      <c r="E69" s="232">
        <v>1260.95</v>
      </c>
      <c r="F69" s="233"/>
      <c r="G69" s="233"/>
      <c r="H69" s="43"/>
      <c r="I69" s="43"/>
      <c r="J69" s="43"/>
      <c r="K69" s="43">
        <f>+E69</f>
        <v>1260.95</v>
      </c>
      <c r="L69" s="43"/>
      <c r="M69" s="43"/>
      <c r="N69" s="43"/>
      <c r="O69" s="43"/>
      <c r="P69" s="43"/>
      <c r="S69" s="234"/>
    </row>
    <row r="70" spans="1:19" x14ac:dyDescent="0.25">
      <c r="A70" s="229">
        <v>43617</v>
      </c>
      <c r="B70" s="230" t="s">
        <v>1047</v>
      </c>
      <c r="C70" s="230" t="s">
        <v>666</v>
      </c>
      <c r="D70" s="231" t="s">
        <v>1048</v>
      </c>
      <c r="E70" s="232">
        <v>2662.88</v>
      </c>
      <c r="F70" s="233"/>
      <c r="G70" s="233"/>
      <c r="H70" s="43"/>
      <c r="I70" s="43"/>
      <c r="J70" s="43">
        <f>+E70</f>
        <v>2662.88</v>
      </c>
      <c r="K70" s="43"/>
      <c r="L70" s="43"/>
      <c r="M70" s="43"/>
      <c r="N70" s="43"/>
      <c r="O70" s="43"/>
      <c r="P70" s="43"/>
      <c r="S70" s="234"/>
    </row>
    <row r="71" spans="1:19" x14ac:dyDescent="0.25">
      <c r="A71" s="229">
        <v>43617</v>
      </c>
      <c r="B71" s="230" t="s">
        <v>1049</v>
      </c>
      <c r="C71" s="230" t="s">
        <v>666</v>
      </c>
      <c r="D71" s="231" t="s">
        <v>1050</v>
      </c>
      <c r="E71" s="232">
        <v>2420.8000000000002</v>
      </c>
      <c r="F71" s="233"/>
      <c r="G71" s="233"/>
      <c r="H71" s="43"/>
      <c r="I71" s="43"/>
      <c r="J71" s="43"/>
      <c r="K71" s="43"/>
      <c r="L71" s="43">
        <f>+E71</f>
        <v>2420.8000000000002</v>
      </c>
      <c r="M71" s="43"/>
      <c r="N71" s="43"/>
      <c r="O71" s="43"/>
      <c r="P71" s="43"/>
      <c r="S71" s="234"/>
    </row>
    <row r="72" spans="1:19" x14ac:dyDescent="0.25">
      <c r="A72" s="229">
        <v>43617</v>
      </c>
      <c r="B72" s="230" t="s">
        <v>1051</v>
      </c>
      <c r="C72" s="230" t="s">
        <v>666</v>
      </c>
      <c r="D72" s="231" t="s">
        <v>1052</v>
      </c>
      <c r="E72" s="232">
        <v>1603.78</v>
      </c>
      <c r="F72" s="233"/>
      <c r="G72" s="233"/>
      <c r="H72" s="43"/>
      <c r="I72" s="43">
        <f>+E72</f>
        <v>1603.78</v>
      </c>
      <c r="J72" s="43"/>
      <c r="K72" s="43"/>
      <c r="L72" s="43"/>
      <c r="M72" s="43"/>
      <c r="N72" s="43"/>
      <c r="O72" s="43"/>
      <c r="P72" s="43"/>
      <c r="S72" s="234"/>
    </row>
    <row r="73" spans="1:19" x14ac:dyDescent="0.25">
      <c r="A73" s="229">
        <v>43643</v>
      </c>
      <c r="B73" s="230" t="s">
        <v>1053</v>
      </c>
      <c r="C73" s="230" t="s">
        <v>666</v>
      </c>
      <c r="D73" s="231" t="s">
        <v>1054</v>
      </c>
      <c r="E73" s="232">
        <v>550</v>
      </c>
      <c r="F73" s="233"/>
      <c r="G73" s="233"/>
      <c r="H73" s="43"/>
      <c r="I73" s="43"/>
      <c r="J73" s="43"/>
      <c r="K73" s="43"/>
      <c r="L73" s="43"/>
      <c r="M73" s="43">
        <f>+E73</f>
        <v>550</v>
      </c>
      <c r="N73" s="43"/>
      <c r="O73" s="43"/>
      <c r="P73" s="43"/>
      <c r="S73" s="234"/>
    </row>
    <row r="74" spans="1:19" x14ac:dyDescent="0.25">
      <c r="A74" s="229">
        <v>43647</v>
      </c>
      <c r="B74" s="230" t="s">
        <v>1055</v>
      </c>
      <c r="C74" s="230" t="s">
        <v>666</v>
      </c>
      <c r="D74" s="231" t="s">
        <v>1056</v>
      </c>
      <c r="E74" s="232">
        <v>2420.8000000000002</v>
      </c>
      <c r="F74" s="233"/>
      <c r="G74" s="233"/>
      <c r="H74" s="43"/>
      <c r="I74" s="43"/>
      <c r="J74" s="43"/>
      <c r="K74" s="43"/>
      <c r="L74" s="43">
        <f>+E74</f>
        <v>2420.8000000000002</v>
      </c>
      <c r="M74" s="43"/>
      <c r="N74" s="43"/>
      <c r="O74" s="43"/>
      <c r="P74" s="43"/>
      <c r="S74" s="234"/>
    </row>
    <row r="75" spans="1:19" x14ac:dyDescent="0.25">
      <c r="A75" s="229">
        <v>43647</v>
      </c>
      <c r="B75" s="230" t="s">
        <v>1057</v>
      </c>
      <c r="C75" s="230" t="s">
        <v>666</v>
      </c>
      <c r="D75" s="231" t="s">
        <v>937</v>
      </c>
      <c r="E75" s="232">
        <v>1603.78</v>
      </c>
      <c r="F75" s="233"/>
      <c r="G75" s="233"/>
      <c r="H75" s="43"/>
      <c r="I75" s="43">
        <f>+E75</f>
        <v>1603.78</v>
      </c>
      <c r="J75" s="43"/>
      <c r="K75" s="43"/>
      <c r="L75" s="43"/>
      <c r="M75" s="43"/>
      <c r="N75" s="43"/>
      <c r="O75" s="43"/>
      <c r="P75" s="43"/>
      <c r="S75" s="234"/>
    </row>
    <row r="76" spans="1:19" x14ac:dyDescent="0.25">
      <c r="A76" s="229">
        <v>43647</v>
      </c>
      <c r="B76" s="230" t="s">
        <v>1058</v>
      </c>
      <c r="C76" s="230" t="s">
        <v>666</v>
      </c>
      <c r="D76" s="231" t="s">
        <v>1059</v>
      </c>
      <c r="E76" s="232">
        <v>2662.88</v>
      </c>
      <c r="F76" s="233"/>
      <c r="G76" s="233"/>
      <c r="H76" s="43"/>
      <c r="I76" s="43"/>
      <c r="J76" s="43">
        <f>+E76</f>
        <v>2662.88</v>
      </c>
      <c r="K76" s="43"/>
      <c r="L76" s="43"/>
      <c r="M76" s="43"/>
      <c r="N76" s="43"/>
      <c r="O76" s="43"/>
      <c r="P76" s="43"/>
      <c r="S76" s="234"/>
    </row>
    <row r="77" spans="1:19" x14ac:dyDescent="0.25">
      <c r="A77" s="229">
        <v>43647</v>
      </c>
      <c r="B77" s="230" t="s">
        <v>1060</v>
      </c>
      <c r="C77" s="230" t="s">
        <v>666</v>
      </c>
      <c r="D77" s="231" t="s">
        <v>975</v>
      </c>
      <c r="E77" s="232">
        <v>1260.95</v>
      </c>
      <c r="F77" s="233"/>
      <c r="G77" s="233"/>
      <c r="H77" s="43"/>
      <c r="I77" s="43"/>
      <c r="J77" s="43"/>
      <c r="K77" s="43">
        <f>+E77</f>
        <v>1260.95</v>
      </c>
      <c r="L77" s="43"/>
      <c r="M77" s="43"/>
      <c r="N77" s="43"/>
      <c r="O77" s="43"/>
      <c r="P77" s="43"/>
      <c r="S77" s="234"/>
    </row>
    <row r="78" spans="1:19" x14ac:dyDescent="0.25">
      <c r="A78" s="229">
        <v>43647</v>
      </c>
      <c r="B78" s="230" t="s">
        <v>1061</v>
      </c>
      <c r="C78" s="230" t="s">
        <v>666</v>
      </c>
      <c r="D78" s="231" t="s">
        <v>1062</v>
      </c>
      <c r="E78" s="232">
        <v>73.349999999999994</v>
      </c>
      <c r="F78" s="233"/>
      <c r="G78" s="233"/>
      <c r="H78" s="43">
        <f>+E78</f>
        <v>73.349999999999994</v>
      </c>
      <c r="I78" s="43"/>
      <c r="J78" s="43"/>
      <c r="K78" s="43"/>
      <c r="L78" s="43"/>
      <c r="M78" s="43"/>
      <c r="N78" s="43"/>
      <c r="O78" s="43"/>
      <c r="P78" s="43"/>
      <c r="S78" s="234"/>
    </row>
    <row r="79" spans="1:19" x14ac:dyDescent="0.25">
      <c r="A79" s="229">
        <v>43647</v>
      </c>
      <c r="B79" s="230" t="s">
        <v>1063</v>
      </c>
      <c r="C79" s="230" t="s">
        <v>666</v>
      </c>
      <c r="D79" s="231" t="s">
        <v>1064</v>
      </c>
      <c r="E79" s="232">
        <v>1443.2</v>
      </c>
      <c r="F79" s="233"/>
      <c r="G79" s="233"/>
      <c r="H79" s="43">
        <f>+E79</f>
        <v>1443.2</v>
      </c>
      <c r="I79" s="43"/>
      <c r="J79" s="43"/>
      <c r="K79" s="43"/>
      <c r="L79" s="43"/>
      <c r="M79" s="43"/>
      <c r="N79" s="43"/>
      <c r="O79" s="43"/>
      <c r="P79" s="43"/>
      <c r="S79" s="234"/>
    </row>
    <row r="80" spans="1:19" x14ac:dyDescent="0.25">
      <c r="A80" s="229">
        <v>43678</v>
      </c>
      <c r="B80" s="230" t="s">
        <v>1065</v>
      </c>
      <c r="C80" s="230" t="s">
        <v>666</v>
      </c>
      <c r="D80" s="231" t="s">
        <v>1066</v>
      </c>
      <c r="E80" s="232">
        <v>1443.2</v>
      </c>
      <c r="F80" s="233"/>
      <c r="G80" s="233"/>
      <c r="H80" s="43">
        <f>+E80</f>
        <v>1443.2</v>
      </c>
      <c r="I80" s="43"/>
      <c r="J80" s="43"/>
      <c r="K80" s="43"/>
      <c r="L80" s="43"/>
      <c r="M80" s="43"/>
      <c r="N80" s="43"/>
      <c r="O80" s="43"/>
      <c r="P80" s="43"/>
      <c r="S80" s="234"/>
    </row>
    <row r="81" spans="1:19" x14ac:dyDescent="0.25">
      <c r="A81" s="229">
        <v>43678</v>
      </c>
      <c r="B81" s="230" t="s">
        <v>1065</v>
      </c>
      <c r="C81" s="230" t="s">
        <v>666</v>
      </c>
      <c r="D81" s="231" t="s">
        <v>1067</v>
      </c>
      <c r="E81" s="232">
        <v>14.43</v>
      </c>
      <c r="F81" s="233"/>
      <c r="G81" s="233"/>
      <c r="H81" s="43">
        <f>+E81</f>
        <v>14.43</v>
      </c>
      <c r="I81" s="43"/>
      <c r="J81" s="43"/>
      <c r="K81" s="43"/>
      <c r="L81" s="43"/>
      <c r="M81" s="43"/>
      <c r="N81" s="43"/>
      <c r="O81" s="43"/>
      <c r="P81" s="43"/>
      <c r="S81" s="234"/>
    </row>
    <row r="82" spans="1:19" x14ac:dyDescent="0.25">
      <c r="A82" s="229">
        <v>43678</v>
      </c>
      <c r="B82" s="230" t="s">
        <v>1068</v>
      </c>
      <c r="C82" s="230" t="s">
        <v>666</v>
      </c>
      <c r="D82" s="231" t="s">
        <v>937</v>
      </c>
      <c r="E82" s="232">
        <v>1603.78</v>
      </c>
      <c r="F82" s="233"/>
      <c r="G82" s="233"/>
      <c r="H82" s="43"/>
      <c r="I82" s="43">
        <f>+E82</f>
        <v>1603.78</v>
      </c>
      <c r="J82" s="43"/>
      <c r="K82" s="43"/>
      <c r="L82" s="43"/>
      <c r="M82" s="43"/>
      <c r="N82" s="43"/>
      <c r="O82" s="43"/>
      <c r="P82" s="43"/>
      <c r="S82" s="234"/>
    </row>
    <row r="83" spans="1:19" x14ac:dyDescent="0.25">
      <c r="A83" s="229">
        <v>43678</v>
      </c>
      <c r="B83" s="230" t="s">
        <v>1069</v>
      </c>
      <c r="C83" s="230" t="s">
        <v>666</v>
      </c>
      <c r="D83" s="231" t="s">
        <v>1070</v>
      </c>
      <c r="E83" s="232">
        <v>2420.8000000000002</v>
      </c>
      <c r="F83" s="233"/>
      <c r="G83" s="233"/>
      <c r="H83" s="43"/>
      <c r="I83" s="43"/>
      <c r="J83" s="43"/>
      <c r="K83" s="43"/>
      <c r="L83" s="43">
        <f>+E83</f>
        <v>2420.8000000000002</v>
      </c>
      <c r="M83" s="43"/>
      <c r="N83" s="43"/>
      <c r="O83" s="43"/>
      <c r="P83" s="43"/>
      <c r="S83" s="234"/>
    </row>
    <row r="84" spans="1:19" x14ac:dyDescent="0.25">
      <c r="A84" s="229">
        <v>43678</v>
      </c>
      <c r="B84" s="230" t="s">
        <v>1071</v>
      </c>
      <c r="C84" s="230" t="s">
        <v>666</v>
      </c>
      <c r="D84" s="231" t="s">
        <v>977</v>
      </c>
      <c r="E84" s="232">
        <v>2662.88</v>
      </c>
      <c r="F84" s="233"/>
      <c r="G84" s="233"/>
      <c r="H84" s="43"/>
      <c r="I84" s="43"/>
      <c r="J84" s="43">
        <f>+E84</f>
        <v>2662.88</v>
      </c>
      <c r="K84" s="43"/>
      <c r="L84" s="43"/>
      <c r="M84" s="43"/>
      <c r="N84" s="43"/>
      <c r="O84" s="43"/>
      <c r="P84" s="43"/>
      <c r="S84" s="234"/>
    </row>
    <row r="85" spans="1:19" x14ac:dyDescent="0.25">
      <c r="A85" s="229">
        <v>43678</v>
      </c>
      <c r="B85" s="230" t="s">
        <v>1072</v>
      </c>
      <c r="C85" s="230" t="s">
        <v>666</v>
      </c>
      <c r="D85" s="231" t="s">
        <v>1073</v>
      </c>
      <c r="E85" s="232">
        <v>1260.95</v>
      </c>
      <c r="F85" s="233"/>
      <c r="G85" s="233"/>
      <c r="H85" s="43"/>
      <c r="I85" s="43"/>
      <c r="J85" s="43"/>
      <c r="K85" s="43">
        <f>+E85</f>
        <v>1260.95</v>
      </c>
      <c r="L85" s="43"/>
      <c r="M85" s="43"/>
      <c r="N85" s="43"/>
      <c r="O85" s="43"/>
      <c r="P85" s="43"/>
      <c r="S85" s="234"/>
    </row>
    <row r="86" spans="1:19" x14ac:dyDescent="0.25">
      <c r="A86" s="229">
        <v>43682</v>
      </c>
      <c r="B86" s="230" t="s">
        <v>1074</v>
      </c>
      <c r="C86" s="230" t="s">
        <v>666</v>
      </c>
      <c r="D86" s="231" t="s">
        <v>1075</v>
      </c>
      <c r="E86" s="232">
        <v>275</v>
      </c>
      <c r="F86" s="233"/>
      <c r="G86" s="233"/>
      <c r="H86" s="43"/>
      <c r="I86" s="43"/>
      <c r="J86" s="43"/>
      <c r="K86" s="43"/>
      <c r="L86" s="43"/>
      <c r="M86" s="43">
        <f>+E86</f>
        <v>275</v>
      </c>
      <c r="N86" s="43"/>
      <c r="O86" s="43"/>
      <c r="P86" s="43"/>
      <c r="S86" s="234"/>
    </row>
    <row r="87" spans="1:19" x14ac:dyDescent="0.25">
      <c r="A87" s="229">
        <v>43696</v>
      </c>
      <c r="B87" s="230" t="s">
        <v>1076</v>
      </c>
      <c r="C87" s="230" t="s">
        <v>853</v>
      </c>
      <c r="D87" s="231" t="s">
        <v>1077</v>
      </c>
      <c r="E87" s="232">
        <v>1457.63</v>
      </c>
      <c r="F87" s="233"/>
      <c r="G87" s="233"/>
      <c r="H87" s="43">
        <f>+E87</f>
        <v>1457.63</v>
      </c>
      <c r="I87" s="43"/>
      <c r="J87" s="43"/>
      <c r="K87" s="43"/>
      <c r="L87" s="43"/>
      <c r="M87" s="43"/>
      <c r="N87" s="43"/>
      <c r="O87" s="43"/>
      <c r="P87" s="43"/>
      <c r="S87" s="234"/>
    </row>
    <row r="88" spans="1:19" x14ac:dyDescent="0.25">
      <c r="A88" s="229">
        <v>43709</v>
      </c>
      <c r="B88" s="230" t="s">
        <v>1078</v>
      </c>
      <c r="C88" s="230" t="s">
        <v>666</v>
      </c>
      <c r="D88" s="231" t="s">
        <v>1079</v>
      </c>
      <c r="E88" s="232">
        <v>2420.8000000000002</v>
      </c>
      <c r="F88" s="233"/>
      <c r="G88" s="233"/>
      <c r="H88" s="43"/>
      <c r="I88" s="43"/>
      <c r="J88" s="43"/>
      <c r="K88" s="43"/>
      <c r="L88" s="43">
        <f>+E88</f>
        <v>2420.8000000000002</v>
      </c>
      <c r="M88" s="43"/>
      <c r="N88" s="43"/>
      <c r="O88" s="43"/>
      <c r="P88" s="43"/>
      <c r="S88" s="234"/>
    </row>
    <row r="89" spans="1:19" x14ac:dyDescent="0.25">
      <c r="A89" s="229">
        <v>43709</v>
      </c>
      <c r="B89" s="230" t="s">
        <v>1080</v>
      </c>
      <c r="C89" s="230" t="s">
        <v>666</v>
      </c>
      <c r="D89" s="231" t="s">
        <v>1081</v>
      </c>
      <c r="E89" s="232">
        <v>1603.78</v>
      </c>
      <c r="F89" s="233"/>
      <c r="G89" s="233"/>
      <c r="H89" s="43"/>
      <c r="I89" s="43">
        <f>+E89</f>
        <v>1603.78</v>
      </c>
      <c r="J89" s="43"/>
      <c r="K89" s="43"/>
      <c r="L89" s="43"/>
      <c r="M89" s="43"/>
      <c r="N89" s="43"/>
      <c r="O89" s="43"/>
      <c r="P89" s="43"/>
      <c r="S89" s="234"/>
    </row>
    <row r="90" spans="1:19" x14ac:dyDescent="0.25">
      <c r="A90" s="229">
        <v>43709</v>
      </c>
      <c r="B90" s="230" t="s">
        <v>1082</v>
      </c>
      <c r="C90" s="230" t="s">
        <v>666</v>
      </c>
      <c r="D90" s="231" t="s">
        <v>1083</v>
      </c>
      <c r="E90" s="232">
        <v>2662.88</v>
      </c>
      <c r="F90" s="233"/>
      <c r="G90" s="233"/>
      <c r="H90" s="43"/>
      <c r="I90" s="43"/>
      <c r="J90" s="43">
        <f>+E90</f>
        <v>2662.88</v>
      </c>
      <c r="K90" s="43"/>
      <c r="L90" s="43"/>
      <c r="M90" s="43"/>
      <c r="N90" s="43"/>
      <c r="O90" s="43"/>
      <c r="P90" s="43"/>
      <c r="S90" s="234"/>
    </row>
    <row r="91" spans="1:19" x14ac:dyDescent="0.25">
      <c r="A91" s="229">
        <v>43709</v>
      </c>
      <c r="B91" s="230" t="s">
        <v>1084</v>
      </c>
      <c r="C91" s="230" t="s">
        <v>666</v>
      </c>
      <c r="D91" s="231" t="s">
        <v>1085</v>
      </c>
      <c r="E91" s="232">
        <v>1260.95</v>
      </c>
      <c r="F91" s="233"/>
      <c r="G91" s="233"/>
      <c r="H91" s="43"/>
      <c r="I91" s="43"/>
      <c r="J91" s="43"/>
      <c r="K91" s="43">
        <f>+E91</f>
        <v>1260.95</v>
      </c>
      <c r="L91" s="43"/>
      <c r="M91" s="43"/>
      <c r="N91" s="43"/>
      <c r="O91" s="43"/>
      <c r="P91" s="43"/>
      <c r="S91" s="234"/>
    </row>
    <row r="92" spans="1:19" x14ac:dyDescent="0.25">
      <c r="A92" s="229">
        <v>43709</v>
      </c>
      <c r="B92" s="230" t="s">
        <v>1086</v>
      </c>
      <c r="C92" s="230" t="s">
        <v>666</v>
      </c>
      <c r="D92" s="231" t="s">
        <v>1087</v>
      </c>
      <c r="E92" s="232">
        <v>73.349999999999994</v>
      </c>
      <c r="F92" s="233"/>
      <c r="G92" s="233"/>
      <c r="H92" s="43">
        <f>+E92</f>
        <v>73.349999999999994</v>
      </c>
      <c r="I92" s="43"/>
      <c r="J92" s="43"/>
      <c r="K92" s="43"/>
      <c r="L92" s="43"/>
      <c r="M92" s="43"/>
      <c r="N92" s="43"/>
      <c r="O92" s="43"/>
      <c r="P92" s="43"/>
      <c r="S92" s="234"/>
    </row>
    <row r="93" spans="1:19" x14ac:dyDescent="0.25">
      <c r="A93" s="229">
        <v>43710</v>
      </c>
      <c r="B93" s="230" t="s">
        <v>1088</v>
      </c>
      <c r="C93" s="230" t="s">
        <v>666</v>
      </c>
      <c r="D93" s="231" t="s">
        <v>1089</v>
      </c>
      <c r="E93" s="232">
        <v>1443.2</v>
      </c>
      <c r="F93" s="233"/>
      <c r="G93" s="233"/>
      <c r="H93" s="43">
        <f>+E93</f>
        <v>1443.2</v>
      </c>
      <c r="I93" s="43"/>
      <c r="J93" s="43"/>
      <c r="K93" s="43"/>
      <c r="L93" s="43"/>
      <c r="M93" s="43"/>
      <c r="N93" s="43"/>
      <c r="O93" s="43"/>
      <c r="P93" s="43"/>
      <c r="S93" s="234"/>
    </row>
    <row r="94" spans="1:19" x14ac:dyDescent="0.25">
      <c r="A94" s="229">
        <v>43712</v>
      </c>
      <c r="B94" s="230" t="s">
        <v>1090</v>
      </c>
      <c r="C94" s="230" t="s">
        <v>666</v>
      </c>
      <c r="D94" s="231" t="s">
        <v>1091</v>
      </c>
      <c r="E94" s="235">
        <v>275.14</v>
      </c>
      <c r="F94" s="236"/>
      <c r="G94" s="236"/>
      <c r="H94" s="168"/>
      <c r="I94" s="168"/>
      <c r="J94" s="168"/>
      <c r="K94" s="168"/>
      <c r="L94" s="168"/>
      <c r="M94" s="168">
        <f>+E94</f>
        <v>275.14</v>
      </c>
      <c r="N94" s="168"/>
      <c r="O94" s="168"/>
      <c r="P94" s="168"/>
      <c r="S94" s="234"/>
    </row>
    <row r="95" spans="1:19" x14ac:dyDescent="0.25">
      <c r="D95" s="43"/>
      <c r="E95" s="43">
        <f>SUM(E2:E94)</f>
        <v>135408.64000000007</v>
      </c>
      <c r="F95" s="43">
        <f t="shared" ref="F95:P95" si="0">SUM(F2:F94)</f>
        <v>275</v>
      </c>
      <c r="G95" s="43">
        <f>+E95-F95</f>
        <v>135133.64000000007</v>
      </c>
      <c r="H95" s="43">
        <f t="shared" si="0"/>
        <v>19481.320000000007</v>
      </c>
      <c r="I95" s="43">
        <f t="shared" si="0"/>
        <v>19049.760000000002</v>
      </c>
      <c r="J95" s="43">
        <f t="shared" si="0"/>
        <v>31629.810000000005</v>
      </c>
      <c r="K95" s="43">
        <f t="shared" si="0"/>
        <v>14961.360000000002</v>
      </c>
      <c r="L95" s="43">
        <f t="shared" si="0"/>
        <v>28754.349999999995</v>
      </c>
      <c r="M95" s="43">
        <f t="shared" si="0"/>
        <v>3025.14</v>
      </c>
      <c r="N95" s="43">
        <f t="shared" si="0"/>
        <v>1045.9000000000001</v>
      </c>
      <c r="O95" s="43">
        <f t="shared" si="0"/>
        <v>16600</v>
      </c>
      <c r="P95" s="43">
        <f t="shared" si="0"/>
        <v>586</v>
      </c>
      <c r="R95" s="237"/>
      <c r="S95" s="234"/>
    </row>
    <row r="96" spans="1:19" x14ac:dyDescent="0.25">
      <c r="D96" s="43"/>
      <c r="E96" s="43"/>
      <c r="F96" s="43"/>
      <c r="G96" s="43"/>
      <c r="H96" s="43"/>
      <c r="I96" s="43"/>
      <c r="J96" s="43"/>
      <c r="K96" s="43"/>
      <c r="L96" s="43"/>
      <c r="M96" s="43"/>
      <c r="N96" s="43"/>
      <c r="O96" s="43"/>
      <c r="P96" s="43"/>
    </row>
    <row r="97" spans="2:16" x14ac:dyDescent="0.25">
      <c r="B97" s="230" t="s">
        <v>1092</v>
      </c>
      <c r="D97" s="43"/>
      <c r="F97" s="43"/>
      <c r="G97" s="43">
        <f>+H97</f>
        <v>130.19999999999999</v>
      </c>
      <c r="H97" s="43">
        <f>+(1400*3)*0.031</f>
        <v>130.19999999999999</v>
      </c>
      <c r="I97" s="43"/>
      <c r="J97" s="43"/>
      <c r="K97" s="43"/>
      <c r="L97" s="43"/>
      <c r="M97" s="43"/>
      <c r="N97" s="43"/>
      <c r="O97" s="43"/>
      <c r="P97" s="43"/>
    </row>
    <row r="98" spans="2:16" x14ac:dyDescent="0.25">
      <c r="B98" s="230" t="s">
        <v>1093</v>
      </c>
      <c r="D98" s="43"/>
      <c r="F98" s="43"/>
      <c r="G98" s="43">
        <f>SUM(I98:L98)</f>
        <v>957.30000000000246</v>
      </c>
      <c r="H98" s="43"/>
      <c r="I98" s="43">
        <f>(1603.78-1564.66)*5</f>
        <v>195.59999999999945</v>
      </c>
      <c r="J98" s="43">
        <f>(J90-J45)*5</f>
        <v>324.75000000000136</v>
      </c>
      <c r="K98" s="43">
        <f>(+K91-K32)*5</f>
        <v>141.70000000000073</v>
      </c>
      <c r="L98" s="43">
        <f>(+L88-L42)*5</f>
        <v>295.25000000000091</v>
      </c>
      <c r="M98" s="43"/>
      <c r="N98" s="43"/>
      <c r="O98" s="43"/>
      <c r="P98" s="43"/>
    </row>
    <row r="99" spans="2:16" x14ac:dyDescent="0.25">
      <c r="B99" s="230" t="s">
        <v>1094</v>
      </c>
      <c r="D99" s="43"/>
      <c r="F99" s="43"/>
      <c r="G99" s="43">
        <f>+N99</f>
        <v>-1045.9000000000001</v>
      </c>
      <c r="H99" s="43"/>
      <c r="I99" s="43"/>
      <c r="J99" s="43"/>
      <c r="K99" s="43"/>
      <c r="L99" s="43"/>
      <c r="M99" s="43"/>
      <c r="N99" s="43">
        <v>-1045.9000000000001</v>
      </c>
      <c r="O99" s="43"/>
      <c r="P99" s="43"/>
    </row>
    <row r="100" spans="2:16" x14ac:dyDescent="0.25">
      <c r="B100" s="230" t="s">
        <v>1095</v>
      </c>
      <c r="D100" s="43"/>
      <c r="F100" s="43"/>
      <c r="G100" s="168">
        <f>+P100</f>
        <v>-586</v>
      </c>
      <c r="H100" s="168"/>
      <c r="I100" s="168"/>
      <c r="J100" s="168"/>
      <c r="K100" s="168"/>
      <c r="L100" s="168"/>
      <c r="M100" s="168"/>
      <c r="N100" s="168"/>
      <c r="O100" s="168"/>
      <c r="P100" s="168">
        <v>-586</v>
      </c>
    </row>
    <row r="101" spans="2:16" x14ac:dyDescent="0.25">
      <c r="D101" s="43"/>
      <c r="E101" s="43"/>
      <c r="F101" s="43"/>
      <c r="G101" s="43">
        <f t="shared" ref="G101:P101" si="1">SUM(G95:G100)</f>
        <v>134589.24000000008</v>
      </c>
      <c r="H101" s="43">
        <f t="shared" si="1"/>
        <v>19611.520000000008</v>
      </c>
      <c r="I101" s="43">
        <f t="shared" si="1"/>
        <v>19245.36</v>
      </c>
      <c r="J101" s="43">
        <f t="shared" si="1"/>
        <v>31954.560000000005</v>
      </c>
      <c r="K101" s="43">
        <f t="shared" si="1"/>
        <v>15103.060000000003</v>
      </c>
      <c r="L101" s="43">
        <f t="shared" si="1"/>
        <v>29049.599999999995</v>
      </c>
      <c r="M101" s="43">
        <f t="shared" si="1"/>
        <v>3025.14</v>
      </c>
      <c r="N101" s="43">
        <f t="shared" si="1"/>
        <v>0</v>
      </c>
      <c r="O101" s="43">
        <f t="shared" si="1"/>
        <v>16600</v>
      </c>
      <c r="P101" s="43">
        <f t="shared" si="1"/>
        <v>0</v>
      </c>
    </row>
    <row r="102" spans="2:16" x14ac:dyDescent="0.25">
      <c r="D102" s="43"/>
      <c r="E102" s="43"/>
      <c r="F102" s="43"/>
      <c r="G102" s="43"/>
      <c r="H102" s="43"/>
      <c r="I102" s="43"/>
      <c r="J102" s="43"/>
      <c r="K102" s="43"/>
      <c r="L102" s="43"/>
      <c r="M102" s="43"/>
      <c r="N102" s="43"/>
      <c r="O102" s="43"/>
      <c r="P102" s="43"/>
    </row>
    <row r="103" spans="2:16" x14ac:dyDescent="0.25">
      <c r="D103" s="43"/>
      <c r="E103" s="43"/>
      <c r="F103" s="43"/>
      <c r="G103" s="43"/>
      <c r="H103" s="43"/>
      <c r="I103" s="43"/>
      <c r="J103" s="43"/>
      <c r="K103" s="43"/>
      <c r="L103" s="43"/>
      <c r="M103" s="43"/>
      <c r="N103" s="43"/>
      <c r="O103" s="43"/>
      <c r="P103" s="43"/>
    </row>
    <row r="104" spans="2:16" x14ac:dyDescent="0.25">
      <c r="D104" s="43"/>
      <c r="E104" s="43"/>
      <c r="F104" s="43"/>
      <c r="G104" s="43"/>
      <c r="H104" s="43"/>
      <c r="I104" s="43"/>
      <c r="J104" s="43"/>
      <c r="K104" s="43"/>
      <c r="L104" s="43"/>
      <c r="M104" s="43"/>
      <c r="N104" s="43"/>
      <c r="O104" s="43"/>
      <c r="P104" s="43"/>
    </row>
    <row r="105" spans="2:16" x14ac:dyDescent="0.25">
      <c r="D105" s="43"/>
      <c r="E105" s="43"/>
      <c r="F105" s="43"/>
      <c r="G105" s="43"/>
      <c r="H105" s="43"/>
      <c r="I105" s="43"/>
      <c r="J105" s="43"/>
      <c r="K105" s="43"/>
      <c r="L105" s="43"/>
      <c r="M105" s="43"/>
      <c r="N105" s="43"/>
      <c r="O105" s="43"/>
      <c r="P105" s="43"/>
    </row>
    <row r="106" spans="2:16" x14ac:dyDescent="0.25">
      <c r="D106" s="43"/>
      <c r="E106" s="43"/>
      <c r="F106" s="43"/>
      <c r="G106" s="43"/>
      <c r="H106" s="43"/>
      <c r="I106" s="43"/>
      <c r="J106" s="43"/>
      <c r="K106" s="43"/>
      <c r="L106" s="43"/>
      <c r="M106" s="43"/>
      <c r="N106" s="43"/>
      <c r="O106" s="43"/>
      <c r="P106" s="43"/>
    </row>
    <row r="107" spans="2:16" x14ac:dyDescent="0.25">
      <c r="D107" s="43"/>
      <c r="E107" s="43"/>
      <c r="F107" s="43"/>
      <c r="G107" s="43"/>
      <c r="H107" s="43"/>
      <c r="I107" s="43"/>
      <c r="J107" s="43"/>
      <c r="K107" s="43"/>
      <c r="L107" s="43"/>
      <c r="M107" s="43"/>
      <c r="N107" s="43"/>
      <c r="O107" s="43"/>
      <c r="P107" s="43"/>
    </row>
    <row r="108" spans="2:16" x14ac:dyDescent="0.25">
      <c r="D108" s="43"/>
      <c r="E108" s="43"/>
      <c r="F108" s="43"/>
      <c r="G108" s="43"/>
      <c r="H108" s="43"/>
      <c r="I108" s="43"/>
      <c r="J108" s="43"/>
      <c r="K108" s="43"/>
      <c r="L108" s="43"/>
      <c r="M108" s="43"/>
      <c r="N108" s="43"/>
      <c r="O108" s="43"/>
      <c r="P108" s="43"/>
    </row>
  </sheetData>
  <pageMargins left="0.25" right="0.25" top="0.75" bottom="0.75" header="0.3" footer="0.3"/>
  <pageSetup scale="58" fitToHeight="0" orientation="landscape" r:id="rId1"/>
  <headerFooter>
    <oddHeader>&amp;C&amp;"-,Bold"&amp;14Arrow Launch Service, Inc.
Moorage Rentals 
10/1/18 to 9/30/19</oddHeader>
    <oddFooter>&amp;L&amp;D&amp;C&amp;F    &amp;A&amp;RPage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011C19-6EEA-401C-AD8F-4F30270175CD}">
  <sheetPr>
    <pageSetUpPr fitToPage="1"/>
  </sheetPr>
  <dimension ref="A1:V139"/>
  <sheetViews>
    <sheetView workbookViewId="0">
      <pane ySplit="1" topLeftCell="A106" activePane="bottomLeft" state="frozen"/>
      <selection pane="bottomLeft" activeCell="A2" sqref="A2:N130"/>
    </sheetView>
  </sheetViews>
  <sheetFormatPr defaultRowHeight="15" x14ac:dyDescent="0.25"/>
  <cols>
    <col min="2" max="2" width="22.7109375" customWidth="1"/>
    <col min="4" max="4" width="14.7109375" bestFit="1" customWidth="1"/>
    <col min="6" max="6" width="61.5703125" bestFit="1" customWidth="1"/>
    <col min="7" max="7" width="11.7109375" customWidth="1"/>
    <col min="8" max="8" width="16" customWidth="1"/>
    <col min="9" max="10" width="11.7109375" customWidth="1"/>
    <col min="11" max="11" width="13" customWidth="1"/>
    <col min="12" max="14" width="11.7109375" customWidth="1"/>
    <col min="15" max="15" width="11.28515625" bestFit="1" customWidth="1"/>
  </cols>
  <sheetData>
    <row r="1" spans="1:22" ht="15.75" x14ac:dyDescent="0.25">
      <c r="A1" s="215" t="s">
        <v>650</v>
      </c>
      <c r="B1" s="215" t="s">
        <v>651</v>
      </c>
      <c r="C1" s="215" t="s">
        <v>652</v>
      </c>
      <c r="D1" s="215" t="s">
        <v>653</v>
      </c>
      <c r="E1" s="215" t="s">
        <v>654</v>
      </c>
      <c r="F1" s="215" t="s">
        <v>655</v>
      </c>
      <c r="G1" s="216" t="s">
        <v>656</v>
      </c>
      <c r="H1" s="216" t="s">
        <v>657</v>
      </c>
      <c r="I1" s="217" t="s">
        <v>658</v>
      </c>
      <c r="J1" s="217" t="s">
        <v>659</v>
      </c>
      <c r="K1" s="217" t="s">
        <v>660</v>
      </c>
      <c r="L1" s="217" t="s">
        <v>661</v>
      </c>
      <c r="M1" s="217" t="s">
        <v>662</v>
      </c>
      <c r="N1" s="217" t="s">
        <v>663</v>
      </c>
      <c r="O1" s="218"/>
      <c r="P1" s="218"/>
      <c r="Q1" s="218"/>
      <c r="R1" s="218"/>
      <c r="S1" s="218"/>
      <c r="T1" s="218"/>
      <c r="U1" s="218"/>
      <c r="V1" s="218"/>
    </row>
    <row r="2" spans="1:22" ht="15.75" x14ac:dyDescent="0.25">
      <c r="A2" s="28" t="s">
        <v>664</v>
      </c>
      <c r="B2" s="28" t="s">
        <v>31</v>
      </c>
      <c r="C2" s="219">
        <v>43374</v>
      </c>
      <c r="D2" s="28" t="s">
        <v>665</v>
      </c>
      <c r="E2" s="28" t="s">
        <v>666</v>
      </c>
      <c r="F2" s="28" t="s">
        <v>667</v>
      </c>
      <c r="G2" s="220">
        <v>1118.53</v>
      </c>
      <c r="H2" s="220"/>
      <c r="I2" s="221">
        <f>+G2</f>
        <v>1118.53</v>
      </c>
      <c r="J2" s="218"/>
      <c r="K2" s="218"/>
      <c r="L2" s="218"/>
      <c r="M2" s="218"/>
      <c r="N2" s="218"/>
      <c r="O2" s="218"/>
      <c r="P2" s="218"/>
      <c r="Q2" s="218"/>
      <c r="R2" s="218"/>
      <c r="S2" s="218"/>
      <c r="T2" s="218"/>
      <c r="U2" s="218"/>
      <c r="V2" s="218"/>
    </row>
    <row r="3" spans="1:22" ht="15.75" x14ac:dyDescent="0.25">
      <c r="A3" s="28" t="s">
        <v>664</v>
      </c>
      <c r="B3" s="28" t="s">
        <v>31</v>
      </c>
      <c r="C3" s="219">
        <v>43374</v>
      </c>
      <c r="D3" s="28" t="s">
        <v>668</v>
      </c>
      <c r="E3" s="28" t="s">
        <v>666</v>
      </c>
      <c r="F3" s="28" t="s">
        <v>669</v>
      </c>
      <c r="G3" s="220">
        <v>6858.85</v>
      </c>
      <c r="H3" s="220"/>
      <c r="I3" s="221">
        <f t="shared" ref="I3:I50" si="0">+G3</f>
        <v>6858.85</v>
      </c>
      <c r="J3" s="218"/>
      <c r="K3" s="218"/>
      <c r="L3" s="218"/>
      <c r="M3" s="218"/>
      <c r="N3" s="218"/>
      <c r="O3" s="218"/>
      <c r="P3" s="218"/>
      <c r="Q3" s="218"/>
      <c r="R3" s="218"/>
      <c r="S3" s="218"/>
      <c r="T3" s="218"/>
      <c r="U3" s="218"/>
      <c r="V3" s="218"/>
    </row>
    <row r="4" spans="1:22" ht="15.75" x14ac:dyDescent="0.25">
      <c r="A4" s="28" t="s">
        <v>664</v>
      </c>
      <c r="B4" s="28" t="s">
        <v>31</v>
      </c>
      <c r="C4" s="219">
        <v>43405</v>
      </c>
      <c r="D4" s="28" t="s">
        <v>670</v>
      </c>
      <c r="E4" s="28" t="s">
        <v>666</v>
      </c>
      <c r="F4" s="28" t="s">
        <v>671</v>
      </c>
      <c r="G4" s="220">
        <v>6946</v>
      </c>
      <c r="H4" s="220"/>
      <c r="I4" s="221">
        <f t="shared" si="0"/>
        <v>6946</v>
      </c>
      <c r="J4" s="218"/>
      <c r="K4" s="218"/>
      <c r="L4" s="218"/>
      <c r="M4" s="218"/>
      <c r="N4" s="218"/>
      <c r="O4" s="218"/>
      <c r="P4" s="218"/>
      <c r="Q4" s="218"/>
      <c r="R4" s="218"/>
      <c r="S4" s="218"/>
      <c r="T4" s="218"/>
      <c r="U4" s="218"/>
      <c r="V4" s="218"/>
    </row>
    <row r="5" spans="1:22" ht="15.75" x14ac:dyDescent="0.25">
      <c r="A5" s="28" t="s">
        <v>664</v>
      </c>
      <c r="B5" s="28" t="s">
        <v>31</v>
      </c>
      <c r="C5" s="219">
        <v>43405</v>
      </c>
      <c r="D5" s="28" t="s">
        <v>672</v>
      </c>
      <c r="E5" s="28" t="s">
        <v>666</v>
      </c>
      <c r="F5" s="28" t="s">
        <v>673</v>
      </c>
      <c r="G5" s="220">
        <v>1102</v>
      </c>
      <c r="H5" s="220"/>
      <c r="I5" s="221">
        <f t="shared" si="0"/>
        <v>1102</v>
      </c>
      <c r="J5" s="218"/>
      <c r="K5" s="218"/>
      <c r="L5" s="218"/>
      <c r="M5" s="218"/>
      <c r="N5" s="218"/>
      <c r="O5" s="218"/>
      <c r="P5" s="218"/>
      <c r="Q5" s="218"/>
      <c r="R5" s="218"/>
      <c r="S5" s="218"/>
      <c r="T5" s="218"/>
      <c r="U5" s="218"/>
      <c r="V5" s="218"/>
    </row>
    <row r="6" spans="1:22" ht="15.75" x14ac:dyDescent="0.25">
      <c r="A6" s="28" t="s">
        <v>664</v>
      </c>
      <c r="B6" s="28" t="s">
        <v>31</v>
      </c>
      <c r="C6" s="219">
        <v>43435</v>
      </c>
      <c r="D6" s="28" t="s">
        <v>674</v>
      </c>
      <c r="E6" s="28" t="s">
        <v>666</v>
      </c>
      <c r="F6" s="28" t="s">
        <v>675</v>
      </c>
      <c r="G6" s="220">
        <v>259.52999999999997</v>
      </c>
      <c r="H6" s="220"/>
      <c r="I6" s="221">
        <f t="shared" si="0"/>
        <v>259.52999999999997</v>
      </c>
      <c r="J6" s="218"/>
      <c r="K6" s="218"/>
      <c r="L6" s="218"/>
      <c r="M6" s="218"/>
      <c r="N6" s="218"/>
      <c r="O6" s="218"/>
      <c r="P6" s="218"/>
      <c r="Q6" s="218"/>
      <c r="R6" s="218"/>
      <c r="S6" s="218"/>
      <c r="T6" s="218"/>
      <c r="U6" s="218"/>
      <c r="V6" s="218"/>
    </row>
    <row r="7" spans="1:22" ht="15.75" x14ac:dyDescent="0.25">
      <c r="A7" s="28" t="s">
        <v>664</v>
      </c>
      <c r="B7" s="28" t="s">
        <v>31</v>
      </c>
      <c r="C7" s="219">
        <v>43435</v>
      </c>
      <c r="D7" s="28" t="s">
        <v>676</v>
      </c>
      <c r="E7" s="28" t="s">
        <v>666</v>
      </c>
      <c r="F7" s="28" t="s">
        <v>677</v>
      </c>
      <c r="G7" s="220">
        <v>1102</v>
      </c>
      <c r="H7" s="220"/>
      <c r="I7" s="221">
        <f t="shared" si="0"/>
        <v>1102</v>
      </c>
      <c r="J7" s="218"/>
      <c r="K7" s="218"/>
      <c r="L7" s="218"/>
      <c r="M7" s="218"/>
      <c r="N7" s="218"/>
      <c r="O7" s="218"/>
      <c r="P7" s="218"/>
      <c r="Q7" s="218"/>
      <c r="R7" s="218"/>
      <c r="S7" s="218"/>
      <c r="T7" s="218"/>
      <c r="U7" s="218"/>
      <c r="V7" s="218"/>
    </row>
    <row r="8" spans="1:22" ht="15.75" x14ac:dyDescent="0.25">
      <c r="A8" s="28" t="s">
        <v>664</v>
      </c>
      <c r="B8" s="28" t="s">
        <v>31</v>
      </c>
      <c r="C8" s="219">
        <v>43435</v>
      </c>
      <c r="D8" s="28" t="s">
        <v>678</v>
      </c>
      <c r="E8" s="28" t="s">
        <v>666</v>
      </c>
      <c r="F8" s="28" t="s">
        <v>679</v>
      </c>
      <c r="G8" s="220">
        <v>259.52999999999997</v>
      </c>
      <c r="H8" s="220"/>
      <c r="I8" s="221">
        <f t="shared" si="0"/>
        <v>259.52999999999997</v>
      </c>
      <c r="J8" s="218"/>
      <c r="K8" s="218"/>
      <c r="L8" s="218"/>
      <c r="M8" s="218"/>
      <c r="N8" s="218"/>
      <c r="O8" s="218"/>
      <c r="P8" s="218"/>
      <c r="Q8" s="218"/>
      <c r="R8" s="218"/>
      <c r="S8" s="218"/>
      <c r="T8" s="218"/>
      <c r="U8" s="218"/>
      <c r="V8" s="218"/>
    </row>
    <row r="9" spans="1:22" ht="15.75" x14ac:dyDescent="0.25">
      <c r="A9" s="28" t="s">
        <v>664</v>
      </c>
      <c r="B9" s="28" t="s">
        <v>31</v>
      </c>
      <c r="C9" s="219">
        <v>43435</v>
      </c>
      <c r="D9" s="28" t="s">
        <v>680</v>
      </c>
      <c r="E9" s="28" t="s">
        <v>666</v>
      </c>
      <c r="F9" s="28" t="s">
        <v>681</v>
      </c>
      <c r="G9" s="220">
        <v>5838.27</v>
      </c>
      <c r="H9" s="220"/>
      <c r="I9" s="221">
        <f t="shared" si="0"/>
        <v>5838.27</v>
      </c>
      <c r="J9" s="218"/>
      <c r="K9" s="218"/>
      <c r="L9" s="218"/>
      <c r="M9" s="218"/>
      <c r="N9" s="218"/>
      <c r="O9" s="218"/>
      <c r="P9" s="218"/>
      <c r="Q9" s="218"/>
      <c r="R9" s="218"/>
      <c r="S9" s="218"/>
      <c r="T9" s="218"/>
      <c r="U9" s="218"/>
      <c r="V9" s="218"/>
    </row>
    <row r="10" spans="1:22" ht="15.75" x14ac:dyDescent="0.25">
      <c r="A10" s="28" t="s">
        <v>664</v>
      </c>
      <c r="B10" s="28" t="s">
        <v>31</v>
      </c>
      <c r="C10" s="219">
        <v>43466</v>
      </c>
      <c r="D10" s="28" t="s">
        <v>682</v>
      </c>
      <c r="E10" s="28" t="s">
        <v>666</v>
      </c>
      <c r="F10" s="28" t="s">
        <v>683</v>
      </c>
      <c r="G10" s="220">
        <v>6079.13</v>
      </c>
      <c r="H10" s="220"/>
      <c r="I10" s="221">
        <f t="shared" si="0"/>
        <v>6079.13</v>
      </c>
      <c r="J10" s="218"/>
      <c r="K10" s="218"/>
      <c r="L10" s="218"/>
      <c r="M10" s="218"/>
      <c r="N10" s="218"/>
      <c r="O10" s="218"/>
      <c r="P10" s="218"/>
      <c r="Q10" s="218"/>
      <c r="R10" s="218"/>
      <c r="S10" s="218"/>
      <c r="T10" s="218"/>
      <c r="U10" s="218"/>
      <c r="V10" s="218"/>
    </row>
    <row r="11" spans="1:22" ht="15.75" x14ac:dyDescent="0.25">
      <c r="A11" s="28" t="s">
        <v>664</v>
      </c>
      <c r="B11" s="28" t="s">
        <v>31</v>
      </c>
      <c r="C11" s="219">
        <v>43466</v>
      </c>
      <c r="D11" s="28" t="s">
        <v>684</v>
      </c>
      <c r="E11" s="28" t="s">
        <v>666</v>
      </c>
      <c r="F11" s="28" t="s">
        <v>685</v>
      </c>
      <c r="G11" s="220">
        <v>263.42</v>
      </c>
      <c r="H11" s="220"/>
      <c r="I11" s="221">
        <f t="shared" si="0"/>
        <v>263.42</v>
      </c>
      <c r="J11" s="218"/>
      <c r="K11" s="218"/>
      <c r="L11" s="218"/>
      <c r="M11" s="218"/>
      <c r="N11" s="218"/>
      <c r="O11" s="218"/>
      <c r="P11" s="218"/>
      <c r="Q11" s="218"/>
      <c r="R11" s="218"/>
      <c r="S11" s="218"/>
      <c r="T11" s="218"/>
      <c r="U11" s="218"/>
      <c r="V11" s="218"/>
    </row>
    <row r="12" spans="1:22" ht="15.75" x14ac:dyDescent="0.25">
      <c r="A12" s="28" t="s">
        <v>664</v>
      </c>
      <c r="B12" s="28" t="s">
        <v>31</v>
      </c>
      <c r="C12" s="219">
        <v>43466</v>
      </c>
      <c r="D12" s="28" t="s">
        <v>686</v>
      </c>
      <c r="E12" s="28" t="s">
        <v>666</v>
      </c>
      <c r="F12" s="28" t="s">
        <v>687</v>
      </c>
      <c r="G12" s="220">
        <v>1151.28</v>
      </c>
      <c r="H12" s="220"/>
      <c r="I12" s="221">
        <f t="shared" si="0"/>
        <v>1151.28</v>
      </c>
      <c r="J12" s="218"/>
      <c r="K12" s="218"/>
      <c r="L12" s="218"/>
      <c r="M12" s="218"/>
      <c r="N12" s="218"/>
      <c r="O12" s="218"/>
      <c r="P12" s="218"/>
      <c r="Q12" s="218"/>
      <c r="R12" s="218"/>
      <c r="S12" s="218"/>
      <c r="T12" s="218"/>
      <c r="U12" s="218"/>
      <c r="V12" s="218"/>
    </row>
    <row r="13" spans="1:22" ht="15.75" x14ac:dyDescent="0.25">
      <c r="A13" s="28" t="s">
        <v>664</v>
      </c>
      <c r="B13" s="28" t="s">
        <v>31</v>
      </c>
      <c r="C13" s="219">
        <v>43466</v>
      </c>
      <c r="D13" s="28" t="s">
        <v>688</v>
      </c>
      <c r="E13" s="28" t="s">
        <v>666</v>
      </c>
      <c r="F13" s="28" t="s">
        <v>689</v>
      </c>
      <c r="G13" s="220">
        <v>263.42</v>
      </c>
      <c r="H13" s="220"/>
      <c r="I13" s="221">
        <f t="shared" si="0"/>
        <v>263.42</v>
      </c>
      <c r="J13" s="218"/>
      <c r="K13" s="218"/>
      <c r="L13" s="218"/>
      <c r="M13" s="218"/>
      <c r="N13" s="218"/>
      <c r="O13" s="218"/>
      <c r="P13" s="218"/>
      <c r="Q13" s="218"/>
      <c r="R13" s="218"/>
      <c r="S13" s="218"/>
      <c r="T13" s="218"/>
      <c r="U13" s="218"/>
      <c r="V13" s="218"/>
    </row>
    <row r="14" spans="1:22" ht="15.75" x14ac:dyDescent="0.25">
      <c r="A14" s="28" t="s">
        <v>664</v>
      </c>
      <c r="B14" s="28" t="s">
        <v>31</v>
      </c>
      <c r="C14" s="219">
        <v>43497</v>
      </c>
      <c r="D14" s="28" t="s">
        <v>690</v>
      </c>
      <c r="E14" s="28" t="s">
        <v>666</v>
      </c>
      <c r="F14" s="28" t="s">
        <v>691</v>
      </c>
      <c r="G14" s="220">
        <v>263.48</v>
      </c>
      <c r="H14" s="220"/>
      <c r="I14" s="221">
        <f t="shared" si="0"/>
        <v>263.48</v>
      </c>
      <c r="J14" s="218"/>
      <c r="K14" s="218"/>
      <c r="L14" s="218"/>
      <c r="M14" s="218"/>
      <c r="N14" s="218"/>
      <c r="O14" s="218"/>
      <c r="P14" s="218"/>
      <c r="Q14" s="218"/>
      <c r="R14" s="218"/>
      <c r="S14" s="218"/>
      <c r="T14" s="218"/>
      <c r="U14" s="218"/>
      <c r="V14" s="218"/>
    </row>
    <row r="15" spans="1:22" ht="15.75" x14ac:dyDescent="0.25">
      <c r="A15" s="28" t="s">
        <v>664</v>
      </c>
      <c r="B15" s="28" t="s">
        <v>31</v>
      </c>
      <c r="C15" s="219">
        <v>43497</v>
      </c>
      <c r="D15" s="28" t="s">
        <v>692</v>
      </c>
      <c r="E15" s="28" t="s">
        <v>666</v>
      </c>
      <c r="F15" s="28" t="s">
        <v>693</v>
      </c>
      <c r="G15" s="220">
        <v>1152.02</v>
      </c>
      <c r="H15" s="220"/>
      <c r="I15" s="221">
        <f t="shared" si="0"/>
        <v>1152.02</v>
      </c>
      <c r="J15" s="218"/>
      <c r="K15" s="218"/>
      <c r="L15" s="218"/>
      <c r="M15" s="218"/>
      <c r="N15" s="218"/>
      <c r="O15" s="218"/>
      <c r="P15" s="218"/>
      <c r="Q15" s="218"/>
      <c r="R15" s="218"/>
      <c r="S15" s="218"/>
      <c r="T15" s="218"/>
      <c r="U15" s="218"/>
      <c r="V15" s="218"/>
    </row>
    <row r="16" spans="1:22" ht="15.75" x14ac:dyDescent="0.25">
      <c r="A16" s="28" t="s">
        <v>664</v>
      </c>
      <c r="B16" s="28" t="s">
        <v>31</v>
      </c>
      <c r="C16" s="219">
        <v>43497</v>
      </c>
      <c r="D16" s="28" t="s">
        <v>694</v>
      </c>
      <c r="E16" s="28" t="s">
        <v>666</v>
      </c>
      <c r="F16" s="28" t="s">
        <v>695</v>
      </c>
      <c r="G16" s="220">
        <v>6026.46</v>
      </c>
      <c r="H16" s="220"/>
      <c r="I16" s="221">
        <f t="shared" si="0"/>
        <v>6026.46</v>
      </c>
      <c r="J16" s="218"/>
      <c r="K16" s="218"/>
      <c r="L16" s="218"/>
      <c r="M16" s="218"/>
      <c r="N16" s="218"/>
      <c r="O16" s="218"/>
      <c r="P16" s="218"/>
      <c r="Q16" s="218"/>
      <c r="R16" s="218"/>
      <c r="S16" s="218"/>
      <c r="T16" s="218"/>
      <c r="U16" s="218"/>
      <c r="V16" s="218"/>
    </row>
    <row r="17" spans="1:22" ht="15.75" x14ac:dyDescent="0.25">
      <c r="A17" s="28" t="s">
        <v>664</v>
      </c>
      <c r="B17" s="28" t="s">
        <v>31</v>
      </c>
      <c r="C17" s="219">
        <v>43497</v>
      </c>
      <c r="D17" s="28" t="s">
        <v>696</v>
      </c>
      <c r="E17" s="28" t="s">
        <v>666</v>
      </c>
      <c r="F17" s="28" t="s">
        <v>697</v>
      </c>
      <c r="G17" s="220">
        <v>263.48</v>
      </c>
      <c r="H17" s="220"/>
      <c r="I17" s="221">
        <f t="shared" si="0"/>
        <v>263.48</v>
      </c>
      <c r="J17" s="218"/>
      <c r="K17" s="218"/>
      <c r="L17" s="218"/>
      <c r="M17" s="218"/>
      <c r="N17" s="218"/>
      <c r="O17" s="218"/>
      <c r="P17" s="218"/>
      <c r="Q17" s="218"/>
      <c r="R17" s="218"/>
      <c r="S17" s="218"/>
      <c r="T17" s="218"/>
      <c r="U17" s="218"/>
      <c r="V17" s="218"/>
    </row>
    <row r="18" spans="1:22" ht="15.75" x14ac:dyDescent="0.25">
      <c r="A18" s="28" t="s">
        <v>664</v>
      </c>
      <c r="B18" s="28" t="s">
        <v>31</v>
      </c>
      <c r="C18" s="219">
        <v>43525</v>
      </c>
      <c r="D18" s="28" t="s">
        <v>698</v>
      </c>
      <c r="E18" s="28" t="s">
        <v>666</v>
      </c>
      <c r="F18" s="28" t="s">
        <v>699</v>
      </c>
      <c r="G18" s="220">
        <v>263.42</v>
      </c>
      <c r="H18" s="220"/>
      <c r="I18" s="221">
        <f t="shared" si="0"/>
        <v>263.42</v>
      </c>
      <c r="J18" s="218"/>
      <c r="K18" s="218"/>
      <c r="L18" s="218"/>
      <c r="M18" s="218"/>
      <c r="N18" s="218"/>
      <c r="O18" s="218"/>
      <c r="P18" s="218"/>
      <c r="Q18" s="218"/>
      <c r="R18" s="218"/>
      <c r="S18" s="218"/>
      <c r="T18" s="218"/>
      <c r="U18" s="218"/>
      <c r="V18" s="218"/>
    </row>
    <row r="19" spans="1:22" ht="15.75" x14ac:dyDescent="0.25">
      <c r="A19" s="28" t="s">
        <v>664</v>
      </c>
      <c r="B19" s="28" t="s">
        <v>31</v>
      </c>
      <c r="C19" s="219">
        <v>43525</v>
      </c>
      <c r="D19" s="28" t="s">
        <v>700</v>
      </c>
      <c r="E19" s="28" t="s">
        <v>666</v>
      </c>
      <c r="F19" s="28" t="s">
        <v>701</v>
      </c>
      <c r="G19" s="220">
        <v>6123.12</v>
      </c>
      <c r="H19" s="220"/>
      <c r="I19" s="221">
        <f t="shared" si="0"/>
        <v>6123.12</v>
      </c>
      <c r="J19" s="218"/>
      <c r="K19" s="218"/>
      <c r="L19" s="218"/>
      <c r="M19" s="218"/>
      <c r="N19" s="218"/>
      <c r="O19" s="218"/>
      <c r="P19" s="218"/>
      <c r="Q19" s="218"/>
      <c r="R19" s="218"/>
      <c r="S19" s="218"/>
      <c r="T19" s="218"/>
      <c r="U19" s="218"/>
      <c r="V19" s="218"/>
    </row>
    <row r="20" spans="1:22" ht="15.75" x14ac:dyDescent="0.25">
      <c r="A20" s="28" t="s">
        <v>664</v>
      </c>
      <c r="B20" s="28" t="s">
        <v>31</v>
      </c>
      <c r="C20" s="219">
        <v>43525</v>
      </c>
      <c r="D20" s="28" t="s">
        <v>702</v>
      </c>
      <c r="E20" s="28" t="s">
        <v>666</v>
      </c>
      <c r="F20" s="28" t="s">
        <v>703</v>
      </c>
      <c r="G20" s="220">
        <v>1151.77</v>
      </c>
      <c r="H20" s="220"/>
      <c r="I20" s="221">
        <f t="shared" si="0"/>
        <v>1151.77</v>
      </c>
      <c r="J20" s="218"/>
      <c r="K20" s="218"/>
      <c r="L20" s="218"/>
      <c r="M20" s="218"/>
      <c r="N20" s="218"/>
      <c r="O20" s="218"/>
      <c r="P20" s="218"/>
      <c r="Q20" s="218"/>
      <c r="R20" s="218"/>
      <c r="S20" s="218"/>
      <c r="T20" s="218"/>
      <c r="U20" s="218"/>
      <c r="V20" s="218"/>
    </row>
    <row r="21" spans="1:22" ht="15.75" x14ac:dyDescent="0.25">
      <c r="A21" s="28" t="s">
        <v>664</v>
      </c>
      <c r="B21" s="28" t="s">
        <v>31</v>
      </c>
      <c r="C21" s="219">
        <v>43525</v>
      </c>
      <c r="D21" s="28" t="s">
        <v>704</v>
      </c>
      <c r="E21" s="28" t="s">
        <v>666</v>
      </c>
      <c r="F21" s="28" t="s">
        <v>705</v>
      </c>
      <c r="G21" s="220">
        <v>263.42</v>
      </c>
      <c r="H21" s="220"/>
      <c r="I21" s="221">
        <f t="shared" si="0"/>
        <v>263.42</v>
      </c>
      <c r="J21" s="218"/>
      <c r="K21" s="218"/>
      <c r="L21" s="218"/>
      <c r="M21" s="218"/>
      <c r="N21" s="218"/>
      <c r="O21" s="218"/>
      <c r="P21" s="218"/>
      <c r="Q21" s="218"/>
      <c r="R21" s="218"/>
      <c r="S21" s="218"/>
      <c r="T21" s="218"/>
      <c r="U21" s="218"/>
      <c r="V21" s="218"/>
    </row>
    <row r="22" spans="1:22" ht="15.75" x14ac:dyDescent="0.25">
      <c r="A22" s="28" t="s">
        <v>664</v>
      </c>
      <c r="B22" s="28" t="s">
        <v>31</v>
      </c>
      <c r="C22" s="219">
        <v>43556</v>
      </c>
      <c r="D22" s="28" t="s">
        <v>706</v>
      </c>
      <c r="E22" s="28" t="s">
        <v>666</v>
      </c>
      <c r="F22" s="28" t="s">
        <v>707</v>
      </c>
      <c r="G22" s="220">
        <v>1134.75</v>
      </c>
      <c r="H22" s="220"/>
      <c r="I22" s="221">
        <f t="shared" si="0"/>
        <v>1134.75</v>
      </c>
      <c r="J22" s="218"/>
      <c r="K22" s="218"/>
      <c r="L22" s="218"/>
      <c r="M22" s="218"/>
      <c r="N22" s="218"/>
      <c r="O22" s="218"/>
      <c r="P22" s="218"/>
      <c r="Q22" s="218"/>
      <c r="R22" s="218"/>
      <c r="S22" s="218"/>
      <c r="T22" s="218"/>
      <c r="U22" s="218"/>
      <c r="V22" s="218"/>
    </row>
    <row r="23" spans="1:22" ht="15.75" x14ac:dyDescent="0.25">
      <c r="A23" s="28" t="s">
        <v>664</v>
      </c>
      <c r="B23" s="28" t="s">
        <v>31</v>
      </c>
      <c r="C23" s="219">
        <v>43556</v>
      </c>
      <c r="D23" s="28" t="s">
        <v>708</v>
      </c>
      <c r="E23" s="28" t="s">
        <v>666</v>
      </c>
      <c r="F23" s="28" t="s">
        <v>709</v>
      </c>
      <c r="G23" s="220">
        <v>5714.28</v>
      </c>
      <c r="H23" s="220"/>
      <c r="I23" s="221">
        <f t="shared" si="0"/>
        <v>5714.28</v>
      </c>
      <c r="J23" s="218"/>
      <c r="K23" s="218"/>
      <c r="L23" s="218"/>
      <c r="M23" s="218"/>
      <c r="N23" s="218"/>
      <c r="O23" s="218"/>
      <c r="P23" s="218"/>
      <c r="Q23" s="218"/>
      <c r="R23" s="218"/>
      <c r="S23" s="218"/>
      <c r="T23" s="218"/>
      <c r="U23" s="218"/>
      <c r="V23" s="218"/>
    </row>
    <row r="24" spans="1:22" ht="15.75" x14ac:dyDescent="0.25">
      <c r="A24" s="28" t="s">
        <v>664</v>
      </c>
      <c r="B24" s="28" t="s">
        <v>31</v>
      </c>
      <c r="C24" s="219">
        <v>43556</v>
      </c>
      <c r="D24" s="28" t="s">
        <v>710</v>
      </c>
      <c r="E24" s="28" t="s">
        <v>666</v>
      </c>
      <c r="F24" s="28" t="s">
        <v>711</v>
      </c>
      <c r="G24" s="220">
        <v>259.52999999999997</v>
      </c>
      <c r="H24" s="220"/>
      <c r="I24" s="221">
        <f t="shared" si="0"/>
        <v>259.52999999999997</v>
      </c>
      <c r="J24" s="218"/>
      <c r="K24" s="218"/>
      <c r="L24" s="218"/>
      <c r="M24" s="218"/>
      <c r="N24" s="218"/>
      <c r="O24" s="218"/>
      <c r="P24" s="218"/>
      <c r="Q24" s="218"/>
      <c r="R24" s="218"/>
      <c r="S24" s="218"/>
      <c r="T24" s="218"/>
      <c r="U24" s="218"/>
      <c r="V24" s="218"/>
    </row>
    <row r="25" spans="1:22" ht="15.75" x14ac:dyDescent="0.25">
      <c r="A25" s="28" t="s">
        <v>664</v>
      </c>
      <c r="B25" s="28" t="s">
        <v>31</v>
      </c>
      <c r="C25" s="219">
        <v>43556</v>
      </c>
      <c r="D25" s="28" t="s">
        <v>712</v>
      </c>
      <c r="E25" s="28" t="s">
        <v>666</v>
      </c>
      <c r="F25" s="28" t="s">
        <v>713</v>
      </c>
      <c r="G25" s="220">
        <v>259.52999999999997</v>
      </c>
      <c r="H25" s="220"/>
      <c r="I25" s="221">
        <f t="shared" si="0"/>
        <v>259.52999999999997</v>
      </c>
      <c r="J25" s="218"/>
      <c r="K25" s="218"/>
      <c r="L25" s="218"/>
      <c r="M25" s="218"/>
      <c r="N25" s="218"/>
      <c r="O25" s="218"/>
      <c r="P25" s="218"/>
      <c r="Q25" s="218"/>
      <c r="R25" s="218"/>
      <c r="S25" s="218"/>
      <c r="T25" s="218"/>
      <c r="U25" s="218"/>
      <c r="V25" s="218"/>
    </row>
    <row r="26" spans="1:22" ht="15.75" x14ac:dyDescent="0.25">
      <c r="A26" s="28" t="s">
        <v>664</v>
      </c>
      <c r="B26" s="28" t="s">
        <v>31</v>
      </c>
      <c r="C26" s="219">
        <v>43586</v>
      </c>
      <c r="D26" s="28" t="s">
        <v>714</v>
      </c>
      <c r="E26" s="28" t="s">
        <v>666</v>
      </c>
      <c r="F26" s="28" t="s">
        <v>715</v>
      </c>
      <c r="G26" s="220">
        <v>5832.76</v>
      </c>
      <c r="H26" s="220"/>
      <c r="I26" s="221">
        <f t="shared" si="0"/>
        <v>5832.76</v>
      </c>
      <c r="J26" s="218"/>
      <c r="K26" s="218"/>
      <c r="L26" s="218"/>
      <c r="M26" s="218"/>
      <c r="N26" s="218"/>
      <c r="O26" s="218"/>
      <c r="P26" s="218"/>
      <c r="Q26" s="218"/>
      <c r="R26" s="218"/>
      <c r="S26" s="218"/>
      <c r="T26" s="218"/>
      <c r="U26" s="218"/>
      <c r="V26" s="218"/>
    </row>
    <row r="27" spans="1:22" ht="15.75" x14ac:dyDescent="0.25">
      <c r="A27" s="28" t="s">
        <v>664</v>
      </c>
      <c r="B27" s="28" t="s">
        <v>31</v>
      </c>
      <c r="C27" s="219">
        <v>43586</v>
      </c>
      <c r="D27" s="28" t="s">
        <v>716</v>
      </c>
      <c r="E27" s="28" t="s">
        <v>666</v>
      </c>
      <c r="F27" s="28" t="s">
        <v>717</v>
      </c>
      <c r="G27" s="220">
        <v>259.52999999999997</v>
      </c>
      <c r="H27" s="220"/>
      <c r="I27" s="221">
        <f t="shared" si="0"/>
        <v>259.52999999999997</v>
      </c>
      <c r="J27" s="218"/>
      <c r="K27" s="218"/>
      <c r="L27" s="218"/>
      <c r="M27" s="218"/>
      <c r="N27" s="218"/>
      <c r="O27" s="218"/>
      <c r="P27" s="218"/>
      <c r="Q27" s="218"/>
      <c r="R27" s="218"/>
      <c r="S27" s="218"/>
      <c r="T27" s="218"/>
      <c r="U27" s="218"/>
      <c r="V27" s="218"/>
    </row>
    <row r="28" spans="1:22" ht="15.75" x14ac:dyDescent="0.25">
      <c r="A28" s="28" t="s">
        <v>664</v>
      </c>
      <c r="B28" s="28" t="s">
        <v>31</v>
      </c>
      <c r="C28" s="219">
        <v>43586</v>
      </c>
      <c r="D28" s="28" t="s">
        <v>718</v>
      </c>
      <c r="E28" s="28" t="s">
        <v>666</v>
      </c>
      <c r="F28" s="28" t="s">
        <v>719</v>
      </c>
      <c r="G28" s="220">
        <v>259.52999999999997</v>
      </c>
      <c r="H28" s="220"/>
      <c r="I28" s="221">
        <f t="shared" si="0"/>
        <v>259.52999999999997</v>
      </c>
      <c r="M28" s="218"/>
      <c r="N28" s="218"/>
      <c r="O28" s="218"/>
      <c r="P28" s="218"/>
      <c r="Q28" s="218"/>
      <c r="R28" s="218"/>
      <c r="S28" s="218"/>
      <c r="T28" s="218"/>
      <c r="U28" s="218"/>
      <c r="V28" s="218"/>
    </row>
    <row r="29" spans="1:22" ht="15.75" x14ac:dyDescent="0.25">
      <c r="A29" s="28" t="s">
        <v>664</v>
      </c>
      <c r="B29" s="28" t="s">
        <v>31</v>
      </c>
      <c r="C29" s="219">
        <v>43586</v>
      </c>
      <c r="D29" s="28" t="s">
        <v>720</v>
      </c>
      <c r="E29" s="28" t="s">
        <v>666</v>
      </c>
      <c r="F29" s="28" t="s">
        <v>721</v>
      </c>
      <c r="G29" s="220">
        <v>1134.75</v>
      </c>
      <c r="H29" s="220"/>
      <c r="I29" s="221">
        <f t="shared" si="0"/>
        <v>1134.75</v>
      </c>
      <c r="J29" s="218"/>
      <c r="K29" s="218"/>
      <c r="L29" s="218"/>
      <c r="M29" s="218"/>
      <c r="N29" s="218"/>
      <c r="O29" s="218"/>
      <c r="P29" s="218"/>
      <c r="Q29" s="218"/>
      <c r="R29" s="218"/>
      <c r="S29" s="218"/>
      <c r="T29" s="218"/>
      <c r="U29" s="218"/>
      <c r="V29" s="218"/>
    </row>
    <row r="30" spans="1:22" ht="15.75" x14ac:dyDescent="0.25">
      <c r="A30" s="28" t="s">
        <v>664</v>
      </c>
      <c r="B30" s="28" t="s">
        <v>31</v>
      </c>
      <c r="C30" s="219">
        <v>43617</v>
      </c>
      <c r="D30" s="28" t="s">
        <v>722</v>
      </c>
      <c r="E30" s="28" t="s">
        <v>666</v>
      </c>
      <c r="F30" s="28" t="s">
        <v>723</v>
      </c>
      <c r="G30" s="220">
        <v>5833.1</v>
      </c>
      <c r="H30" s="220"/>
      <c r="I30" s="221">
        <f t="shared" si="0"/>
        <v>5833.1</v>
      </c>
      <c r="J30" s="218"/>
      <c r="K30" s="218"/>
      <c r="L30" s="218"/>
      <c r="M30" s="218"/>
      <c r="N30" s="218"/>
      <c r="O30" s="218"/>
      <c r="P30" s="218"/>
      <c r="Q30" s="218"/>
      <c r="R30" s="218"/>
      <c r="S30" s="218"/>
      <c r="T30" s="218"/>
      <c r="U30" s="218"/>
      <c r="V30" s="218"/>
    </row>
    <row r="31" spans="1:22" ht="15.75" x14ac:dyDescent="0.25">
      <c r="A31" s="28" t="s">
        <v>664</v>
      </c>
      <c r="B31" s="28" t="s">
        <v>31</v>
      </c>
      <c r="C31" s="219">
        <v>43617</v>
      </c>
      <c r="D31" s="28" t="s">
        <v>724</v>
      </c>
      <c r="E31" s="28" t="s">
        <v>666</v>
      </c>
      <c r="F31" s="28" t="s">
        <v>725</v>
      </c>
      <c r="G31" s="220">
        <v>1152.03</v>
      </c>
      <c r="H31" s="220"/>
      <c r="I31" s="221">
        <f t="shared" si="0"/>
        <v>1152.03</v>
      </c>
      <c r="J31" s="218"/>
      <c r="K31" s="218"/>
      <c r="L31" s="218"/>
      <c r="M31" s="218"/>
      <c r="N31" s="218"/>
      <c r="O31" s="218"/>
      <c r="P31" s="218"/>
      <c r="Q31" s="218"/>
      <c r="R31" s="218"/>
      <c r="S31" s="218"/>
      <c r="T31" s="218"/>
      <c r="U31" s="218"/>
      <c r="V31" s="218"/>
    </row>
    <row r="32" spans="1:22" ht="15.75" x14ac:dyDescent="0.25">
      <c r="A32" s="28" t="s">
        <v>664</v>
      </c>
      <c r="B32" s="28" t="s">
        <v>31</v>
      </c>
      <c r="C32" s="219">
        <v>43617</v>
      </c>
      <c r="D32" s="28" t="s">
        <v>726</v>
      </c>
      <c r="E32" s="28" t="s">
        <v>666</v>
      </c>
      <c r="F32" s="28" t="s">
        <v>727</v>
      </c>
      <c r="G32" s="220">
        <v>275.57</v>
      </c>
      <c r="H32" s="220"/>
      <c r="I32" s="221">
        <f t="shared" si="0"/>
        <v>275.57</v>
      </c>
      <c r="J32" s="218"/>
      <c r="K32" s="218"/>
      <c r="L32" s="218"/>
      <c r="M32" s="218"/>
      <c r="N32" s="218"/>
      <c r="O32" s="218"/>
      <c r="P32" s="218"/>
      <c r="Q32" s="218"/>
      <c r="R32" s="218"/>
      <c r="S32" s="218"/>
      <c r="T32" s="218"/>
      <c r="U32" s="218"/>
      <c r="V32" s="218"/>
    </row>
    <row r="33" spans="1:22" ht="15.75" x14ac:dyDescent="0.25">
      <c r="A33" s="28" t="s">
        <v>664</v>
      </c>
      <c r="B33" s="28" t="s">
        <v>31</v>
      </c>
      <c r="C33" s="219">
        <v>43617</v>
      </c>
      <c r="D33" s="28" t="s">
        <v>728</v>
      </c>
      <c r="E33" s="28" t="s">
        <v>666</v>
      </c>
      <c r="F33" s="28" t="s">
        <v>729</v>
      </c>
      <c r="G33" s="220">
        <v>275.57</v>
      </c>
      <c r="H33" s="220"/>
      <c r="I33" s="221">
        <f t="shared" si="0"/>
        <v>275.57</v>
      </c>
      <c r="J33" s="218"/>
      <c r="K33" s="218"/>
      <c r="L33" s="218"/>
      <c r="M33" s="218"/>
      <c r="N33" s="218"/>
      <c r="O33" s="218"/>
      <c r="P33" s="218"/>
      <c r="Q33" s="218"/>
      <c r="R33" s="218"/>
      <c r="S33" s="218"/>
      <c r="T33" s="218"/>
      <c r="U33" s="218"/>
      <c r="V33" s="218"/>
    </row>
    <row r="34" spans="1:22" ht="15.75" x14ac:dyDescent="0.25">
      <c r="A34" s="28" t="s">
        <v>664</v>
      </c>
      <c r="B34" s="28" t="s">
        <v>31</v>
      </c>
      <c r="C34" s="219">
        <v>43642</v>
      </c>
      <c r="D34" s="28" t="s">
        <v>730</v>
      </c>
      <c r="E34" s="28" t="s">
        <v>666</v>
      </c>
      <c r="F34" s="28" t="s">
        <v>731</v>
      </c>
      <c r="G34" s="220">
        <v>425</v>
      </c>
      <c r="H34" s="220"/>
      <c r="I34" s="221">
        <f t="shared" si="0"/>
        <v>425</v>
      </c>
      <c r="J34" s="218"/>
      <c r="K34" s="218"/>
      <c r="L34" s="218"/>
      <c r="M34" s="218"/>
      <c r="N34" s="218"/>
      <c r="O34" s="218"/>
      <c r="P34" s="218"/>
      <c r="Q34" s="218"/>
      <c r="R34" s="218"/>
      <c r="S34" s="218"/>
      <c r="T34" s="218"/>
      <c r="U34" s="218"/>
      <c r="V34" s="218"/>
    </row>
    <row r="35" spans="1:22" ht="15.75" x14ac:dyDescent="0.25">
      <c r="A35" s="28" t="s">
        <v>664</v>
      </c>
      <c r="B35" s="28" t="s">
        <v>31</v>
      </c>
      <c r="C35" s="219">
        <v>43647</v>
      </c>
      <c r="D35" s="28" t="s">
        <v>732</v>
      </c>
      <c r="E35" s="28" t="s">
        <v>666</v>
      </c>
      <c r="F35" s="28" t="s">
        <v>733</v>
      </c>
      <c r="G35" s="220">
        <v>1134.75</v>
      </c>
      <c r="H35" s="220"/>
      <c r="I35" s="221">
        <f t="shared" si="0"/>
        <v>1134.75</v>
      </c>
      <c r="J35" s="218"/>
      <c r="K35" s="218"/>
      <c r="L35" s="218"/>
      <c r="M35" s="218"/>
      <c r="N35" s="218"/>
      <c r="O35" s="218"/>
      <c r="P35" s="218"/>
      <c r="Q35" s="218"/>
      <c r="R35" s="218"/>
      <c r="S35" s="218"/>
      <c r="T35" s="218"/>
      <c r="U35" s="218"/>
      <c r="V35" s="218"/>
    </row>
    <row r="36" spans="1:22" ht="15.75" x14ac:dyDescent="0.25">
      <c r="A36" s="28" t="s">
        <v>664</v>
      </c>
      <c r="B36" s="28" t="s">
        <v>31</v>
      </c>
      <c r="C36" s="219">
        <v>43647</v>
      </c>
      <c r="D36" s="28" t="s">
        <v>734</v>
      </c>
      <c r="E36" s="28" t="s">
        <v>666</v>
      </c>
      <c r="F36" s="28" t="s">
        <v>733</v>
      </c>
      <c r="G36" s="220">
        <v>5597.48</v>
      </c>
      <c r="H36" s="220"/>
      <c r="I36" s="221">
        <f t="shared" si="0"/>
        <v>5597.48</v>
      </c>
      <c r="J36" s="218"/>
      <c r="K36" s="218"/>
      <c r="L36" s="218"/>
      <c r="M36" s="218"/>
      <c r="N36" s="218"/>
      <c r="O36" s="218"/>
      <c r="P36" s="218"/>
      <c r="Q36" s="218"/>
      <c r="R36" s="218"/>
      <c r="S36" s="218"/>
      <c r="T36" s="218"/>
      <c r="U36" s="218"/>
      <c r="V36" s="218"/>
    </row>
    <row r="37" spans="1:22" ht="15.75" x14ac:dyDescent="0.25">
      <c r="A37" s="28" t="s">
        <v>664</v>
      </c>
      <c r="B37" s="28" t="s">
        <v>31</v>
      </c>
      <c r="C37" s="219">
        <v>43647</v>
      </c>
      <c r="D37" s="28" t="s">
        <v>735</v>
      </c>
      <c r="E37" s="28" t="s">
        <v>666</v>
      </c>
      <c r="F37" s="28" t="s">
        <v>733</v>
      </c>
      <c r="G37" s="220">
        <v>265.52999999999997</v>
      </c>
      <c r="H37" s="220"/>
      <c r="I37" s="221">
        <f t="shared" si="0"/>
        <v>265.52999999999997</v>
      </c>
      <c r="J37" s="218"/>
      <c r="K37" s="218"/>
      <c r="L37" s="218"/>
      <c r="M37" s="218"/>
      <c r="N37" s="218"/>
      <c r="O37" s="218"/>
      <c r="P37" s="218"/>
      <c r="Q37" s="218"/>
      <c r="R37" s="218"/>
      <c r="S37" s="218"/>
      <c r="T37" s="218"/>
      <c r="U37" s="218"/>
      <c r="V37" s="218"/>
    </row>
    <row r="38" spans="1:22" ht="15.75" x14ac:dyDescent="0.25">
      <c r="A38" s="28" t="s">
        <v>664</v>
      </c>
      <c r="B38" s="28" t="s">
        <v>31</v>
      </c>
      <c r="C38" s="219">
        <v>43647</v>
      </c>
      <c r="D38" s="28" t="s">
        <v>736</v>
      </c>
      <c r="E38" s="28" t="s">
        <v>666</v>
      </c>
      <c r="F38" s="28" t="s">
        <v>737</v>
      </c>
      <c r="G38" s="220">
        <v>3.98</v>
      </c>
      <c r="H38" s="220"/>
      <c r="I38" s="221">
        <f t="shared" si="0"/>
        <v>3.98</v>
      </c>
      <c r="J38" s="218"/>
      <c r="K38" s="218"/>
      <c r="L38" s="218"/>
      <c r="M38" s="218"/>
      <c r="N38" s="218"/>
      <c r="O38" s="218"/>
      <c r="P38" s="218"/>
      <c r="Q38" s="218"/>
      <c r="R38" s="218"/>
      <c r="S38" s="218"/>
      <c r="T38" s="218"/>
      <c r="U38" s="218"/>
      <c r="V38" s="218"/>
    </row>
    <row r="39" spans="1:22" ht="15.75" x14ac:dyDescent="0.25">
      <c r="A39" s="28" t="s">
        <v>664</v>
      </c>
      <c r="B39" s="28" t="s">
        <v>31</v>
      </c>
      <c r="C39" s="219">
        <v>43647</v>
      </c>
      <c r="D39" s="28" t="s">
        <v>736</v>
      </c>
      <c r="E39" s="28" t="s">
        <v>666</v>
      </c>
      <c r="F39" s="28" t="s">
        <v>738</v>
      </c>
      <c r="G39" s="220">
        <v>265.52999999999997</v>
      </c>
      <c r="H39" s="220"/>
      <c r="I39" s="221">
        <f t="shared" si="0"/>
        <v>265.52999999999997</v>
      </c>
      <c r="J39" s="218"/>
      <c r="K39" s="218"/>
      <c r="L39" s="218"/>
      <c r="M39" s="218"/>
      <c r="N39" s="218"/>
      <c r="O39" s="218"/>
      <c r="P39" s="218"/>
      <c r="Q39" s="218"/>
      <c r="R39" s="218"/>
      <c r="S39" s="218"/>
      <c r="T39" s="218"/>
      <c r="U39" s="218"/>
      <c r="V39" s="218"/>
    </row>
    <row r="40" spans="1:22" ht="15.75" x14ac:dyDescent="0.25">
      <c r="A40" s="28" t="s">
        <v>664</v>
      </c>
      <c r="B40" s="28" t="s">
        <v>31</v>
      </c>
      <c r="C40" s="219">
        <v>43678</v>
      </c>
      <c r="D40" s="28" t="s">
        <v>739</v>
      </c>
      <c r="E40" s="28" t="s">
        <v>666</v>
      </c>
      <c r="F40" s="28" t="s">
        <v>740</v>
      </c>
      <c r="G40" s="220">
        <v>6</v>
      </c>
      <c r="H40" s="220"/>
      <c r="I40" s="221">
        <f t="shared" si="0"/>
        <v>6</v>
      </c>
      <c r="J40" s="218"/>
      <c r="K40" s="218"/>
      <c r="L40" s="218"/>
      <c r="M40" s="218"/>
      <c r="N40" s="218"/>
      <c r="O40" s="218"/>
      <c r="P40" s="218"/>
      <c r="Q40" s="218"/>
      <c r="R40" s="218"/>
      <c r="S40" s="218"/>
      <c r="T40" s="218"/>
      <c r="U40" s="218"/>
      <c r="V40" s="218"/>
    </row>
    <row r="41" spans="1:22" ht="15.75" x14ac:dyDescent="0.25">
      <c r="A41" s="28" t="s">
        <v>664</v>
      </c>
      <c r="B41" s="28" t="s">
        <v>31</v>
      </c>
      <c r="C41" s="219">
        <v>43678</v>
      </c>
      <c r="D41" s="28" t="s">
        <v>739</v>
      </c>
      <c r="E41" s="28" t="s">
        <v>666</v>
      </c>
      <c r="F41" s="28" t="s">
        <v>741</v>
      </c>
      <c r="G41" s="220">
        <v>259.52999999999997</v>
      </c>
      <c r="H41" s="220"/>
      <c r="I41" s="221">
        <f t="shared" si="0"/>
        <v>259.52999999999997</v>
      </c>
      <c r="J41" s="218"/>
      <c r="K41" s="218"/>
      <c r="L41" s="218"/>
      <c r="M41" s="218"/>
      <c r="N41" s="218"/>
      <c r="O41" s="218"/>
      <c r="P41" s="218"/>
      <c r="Q41" s="218"/>
      <c r="R41" s="218"/>
      <c r="S41" s="218"/>
      <c r="T41" s="218"/>
      <c r="U41" s="218"/>
      <c r="V41" s="218"/>
    </row>
    <row r="42" spans="1:22" ht="15.75" x14ac:dyDescent="0.25">
      <c r="A42" s="28" t="s">
        <v>664</v>
      </c>
      <c r="B42" s="28" t="s">
        <v>31</v>
      </c>
      <c r="C42" s="219">
        <v>43678</v>
      </c>
      <c r="D42" s="28" t="s">
        <v>742</v>
      </c>
      <c r="E42" s="28" t="s">
        <v>666</v>
      </c>
      <c r="F42" s="28" t="s">
        <v>743</v>
      </c>
      <c r="G42" s="220">
        <v>259.52999999999997</v>
      </c>
      <c r="H42" s="220"/>
      <c r="I42" s="221">
        <f t="shared" si="0"/>
        <v>259.52999999999997</v>
      </c>
      <c r="J42" s="218"/>
      <c r="K42" s="218"/>
      <c r="L42" s="218"/>
      <c r="M42" s="218"/>
      <c r="N42" s="218"/>
      <c r="O42" s="218"/>
      <c r="P42" s="218"/>
      <c r="Q42" s="218"/>
      <c r="R42" s="218"/>
      <c r="S42" s="218"/>
      <c r="T42" s="218"/>
      <c r="U42" s="218"/>
      <c r="V42" s="218"/>
    </row>
    <row r="43" spans="1:22" ht="15.75" x14ac:dyDescent="0.25">
      <c r="A43" s="28" t="s">
        <v>664</v>
      </c>
      <c r="B43" s="28" t="s">
        <v>31</v>
      </c>
      <c r="C43" s="219">
        <v>43678</v>
      </c>
      <c r="D43" s="28" t="s">
        <v>742</v>
      </c>
      <c r="E43" s="28" t="s">
        <v>666</v>
      </c>
      <c r="F43" s="28" t="s">
        <v>744</v>
      </c>
      <c r="G43" s="220">
        <v>6</v>
      </c>
      <c r="H43" s="220"/>
      <c r="I43" s="221">
        <f t="shared" si="0"/>
        <v>6</v>
      </c>
      <c r="J43" s="218"/>
      <c r="K43" s="218"/>
      <c r="L43" s="218"/>
      <c r="M43" s="218"/>
      <c r="N43" s="218"/>
      <c r="O43" s="218"/>
      <c r="P43" s="218"/>
      <c r="Q43" s="218"/>
      <c r="R43" s="218"/>
      <c r="S43" s="218"/>
      <c r="T43" s="218"/>
      <c r="U43" s="218"/>
      <c r="V43" s="218"/>
    </row>
    <row r="44" spans="1:22" ht="15.75" x14ac:dyDescent="0.25">
      <c r="A44" s="28" t="s">
        <v>664</v>
      </c>
      <c r="B44" s="28" t="s">
        <v>31</v>
      </c>
      <c r="C44" s="219">
        <v>43679</v>
      </c>
      <c r="D44" s="28" t="s">
        <v>745</v>
      </c>
      <c r="E44" s="28" t="s">
        <v>666</v>
      </c>
      <c r="F44" s="28" t="s">
        <v>746</v>
      </c>
      <c r="G44" s="220">
        <v>1122.75</v>
      </c>
      <c r="H44" s="220"/>
      <c r="I44" s="221">
        <f t="shared" si="0"/>
        <v>1122.75</v>
      </c>
      <c r="J44" s="218"/>
      <c r="K44" s="218"/>
      <c r="L44" s="218"/>
      <c r="M44" s="218"/>
      <c r="N44" s="218"/>
      <c r="O44" s="218"/>
      <c r="P44" s="218"/>
      <c r="Q44" s="218"/>
      <c r="R44" s="218"/>
      <c r="S44" s="218"/>
      <c r="T44" s="218"/>
      <c r="U44" s="218"/>
      <c r="V44" s="218"/>
    </row>
    <row r="45" spans="1:22" ht="15.75" x14ac:dyDescent="0.25">
      <c r="A45" s="28" t="s">
        <v>664</v>
      </c>
      <c r="B45" s="28" t="s">
        <v>31</v>
      </c>
      <c r="C45" s="219">
        <v>43679</v>
      </c>
      <c r="D45" s="28" t="s">
        <v>745</v>
      </c>
      <c r="E45" s="28" t="s">
        <v>666</v>
      </c>
      <c r="F45" s="28" t="s">
        <v>744</v>
      </c>
      <c r="G45" s="220">
        <v>12</v>
      </c>
      <c r="H45" s="220"/>
      <c r="I45" s="221">
        <f t="shared" si="0"/>
        <v>12</v>
      </c>
      <c r="J45" s="218"/>
      <c r="K45" s="218"/>
      <c r="L45" s="218"/>
      <c r="M45" s="218"/>
      <c r="N45" s="218"/>
      <c r="O45" s="218"/>
      <c r="P45" s="218"/>
      <c r="Q45" s="218"/>
      <c r="R45" s="218"/>
      <c r="S45" s="218"/>
      <c r="T45" s="218"/>
      <c r="U45" s="218"/>
      <c r="V45" s="218"/>
    </row>
    <row r="46" spans="1:22" ht="15.75" x14ac:dyDescent="0.25">
      <c r="A46" s="28" t="s">
        <v>664</v>
      </c>
      <c r="B46" s="28" t="s">
        <v>31</v>
      </c>
      <c r="C46" s="219">
        <v>43679</v>
      </c>
      <c r="D46" s="28" t="s">
        <v>747</v>
      </c>
      <c r="E46" s="28" t="s">
        <v>666</v>
      </c>
      <c r="F46" s="28" t="s">
        <v>733</v>
      </c>
      <c r="G46" s="220">
        <v>5673.66</v>
      </c>
      <c r="H46" s="220"/>
      <c r="I46" s="221">
        <f t="shared" si="0"/>
        <v>5673.66</v>
      </c>
      <c r="J46" s="218"/>
      <c r="K46" s="218"/>
      <c r="L46" s="218"/>
      <c r="M46" s="218"/>
      <c r="N46" s="218"/>
      <c r="O46" s="218"/>
      <c r="P46" s="218"/>
      <c r="Q46" s="218"/>
      <c r="R46" s="218"/>
      <c r="S46" s="218"/>
      <c r="T46" s="218"/>
      <c r="U46" s="218"/>
      <c r="V46" s="218"/>
    </row>
    <row r="47" spans="1:22" ht="15.75" x14ac:dyDescent="0.25">
      <c r="A47" s="28" t="s">
        <v>664</v>
      </c>
      <c r="B47" s="28" t="s">
        <v>31</v>
      </c>
      <c r="C47" s="219">
        <v>43709</v>
      </c>
      <c r="D47" s="28" t="s">
        <v>748</v>
      </c>
      <c r="E47" s="28" t="s">
        <v>666</v>
      </c>
      <c r="F47" s="28" t="s">
        <v>749</v>
      </c>
      <c r="G47" s="220">
        <v>265.52999999999997</v>
      </c>
      <c r="H47" s="220"/>
      <c r="I47" s="221">
        <f t="shared" si="0"/>
        <v>265.52999999999997</v>
      </c>
      <c r="J47" s="218"/>
      <c r="K47" s="218"/>
      <c r="L47" s="218"/>
      <c r="M47" s="218"/>
      <c r="N47" s="218"/>
      <c r="O47" s="218"/>
      <c r="P47" s="218"/>
      <c r="Q47" s="218"/>
      <c r="R47" s="218"/>
      <c r="S47" s="218"/>
      <c r="T47" s="218"/>
      <c r="U47" s="218"/>
      <c r="V47" s="218"/>
    </row>
    <row r="48" spans="1:22" ht="15.75" x14ac:dyDescent="0.25">
      <c r="A48" s="28" t="s">
        <v>664</v>
      </c>
      <c r="B48" s="28" t="s">
        <v>31</v>
      </c>
      <c r="C48" s="219">
        <v>43709</v>
      </c>
      <c r="D48" s="28" t="s">
        <v>750</v>
      </c>
      <c r="E48" s="28" t="s">
        <v>666</v>
      </c>
      <c r="F48" s="28" t="s">
        <v>751</v>
      </c>
      <c r="G48" s="220">
        <v>265.52999999999997</v>
      </c>
      <c r="H48" s="220"/>
      <c r="I48" s="221">
        <f t="shared" si="0"/>
        <v>265.52999999999997</v>
      </c>
      <c r="J48" s="218"/>
      <c r="K48" s="218"/>
      <c r="L48" s="218"/>
      <c r="M48" s="218"/>
      <c r="N48" s="218"/>
      <c r="O48" s="218"/>
      <c r="P48" s="218"/>
      <c r="Q48" s="218"/>
      <c r="R48" s="218"/>
      <c r="S48" s="218"/>
      <c r="T48" s="218"/>
      <c r="U48" s="218"/>
      <c r="V48" s="218"/>
    </row>
    <row r="49" spans="1:22" ht="15.75" x14ac:dyDescent="0.25">
      <c r="A49" s="28" t="s">
        <v>664</v>
      </c>
      <c r="B49" s="28" t="s">
        <v>31</v>
      </c>
      <c r="C49" s="219">
        <v>43709</v>
      </c>
      <c r="D49" s="28" t="s">
        <v>752</v>
      </c>
      <c r="E49" s="28" t="s">
        <v>666</v>
      </c>
      <c r="F49" s="28" t="s">
        <v>753</v>
      </c>
      <c r="G49" s="220">
        <v>5775.33</v>
      </c>
      <c r="H49" s="220"/>
      <c r="I49" s="221">
        <f t="shared" si="0"/>
        <v>5775.33</v>
      </c>
      <c r="J49" s="218"/>
      <c r="K49" s="218"/>
      <c r="L49" s="218"/>
      <c r="M49" s="218"/>
      <c r="N49" s="218"/>
      <c r="O49" s="218"/>
      <c r="P49" s="218"/>
      <c r="Q49" s="218"/>
      <c r="R49" s="218"/>
      <c r="S49" s="218"/>
      <c r="T49" s="218"/>
      <c r="U49" s="218"/>
      <c r="V49" s="218"/>
    </row>
    <row r="50" spans="1:22" ht="15.75" x14ac:dyDescent="0.25">
      <c r="A50" s="28" t="s">
        <v>664</v>
      </c>
      <c r="B50" s="28" t="s">
        <v>31</v>
      </c>
      <c r="C50" s="219">
        <v>43709</v>
      </c>
      <c r="D50" s="28" t="s">
        <v>754</v>
      </c>
      <c r="E50" s="28" t="s">
        <v>666</v>
      </c>
      <c r="F50" s="28" t="s">
        <v>755</v>
      </c>
      <c r="G50" s="220">
        <v>1134.75</v>
      </c>
      <c r="H50" s="220"/>
      <c r="I50" s="221">
        <f t="shared" si="0"/>
        <v>1134.75</v>
      </c>
      <c r="J50" s="218"/>
      <c r="K50" s="218"/>
      <c r="L50" s="218"/>
      <c r="M50" s="218"/>
      <c r="N50" s="218"/>
      <c r="O50" s="218"/>
      <c r="P50" s="218"/>
      <c r="Q50" s="218"/>
      <c r="R50" s="218"/>
      <c r="S50" s="218"/>
      <c r="T50" s="218"/>
      <c r="U50" s="218"/>
      <c r="V50" s="218"/>
    </row>
    <row r="51" spans="1:22" ht="15.75" x14ac:dyDescent="0.25">
      <c r="A51" s="28" t="s">
        <v>756</v>
      </c>
      <c r="B51" s="28" t="s">
        <v>32</v>
      </c>
      <c r="C51" s="219">
        <v>43420</v>
      </c>
      <c r="D51" s="28" t="s">
        <v>757</v>
      </c>
      <c r="E51" s="28" t="s">
        <v>666</v>
      </c>
      <c r="F51" s="28" t="s">
        <v>758</v>
      </c>
      <c r="G51" s="220">
        <v>116.1</v>
      </c>
      <c r="H51" s="220"/>
      <c r="I51" s="218"/>
      <c r="J51" s="221">
        <f>+G51</f>
        <v>116.1</v>
      </c>
      <c r="K51" s="218"/>
      <c r="L51" s="218"/>
      <c r="M51" s="218"/>
      <c r="N51" s="218"/>
      <c r="O51" s="218"/>
      <c r="P51" s="218"/>
      <c r="Q51" s="218"/>
      <c r="R51" s="218"/>
      <c r="S51" s="218"/>
      <c r="T51" s="218"/>
      <c r="U51" s="218"/>
      <c r="V51" s="218"/>
    </row>
    <row r="52" spans="1:22" ht="15.75" x14ac:dyDescent="0.25">
      <c r="A52" s="28" t="s">
        <v>756</v>
      </c>
      <c r="B52" s="28" t="s">
        <v>32</v>
      </c>
      <c r="C52" s="219">
        <v>43535</v>
      </c>
      <c r="D52" s="28" t="s">
        <v>759</v>
      </c>
      <c r="E52" s="28" t="s">
        <v>666</v>
      </c>
      <c r="F52" s="28" t="s">
        <v>760</v>
      </c>
      <c r="G52" s="220">
        <v>352.8</v>
      </c>
      <c r="H52" s="220"/>
      <c r="I52" s="218"/>
      <c r="J52" s="221">
        <f t="shared" ref="J52:J54" si="1">+G52</f>
        <v>352.8</v>
      </c>
      <c r="K52" s="218"/>
      <c r="L52" s="218"/>
      <c r="M52" s="218"/>
      <c r="N52" s="218"/>
      <c r="O52" s="218"/>
      <c r="P52" s="218"/>
      <c r="Q52" s="218"/>
      <c r="R52" s="218"/>
      <c r="S52" s="218"/>
      <c r="T52" s="218"/>
      <c r="U52" s="218"/>
      <c r="V52" s="218"/>
    </row>
    <row r="53" spans="1:22" ht="15.75" x14ac:dyDescent="0.25">
      <c r="A53" s="28" t="s">
        <v>756</v>
      </c>
      <c r="B53" s="28" t="s">
        <v>32</v>
      </c>
      <c r="C53" s="219">
        <v>43607</v>
      </c>
      <c r="D53" s="28" t="s">
        <v>761</v>
      </c>
      <c r="E53" s="28" t="s">
        <v>666</v>
      </c>
      <c r="F53" s="28" t="s">
        <v>762</v>
      </c>
      <c r="G53" s="220">
        <v>25.39</v>
      </c>
      <c r="H53" s="220"/>
      <c r="I53" s="218"/>
      <c r="J53" s="221">
        <f t="shared" si="1"/>
        <v>25.39</v>
      </c>
      <c r="K53" s="218"/>
      <c r="L53" s="218"/>
      <c r="M53" s="218"/>
      <c r="N53" s="218"/>
      <c r="O53" s="218"/>
      <c r="P53" s="218"/>
      <c r="Q53" s="218"/>
      <c r="R53" s="218"/>
      <c r="S53" s="218"/>
      <c r="T53" s="218"/>
      <c r="U53" s="218"/>
      <c r="V53" s="218"/>
    </row>
    <row r="54" spans="1:22" ht="15.75" x14ac:dyDescent="0.25">
      <c r="A54" s="28" t="s">
        <v>756</v>
      </c>
      <c r="B54" s="28" t="s">
        <v>32</v>
      </c>
      <c r="C54" s="219">
        <v>43656</v>
      </c>
      <c r="D54" s="28" t="s">
        <v>763</v>
      </c>
      <c r="E54" s="28" t="s">
        <v>666</v>
      </c>
      <c r="F54" s="28" t="s">
        <v>764</v>
      </c>
      <c r="G54" s="220">
        <v>129.13</v>
      </c>
      <c r="H54" s="220"/>
      <c r="I54" s="218"/>
      <c r="J54" s="221">
        <f t="shared" si="1"/>
        <v>129.13</v>
      </c>
      <c r="K54" s="218"/>
      <c r="L54" s="218"/>
      <c r="M54" s="218"/>
      <c r="N54" s="218"/>
      <c r="O54" s="218"/>
      <c r="P54" s="218"/>
      <c r="Q54" s="218"/>
      <c r="R54" s="218"/>
      <c r="S54" s="218"/>
      <c r="T54" s="218"/>
      <c r="U54" s="218"/>
      <c r="V54" s="218"/>
    </row>
    <row r="55" spans="1:22" ht="15.75" x14ac:dyDescent="0.25">
      <c r="A55" s="28" t="s">
        <v>765</v>
      </c>
      <c r="B55" s="28" t="s">
        <v>33</v>
      </c>
      <c r="C55" s="219">
        <v>43374</v>
      </c>
      <c r="D55" s="28" t="s">
        <v>766</v>
      </c>
      <c r="E55" s="28" t="s">
        <v>666</v>
      </c>
      <c r="F55" s="28" t="s">
        <v>767</v>
      </c>
      <c r="G55" s="220">
        <v>1606.99</v>
      </c>
      <c r="H55" s="220"/>
      <c r="I55" s="218"/>
      <c r="J55" s="218"/>
      <c r="K55" s="221">
        <f>+G55</f>
        <v>1606.99</v>
      </c>
      <c r="L55" s="218"/>
      <c r="M55" s="218"/>
      <c r="N55" s="218"/>
      <c r="O55" s="218"/>
      <c r="P55" s="218"/>
      <c r="Q55" s="218"/>
      <c r="R55" s="218"/>
      <c r="S55" s="218"/>
      <c r="T55" s="218"/>
      <c r="U55" s="218"/>
      <c r="V55" s="218"/>
    </row>
    <row r="56" spans="1:22" ht="15.75" x14ac:dyDescent="0.25">
      <c r="A56" s="28" t="s">
        <v>765</v>
      </c>
      <c r="B56" s="28" t="s">
        <v>33</v>
      </c>
      <c r="C56" s="219">
        <v>43405</v>
      </c>
      <c r="D56" s="28" t="s">
        <v>768</v>
      </c>
      <c r="E56" s="28" t="s">
        <v>666</v>
      </c>
      <c r="F56" s="28" t="s">
        <v>769</v>
      </c>
      <c r="G56" s="220">
        <v>1654.94</v>
      </c>
      <c r="H56" s="220"/>
      <c r="I56" s="218"/>
      <c r="J56" s="218"/>
      <c r="K56" s="221">
        <f t="shared" ref="K56:K75" si="2">+G56</f>
        <v>1654.94</v>
      </c>
      <c r="L56" s="218"/>
      <c r="M56" s="218"/>
      <c r="N56" s="218"/>
      <c r="O56" s="218"/>
      <c r="P56" s="218"/>
      <c r="Q56" s="218"/>
      <c r="R56" s="218"/>
      <c r="S56" s="218"/>
      <c r="T56" s="218"/>
      <c r="U56" s="218"/>
      <c r="V56" s="218"/>
    </row>
    <row r="57" spans="1:22" ht="15.75" x14ac:dyDescent="0.25">
      <c r="A57" s="28" t="s">
        <v>765</v>
      </c>
      <c r="B57" s="28" t="s">
        <v>33</v>
      </c>
      <c r="C57" s="219">
        <v>43435</v>
      </c>
      <c r="D57" s="28" t="s">
        <v>770</v>
      </c>
      <c r="E57" s="28" t="s">
        <v>666</v>
      </c>
      <c r="F57" s="28" t="s">
        <v>771</v>
      </c>
      <c r="G57" s="220">
        <v>1683.7</v>
      </c>
      <c r="H57" s="220"/>
      <c r="I57" s="218"/>
      <c r="J57" s="218"/>
      <c r="K57" s="221">
        <f t="shared" si="2"/>
        <v>1683.7</v>
      </c>
      <c r="L57" s="218"/>
      <c r="M57" s="218"/>
      <c r="N57" s="218"/>
      <c r="O57" s="218"/>
      <c r="P57" s="218"/>
      <c r="Q57" s="218"/>
      <c r="R57" s="218"/>
      <c r="S57" s="218"/>
      <c r="T57" s="218"/>
      <c r="U57" s="218"/>
      <c r="V57" s="218"/>
    </row>
    <row r="58" spans="1:22" ht="15.75" x14ac:dyDescent="0.25">
      <c r="A58" s="28" t="s">
        <v>765</v>
      </c>
      <c r="B58" s="28" t="s">
        <v>33</v>
      </c>
      <c r="C58" s="219">
        <v>43466</v>
      </c>
      <c r="D58" s="28" t="s">
        <v>772</v>
      </c>
      <c r="E58" s="28" t="s">
        <v>666</v>
      </c>
      <c r="F58" s="28" t="s">
        <v>773</v>
      </c>
      <c r="G58" s="220">
        <v>2263.64</v>
      </c>
      <c r="H58" s="220"/>
      <c r="I58" s="218"/>
      <c r="J58" s="218"/>
      <c r="K58" s="221">
        <f t="shared" si="2"/>
        <v>2263.64</v>
      </c>
      <c r="L58" s="218"/>
      <c r="M58" s="218"/>
      <c r="N58" s="218"/>
      <c r="O58" s="218"/>
      <c r="P58" s="218"/>
      <c r="Q58" s="218"/>
      <c r="R58" s="218"/>
      <c r="S58" s="218"/>
      <c r="T58" s="218"/>
      <c r="U58" s="218"/>
      <c r="V58" s="218"/>
    </row>
    <row r="59" spans="1:22" ht="15.75" x14ac:dyDescent="0.25">
      <c r="A59" s="28" t="s">
        <v>765</v>
      </c>
      <c r="B59" s="28" t="s">
        <v>33</v>
      </c>
      <c r="C59" s="219">
        <v>43497</v>
      </c>
      <c r="D59" s="28" t="s">
        <v>774</v>
      </c>
      <c r="E59" s="28" t="s">
        <v>666</v>
      </c>
      <c r="F59" s="28" t="s">
        <v>775</v>
      </c>
      <c r="G59" s="220">
        <v>2227.91</v>
      </c>
      <c r="H59" s="220"/>
      <c r="I59" s="218"/>
      <c r="J59" s="218"/>
      <c r="K59" s="221">
        <f t="shared" si="2"/>
        <v>2227.91</v>
      </c>
      <c r="L59" s="218"/>
      <c r="M59" s="218"/>
      <c r="N59" s="218"/>
      <c r="O59" s="218"/>
      <c r="P59" s="218"/>
      <c r="Q59" s="218"/>
      <c r="R59" s="218"/>
      <c r="S59" s="218"/>
      <c r="T59" s="218"/>
      <c r="U59" s="218"/>
      <c r="V59" s="218"/>
    </row>
    <row r="60" spans="1:22" ht="15.75" x14ac:dyDescent="0.25">
      <c r="A60" s="28" t="s">
        <v>765</v>
      </c>
      <c r="B60" s="28" t="s">
        <v>33</v>
      </c>
      <c r="C60" s="219">
        <v>43516</v>
      </c>
      <c r="D60" s="28" t="s">
        <v>776</v>
      </c>
      <c r="E60" s="28" t="s">
        <v>666</v>
      </c>
      <c r="F60" s="28" t="s">
        <v>777</v>
      </c>
      <c r="G60" s="220">
        <v>788.08</v>
      </c>
      <c r="H60" s="220"/>
      <c r="I60" s="218"/>
      <c r="J60" s="218"/>
      <c r="K60" s="221">
        <f t="shared" si="2"/>
        <v>788.08</v>
      </c>
      <c r="L60" s="218"/>
      <c r="M60" s="218"/>
      <c r="N60" s="218"/>
      <c r="O60" s="218"/>
      <c r="P60" s="218"/>
      <c r="Q60" s="218"/>
      <c r="R60" s="218"/>
      <c r="S60" s="218"/>
      <c r="T60" s="218"/>
      <c r="U60" s="218"/>
      <c r="V60" s="218"/>
    </row>
    <row r="61" spans="1:22" ht="15.75" x14ac:dyDescent="0.25">
      <c r="A61" s="28" t="s">
        <v>765</v>
      </c>
      <c r="B61" s="28" t="s">
        <v>33</v>
      </c>
      <c r="C61" s="219">
        <v>43525</v>
      </c>
      <c r="D61" s="28" t="s">
        <v>778</v>
      </c>
      <c r="E61" s="28" t="s">
        <v>666</v>
      </c>
      <c r="F61" s="28" t="s">
        <v>779</v>
      </c>
      <c r="G61" s="220">
        <v>1897.85</v>
      </c>
      <c r="H61" s="220"/>
      <c r="I61" s="218"/>
      <c r="J61" s="218"/>
      <c r="K61" s="221">
        <f t="shared" si="2"/>
        <v>1897.85</v>
      </c>
      <c r="L61" s="218"/>
      <c r="M61" s="218"/>
      <c r="N61" s="218"/>
      <c r="O61" s="218"/>
      <c r="P61" s="218"/>
      <c r="Q61" s="218"/>
      <c r="R61" s="218"/>
      <c r="S61" s="218"/>
      <c r="T61" s="218"/>
      <c r="U61" s="218"/>
      <c r="V61" s="218"/>
    </row>
    <row r="62" spans="1:22" ht="15.75" x14ac:dyDescent="0.25">
      <c r="A62" s="28" t="s">
        <v>765</v>
      </c>
      <c r="B62" s="28" t="s">
        <v>33</v>
      </c>
      <c r="C62" s="219">
        <v>43525</v>
      </c>
      <c r="D62" s="28" t="s">
        <v>780</v>
      </c>
      <c r="E62" s="28" t="s">
        <v>666</v>
      </c>
      <c r="F62" s="28" t="s">
        <v>781</v>
      </c>
      <c r="G62" s="220">
        <v>383.27</v>
      </c>
      <c r="H62" s="220"/>
      <c r="I62" s="218"/>
      <c r="J62" s="218"/>
      <c r="K62" s="221">
        <f t="shared" si="2"/>
        <v>383.27</v>
      </c>
      <c r="L62" s="218"/>
      <c r="M62" s="218"/>
      <c r="N62" s="218"/>
      <c r="O62" s="218"/>
      <c r="P62" s="218"/>
      <c r="Q62" s="218"/>
      <c r="R62" s="218"/>
      <c r="S62" s="218"/>
      <c r="T62" s="218"/>
      <c r="U62" s="218"/>
      <c r="V62" s="218"/>
    </row>
    <row r="63" spans="1:22" ht="15.75" x14ac:dyDescent="0.25">
      <c r="A63" s="28" t="s">
        <v>765</v>
      </c>
      <c r="B63" s="28" t="s">
        <v>33</v>
      </c>
      <c r="C63" s="219">
        <v>43556</v>
      </c>
      <c r="D63" s="28" t="s">
        <v>782</v>
      </c>
      <c r="E63" s="28" t="s">
        <v>666</v>
      </c>
      <c r="F63" s="28" t="s">
        <v>783</v>
      </c>
      <c r="G63" s="220">
        <v>266.04000000000002</v>
      </c>
      <c r="H63" s="220"/>
      <c r="I63" s="218"/>
      <c r="J63" s="218"/>
      <c r="K63" s="221">
        <f t="shared" si="2"/>
        <v>266.04000000000002</v>
      </c>
      <c r="L63" s="218"/>
      <c r="M63" s="218"/>
      <c r="N63" s="218"/>
      <c r="O63" s="218"/>
      <c r="P63" s="218"/>
      <c r="Q63" s="218"/>
      <c r="R63" s="218"/>
      <c r="S63" s="218"/>
      <c r="T63" s="218"/>
      <c r="U63" s="218"/>
      <c r="V63" s="218"/>
    </row>
    <row r="64" spans="1:22" ht="15.75" x14ac:dyDescent="0.25">
      <c r="A64" s="28" t="s">
        <v>765</v>
      </c>
      <c r="B64" s="28" t="s">
        <v>33</v>
      </c>
      <c r="C64" s="219">
        <v>43556</v>
      </c>
      <c r="D64" s="28" t="s">
        <v>784</v>
      </c>
      <c r="E64" s="28" t="s">
        <v>666</v>
      </c>
      <c r="F64" s="28" t="s">
        <v>785</v>
      </c>
      <c r="G64" s="220">
        <v>1483.73</v>
      </c>
      <c r="H64" s="220"/>
      <c r="I64" s="218"/>
      <c r="J64" s="218"/>
      <c r="K64" s="221">
        <f t="shared" si="2"/>
        <v>1483.73</v>
      </c>
      <c r="L64" s="218"/>
      <c r="M64" s="218"/>
      <c r="N64" s="218"/>
      <c r="O64" s="218"/>
      <c r="P64" s="218"/>
      <c r="Q64" s="218"/>
      <c r="R64" s="218"/>
      <c r="S64" s="218"/>
      <c r="T64" s="218"/>
      <c r="U64" s="218"/>
      <c r="V64" s="218"/>
    </row>
    <row r="65" spans="1:22" ht="15.75" x14ac:dyDescent="0.25">
      <c r="A65" s="28" t="s">
        <v>765</v>
      </c>
      <c r="B65" s="28" t="s">
        <v>33</v>
      </c>
      <c r="C65" s="219">
        <v>43586</v>
      </c>
      <c r="D65" s="28" t="s">
        <v>786</v>
      </c>
      <c r="E65" s="28" t="s">
        <v>666</v>
      </c>
      <c r="F65" s="28" t="s">
        <v>787</v>
      </c>
      <c r="G65" s="220">
        <v>1483.73</v>
      </c>
      <c r="H65" s="220"/>
      <c r="I65" s="218"/>
      <c r="J65" s="218"/>
      <c r="K65" s="221">
        <f t="shared" si="2"/>
        <v>1483.73</v>
      </c>
      <c r="L65" s="218"/>
      <c r="M65" s="218"/>
      <c r="N65" s="218"/>
      <c r="O65" s="218"/>
      <c r="P65" s="218"/>
      <c r="Q65" s="218"/>
      <c r="R65" s="218"/>
      <c r="S65" s="218"/>
      <c r="T65" s="218"/>
      <c r="U65" s="218"/>
      <c r="V65" s="218"/>
    </row>
    <row r="66" spans="1:22" ht="15.75" x14ac:dyDescent="0.25">
      <c r="A66" s="28" t="s">
        <v>765</v>
      </c>
      <c r="B66" s="28" t="s">
        <v>33</v>
      </c>
      <c r="C66" s="219">
        <v>43586</v>
      </c>
      <c r="D66" s="28" t="s">
        <v>788</v>
      </c>
      <c r="E66" s="28" t="s">
        <v>666</v>
      </c>
      <c r="F66" s="28" t="s">
        <v>789</v>
      </c>
      <c r="G66" s="220">
        <v>293.33999999999997</v>
      </c>
      <c r="H66" s="220"/>
      <c r="I66" s="218"/>
      <c r="J66" s="218"/>
      <c r="K66" s="221">
        <f t="shared" si="2"/>
        <v>293.33999999999997</v>
      </c>
      <c r="L66" s="218"/>
      <c r="M66" s="218"/>
      <c r="N66" s="218"/>
      <c r="O66" s="218"/>
      <c r="P66" s="218"/>
      <c r="Q66" s="218"/>
      <c r="R66" s="218"/>
      <c r="S66" s="218"/>
      <c r="T66" s="218"/>
      <c r="U66" s="218"/>
      <c r="V66" s="218"/>
    </row>
    <row r="67" spans="1:22" ht="15.75" x14ac:dyDescent="0.25">
      <c r="A67" s="28" t="s">
        <v>765</v>
      </c>
      <c r="B67" s="28" t="s">
        <v>33</v>
      </c>
      <c r="C67" s="219">
        <v>43617</v>
      </c>
      <c r="D67" s="28" t="s">
        <v>790</v>
      </c>
      <c r="E67" s="28" t="s">
        <v>666</v>
      </c>
      <c r="F67" s="28" t="s">
        <v>791</v>
      </c>
      <c r="G67" s="220">
        <v>1483.73</v>
      </c>
      <c r="H67" s="220"/>
      <c r="I67" s="218"/>
      <c r="J67" s="218"/>
      <c r="K67" s="221">
        <f t="shared" si="2"/>
        <v>1483.73</v>
      </c>
      <c r="L67" s="218"/>
      <c r="M67" s="218"/>
      <c r="N67" s="218"/>
      <c r="O67" s="218"/>
      <c r="P67" s="218"/>
      <c r="Q67" s="218"/>
      <c r="R67" s="218"/>
      <c r="S67" s="218"/>
      <c r="T67" s="218"/>
      <c r="U67" s="218"/>
      <c r="V67" s="218"/>
    </row>
    <row r="68" spans="1:22" ht="15.75" x14ac:dyDescent="0.25">
      <c r="A68" s="28" t="s">
        <v>765</v>
      </c>
      <c r="B68" s="28" t="s">
        <v>33</v>
      </c>
      <c r="C68" s="219">
        <v>43617</v>
      </c>
      <c r="D68" s="28" t="s">
        <v>792</v>
      </c>
      <c r="E68" s="28" t="s">
        <v>666</v>
      </c>
      <c r="F68" s="28" t="s">
        <v>793</v>
      </c>
      <c r="G68" s="220">
        <v>191.35</v>
      </c>
      <c r="H68" s="220"/>
      <c r="I68" s="218"/>
      <c r="J68" s="218"/>
      <c r="K68" s="221">
        <f t="shared" si="2"/>
        <v>191.35</v>
      </c>
      <c r="L68" s="218"/>
      <c r="M68" s="218"/>
      <c r="N68" s="218"/>
      <c r="O68" s="218"/>
      <c r="P68" s="218"/>
      <c r="Q68" s="218"/>
      <c r="R68" s="218"/>
      <c r="S68" s="218"/>
      <c r="T68" s="218"/>
      <c r="U68" s="218"/>
      <c r="V68" s="218"/>
    </row>
    <row r="69" spans="1:22" ht="15.75" x14ac:dyDescent="0.25">
      <c r="A69" s="28" t="s">
        <v>765</v>
      </c>
      <c r="B69" s="28" t="s">
        <v>33</v>
      </c>
      <c r="C69" s="219">
        <v>43647</v>
      </c>
      <c r="D69" s="28" t="s">
        <v>794</v>
      </c>
      <c r="E69" s="28" t="s">
        <v>666</v>
      </c>
      <c r="F69" s="28" t="s">
        <v>795</v>
      </c>
      <c r="G69" s="220">
        <v>1483.73</v>
      </c>
      <c r="H69" s="220"/>
      <c r="I69" s="218"/>
      <c r="J69" s="218"/>
      <c r="K69" s="221">
        <f t="shared" si="2"/>
        <v>1483.73</v>
      </c>
      <c r="L69" s="218"/>
      <c r="M69" s="218"/>
      <c r="N69" s="218"/>
      <c r="O69" s="218"/>
      <c r="P69" s="218"/>
      <c r="Q69" s="218"/>
      <c r="R69" s="218"/>
      <c r="S69" s="218"/>
      <c r="T69" s="218"/>
      <c r="U69" s="218"/>
      <c r="V69" s="218"/>
    </row>
    <row r="70" spans="1:22" ht="15.75" x14ac:dyDescent="0.25">
      <c r="A70" s="28" t="s">
        <v>765</v>
      </c>
      <c r="B70" s="28" t="s">
        <v>33</v>
      </c>
      <c r="C70" s="219">
        <v>43647</v>
      </c>
      <c r="D70" s="28" t="s">
        <v>796</v>
      </c>
      <c r="E70" s="28" t="s">
        <v>666</v>
      </c>
      <c r="F70" s="28" t="s">
        <v>797</v>
      </c>
      <c r="G70" s="220">
        <v>226.99</v>
      </c>
      <c r="H70" s="220"/>
      <c r="I70" s="218"/>
      <c r="J70" s="218"/>
      <c r="K70" s="221">
        <f t="shared" si="2"/>
        <v>226.99</v>
      </c>
      <c r="L70" s="218"/>
      <c r="M70" s="218"/>
      <c r="N70" s="218"/>
      <c r="O70" s="218"/>
      <c r="P70" s="218"/>
      <c r="Q70" s="218"/>
      <c r="R70" s="218"/>
      <c r="S70" s="218"/>
      <c r="T70" s="218"/>
      <c r="U70" s="218"/>
      <c r="V70" s="218"/>
    </row>
    <row r="71" spans="1:22" ht="15.75" x14ac:dyDescent="0.25">
      <c r="A71" s="28" t="s">
        <v>765</v>
      </c>
      <c r="B71" s="28" t="s">
        <v>33</v>
      </c>
      <c r="C71" s="219">
        <v>43678</v>
      </c>
      <c r="D71" s="28" t="s">
        <v>798</v>
      </c>
      <c r="E71" s="28" t="s">
        <v>666</v>
      </c>
      <c r="F71" s="28" t="s">
        <v>799</v>
      </c>
      <c r="G71" s="220">
        <v>1483.73</v>
      </c>
      <c r="H71" s="220"/>
      <c r="I71" s="218"/>
      <c r="J71" s="218"/>
      <c r="K71" s="221">
        <f t="shared" si="2"/>
        <v>1483.73</v>
      </c>
      <c r="L71" s="218"/>
      <c r="M71" s="218"/>
      <c r="N71" s="218"/>
      <c r="O71" s="218"/>
      <c r="P71" s="218"/>
      <c r="Q71" s="218"/>
      <c r="R71" s="218"/>
      <c r="S71" s="218"/>
      <c r="T71" s="218"/>
      <c r="U71" s="218"/>
      <c r="V71" s="218"/>
    </row>
    <row r="72" spans="1:22" ht="15.75" x14ac:dyDescent="0.25">
      <c r="A72" s="28" t="s">
        <v>765</v>
      </c>
      <c r="B72" s="28" t="s">
        <v>33</v>
      </c>
      <c r="C72" s="219">
        <v>43678</v>
      </c>
      <c r="D72" s="28" t="s">
        <v>800</v>
      </c>
      <c r="E72" s="28" t="s">
        <v>666</v>
      </c>
      <c r="F72" s="28" t="s">
        <v>799</v>
      </c>
      <c r="G72" s="220">
        <v>184.55</v>
      </c>
      <c r="H72" s="220"/>
      <c r="I72" s="218"/>
      <c r="J72" s="218"/>
      <c r="K72" s="221">
        <f t="shared" si="2"/>
        <v>184.55</v>
      </c>
      <c r="L72" s="218"/>
      <c r="M72" s="218"/>
      <c r="N72" s="218"/>
      <c r="O72" s="218"/>
      <c r="P72" s="218"/>
      <c r="Q72" s="218"/>
      <c r="R72" s="218"/>
      <c r="S72" s="218"/>
      <c r="T72" s="218"/>
      <c r="U72" s="218"/>
      <c r="V72" s="218"/>
    </row>
    <row r="73" spans="1:22" ht="15.75" x14ac:dyDescent="0.25">
      <c r="A73" s="28" t="s">
        <v>765</v>
      </c>
      <c r="B73" s="28" t="s">
        <v>33</v>
      </c>
      <c r="C73" s="219">
        <v>43678</v>
      </c>
      <c r="D73" s="28" t="s">
        <v>801</v>
      </c>
      <c r="E73" s="28" t="s">
        <v>666</v>
      </c>
      <c r="F73" s="28" t="s">
        <v>799</v>
      </c>
      <c r="G73" s="220">
        <v>73.349999999999994</v>
      </c>
      <c r="H73" s="220"/>
      <c r="I73" s="218"/>
      <c r="J73" s="218"/>
      <c r="K73" s="221">
        <f t="shared" si="2"/>
        <v>73.349999999999994</v>
      </c>
      <c r="L73" s="218"/>
      <c r="M73" s="218"/>
      <c r="N73" s="218"/>
      <c r="O73" s="218"/>
      <c r="P73" s="218"/>
      <c r="Q73" s="218"/>
      <c r="R73" s="218"/>
      <c r="S73" s="218"/>
      <c r="T73" s="218"/>
      <c r="U73" s="218"/>
      <c r="V73" s="218"/>
    </row>
    <row r="74" spans="1:22" ht="15.75" x14ac:dyDescent="0.25">
      <c r="A74" s="28" t="s">
        <v>765</v>
      </c>
      <c r="B74" s="28" t="s">
        <v>33</v>
      </c>
      <c r="C74" s="219">
        <v>43709</v>
      </c>
      <c r="D74" s="28" t="s">
        <v>802</v>
      </c>
      <c r="E74" s="28" t="s">
        <v>666</v>
      </c>
      <c r="F74" s="28" t="s">
        <v>803</v>
      </c>
      <c r="G74" s="220">
        <v>219.7</v>
      </c>
      <c r="H74" s="220"/>
      <c r="I74" s="218"/>
      <c r="J74" s="218"/>
      <c r="K74" s="221">
        <f t="shared" si="2"/>
        <v>219.7</v>
      </c>
      <c r="L74" s="218"/>
      <c r="M74" s="218"/>
      <c r="N74" s="218"/>
      <c r="O74" s="218"/>
      <c r="P74" s="218"/>
      <c r="Q74" s="218"/>
      <c r="R74" s="218"/>
      <c r="S74" s="218"/>
      <c r="T74" s="218"/>
      <c r="U74" s="218"/>
      <c r="V74" s="218"/>
    </row>
    <row r="75" spans="1:22" ht="15.75" x14ac:dyDescent="0.25">
      <c r="A75" s="28" t="s">
        <v>765</v>
      </c>
      <c r="B75" s="28" t="s">
        <v>33</v>
      </c>
      <c r="C75" s="219">
        <v>43709</v>
      </c>
      <c r="D75" s="28" t="s">
        <v>804</v>
      </c>
      <c r="E75" s="28" t="s">
        <v>666</v>
      </c>
      <c r="F75" s="28" t="s">
        <v>767</v>
      </c>
      <c r="G75" s="220">
        <v>1483.73</v>
      </c>
      <c r="H75" s="220"/>
      <c r="I75" s="218"/>
      <c r="J75" s="218"/>
      <c r="K75" s="221">
        <f t="shared" si="2"/>
        <v>1483.73</v>
      </c>
      <c r="L75" s="218"/>
      <c r="M75" s="218"/>
      <c r="N75" s="218"/>
      <c r="O75" s="218"/>
      <c r="P75" s="218"/>
      <c r="Q75" s="218"/>
      <c r="R75" s="218"/>
      <c r="S75" s="218"/>
      <c r="T75" s="218"/>
      <c r="U75" s="218"/>
      <c r="V75" s="218"/>
    </row>
    <row r="76" spans="1:22" ht="15.75" x14ac:dyDescent="0.25">
      <c r="A76" s="28" t="s">
        <v>805</v>
      </c>
      <c r="B76" s="28" t="s">
        <v>34</v>
      </c>
      <c r="C76" s="219">
        <v>43374</v>
      </c>
      <c r="D76" s="28" t="s">
        <v>806</v>
      </c>
      <c r="E76" s="28" t="s">
        <v>666</v>
      </c>
      <c r="F76" s="28" t="s">
        <v>807</v>
      </c>
      <c r="G76" s="220">
        <v>1725.04</v>
      </c>
      <c r="H76" s="220"/>
      <c r="I76" s="218"/>
      <c r="J76" s="218"/>
      <c r="K76" s="218"/>
      <c r="L76" s="221">
        <f>+G76</f>
        <v>1725.04</v>
      </c>
      <c r="M76" s="218"/>
      <c r="N76" s="218"/>
      <c r="O76" s="218"/>
      <c r="P76" s="218"/>
      <c r="Q76" s="218"/>
      <c r="R76" s="218"/>
      <c r="S76" s="218"/>
      <c r="T76" s="218"/>
      <c r="U76" s="218"/>
      <c r="V76" s="218"/>
    </row>
    <row r="77" spans="1:22" ht="15.75" x14ac:dyDescent="0.25">
      <c r="A77" s="28" t="s">
        <v>805</v>
      </c>
      <c r="B77" s="28" t="s">
        <v>34</v>
      </c>
      <c r="C77" s="219">
        <v>43392</v>
      </c>
      <c r="D77" s="28" t="s">
        <v>808</v>
      </c>
      <c r="E77" s="28" t="s">
        <v>666</v>
      </c>
      <c r="F77" s="28" t="s">
        <v>809</v>
      </c>
      <c r="G77" s="220">
        <v>2507.25</v>
      </c>
      <c r="H77" s="220"/>
      <c r="I77" s="218"/>
      <c r="J77" s="218"/>
      <c r="K77" s="218"/>
      <c r="L77" s="221">
        <f t="shared" ref="L77:L90" si="3">+G77</f>
        <v>2507.25</v>
      </c>
      <c r="M77" s="218"/>
      <c r="N77" s="218"/>
      <c r="O77" s="218"/>
      <c r="P77" s="218"/>
      <c r="Q77" s="218"/>
      <c r="R77" s="218"/>
      <c r="S77" s="218"/>
      <c r="T77" s="218"/>
      <c r="U77" s="218"/>
      <c r="V77" s="218"/>
    </row>
    <row r="78" spans="1:22" ht="15.75" x14ac:dyDescent="0.25">
      <c r="A78" s="28" t="s">
        <v>805</v>
      </c>
      <c r="B78" s="28" t="s">
        <v>34</v>
      </c>
      <c r="C78" s="219">
        <v>43454</v>
      </c>
      <c r="D78" s="28" t="s">
        <v>810</v>
      </c>
      <c r="E78" s="28" t="s">
        <v>666</v>
      </c>
      <c r="F78" s="28" t="s">
        <v>811</v>
      </c>
      <c r="G78" s="220">
        <v>1846.34</v>
      </c>
      <c r="H78" s="220"/>
      <c r="I78" s="218"/>
      <c r="J78" s="218"/>
      <c r="K78" s="218"/>
      <c r="L78" s="221">
        <f t="shared" si="3"/>
        <v>1846.34</v>
      </c>
      <c r="M78" s="218"/>
      <c r="N78" s="218"/>
      <c r="O78" s="218"/>
      <c r="P78" s="218"/>
      <c r="Q78" s="218"/>
      <c r="R78" s="218"/>
      <c r="S78" s="218"/>
      <c r="T78" s="218"/>
      <c r="U78" s="218"/>
      <c r="V78" s="218"/>
    </row>
    <row r="79" spans="1:22" ht="15.75" x14ac:dyDescent="0.25">
      <c r="A79" s="28" t="s">
        <v>805</v>
      </c>
      <c r="B79" s="28" t="s">
        <v>34</v>
      </c>
      <c r="C79" s="219">
        <v>43487</v>
      </c>
      <c r="D79" s="28" t="s">
        <v>812</v>
      </c>
      <c r="E79" s="28" t="s">
        <v>666</v>
      </c>
      <c r="F79" s="28" t="s">
        <v>813</v>
      </c>
      <c r="G79" s="220">
        <v>2571.7199999999998</v>
      </c>
      <c r="H79" s="220"/>
      <c r="I79" s="218"/>
      <c r="J79" s="218"/>
      <c r="K79" s="218"/>
      <c r="L79" s="221">
        <f t="shared" si="3"/>
        <v>2571.7199999999998</v>
      </c>
      <c r="M79" s="218"/>
      <c r="N79" s="218"/>
      <c r="O79" s="218"/>
      <c r="P79" s="218"/>
      <c r="Q79" s="218"/>
      <c r="R79" s="218"/>
      <c r="S79" s="218"/>
      <c r="T79" s="218"/>
      <c r="U79" s="218"/>
      <c r="V79" s="218"/>
    </row>
    <row r="80" spans="1:22" ht="15.75" x14ac:dyDescent="0.25">
      <c r="A80" s="28" t="s">
        <v>805</v>
      </c>
      <c r="B80" s="28" t="s">
        <v>34</v>
      </c>
      <c r="C80" s="219">
        <v>43511</v>
      </c>
      <c r="D80" s="28" t="s">
        <v>814</v>
      </c>
      <c r="E80" s="28" t="s">
        <v>666</v>
      </c>
      <c r="F80" s="28" t="s">
        <v>815</v>
      </c>
      <c r="G80" s="220">
        <v>120.01</v>
      </c>
      <c r="H80" s="220"/>
      <c r="I80" s="218"/>
      <c r="J80" s="218"/>
      <c r="K80" s="218"/>
      <c r="L80" s="221">
        <f t="shared" si="3"/>
        <v>120.01</v>
      </c>
      <c r="M80" s="218"/>
      <c r="N80" s="218"/>
      <c r="O80" s="218"/>
      <c r="P80" s="218"/>
      <c r="Q80" s="218"/>
      <c r="R80" s="218"/>
      <c r="S80" s="218"/>
      <c r="T80" s="218"/>
      <c r="U80" s="218"/>
      <c r="V80" s="218"/>
    </row>
    <row r="81" spans="1:22" ht="15.75" x14ac:dyDescent="0.25">
      <c r="A81" s="28" t="s">
        <v>805</v>
      </c>
      <c r="B81" s="28" t="s">
        <v>34</v>
      </c>
      <c r="C81" s="219">
        <v>43525</v>
      </c>
      <c r="D81" s="28" t="s">
        <v>816</v>
      </c>
      <c r="E81" s="28" t="s">
        <v>666</v>
      </c>
      <c r="F81" s="28" t="s">
        <v>817</v>
      </c>
      <c r="G81" s="220">
        <v>1846.34</v>
      </c>
      <c r="H81" s="220"/>
      <c r="I81" s="218"/>
      <c r="J81" s="218"/>
      <c r="K81" s="218"/>
      <c r="L81" s="221">
        <f t="shared" si="3"/>
        <v>1846.34</v>
      </c>
      <c r="M81" s="218"/>
      <c r="N81" s="218"/>
      <c r="O81" s="218"/>
      <c r="P81" s="218"/>
      <c r="Q81" s="218"/>
      <c r="R81" s="218"/>
      <c r="S81" s="218"/>
      <c r="T81" s="218"/>
      <c r="U81" s="218"/>
      <c r="V81" s="218"/>
    </row>
    <row r="82" spans="1:22" ht="15.75" x14ac:dyDescent="0.25">
      <c r="A82" s="28" t="s">
        <v>805</v>
      </c>
      <c r="B82" s="28" t="s">
        <v>34</v>
      </c>
      <c r="C82" s="219">
        <v>43556</v>
      </c>
      <c r="D82" s="28" t="s">
        <v>818</v>
      </c>
      <c r="E82" s="28" t="s">
        <v>666</v>
      </c>
      <c r="F82" s="28" t="s">
        <v>819</v>
      </c>
      <c r="G82" s="220">
        <v>1846.34</v>
      </c>
      <c r="H82" s="220"/>
      <c r="I82" s="218"/>
      <c r="J82" s="218"/>
      <c r="K82" s="218"/>
      <c r="L82" s="221">
        <f t="shared" si="3"/>
        <v>1846.34</v>
      </c>
      <c r="M82" s="218"/>
      <c r="N82" s="218"/>
      <c r="O82" s="218"/>
      <c r="P82" s="218"/>
      <c r="Q82" s="218"/>
      <c r="R82" s="218"/>
      <c r="S82" s="218"/>
      <c r="T82" s="218"/>
      <c r="U82" s="218"/>
      <c r="V82" s="218"/>
    </row>
    <row r="83" spans="1:22" ht="15.75" x14ac:dyDescent="0.25">
      <c r="A83" s="28" t="s">
        <v>805</v>
      </c>
      <c r="B83" s="28" t="s">
        <v>34</v>
      </c>
      <c r="C83" s="219">
        <v>43586</v>
      </c>
      <c r="D83" s="28" t="s">
        <v>820</v>
      </c>
      <c r="E83" s="28" t="s">
        <v>666</v>
      </c>
      <c r="F83" s="28" t="s">
        <v>821</v>
      </c>
      <c r="G83" s="220">
        <v>2681.1</v>
      </c>
      <c r="H83" s="220"/>
      <c r="I83" s="218"/>
      <c r="J83" s="218"/>
      <c r="K83" s="218"/>
      <c r="L83" s="221">
        <f t="shared" si="3"/>
        <v>2681.1</v>
      </c>
      <c r="M83" s="218"/>
      <c r="N83" s="218"/>
      <c r="O83" s="218"/>
      <c r="P83" s="218"/>
      <c r="Q83" s="218"/>
      <c r="R83" s="218"/>
      <c r="S83" s="218"/>
      <c r="T83" s="218"/>
      <c r="U83" s="218"/>
      <c r="V83" s="218"/>
    </row>
    <row r="84" spans="1:22" ht="15.75" x14ac:dyDescent="0.25">
      <c r="A84" s="28" t="s">
        <v>805</v>
      </c>
      <c r="B84" s="28" t="s">
        <v>34</v>
      </c>
      <c r="C84" s="219">
        <v>43605</v>
      </c>
      <c r="D84" s="28" t="s">
        <v>822</v>
      </c>
      <c r="E84" s="28" t="s">
        <v>666</v>
      </c>
      <c r="F84" s="28" t="s">
        <v>823</v>
      </c>
      <c r="G84" s="220">
        <v>1864.34</v>
      </c>
      <c r="H84" s="220"/>
      <c r="I84" s="218"/>
      <c r="J84" s="218"/>
      <c r="K84" s="218"/>
      <c r="L84" s="221">
        <f t="shared" si="3"/>
        <v>1864.34</v>
      </c>
      <c r="M84" s="218"/>
      <c r="N84" s="218"/>
      <c r="O84" s="218"/>
      <c r="P84" s="218"/>
      <c r="Q84" s="218"/>
      <c r="R84" s="218"/>
      <c r="S84" s="218"/>
      <c r="T84" s="218"/>
      <c r="U84" s="218"/>
      <c r="V84" s="218"/>
    </row>
    <row r="85" spans="1:22" ht="15.75" x14ac:dyDescent="0.25">
      <c r="A85" s="28" t="s">
        <v>805</v>
      </c>
      <c r="B85" s="28" t="s">
        <v>34</v>
      </c>
      <c r="C85" s="219">
        <v>43645</v>
      </c>
      <c r="D85" s="28" t="s">
        <v>824</v>
      </c>
      <c r="E85" s="28" t="s">
        <v>666</v>
      </c>
      <c r="F85" s="28" t="s">
        <v>825</v>
      </c>
      <c r="G85" s="220">
        <v>1828.34</v>
      </c>
      <c r="H85" s="220"/>
      <c r="I85" s="218"/>
      <c r="J85" s="218"/>
      <c r="K85" s="218"/>
      <c r="L85" s="221">
        <f t="shared" si="3"/>
        <v>1828.34</v>
      </c>
      <c r="M85" s="218"/>
      <c r="N85" s="218"/>
      <c r="O85" s="218"/>
      <c r="P85" s="218"/>
      <c r="Q85" s="218"/>
      <c r="R85" s="218"/>
      <c r="S85" s="218"/>
      <c r="T85" s="218"/>
      <c r="U85" s="218"/>
      <c r="V85" s="218"/>
    </row>
    <row r="86" spans="1:22" ht="15.75" x14ac:dyDescent="0.25">
      <c r="A86" s="28" t="s">
        <v>805</v>
      </c>
      <c r="B86" s="28" t="s">
        <v>34</v>
      </c>
      <c r="C86" s="219">
        <v>43656</v>
      </c>
      <c r="D86" s="28" t="s">
        <v>826</v>
      </c>
      <c r="E86" s="28" t="s">
        <v>666</v>
      </c>
      <c r="F86" s="28" t="s">
        <v>827</v>
      </c>
      <c r="G86" s="220">
        <v>1846.34</v>
      </c>
      <c r="H86" s="220"/>
      <c r="I86" s="218"/>
      <c r="J86" s="218"/>
      <c r="K86" s="218"/>
      <c r="L86" s="221">
        <f t="shared" si="3"/>
        <v>1846.34</v>
      </c>
      <c r="M86" s="218"/>
      <c r="N86" s="218"/>
      <c r="O86" s="218"/>
      <c r="P86" s="218"/>
      <c r="Q86" s="218"/>
      <c r="R86" s="218"/>
      <c r="S86" s="218"/>
      <c r="T86" s="218"/>
      <c r="U86" s="218"/>
      <c r="V86" s="218"/>
    </row>
    <row r="87" spans="1:22" ht="15.75" x14ac:dyDescent="0.25">
      <c r="A87" s="28" t="s">
        <v>805</v>
      </c>
      <c r="B87" s="28" t="s">
        <v>34</v>
      </c>
      <c r="C87" s="219">
        <v>43663</v>
      </c>
      <c r="D87" s="28" t="s">
        <v>828</v>
      </c>
      <c r="E87" s="28" t="s">
        <v>666</v>
      </c>
      <c r="F87" s="28" t="s">
        <v>829</v>
      </c>
      <c r="G87" s="220">
        <v>500.49</v>
      </c>
      <c r="H87" s="220"/>
      <c r="I87" s="218"/>
      <c r="J87" s="218"/>
      <c r="K87" s="218"/>
      <c r="L87" s="221">
        <f t="shared" si="3"/>
        <v>500.49</v>
      </c>
      <c r="M87" s="218"/>
      <c r="N87" s="218"/>
      <c r="O87" s="218"/>
      <c r="P87" s="218"/>
      <c r="Q87" s="218"/>
      <c r="R87" s="218"/>
      <c r="S87" s="218"/>
      <c r="T87" s="218"/>
      <c r="U87" s="218"/>
      <c r="V87" s="218"/>
    </row>
    <row r="88" spans="1:22" ht="15.75" x14ac:dyDescent="0.25">
      <c r="A88" s="28" t="s">
        <v>805</v>
      </c>
      <c r="B88" s="28" t="s">
        <v>34</v>
      </c>
      <c r="C88" s="219">
        <v>43697</v>
      </c>
      <c r="D88" s="28" t="s">
        <v>830</v>
      </c>
      <c r="E88" s="28" t="s">
        <v>666</v>
      </c>
      <c r="F88" s="28" t="s">
        <v>831</v>
      </c>
      <c r="G88" s="220">
        <v>1963.68</v>
      </c>
      <c r="H88" s="220"/>
      <c r="I88" s="218"/>
      <c r="J88" s="218"/>
      <c r="K88" s="218"/>
      <c r="L88" s="221">
        <f t="shared" si="3"/>
        <v>1963.68</v>
      </c>
      <c r="M88" s="218"/>
      <c r="N88" s="218"/>
      <c r="O88" s="218"/>
      <c r="P88" s="218"/>
      <c r="Q88" s="218"/>
      <c r="R88" s="218"/>
      <c r="S88" s="218"/>
      <c r="T88" s="218"/>
      <c r="U88" s="218"/>
      <c r="V88" s="218"/>
    </row>
    <row r="89" spans="1:22" ht="15.75" x14ac:dyDescent="0.25">
      <c r="A89" s="28" t="s">
        <v>805</v>
      </c>
      <c r="B89" s="28" t="s">
        <v>34</v>
      </c>
      <c r="C89" s="219">
        <v>43728</v>
      </c>
      <c r="D89" s="28" t="s">
        <v>832</v>
      </c>
      <c r="E89" s="28" t="s">
        <v>666</v>
      </c>
      <c r="F89" s="28" t="s">
        <v>825</v>
      </c>
      <c r="G89" s="220">
        <v>1636.25</v>
      </c>
      <c r="H89" s="220"/>
      <c r="I89" s="218"/>
      <c r="J89" s="218"/>
      <c r="K89" s="218"/>
      <c r="L89" s="221">
        <f t="shared" si="3"/>
        <v>1636.25</v>
      </c>
      <c r="M89" s="218"/>
      <c r="N89" s="218"/>
      <c r="O89" s="218"/>
      <c r="P89" s="218"/>
      <c r="Q89" s="218"/>
      <c r="R89" s="218"/>
      <c r="S89" s="218"/>
      <c r="T89" s="218"/>
      <c r="U89" s="218"/>
      <c r="V89" s="218"/>
    </row>
    <row r="90" spans="1:22" ht="15.75" x14ac:dyDescent="0.25">
      <c r="A90" s="28" t="s">
        <v>805</v>
      </c>
      <c r="B90" s="28" t="s">
        <v>34</v>
      </c>
      <c r="C90" s="219">
        <v>43728</v>
      </c>
      <c r="D90" s="28" t="s">
        <v>832</v>
      </c>
      <c r="E90" s="28" t="s">
        <v>666</v>
      </c>
      <c r="F90" s="28" t="s">
        <v>833</v>
      </c>
      <c r="G90" s="220">
        <v>210.09</v>
      </c>
      <c r="H90" s="220"/>
      <c r="I90" s="218"/>
      <c r="J90" s="218"/>
      <c r="K90" s="218"/>
      <c r="L90" s="221">
        <f t="shared" si="3"/>
        <v>210.09</v>
      </c>
      <c r="M90" s="218"/>
      <c r="N90" s="218"/>
      <c r="O90" s="218"/>
      <c r="P90" s="218"/>
      <c r="Q90" s="218"/>
      <c r="R90" s="218"/>
      <c r="S90" s="218"/>
      <c r="T90" s="218"/>
      <c r="U90" s="218"/>
      <c r="V90" s="218"/>
    </row>
    <row r="91" spans="1:22" ht="15.75" x14ac:dyDescent="0.25">
      <c r="A91" s="28" t="s">
        <v>834</v>
      </c>
      <c r="B91" s="28" t="s">
        <v>35</v>
      </c>
      <c r="C91" s="219">
        <v>43395</v>
      </c>
      <c r="D91" s="28" t="s">
        <v>835</v>
      </c>
      <c r="E91" s="28" t="s">
        <v>666</v>
      </c>
      <c r="F91" s="28" t="s">
        <v>836</v>
      </c>
      <c r="G91" s="220">
        <v>1134.51</v>
      </c>
      <c r="H91" s="220"/>
      <c r="I91" s="218"/>
      <c r="J91" s="218"/>
      <c r="K91" s="218"/>
      <c r="L91" s="218"/>
      <c r="M91" s="218"/>
      <c r="N91" s="221">
        <f t="shared" ref="N91:N96" si="4">+G91</f>
        <v>1134.51</v>
      </c>
      <c r="O91" s="218"/>
      <c r="P91" s="218"/>
      <c r="Q91" s="218"/>
      <c r="R91" s="218"/>
      <c r="S91" s="218"/>
      <c r="T91" s="218"/>
      <c r="U91" s="218"/>
      <c r="V91" s="218"/>
    </row>
    <row r="92" spans="1:22" ht="15.75" x14ac:dyDescent="0.25">
      <c r="A92" s="28" t="s">
        <v>834</v>
      </c>
      <c r="B92" s="28" t="s">
        <v>35</v>
      </c>
      <c r="C92" s="219">
        <v>43404</v>
      </c>
      <c r="D92" s="28" t="s">
        <v>837</v>
      </c>
      <c r="E92" s="28" t="s">
        <v>666</v>
      </c>
      <c r="F92" s="28" t="s">
        <v>838</v>
      </c>
      <c r="G92" s="220">
        <v>175</v>
      </c>
      <c r="H92" s="220"/>
      <c r="I92" s="218"/>
      <c r="J92" s="218"/>
      <c r="K92" s="218"/>
      <c r="L92" s="218"/>
      <c r="M92" s="218"/>
      <c r="N92" s="221">
        <f t="shared" si="4"/>
        <v>175</v>
      </c>
      <c r="O92" s="218"/>
      <c r="P92" s="218"/>
      <c r="Q92" s="218"/>
      <c r="R92" s="218"/>
      <c r="S92" s="218"/>
      <c r="T92" s="218"/>
      <c r="U92" s="218"/>
      <c r="V92" s="218"/>
    </row>
    <row r="93" spans="1:22" ht="15.75" x14ac:dyDescent="0.25">
      <c r="A93" s="28" t="s">
        <v>834</v>
      </c>
      <c r="B93" s="28" t="s">
        <v>35</v>
      </c>
      <c r="C93" s="219">
        <v>43665</v>
      </c>
      <c r="D93" s="28" t="s">
        <v>839</v>
      </c>
      <c r="E93" s="28" t="s">
        <v>666</v>
      </c>
      <c r="F93" s="28" t="s">
        <v>840</v>
      </c>
      <c r="G93" s="220">
        <v>67.5</v>
      </c>
      <c r="H93" s="220"/>
      <c r="I93" s="218"/>
      <c r="J93" s="218"/>
      <c r="K93" s="218"/>
      <c r="L93" s="218"/>
      <c r="M93" s="218"/>
      <c r="N93" s="221">
        <f t="shared" si="4"/>
        <v>67.5</v>
      </c>
      <c r="O93" s="218"/>
      <c r="P93" s="218"/>
      <c r="Q93" s="218"/>
      <c r="R93" s="218"/>
      <c r="S93" s="218"/>
      <c r="T93" s="218"/>
      <c r="U93" s="218"/>
      <c r="V93" s="218"/>
    </row>
    <row r="94" spans="1:22" ht="15.75" x14ac:dyDescent="0.25">
      <c r="A94" s="28" t="s">
        <v>834</v>
      </c>
      <c r="B94" s="28" t="s">
        <v>35</v>
      </c>
      <c r="C94" s="219">
        <v>43708</v>
      </c>
      <c r="D94" s="28" t="s">
        <v>841</v>
      </c>
      <c r="E94" s="28" t="s">
        <v>666</v>
      </c>
      <c r="F94" s="28" t="s">
        <v>838</v>
      </c>
      <c r="G94" s="220">
        <v>212</v>
      </c>
      <c r="H94" s="220"/>
      <c r="I94" s="218"/>
      <c r="J94" s="218"/>
      <c r="K94" s="218"/>
      <c r="L94" s="218"/>
      <c r="M94" s="218"/>
      <c r="N94" s="221">
        <f t="shared" si="4"/>
        <v>212</v>
      </c>
      <c r="O94" s="218"/>
      <c r="P94" s="218"/>
      <c r="Q94" s="218"/>
      <c r="R94" s="218"/>
      <c r="S94" s="218"/>
      <c r="T94" s="218"/>
      <c r="U94" s="218"/>
      <c r="V94" s="218"/>
    </row>
    <row r="95" spans="1:22" ht="15.75" x14ac:dyDescent="0.25">
      <c r="A95" s="28" t="s">
        <v>842</v>
      </c>
      <c r="B95" s="28" t="s">
        <v>36</v>
      </c>
      <c r="C95" s="219">
        <v>43522</v>
      </c>
      <c r="D95" s="28" t="s">
        <v>843</v>
      </c>
      <c r="E95" s="28" t="s">
        <v>666</v>
      </c>
      <c r="F95" s="28" t="s">
        <v>844</v>
      </c>
      <c r="G95" s="220">
        <v>74</v>
      </c>
      <c r="H95" s="220"/>
      <c r="I95" s="218"/>
      <c r="J95" s="218"/>
      <c r="K95" s="218"/>
      <c r="L95" s="218"/>
      <c r="M95" s="221"/>
      <c r="N95" s="221">
        <f t="shared" si="4"/>
        <v>74</v>
      </c>
      <c r="O95" s="218"/>
      <c r="P95" s="218"/>
      <c r="Q95" s="218"/>
      <c r="R95" s="218"/>
      <c r="S95" s="218"/>
      <c r="T95" s="218"/>
      <c r="U95" s="218"/>
      <c r="V95" s="218"/>
    </row>
    <row r="96" spans="1:22" ht="15.75" x14ac:dyDescent="0.25">
      <c r="A96" s="28" t="s">
        <v>842</v>
      </c>
      <c r="B96" s="28" t="s">
        <v>36</v>
      </c>
      <c r="C96" s="219">
        <v>43670</v>
      </c>
      <c r="D96" s="28" t="s">
        <v>845</v>
      </c>
      <c r="E96" s="28" t="s">
        <v>666</v>
      </c>
      <c r="F96" s="28" t="s">
        <v>846</v>
      </c>
      <c r="G96" s="220">
        <v>20.02</v>
      </c>
      <c r="H96" s="220"/>
      <c r="I96" s="218"/>
      <c r="J96" s="218"/>
      <c r="K96" s="218"/>
      <c r="L96" s="218"/>
      <c r="M96" s="221"/>
      <c r="N96" s="221">
        <f t="shared" si="4"/>
        <v>20.02</v>
      </c>
      <c r="O96" s="218"/>
      <c r="P96" s="218"/>
      <c r="Q96" s="218"/>
      <c r="R96" s="218"/>
      <c r="S96" s="218"/>
      <c r="T96" s="218"/>
      <c r="U96" s="218"/>
      <c r="V96" s="218"/>
    </row>
    <row r="97" spans="1:22" ht="15.75" x14ac:dyDescent="0.25">
      <c r="A97" s="28" t="s">
        <v>847</v>
      </c>
      <c r="B97" s="28" t="s">
        <v>37</v>
      </c>
      <c r="C97" s="219">
        <v>43374</v>
      </c>
      <c r="D97" s="28" t="s">
        <v>848</v>
      </c>
      <c r="E97" s="28" t="s">
        <v>666</v>
      </c>
      <c r="F97" s="28" t="s">
        <v>849</v>
      </c>
      <c r="G97" s="220">
        <v>450</v>
      </c>
      <c r="H97" s="220"/>
      <c r="I97" s="218"/>
      <c r="J97" s="218"/>
      <c r="K97" s="218"/>
      <c r="L97" s="218"/>
      <c r="M97" s="221">
        <f t="shared" ref="M97:M124" si="5">+G97</f>
        <v>450</v>
      </c>
      <c r="N97" s="218"/>
      <c r="O97" s="218"/>
      <c r="P97" s="218"/>
      <c r="Q97" s="218"/>
      <c r="R97" s="218"/>
      <c r="S97" s="218"/>
      <c r="T97" s="218"/>
      <c r="U97" s="218"/>
      <c r="V97" s="218"/>
    </row>
    <row r="98" spans="1:22" ht="15.75" x14ac:dyDescent="0.25">
      <c r="A98" s="28" t="s">
        <v>847</v>
      </c>
      <c r="B98" s="28" t="s">
        <v>37</v>
      </c>
      <c r="C98" s="219">
        <v>43374</v>
      </c>
      <c r="D98" s="28" t="s">
        <v>850</v>
      </c>
      <c r="E98" s="28" t="s">
        <v>666</v>
      </c>
      <c r="F98" s="28" t="s">
        <v>851</v>
      </c>
      <c r="G98" s="220">
        <v>1097</v>
      </c>
      <c r="H98" s="220"/>
      <c r="I98" s="218"/>
      <c r="J98" s="218"/>
      <c r="K98" s="218"/>
      <c r="L98" s="218"/>
      <c r="M98" s="221">
        <f t="shared" si="5"/>
        <v>1097</v>
      </c>
      <c r="N98" s="218"/>
      <c r="O98" s="218"/>
      <c r="P98" s="218"/>
      <c r="Q98" s="218"/>
      <c r="R98" s="218"/>
      <c r="S98" s="218"/>
      <c r="T98" s="218"/>
      <c r="U98" s="218"/>
      <c r="V98" s="218"/>
    </row>
    <row r="99" spans="1:22" ht="15.75" x14ac:dyDescent="0.25">
      <c r="A99" s="28" t="s">
        <v>847</v>
      </c>
      <c r="B99" s="28" t="s">
        <v>37</v>
      </c>
      <c r="C99" s="219">
        <v>43390</v>
      </c>
      <c r="D99" s="28" t="s">
        <v>852</v>
      </c>
      <c r="E99" s="28" t="s">
        <v>853</v>
      </c>
      <c r="F99" s="28" t="s">
        <v>854</v>
      </c>
      <c r="G99" s="220">
        <v>756.39</v>
      </c>
      <c r="H99" s="220"/>
      <c r="I99" s="218"/>
      <c r="J99" s="218"/>
      <c r="K99" s="218"/>
      <c r="L99" s="218"/>
      <c r="M99" s="221">
        <f t="shared" si="5"/>
        <v>756.39</v>
      </c>
      <c r="N99" s="218"/>
      <c r="O99" s="218"/>
      <c r="P99" s="218"/>
      <c r="Q99" s="218"/>
      <c r="R99" s="218"/>
      <c r="S99" s="218"/>
      <c r="T99" s="218"/>
      <c r="U99" s="218"/>
      <c r="V99" s="218"/>
    </row>
    <row r="100" spans="1:22" ht="15.75" x14ac:dyDescent="0.25">
      <c r="A100" s="28" t="s">
        <v>847</v>
      </c>
      <c r="B100" s="28" t="s">
        <v>37</v>
      </c>
      <c r="C100" s="219">
        <v>43401</v>
      </c>
      <c r="D100" s="28" t="s">
        <v>855</v>
      </c>
      <c r="E100" s="28" t="s">
        <v>666</v>
      </c>
      <c r="F100" s="28" t="s">
        <v>856</v>
      </c>
      <c r="G100" s="220">
        <v>109.7</v>
      </c>
      <c r="H100" s="220"/>
      <c r="I100" s="218"/>
      <c r="J100" s="218"/>
      <c r="K100" s="218"/>
      <c r="L100" s="218"/>
      <c r="M100" s="221">
        <f t="shared" si="5"/>
        <v>109.7</v>
      </c>
      <c r="N100" s="218"/>
      <c r="O100" s="218"/>
      <c r="P100" s="218"/>
      <c r="Q100" s="218"/>
      <c r="R100" s="218"/>
      <c r="S100" s="218"/>
      <c r="T100" s="218"/>
      <c r="U100" s="218"/>
      <c r="V100" s="218"/>
    </row>
    <row r="101" spans="1:22" ht="15.75" x14ac:dyDescent="0.25">
      <c r="A101" s="28" t="s">
        <v>847</v>
      </c>
      <c r="B101" s="28" t="s">
        <v>37</v>
      </c>
      <c r="C101" s="219">
        <v>43404</v>
      </c>
      <c r="D101" s="28" t="s">
        <v>857</v>
      </c>
      <c r="E101" s="28" t="s">
        <v>666</v>
      </c>
      <c r="F101" s="28" t="s">
        <v>858</v>
      </c>
      <c r="G101" s="220">
        <v>12.64</v>
      </c>
      <c r="H101" s="220"/>
      <c r="I101" s="218"/>
      <c r="J101" s="218"/>
      <c r="K101" s="218"/>
      <c r="L101" s="218"/>
      <c r="M101" s="221">
        <f t="shared" si="5"/>
        <v>12.64</v>
      </c>
      <c r="N101" s="218"/>
      <c r="O101" s="218"/>
      <c r="P101" s="218"/>
      <c r="Q101" s="218"/>
      <c r="R101" s="218"/>
      <c r="S101" s="218"/>
      <c r="T101" s="218"/>
      <c r="U101" s="218"/>
      <c r="V101" s="218"/>
    </row>
    <row r="102" spans="1:22" ht="15.75" x14ac:dyDescent="0.25">
      <c r="A102" s="28" t="s">
        <v>847</v>
      </c>
      <c r="B102" s="28" t="s">
        <v>37</v>
      </c>
      <c r="C102" s="219">
        <v>43405</v>
      </c>
      <c r="D102" s="28" t="s">
        <v>859</v>
      </c>
      <c r="E102" s="28" t="s">
        <v>666</v>
      </c>
      <c r="F102" s="28" t="s">
        <v>860</v>
      </c>
      <c r="G102" s="220">
        <v>450</v>
      </c>
      <c r="H102" s="220"/>
      <c r="I102" s="218"/>
      <c r="J102" s="218"/>
      <c r="K102" s="218"/>
      <c r="L102" s="218"/>
      <c r="M102" s="221">
        <f t="shared" si="5"/>
        <v>450</v>
      </c>
      <c r="N102" s="218"/>
      <c r="O102" s="218"/>
      <c r="P102" s="218"/>
      <c r="Q102" s="218"/>
      <c r="R102" s="218"/>
      <c r="S102" s="218"/>
      <c r="T102" s="218"/>
      <c r="U102" s="218"/>
      <c r="V102" s="218"/>
    </row>
    <row r="103" spans="1:22" ht="15.75" x14ac:dyDescent="0.25">
      <c r="A103" s="28" t="s">
        <v>847</v>
      </c>
      <c r="B103" s="28" t="s">
        <v>37</v>
      </c>
      <c r="C103" s="219">
        <v>43405</v>
      </c>
      <c r="D103" s="28" t="s">
        <v>861</v>
      </c>
      <c r="E103" s="28" t="s">
        <v>666</v>
      </c>
      <c r="F103" s="28" t="s">
        <v>862</v>
      </c>
      <c r="G103" s="220">
        <v>1513.36</v>
      </c>
      <c r="H103" s="220"/>
      <c r="I103" s="218"/>
      <c r="J103" s="218"/>
      <c r="K103" s="218"/>
      <c r="L103" s="218"/>
      <c r="M103" s="221">
        <f t="shared" si="5"/>
        <v>1513.36</v>
      </c>
      <c r="N103" s="218"/>
      <c r="O103" s="218"/>
      <c r="P103" s="218"/>
      <c r="Q103" s="218"/>
      <c r="R103" s="218"/>
      <c r="S103" s="218"/>
      <c r="T103" s="218"/>
      <c r="U103" s="218"/>
      <c r="V103" s="218"/>
    </row>
    <row r="104" spans="1:22" ht="15.75" x14ac:dyDescent="0.25">
      <c r="A104" s="28" t="s">
        <v>847</v>
      </c>
      <c r="B104" s="28" t="s">
        <v>37</v>
      </c>
      <c r="C104" s="219">
        <v>43431</v>
      </c>
      <c r="D104" s="28" t="s">
        <v>863</v>
      </c>
      <c r="E104" s="28" t="s">
        <v>666</v>
      </c>
      <c r="F104" s="28" t="s">
        <v>864</v>
      </c>
      <c r="G104" s="220">
        <v>450</v>
      </c>
      <c r="H104" s="220"/>
      <c r="I104" s="218"/>
      <c r="J104" s="218"/>
      <c r="K104" s="218"/>
      <c r="L104" s="218"/>
      <c r="M104" s="221">
        <f t="shared" si="5"/>
        <v>450</v>
      </c>
      <c r="N104" s="218"/>
      <c r="O104" s="218"/>
      <c r="P104" s="218"/>
      <c r="Q104" s="218"/>
      <c r="R104" s="218"/>
      <c r="S104" s="218"/>
      <c r="T104" s="218"/>
      <c r="U104" s="218"/>
      <c r="V104" s="218"/>
    </row>
    <row r="105" spans="1:22" ht="15.75" x14ac:dyDescent="0.25">
      <c r="A105" s="28" t="s">
        <v>847</v>
      </c>
      <c r="B105" s="28" t="s">
        <v>37</v>
      </c>
      <c r="C105" s="219">
        <v>43435</v>
      </c>
      <c r="D105" s="28" t="s">
        <v>865</v>
      </c>
      <c r="E105" s="28" t="s">
        <v>666</v>
      </c>
      <c r="F105" s="28" t="s">
        <v>866</v>
      </c>
      <c r="G105" s="220">
        <v>1578.72</v>
      </c>
      <c r="H105" s="220"/>
      <c r="I105" s="218"/>
      <c r="J105" s="218"/>
      <c r="K105" s="218"/>
      <c r="L105" s="218"/>
      <c r="M105" s="221">
        <f t="shared" si="5"/>
        <v>1578.72</v>
      </c>
      <c r="N105" s="218"/>
      <c r="O105" s="218"/>
      <c r="P105" s="218"/>
      <c r="Q105" s="218"/>
      <c r="R105" s="218"/>
      <c r="S105" s="218"/>
      <c r="T105" s="218"/>
      <c r="U105" s="218"/>
      <c r="V105" s="218"/>
    </row>
    <row r="106" spans="1:22" ht="15.75" x14ac:dyDescent="0.25">
      <c r="A106" s="28" t="s">
        <v>847</v>
      </c>
      <c r="B106" s="28" t="s">
        <v>37</v>
      </c>
      <c r="C106" s="219">
        <v>43461</v>
      </c>
      <c r="D106" s="28" t="s">
        <v>867</v>
      </c>
      <c r="E106" s="28" t="s">
        <v>666</v>
      </c>
      <c r="F106" s="28" t="s">
        <v>868</v>
      </c>
      <c r="G106" s="220">
        <v>450</v>
      </c>
      <c r="H106" s="220"/>
      <c r="I106" s="218"/>
      <c r="J106" s="218"/>
      <c r="K106" s="218"/>
      <c r="L106" s="218"/>
      <c r="M106" s="221">
        <f t="shared" si="5"/>
        <v>450</v>
      </c>
      <c r="N106" s="218"/>
      <c r="O106" s="218"/>
      <c r="P106" s="218"/>
      <c r="Q106" s="218"/>
      <c r="R106" s="218"/>
      <c r="S106" s="218"/>
      <c r="T106" s="218"/>
      <c r="U106" s="218"/>
      <c r="V106" s="218"/>
    </row>
    <row r="107" spans="1:22" ht="15.75" x14ac:dyDescent="0.25">
      <c r="A107" s="28" t="s">
        <v>847</v>
      </c>
      <c r="B107" s="28" t="s">
        <v>37</v>
      </c>
      <c r="C107" s="219">
        <v>43466</v>
      </c>
      <c r="D107" s="28" t="s">
        <v>869</v>
      </c>
      <c r="E107" s="28" t="s">
        <v>666</v>
      </c>
      <c r="F107" s="28" t="s">
        <v>870</v>
      </c>
      <c r="G107" s="220">
        <v>1678.16</v>
      </c>
      <c r="H107" s="220"/>
      <c r="I107" s="218"/>
      <c r="J107" s="218"/>
      <c r="K107" s="218"/>
      <c r="L107" s="218"/>
      <c r="M107" s="221">
        <f t="shared" si="5"/>
        <v>1678.16</v>
      </c>
      <c r="N107" s="218"/>
      <c r="O107" s="218"/>
      <c r="P107" s="218"/>
      <c r="Q107" s="218"/>
      <c r="R107" s="218"/>
      <c r="S107" s="218"/>
      <c r="T107" s="218"/>
      <c r="U107" s="218"/>
      <c r="V107" s="218"/>
    </row>
    <row r="108" spans="1:22" ht="15.75" x14ac:dyDescent="0.25">
      <c r="A108" s="28" t="s">
        <v>847</v>
      </c>
      <c r="B108" s="28" t="s">
        <v>37</v>
      </c>
      <c r="C108" s="219">
        <v>43487</v>
      </c>
      <c r="D108" s="28" t="s">
        <v>871</v>
      </c>
      <c r="E108" s="28" t="s">
        <v>666</v>
      </c>
      <c r="F108" s="28" t="s">
        <v>872</v>
      </c>
      <c r="G108" s="220">
        <v>450</v>
      </c>
      <c r="H108" s="220"/>
      <c r="I108" s="218"/>
      <c r="J108" s="218"/>
      <c r="K108" s="218"/>
      <c r="L108" s="218"/>
      <c r="M108" s="221">
        <f t="shared" si="5"/>
        <v>450</v>
      </c>
      <c r="N108" s="218"/>
      <c r="O108" s="218"/>
      <c r="P108" s="218"/>
      <c r="Q108" s="218"/>
      <c r="R108" s="218"/>
      <c r="S108" s="218"/>
      <c r="T108" s="218"/>
      <c r="U108" s="218"/>
      <c r="V108" s="218"/>
    </row>
    <row r="109" spans="1:22" ht="15.75" x14ac:dyDescent="0.25">
      <c r="A109" s="28" t="s">
        <v>847</v>
      </c>
      <c r="B109" s="28" t="s">
        <v>37</v>
      </c>
      <c r="C109" s="219">
        <v>43497</v>
      </c>
      <c r="D109" s="28" t="s">
        <v>873</v>
      </c>
      <c r="E109" s="28" t="s">
        <v>666</v>
      </c>
      <c r="F109" s="28" t="s">
        <v>874</v>
      </c>
      <c r="G109" s="220">
        <v>1746.64</v>
      </c>
      <c r="H109" s="220"/>
      <c r="I109" s="218"/>
      <c r="J109" s="218"/>
      <c r="K109" s="218"/>
      <c r="L109" s="218"/>
      <c r="M109" s="221">
        <f t="shared" si="5"/>
        <v>1746.64</v>
      </c>
      <c r="N109" s="218"/>
      <c r="O109" s="218"/>
      <c r="P109" s="218"/>
      <c r="Q109" s="218"/>
      <c r="R109" s="218"/>
      <c r="S109" s="218"/>
      <c r="T109" s="218"/>
      <c r="U109" s="218"/>
      <c r="V109" s="218"/>
    </row>
    <row r="110" spans="1:22" ht="15.75" x14ac:dyDescent="0.25">
      <c r="A110" s="28" t="s">
        <v>847</v>
      </c>
      <c r="B110" s="28" t="s">
        <v>37</v>
      </c>
      <c r="C110" s="219">
        <v>43525</v>
      </c>
      <c r="D110" s="28" t="s">
        <v>875</v>
      </c>
      <c r="E110" s="28" t="s">
        <v>666</v>
      </c>
      <c r="F110" s="28" t="s">
        <v>876</v>
      </c>
      <c r="G110" s="220">
        <v>1688</v>
      </c>
      <c r="H110" s="220"/>
      <c r="I110" s="218"/>
      <c r="J110" s="218"/>
      <c r="K110" s="218"/>
      <c r="L110" s="218"/>
      <c r="M110" s="221">
        <f t="shared" si="5"/>
        <v>1688</v>
      </c>
      <c r="N110" s="218"/>
      <c r="O110" s="218"/>
      <c r="P110" s="218"/>
      <c r="Q110" s="218"/>
      <c r="R110" s="218"/>
      <c r="S110" s="218"/>
      <c r="T110" s="218"/>
      <c r="U110" s="218"/>
      <c r="V110" s="218"/>
    </row>
    <row r="111" spans="1:22" ht="15.75" x14ac:dyDescent="0.25">
      <c r="A111" s="28" t="s">
        <v>847</v>
      </c>
      <c r="B111" s="28" t="s">
        <v>37</v>
      </c>
      <c r="C111" s="219">
        <v>43525</v>
      </c>
      <c r="D111" s="28" t="s">
        <v>877</v>
      </c>
      <c r="E111" s="28" t="s">
        <v>666</v>
      </c>
      <c r="F111" s="28" t="s">
        <v>878</v>
      </c>
      <c r="G111" s="220">
        <v>450</v>
      </c>
      <c r="H111" s="220"/>
      <c r="I111" s="218"/>
      <c r="J111" s="218"/>
      <c r="K111" s="218"/>
      <c r="L111" s="218"/>
      <c r="M111" s="221">
        <f t="shared" si="5"/>
        <v>450</v>
      </c>
      <c r="N111" s="218"/>
      <c r="O111" s="218"/>
      <c r="P111" s="218"/>
      <c r="Q111" s="218"/>
      <c r="R111" s="218"/>
      <c r="S111" s="218"/>
      <c r="T111" s="218"/>
      <c r="U111" s="218"/>
      <c r="V111" s="218"/>
    </row>
    <row r="112" spans="1:22" ht="15.75" x14ac:dyDescent="0.25">
      <c r="A112" s="28" t="s">
        <v>847</v>
      </c>
      <c r="B112" s="28" t="s">
        <v>37</v>
      </c>
      <c r="C112" s="219">
        <v>43556</v>
      </c>
      <c r="D112" s="28" t="s">
        <v>879</v>
      </c>
      <c r="E112" s="28" t="s">
        <v>666</v>
      </c>
      <c r="F112" s="28" t="s">
        <v>880</v>
      </c>
      <c r="G112" s="220">
        <v>450</v>
      </c>
      <c r="H112" s="220"/>
      <c r="I112" s="218"/>
      <c r="J112" s="218"/>
      <c r="K112" s="218"/>
      <c r="L112" s="218"/>
      <c r="M112" s="221">
        <f t="shared" si="5"/>
        <v>450</v>
      </c>
      <c r="N112" s="218"/>
      <c r="O112" s="218"/>
      <c r="P112" s="218"/>
      <c r="Q112" s="218"/>
      <c r="R112" s="218"/>
      <c r="S112" s="218"/>
      <c r="T112" s="218"/>
      <c r="U112" s="218"/>
      <c r="V112" s="218"/>
    </row>
    <row r="113" spans="1:22" ht="15.75" x14ac:dyDescent="0.25">
      <c r="A113" s="28" t="s">
        <v>847</v>
      </c>
      <c r="B113" s="28" t="s">
        <v>37</v>
      </c>
      <c r="C113" s="219">
        <v>43559</v>
      </c>
      <c r="D113" s="28" t="s">
        <v>881</v>
      </c>
      <c r="E113" s="28" t="s">
        <v>666</v>
      </c>
      <c r="F113" s="28" t="s">
        <v>882</v>
      </c>
      <c r="G113" s="220">
        <v>1641.08</v>
      </c>
      <c r="H113" s="220"/>
      <c r="I113" s="218"/>
      <c r="J113" s="218"/>
      <c r="K113" s="218"/>
      <c r="L113" s="218"/>
      <c r="M113" s="221">
        <f t="shared" si="5"/>
        <v>1641.08</v>
      </c>
      <c r="N113" s="218"/>
      <c r="O113" s="218"/>
      <c r="P113" s="218"/>
      <c r="Q113" s="218"/>
      <c r="R113" s="218"/>
      <c r="S113" s="218"/>
      <c r="T113" s="218"/>
      <c r="U113" s="218"/>
      <c r="V113" s="218"/>
    </row>
    <row r="114" spans="1:22" ht="15.75" x14ac:dyDescent="0.25">
      <c r="A114" s="28" t="s">
        <v>847</v>
      </c>
      <c r="B114" s="28" t="s">
        <v>37</v>
      </c>
      <c r="C114" s="219">
        <v>43581</v>
      </c>
      <c r="D114" s="28" t="s">
        <v>883</v>
      </c>
      <c r="E114" s="28" t="s">
        <v>666</v>
      </c>
      <c r="F114" s="28" t="s">
        <v>884</v>
      </c>
      <c r="G114" s="220">
        <v>450</v>
      </c>
      <c r="H114" s="220"/>
      <c r="I114" s="218"/>
      <c r="J114" s="218"/>
      <c r="K114" s="218"/>
      <c r="L114" s="218"/>
      <c r="M114" s="221">
        <f t="shared" si="5"/>
        <v>450</v>
      </c>
      <c r="N114" s="218"/>
      <c r="O114" s="218"/>
      <c r="P114" s="218"/>
      <c r="Q114" s="218"/>
      <c r="R114" s="218"/>
      <c r="S114" s="218"/>
      <c r="T114" s="218"/>
      <c r="U114" s="218"/>
      <c r="V114" s="218"/>
    </row>
    <row r="115" spans="1:22" ht="15.75" x14ac:dyDescent="0.25">
      <c r="A115" s="28" t="s">
        <v>847</v>
      </c>
      <c r="B115" s="28" t="s">
        <v>37</v>
      </c>
      <c r="C115" s="219">
        <v>43586</v>
      </c>
      <c r="D115" s="28" t="s">
        <v>885</v>
      </c>
      <c r="E115" s="28" t="s">
        <v>666</v>
      </c>
      <c r="F115" s="28" t="s">
        <v>886</v>
      </c>
      <c r="G115" s="220">
        <v>1643.96</v>
      </c>
      <c r="H115" s="220"/>
      <c r="I115" s="218"/>
      <c r="J115" s="218"/>
      <c r="K115" s="218"/>
      <c r="L115" s="218"/>
      <c r="M115" s="221">
        <f t="shared" si="5"/>
        <v>1643.96</v>
      </c>
      <c r="N115" s="218"/>
      <c r="O115" s="218"/>
      <c r="P115" s="218"/>
      <c r="Q115" s="218"/>
      <c r="R115" s="218"/>
      <c r="S115" s="218"/>
      <c r="T115" s="218"/>
      <c r="U115" s="218"/>
      <c r="V115" s="218"/>
    </row>
    <row r="116" spans="1:22" ht="15.75" x14ac:dyDescent="0.25">
      <c r="A116" s="28" t="s">
        <v>847</v>
      </c>
      <c r="B116" s="28" t="s">
        <v>37</v>
      </c>
      <c r="C116" s="219">
        <v>43615</v>
      </c>
      <c r="D116" s="28" t="s">
        <v>887</v>
      </c>
      <c r="E116" s="28" t="s">
        <v>666</v>
      </c>
      <c r="F116" s="28" t="s">
        <v>888</v>
      </c>
      <c r="G116" s="220">
        <v>450</v>
      </c>
      <c r="H116" s="220"/>
      <c r="I116" s="218"/>
      <c r="J116" s="218"/>
      <c r="K116" s="218"/>
      <c r="L116" s="218"/>
      <c r="M116" s="221">
        <f t="shared" si="5"/>
        <v>450</v>
      </c>
      <c r="N116" s="218"/>
      <c r="O116" s="218"/>
      <c r="P116" s="218"/>
      <c r="Q116" s="218"/>
      <c r="R116" s="218"/>
      <c r="S116" s="218"/>
      <c r="T116" s="218"/>
      <c r="U116" s="218"/>
      <c r="V116" s="218"/>
    </row>
    <row r="117" spans="1:22" ht="15.75" x14ac:dyDescent="0.25">
      <c r="A117" s="28" t="s">
        <v>847</v>
      </c>
      <c r="B117" s="28" t="s">
        <v>37</v>
      </c>
      <c r="C117" s="219">
        <v>43617</v>
      </c>
      <c r="D117" s="28" t="s">
        <v>889</v>
      </c>
      <c r="E117" s="28" t="s">
        <v>666</v>
      </c>
      <c r="F117" s="28" t="s">
        <v>890</v>
      </c>
      <c r="G117" s="220">
        <v>1605.24</v>
      </c>
      <c r="H117" s="220"/>
      <c r="I117" s="218"/>
      <c r="J117" s="218"/>
      <c r="K117" s="218"/>
      <c r="L117" s="218"/>
      <c r="M117" s="221">
        <f t="shared" si="5"/>
        <v>1605.24</v>
      </c>
      <c r="N117" s="218"/>
      <c r="O117" s="218"/>
      <c r="P117" s="218"/>
      <c r="Q117" s="218"/>
      <c r="R117" s="218"/>
      <c r="S117" s="218"/>
      <c r="T117" s="218"/>
      <c r="U117" s="218"/>
      <c r="V117" s="218"/>
    </row>
    <row r="118" spans="1:22" ht="15.75" x14ac:dyDescent="0.25">
      <c r="A118" s="28" t="s">
        <v>847</v>
      </c>
      <c r="B118" s="28" t="s">
        <v>37</v>
      </c>
      <c r="C118" s="219">
        <v>43643</v>
      </c>
      <c r="D118" s="28" t="s">
        <v>891</v>
      </c>
      <c r="E118" s="28" t="s">
        <v>666</v>
      </c>
      <c r="F118" s="28" t="s">
        <v>892</v>
      </c>
      <c r="G118" s="220">
        <v>450</v>
      </c>
      <c r="H118" s="220"/>
      <c r="I118" s="218"/>
      <c r="J118" s="218"/>
      <c r="K118" s="218"/>
      <c r="L118" s="218"/>
      <c r="M118" s="221">
        <f t="shared" si="5"/>
        <v>450</v>
      </c>
      <c r="N118" s="218"/>
      <c r="O118" s="218"/>
      <c r="P118" s="218"/>
      <c r="Q118" s="218"/>
      <c r="R118" s="218"/>
      <c r="S118" s="218"/>
      <c r="T118" s="218"/>
      <c r="U118" s="218"/>
      <c r="V118" s="218"/>
    </row>
    <row r="119" spans="1:22" ht="15.75" x14ac:dyDescent="0.25">
      <c r="A119" s="28" t="s">
        <v>847</v>
      </c>
      <c r="B119" s="28" t="s">
        <v>37</v>
      </c>
      <c r="C119" s="219">
        <v>43647</v>
      </c>
      <c r="D119" s="28" t="s">
        <v>893</v>
      </c>
      <c r="E119" s="28" t="s">
        <v>666</v>
      </c>
      <c r="F119" s="28" t="s">
        <v>894</v>
      </c>
      <c r="G119" s="220">
        <v>1574.36</v>
      </c>
      <c r="H119" s="220"/>
      <c r="I119" s="218"/>
      <c r="J119" s="218"/>
      <c r="K119" s="218"/>
      <c r="L119" s="218"/>
      <c r="M119" s="221">
        <f t="shared" si="5"/>
        <v>1574.36</v>
      </c>
      <c r="N119" s="218"/>
      <c r="O119" s="218"/>
      <c r="P119" s="218"/>
      <c r="Q119" s="218"/>
      <c r="R119" s="218"/>
      <c r="S119" s="218"/>
      <c r="T119" s="218"/>
      <c r="U119" s="218"/>
      <c r="V119" s="218"/>
    </row>
    <row r="120" spans="1:22" ht="15.75" x14ac:dyDescent="0.25">
      <c r="A120" s="28" t="s">
        <v>847</v>
      </c>
      <c r="B120" s="28" t="s">
        <v>37</v>
      </c>
      <c r="C120" s="219">
        <v>43670</v>
      </c>
      <c r="D120" s="28" t="s">
        <v>895</v>
      </c>
      <c r="E120" s="28" t="s">
        <v>666</v>
      </c>
      <c r="F120" s="28" t="s">
        <v>896</v>
      </c>
      <c r="G120" s="220">
        <v>450</v>
      </c>
      <c r="H120" s="220"/>
      <c r="I120" s="218"/>
      <c r="J120" s="218"/>
      <c r="K120" s="218"/>
      <c r="L120" s="218"/>
      <c r="M120" s="221">
        <f t="shared" si="5"/>
        <v>450</v>
      </c>
      <c r="N120" s="218"/>
      <c r="O120" s="218"/>
      <c r="P120" s="218"/>
      <c r="Q120" s="218"/>
      <c r="R120" s="218"/>
      <c r="S120" s="218"/>
      <c r="T120" s="218"/>
      <c r="U120" s="218"/>
      <c r="V120" s="218"/>
    </row>
    <row r="121" spans="1:22" ht="15.75" x14ac:dyDescent="0.25">
      <c r="A121" s="28" t="s">
        <v>847</v>
      </c>
      <c r="B121" s="28" t="s">
        <v>37</v>
      </c>
      <c r="C121" s="219">
        <v>43678</v>
      </c>
      <c r="D121" s="28" t="s">
        <v>897</v>
      </c>
      <c r="E121" s="28" t="s">
        <v>666</v>
      </c>
      <c r="F121" s="28" t="s">
        <v>894</v>
      </c>
      <c r="G121" s="220">
        <v>1581.56</v>
      </c>
      <c r="H121" s="220"/>
      <c r="I121" s="218"/>
      <c r="J121" s="218"/>
      <c r="K121" s="218"/>
      <c r="L121" s="218"/>
      <c r="M121" s="221">
        <f t="shared" si="5"/>
        <v>1581.56</v>
      </c>
      <c r="N121" s="218"/>
      <c r="O121" s="218"/>
      <c r="P121" s="218"/>
      <c r="Q121" s="218"/>
      <c r="R121" s="218"/>
      <c r="S121" s="218"/>
      <c r="T121" s="218"/>
      <c r="U121" s="218"/>
      <c r="V121" s="218"/>
    </row>
    <row r="122" spans="1:22" ht="15.75" x14ac:dyDescent="0.25">
      <c r="A122" s="28" t="s">
        <v>847</v>
      </c>
      <c r="B122" s="28" t="s">
        <v>37</v>
      </c>
      <c r="C122" s="219">
        <v>43706</v>
      </c>
      <c r="D122" s="28" t="s">
        <v>898</v>
      </c>
      <c r="E122" s="28" t="s">
        <v>666</v>
      </c>
      <c r="F122" s="28" t="s">
        <v>899</v>
      </c>
      <c r="G122" s="220">
        <v>450</v>
      </c>
      <c r="H122" s="220"/>
      <c r="I122" s="218"/>
      <c r="J122" s="218"/>
      <c r="K122" s="218"/>
      <c r="L122" s="218"/>
      <c r="M122" s="221">
        <f t="shared" si="5"/>
        <v>450</v>
      </c>
      <c r="N122" s="218"/>
      <c r="O122" s="218"/>
      <c r="P122" s="218"/>
      <c r="Q122" s="218"/>
      <c r="R122" s="218"/>
      <c r="S122" s="218"/>
      <c r="T122" s="218"/>
      <c r="U122" s="218"/>
      <c r="V122" s="218"/>
    </row>
    <row r="123" spans="1:22" ht="15.75" x14ac:dyDescent="0.25">
      <c r="A123" s="28" t="s">
        <v>847</v>
      </c>
      <c r="B123" s="28" t="s">
        <v>37</v>
      </c>
      <c r="C123" s="219">
        <v>43709</v>
      </c>
      <c r="D123" s="28" t="s">
        <v>900</v>
      </c>
      <c r="E123" s="28" t="s">
        <v>666</v>
      </c>
      <c r="F123" s="28" t="s">
        <v>901</v>
      </c>
      <c r="G123" s="220">
        <v>1594.84</v>
      </c>
      <c r="H123" s="220"/>
      <c r="I123" s="218"/>
      <c r="J123" s="218"/>
      <c r="K123" s="218"/>
      <c r="L123" s="218"/>
      <c r="M123" s="221">
        <f t="shared" si="5"/>
        <v>1594.84</v>
      </c>
      <c r="N123" s="218"/>
      <c r="O123" s="218"/>
      <c r="P123" s="218"/>
      <c r="Q123" s="218"/>
      <c r="R123" s="218"/>
      <c r="S123" s="218"/>
      <c r="T123" s="218"/>
      <c r="U123" s="218"/>
      <c r="V123" s="218"/>
    </row>
    <row r="124" spans="1:22" ht="15.75" x14ac:dyDescent="0.25">
      <c r="A124" s="28" t="s">
        <v>847</v>
      </c>
      <c r="B124" s="28" t="s">
        <v>37</v>
      </c>
      <c r="C124" s="219">
        <v>43738</v>
      </c>
      <c r="D124" s="28" t="s">
        <v>902</v>
      </c>
      <c r="E124" s="28" t="s">
        <v>666</v>
      </c>
      <c r="F124" s="28" t="s">
        <v>903</v>
      </c>
      <c r="G124" s="222">
        <v>1550.44</v>
      </c>
      <c r="H124" s="222"/>
      <c r="I124" s="223"/>
      <c r="J124" s="223"/>
      <c r="K124" s="223"/>
      <c r="L124" s="223"/>
      <c r="M124" s="224">
        <f t="shared" si="5"/>
        <v>1550.44</v>
      </c>
      <c r="N124" s="223"/>
      <c r="O124" s="218"/>
      <c r="P124" s="218"/>
      <c r="Q124" s="218"/>
      <c r="R124" s="218"/>
      <c r="S124" s="218"/>
      <c r="T124" s="218"/>
      <c r="U124" s="218"/>
      <c r="V124" s="218"/>
    </row>
    <row r="125" spans="1:22" ht="15.75" x14ac:dyDescent="0.25">
      <c r="A125" s="218"/>
      <c r="B125" s="218"/>
      <c r="C125" s="218"/>
      <c r="D125" s="218"/>
      <c r="E125" s="218"/>
      <c r="F125" s="218"/>
      <c r="G125" s="73">
        <f>SUM(G2:G124)</f>
        <v>168549.22999999998</v>
      </c>
      <c r="H125" s="73">
        <f t="shared" ref="H125:N125" si="6">SUM(H2:H124)</f>
        <v>0</v>
      </c>
      <c r="I125" s="73">
        <f t="shared" si="6"/>
        <v>91612.94</v>
      </c>
      <c r="J125" s="73">
        <f t="shared" si="6"/>
        <v>623.41999999999996</v>
      </c>
      <c r="K125" s="73">
        <f t="shared" si="6"/>
        <v>22864.079999999998</v>
      </c>
      <c r="L125" s="73">
        <f t="shared" si="6"/>
        <v>24993.670000000002</v>
      </c>
      <c r="M125" s="73">
        <f t="shared" si="6"/>
        <v>26772.09</v>
      </c>
      <c r="N125" s="73">
        <f t="shared" si="6"/>
        <v>1683.03</v>
      </c>
      <c r="O125" s="221"/>
      <c r="P125" s="218"/>
      <c r="Q125" s="218"/>
      <c r="R125" s="218"/>
      <c r="S125" s="218"/>
      <c r="T125" s="218"/>
      <c r="U125" s="218"/>
      <c r="V125" s="218"/>
    </row>
    <row r="126" spans="1:22" ht="15.75" x14ac:dyDescent="0.25">
      <c r="A126" s="218"/>
      <c r="B126" s="218" t="s">
        <v>904</v>
      </c>
      <c r="C126" s="218"/>
      <c r="D126" s="218"/>
      <c r="E126" s="218"/>
      <c r="F126" s="218"/>
      <c r="G126" s="73">
        <v>1045.9000000000001</v>
      </c>
      <c r="H126" s="73"/>
      <c r="I126" s="73">
        <v>1045.9000000000001</v>
      </c>
      <c r="J126" s="73"/>
      <c r="K126" s="73"/>
      <c r="L126" s="73"/>
      <c r="M126" s="73"/>
      <c r="N126" s="73"/>
      <c r="O126" s="218"/>
      <c r="P126" s="218"/>
      <c r="Q126" s="218"/>
      <c r="R126" s="218"/>
      <c r="S126" s="218"/>
      <c r="T126" s="218"/>
      <c r="U126" s="218"/>
      <c r="V126" s="218"/>
    </row>
    <row r="127" spans="1:22" ht="15.75" x14ac:dyDescent="0.25">
      <c r="A127" s="218"/>
      <c r="B127" s="218" t="s">
        <v>1119</v>
      </c>
      <c r="C127" s="218"/>
      <c r="D127" s="218"/>
      <c r="E127" s="218"/>
      <c r="F127" s="218"/>
      <c r="G127" s="73">
        <f>+L127</f>
        <v>1249.6835000000001</v>
      </c>
      <c r="H127" s="73"/>
      <c r="I127" s="73"/>
      <c r="J127" s="73"/>
      <c r="K127" s="73"/>
      <c r="L127" s="73">
        <f>+L125*0.05</f>
        <v>1249.6835000000001</v>
      </c>
      <c r="M127" s="73"/>
      <c r="N127" s="73"/>
      <c r="O127" s="218"/>
      <c r="P127" s="218"/>
      <c r="Q127" s="218"/>
      <c r="R127" s="218"/>
      <c r="S127" s="218"/>
      <c r="T127" s="218"/>
      <c r="U127" s="218"/>
      <c r="V127" s="218"/>
    </row>
    <row r="128" spans="1:22" ht="15.75" x14ac:dyDescent="0.25">
      <c r="A128" s="218"/>
      <c r="B128" s="218" t="s">
        <v>905</v>
      </c>
      <c r="C128" s="218"/>
      <c r="D128" s="218"/>
      <c r="E128" s="218"/>
      <c r="F128" s="218"/>
      <c r="G128" s="73">
        <f>+K128</f>
        <v>594.46607999999992</v>
      </c>
      <c r="H128" s="73"/>
      <c r="I128" s="73"/>
      <c r="J128" s="73"/>
      <c r="K128" s="73">
        <f>+K125*0.026</f>
        <v>594.46607999999992</v>
      </c>
      <c r="L128" s="73"/>
      <c r="M128" s="73"/>
      <c r="N128" s="73"/>
      <c r="O128" s="218"/>
      <c r="P128" s="218"/>
      <c r="Q128" s="218"/>
      <c r="R128" s="218"/>
      <c r="S128" s="218"/>
      <c r="T128" s="218"/>
      <c r="U128" s="218"/>
      <c r="V128" s="218"/>
    </row>
    <row r="129" spans="1:22" ht="15.75" x14ac:dyDescent="0.25">
      <c r="A129" s="218"/>
      <c r="B129" s="218" t="s">
        <v>906</v>
      </c>
      <c r="C129" s="218"/>
      <c r="D129" s="218"/>
      <c r="E129" s="218"/>
      <c r="F129" s="218"/>
      <c r="G129" s="225">
        <f>+I129</f>
        <v>2779.7651999999998</v>
      </c>
      <c r="H129" s="225"/>
      <c r="I129" s="225">
        <f>(I126+I125)*0.03</f>
        <v>2779.7651999999998</v>
      </c>
      <c r="J129" s="225"/>
      <c r="K129" s="225"/>
      <c r="L129" s="225"/>
      <c r="M129" s="225"/>
      <c r="N129" s="225"/>
      <c r="O129" s="218"/>
      <c r="P129" s="218"/>
      <c r="Q129" s="218"/>
      <c r="R129" s="218"/>
      <c r="S129" s="218"/>
      <c r="T129" s="218"/>
      <c r="U129" s="218"/>
      <c r="V129" s="218"/>
    </row>
    <row r="130" spans="1:22" ht="15.75" x14ac:dyDescent="0.25">
      <c r="A130" s="218"/>
      <c r="B130" s="218"/>
      <c r="C130" s="218"/>
      <c r="D130" s="218"/>
      <c r="E130" s="218"/>
      <c r="F130" s="218"/>
      <c r="G130" s="73">
        <f>SUM(G125:G129)</f>
        <v>174219.04478</v>
      </c>
      <c r="H130" s="73">
        <f t="shared" ref="H130:N130" si="7">SUM(H125:H129)</f>
        <v>0</v>
      </c>
      <c r="I130" s="73">
        <f t="shared" si="7"/>
        <v>95438.605199999991</v>
      </c>
      <c r="J130" s="73">
        <f t="shared" si="7"/>
        <v>623.41999999999996</v>
      </c>
      <c r="K130" s="73">
        <f t="shared" si="7"/>
        <v>23458.546079999996</v>
      </c>
      <c r="L130" s="73">
        <f t="shared" si="7"/>
        <v>26243.353500000001</v>
      </c>
      <c r="M130" s="73">
        <f t="shared" si="7"/>
        <v>26772.09</v>
      </c>
      <c r="N130" s="73">
        <f t="shared" si="7"/>
        <v>1683.03</v>
      </c>
      <c r="O130" s="218"/>
      <c r="P130" s="218"/>
      <c r="Q130" s="218"/>
      <c r="R130" s="218"/>
      <c r="S130" s="218"/>
      <c r="T130" s="218"/>
      <c r="U130" s="218"/>
      <c r="V130" s="218"/>
    </row>
    <row r="131" spans="1:22" ht="15.75" x14ac:dyDescent="0.25">
      <c r="A131" s="218"/>
      <c r="B131" s="218"/>
      <c r="C131" s="218"/>
      <c r="D131" s="218"/>
      <c r="E131" s="218"/>
      <c r="F131" s="218"/>
      <c r="G131" s="73"/>
      <c r="H131" s="73"/>
      <c r="I131" s="73"/>
      <c r="J131" s="73"/>
      <c r="K131" s="73"/>
      <c r="L131" s="73"/>
      <c r="M131" s="73"/>
      <c r="N131" s="73"/>
      <c r="O131" s="218"/>
      <c r="P131" s="218"/>
      <c r="Q131" s="218"/>
      <c r="R131" s="218"/>
      <c r="S131" s="218"/>
      <c r="T131" s="218"/>
      <c r="U131" s="218"/>
      <c r="V131" s="218"/>
    </row>
    <row r="132" spans="1:22" ht="15.75" x14ac:dyDescent="0.25">
      <c r="A132" s="218"/>
      <c r="B132" s="218"/>
      <c r="C132" s="218"/>
      <c r="D132" s="218"/>
      <c r="E132" s="218"/>
      <c r="F132" s="218"/>
      <c r="G132" s="73"/>
      <c r="H132" s="73"/>
      <c r="I132" s="73"/>
      <c r="J132" s="73"/>
      <c r="K132" s="73"/>
      <c r="L132" s="73"/>
      <c r="M132" s="73"/>
      <c r="N132" s="73"/>
      <c r="O132" s="218"/>
      <c r="P132" s="218"/>
      <c r="Q132" s="218"/>
      <c r="R132" s="218"/>
      <c r="S132" s="218"/>
      <c r="T132" s="218"/>
      <c r="U132" s="218"/>
      <c r="V132" s="218"/>
    </row>
    <row r="133" spans="1:22" ht="15.75" x14ac:dyDescent="0.25">
      <c r="A133" s="218"/>
      <c r="B133" s="218"/>
      <c r="C133" s="218"/>
      <c r="D133" s="218"/>
      <c r="E133" s="218"/>
      <c r="F133" s="218"/>
      <c r="G133" s="73"/>
      <c r="H133" s="73"/>
      <c r="I133" s="73"/>
      <c r="J133" s="73"/>
      <c r="K133" s="73"/>
      <c r="L133" s="73"/>
      <c r="M133" s="73"/>
      <c r="N133" s="73"/>
      <c r="O133" s="218"/>
      <c r="P133" s="218"/>
      <c r="Q133" s="218"/>
      <c r="R133" s="218"/>
      <c r="S133" s="218"/>
      <c r="T133" s="218"/>
      <c r="U133" s="218"/>
      <c r="V133" s="218"/>
    </row>
    <row r="134" spans="1:22" ht="15.75" x14ac:dyDescent="0.25">
      <c r="A134" s="218"/>
      <c r="B134" s="218"/>
      <c r="C134" s="218"/>
      <c r="D134" s="218"/>
      <c r="E134" s="218"/>
      <c r="F134" s="218"/>
      <c r="G134" s="73"/>
      <c r="H134" s="73"/>
      <c r="I134" s="73"/>
      <c r="J134" s="73"/>
      <c r="K134" s="73"/>
      <c r="L134" s="73"/>
      <c r="M134" s="73"/>
      <c r="N134" s="73"/>
      <c r="O134" s="218"/>
      <c r="P134" s="218"/>
      <c r="Q134" s="218"/>
      <c r="R134" s="218"/>
      <c r="S134" s="218"/>
      <c r="T134" s="218"/>
      <c r="U134" s="218"/>
      <c r="V134" s="218"/>
    </row>
    <row r="135" spans="1:22" ht="15.75" x14ac:dyDescent="0.25">
      <c r="A135" s="218"/>
      <c r="B135" s="218"/>
      <c r="C135" s="218"/>
      <c r="D135" s="218"/>
      <c r="E135" s="218"/>
      <c r="F135" s="218"/>
      <c r="G135" s="73"/>
      <c r="H135" s="73"/>
      <c r="I135" s="73"/>
      <c r="J135" s="73"/>
      <c r="K135" s="73"/>
      <c r="L135" s="73"/>
      <c r="M135" s="73"/>
      <c r="N135" s="73"/>
      <c r="O135" s="218"/>
      <c r="P135" s="218"/>
      <c r="Q135" s="218"/>
      <c r="R135" s="218"/>
      <c r="S135" s="218"/>
      <c r="T135" s="218"/>
      <c r="U135" s="218"/>
      <c r="V135" s="218"/>
    </row>
    <row r="136" spans="1:22" ht="15.75" x14ac:dyDescent="0.25">
      <c r="A136" s="218"/>
      <c r="B136" s="218"/>
      <c r="C136" s="218"/>
      <c r="D136" s="218"/>
      <c r="E136" s="218"/>
      <c r="F136" s="218"/>
      <c r="G136" s="218"/>
      <c r="H136" s="218"/>
      <c r="I136" s="218"/>
      <c r="J136" s="218"/>
      <c r="K136" s="218"/>
      <c r="L136" s="218"/>
      <c r="M136" s="218"/>
      <c r="N136" s="218"/>
      <c r="O136" s="218"/>
      <c r="P136" s="218"/>
      <c r="Q136" s="218"/>
      <c r="R136" s="218"/>
      <c r="S136" s="218"/>
      <c r="T136" s="218"/>
      <c r="U136" s="218"/>
      <c r="V136" s="218"/>
    </row>
    <row r="137" spans="1:22" ht="15.75" x14ac:dyDescent="0.25">
      <c r="A137" s="218"/>
      <c r="B137" s="218"/>
      <c r="C137" s="218"/>
      <c r="D137" s="218"/>
      <c r="E137" s="218"/>
      <c r="F137" s="218"/>
      <c r="G137" s="218"/>
      <c r="H137" s="218"/>
      <c r="I137" s="218"/>
      <c r="J137" s="218"/>
      <c r="K137" s="218"/>
      <c r="L137" s="218"/>
      <c r="M137" s="218"/>
      <c r="N137" s="218"/>
      <c r="O137" s="218"/>
      <c r="P137" s="218"/>
      <c r="Q137" s="218"/>
      <c r="R137" s="218"/>
      <c r="S137" s="218"/>
      <c r="T137" s="218"/>
      <c r="U137" s="218"/>
      <c r="V137" s="218"/>
    </row>
    <row r="138" spans="1:22" ht="15.75" x14ac:dyDescent="0.25">
      <c r="A138" s="218"/>
      <c r="B138" s="218"/>
      <c r="C138" s="218"/>
      <c r="D138" s="218"/>
      <c r="E138" s="218"/>
      <c r="F138" s="218"/>
      <c r="G138" s="218"/>
      <c r="H138" s="218"/>
      <c r="I138" s="218"/>
      <c r="J138" s="218"/>
      <c r="K138" s="218"/>
      <c r="L138" s="218"/>
      <c r="M138" s="218"/>
      <c r="N138" s="218"/>
      <c r="O138" s="218"/>
      <c r="P138" s="218"/>
      <c r="Q138" s="218"/>
      <c r="R138" s="218"/>
      <c r="S138" s="218"/>
      <c r="T138" s="218"/>
      <c r="U138" s="218"/>
      <c r="V138" s="218"/>
    </row>
    <row r="139" spans="1:22" ht="15.75" x14ac:dyDescent="0.25">
      <c r="A139" s="218"/>
      <c r="B139" s="218"/>
      <c r="C139" s="218"/>
      <c r="D139" s="218"/>
      <c r="E139" s="218"/>
      <c r="F139" s="218"/>
      <c r="G139" s="218"/>
      <c r="H139" s="218"/>
      <c r="I139" s="218"/>
      <c r="J139" s="218"/>
      <c r="K139" s="218"/>
      <c r="L139" s="218"/>
      <c r="M139" s="218"/>
      <c r="N139" s="218"/>
      <c r="O139" s="218"/>
      <c r="P139" s="218"/>
      <c r="Q139" s="218"/>
      <c r="R139" s="218"/>
      <c r="S139" s="218"/>
      <c r="T139" s="218"/>
      <c r="U139" s="218"/>
      <c r="V139" s="218"/>
    </row>
  </sheetData>
  <pageMargins left="0.25" right="0.25" top="0.75" bottom="0.75" header="0.3" footer="0.3"/>
  <pageSetup scale="59" fitToHeight="0" orientation="landscape" r:id="rId1"/>
  <headerFooter>
    <oddHeader>&amp;C&amp;"-,Bold"&amp;16Arrow Launch Service, Inc.
Moorage Cost Test Period ended September 30, 2019</oddHeader>
    <oddFooter>&amp;L&amp;"-,Bold"&amp;D&amp;C&amp;"-,Bold"&amp;F      &amp;A&amp;RPage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988C40-C63C-4908-AAB3-5EB9F0BB0273}">
  <sheetPr>
    <pageSetUpPr fitToPage="1"/>
  </sheetPr>
  <dimension ref="A1:Q21"/>
  <sheetViews>
    <sheetView workbookViewId="0">
      <selection sqref="A1:Q22"/>
    </sheetView>
  </sheetViews>
  <sheetFormatPr defaultRowHeight="15" x14ac:dyDescent="0.25"/>
  <cols>
    <col min="2" max="2" width="21.28515625" customWidth="1"/>
    <col min="3" max="3" width="9.5703125" customWidth="1"/>
    <col min="7" max="8" width="12.42578125" customWidth="1"/>
    <col min="9" max="9" width="10.85546875" customWidth="1"/>
    <col min="10" max="10" width="10.28515625" customWidth="1"/>
    <col min="11" max="11" width="10.5703125" customWidth="1"/>
    <col min="12" max="12" width="10.85546875" customWidth="1"/>
    <col min="13" max="13" width="12.28515625" customWidth="1"/>
    <col min="14" max="14" width="10.5703125" bestFit="1" customWidth="1"/>
    <col min="15" max="15" width="10.28515625" customWidth="1"/>
    <col min="16" max="16" width="10.42578125" customWidth="1"/>
    <col min="17" max="17" width="11.28515625" customWidth="1"/>
  </cols>
  <sheetData>
    <row r="1" spans="1:17" ht="18.75" x14ac:dyDescent="0.3">
      <c r="A1" s="32" t="s">
        <v>614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</row>
    <row r="2" spans="1:17" x14ac:dyDescent="0.25">
      <c r="B2" s="361" t="s">
        <v>1131</v>
      </c>
      <c r="C2" s="361"/>
      <c r="D2" s="361"/>
      <c r="E2" s="361"/>
      <c r="F2" s="361"/>
      <c r="G2" s="361"/>
      <c r="H2" s="361"/>
      <c r="I2" s="361"/>
      <c r="J2" s="361"/>
      <c r="K2" s="361"/>
      <c r="L2" s="361"/>
      <c r="M2" s="361"/>
      <c r="N2" s="361"/>
      <c r="O2" s="361"/>
      <c r="P2" s="361"/>
      <c r="Q2" s="361"/>
    </row>
    <row r="3" spans="1:17" x14ac:dyDescent="0.25">
      <c r="B3" s="362" t="s">
        <v>1132</v>
      </c>
      <c r="C3" s="362"/>
      <c r="D3" s="362"/>
      <c r="E3" s="362"/>
      <c r="F3" s="362"/>
      <c r="G3" s="362"/>
      <c r="H3" s="362"/>
      <c r="I3" s="362"/>
      <c r="J3" s="362"/>
      <c r="K3" s="362"/>
      <c r="L3" s="362"/>
      <c r="M3" s="362"/>
      <c r="N3" s="362"/>
      <c r="O3" s="362"/>
      <c r="P3" s="362"/>
      <c r="Q3" s="362"/>
    </row>
    <row r="4" spans="1:17" x14ac:dyDescent="0.25"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</row>
    <row r="5" spans="1:17" x14ac:dyDescent="0.25">
      <c r="G5" s="363" t="s">
        <v>294</v>
      </c>
      <c r="H5" s="364"/>
      <c r="I5" s="364"/>
      <c r="J5" s="364"/>
      <c r="K5" s="364"/>
      <c r="L5" s="365"/>
      <c r="M5" s="278" t="s">
        <v>1133</v>
      </c>
      <c r="N5" s="363" t="s">
        <v>294</v>
      </c>
      <c r="O5" s="364"/>
      <c r="P5" s="365"/>
      <c r="Q5" s="278" t="s">
        <v>1133</v>
      </c>
    </row>
    <row r="6" spans="1:17" ht="60" x14ac:dyDescent="0.25">
      <c r="A6" s="279" t="s">
        <v>1134</v>
      </c>
      <c r="B6" s="279" t="s">
        <v>1135</v>
      </c>
      <c r="C6" s="279" t="s">
        <v>1136</v>
      </c>
      <c r="D6" s="279" t="s">
        <v>1137</v>
      </c>
      <c r="E6" s="171" t="s">
        <v>1138</v>
      </c>
      <c r="F6" s="171" t="s">
        <v>1139</v>
      </c>
      <c r="G6" s="280" t="s">
        <v>1140</v>
      </c>
      <c r="H6" s="281" t="s">
        <v>1141</v>
      </c>
      <c r="I6" s="282" t="s">
        <v>1142</v>
      </c>
      <c r="J6" s="335" t="s">
        <v>1143</v>
      </c>
      <c r="K6" s="335" t="s">
        <v>1144</v>
      </c>
      <c r="L6" s="336" t="s">
        <v>1145</v>
      </c>
      <c r="M6" s="337" t="s">
        <v>1146</v>
      </c>
      <c r="N6" s="338" t="s">
        <v>1147</v>
      </c>
      <c r="O6" s="339" t="s">
        <v>1148</v>
      </c>
      <c r="P6" s="340" t="s">
        <v>1149</v>
      </c>
      <c r="Q6" s="341" t="s">
        <v>1150</v>
      </c>
    </row>
    <row r="7" spans="1:17" x14ac:dyDescent="0.25">
      <c r="A7" t="s">
        <v>1151</v>
      </c>
      <c r="B7" t="s">
        <v>1165</v>
      </c>
      <c r="C7" s="27" t="s">
        <v>1152</v>
      </c>
      <c r="D7" s="27" t="s">
        <v>1153</v>
      </c>
      <c r="E7" s="27" t="s">
        <v>1154</v>
      </c>
      <c r="F7" s="27">
        <v>34</v>
      </c>
      <c r="G7" s="283">
        <f>'[1]MP+65'!D8</f>
        <v>719.06</v>
      </c>
      <c r="H7" s="284">
        <f>'[1]MP+65'!B8</f>
        <v>289.33</v>
      </c>
      <c r="I7" s="285">
        <f>'[1]MP+65'!E8</f>
        <v>429.72999999999996</v>
      </c>
      <c r="J7" s="159">
        <f t="shared" ref="J7:J14" si="0">H7*0.75</f>
        <v>216.9975</v>
      </c>
      <c r="K7" s="159">
        <f t="shared" ref="K7:K14" si="1">I7*0.5</f>
        <v>214.86499999999998</v>
      </c>
      <c r="L7" s="285">
        <f>J7+K7</f>
        <v>431.86249999999995</v>
      </c>
      <c r="M7" s="286">
        <f>K7*12</f>
        <v>2578.3799999999997</v>
      </c>
      <c r="N7" s="287">
        <f>H7*0.25</f>
        <v>72.332499999999996</v>
      </c>
      <c r="O7" s="159">
        <f>I7*0.5</f>
        <v>214.86499999999998</v>
      </c>
      <c r="P7" s="285">
        <f>N7+O7</f>
        <v>287.19749999999999</v>
      </c>
      <c r="Q7" s="159">
        <f>O7*12</f>
        <v>2578.3799999999997</v>
      </c>
    </row>
    <row r="8" spans="1:17" x14ac:dyDescent="0.25">
      <c r="A8" s="194" t="s">
        <v>1151</v>
      </c>
      <c r="B8" s="194" t="s">
        <v>1165</v>
      </c>
      <c r="C8" s="196" t="s">
        <v>1152</v>
      </c>
      <c r="D8" s="196" t="s">
        <v>1155</v>
      </c>
      <c r="E8" s="196" t="s">
        <v>1156</v>
      </c>
      <c r="F8" s="196" t="s">
        <v>1157</v>
      </c>
      <c r="G8" s="288">
        <f>[1]F80!F8</f>
        <v>496.55</v>
      </c>
      <c r="H8" s="289">
        <f>[1]F80!B8</f>
        <v>217.5</v>
      </c>
      <c r="I8" s="290">
        <f>[1]F80!G8</f>
        <v>279.05</v>
      </c>
      <c r="J8" s="291">
        <f t="shared" si="0"/>
        <v>163.125</v>
      </c>
      <c r="K8" s="291">
        <f t="shared" si="1"/>
        <v>139.52500000000001</v>
      </c>
      <c r="L8" s="290">
        <f t="shared" ref="L8:L14" si="2">J8+K8</f>
        <v>302.64999999999998</v>
      </c>
      <c r="M8" s="292">
        <f>K8*12</f>
        <v>1674.3000000000002</v>
      </c>
      <c r="N8" s="293">
        <f>H8*0.25</f>
        <v>54.375</v>
      </c>
      <c r="O8" s="291">
        <f>I8*0.5</f>
        <v>139.52500000000001</v>
      </c>
      <c r="P8" s="290">
        <f t="shared" ref="P8:P14" si="3">N8+O8</f>
        <v>193.9</v>
      </c>
      <c r="Q8" s="291">
        <f>O8*12</f>
        <v>1674.3000000000002</v>
      </c>
    </row>
    <row r="9" spans="1:17" x14ac:dyDescent="0.25">
      <c r="A9" t="s">
        <v>1151</v>
      </c>
      <c r="B9" t="s">
        <v>1165</v>
      </c>
      <c r="C9" s="27" t="s">
        <v>1152</v>
      </c>
      <c r="D9" s="27" t="s">
        <v>1153</v>
      </c>
      <c r="E9" s="27" t="s">
        <v>1156</v>
      </c>
      <c r="F9" s="27" t="s">
        <v>1157</v>
      </c>
      <c r="G9" s="283">
        <f>'[1]MP+65'!F8</f>
        <v>661.76</v>
      </c>
      <c r="H9" s="284">
        <f>'[1]MP+65'!B8</f>
        <v>289.33</v>
      </c>
      <c r="I9" s="285">
        <f>'[1]MP+65'!G8</f>
        <v>372.43</v>
      </c>
      <c r="J9" s="159">
        <f t="shared" si="0"/>
        <v>216.9975</v>
      </c>
      <c r="K9" s="159">
        <f t="shared" si="1"/>
        <v>186.215</v>
      </c>
      <c r="L9" s="285">
        <f t="shared" si="2"/>
        <v>403.21249999999998</v>
      </c>
      <c r="M9" s="286">
        <f t="shared" ref="M9:M14" si="4">K9*12</f>
        <v>2234.58</v>
      </c>
      <c r="N9" s="287">
        <f t="shared" ref="N9:N14" si="5">H9*0.25</f>
        <v>72.332499999999996</v>
      </c>
      <c r="O9" s="159">
        <f t="shared" ref="O9:O14" si="6">I9*0.5</f>
        <v>186.215</v>
      </c>
      <c r="P9" s="285">
        <f t="shared" si="3"/>
        <v>258.54750000000001</v>
      </c>
      <c r="Q9" s="159">
        <f t="shared" ref="Q9:Q14" si="7">O9*12</f>
        <v>2234.58</v>
      </c>
    </row>
    <row r="10" spans="1:17" x14ac:dyDescent="0.25">
      <c r="A10" s="194" t="s">
        <v>1151</v>
      </c>
      <c r="B10" s="194" t="s">
        <v>1165</v>
      </c>
      <c r="C10" s="196" t="s">
        <v>1152</v>
      </c>
      <c r="D10" s="196" t="s">
        <v>1153</v>
      </c>
      <c r="E10" s="196" t="s">
        <v>1156</v>
      </c>
      <c r="F10" s="196" t="s">
        <v>1158</v>
      </c>
      <c r="G10" s="288">
        <f>'[1]MP+65'!F9</f>
        <v>1005.58</v>
      </c>
      <c r="H10" s="289">
        <f>'[1]MP+65'!B9</f>
        <v>480.34</v>
      </c>
      <c r="I10" s="290">
        <f>'[1]MP+65'!G9</f>
        <v>525.24</v>
      </c>
      <c r="J10" s="291">
        <f t="shared" si="0"/>
        <v>360.255</v>
      </c>
      <c r="K10" s="291">
        <f t="shared" si="1"/>
        <v>262.62</v>
      </c>
      <c r="L10" s="290">
        <f t="shared" si="2"/>
        <v>622.875</v>
      </c>
      <c r="M10" s="292">
        <f t="shared" si="4"/>
        <v>3151.44</v>
      </c>
      <c r="N10" s="293">
        <f t="shared" si="5"/>
        <v>120.08499999999999</v>
      </c>
      <c r="O10" s="291">
        <f t="shared" si="6"/>
        <v>262.62</v>
      </c>
      <c r="P10" s="290">
        <f t="shared" si="3"/>
        <v>382.70499999999998</v>
      </c>
      <c r="Q10" s="291">
        <f t="shared" si="7"/>
        <v>3151.44</v>
      </c>
    </row>
    <row r="11" spans="1:17" x14ac:dyDescent="0.25">
      <c r="A11" t="s">
        <v>1151</v>
      </c>
      <c r="B11" t="s">
        <v>1165</v>
      </c>
      <c r="C11" s="27" t="s">
        <v>1152</v>
      </c>
      <c r="D11" s="27" t="s">
        <v>1153</v>
      </c>
      <c r="E11" s="27" t="s">
        <v>1154</v>
      </c>
      <c r="F11" s="27" t="s">
        <v>1157</v>
      </c>
      <c r="G11" s="283">
        <f>'[1]MP+65'!D8</f>
        <v>719.06</v>
      </c>
      <c r="H11" s="284">
        <f>'[1]MP+65'!B8</f>
        <v>289.33</v>
      </c>
      <c r="I11" s="285">
        <f>'[1]MP+65'!E8</f>
        <v>429.72999999999996</v>
      </c>
      <c r="J11" s="159">
        <f t="shared" si="0"/>
        <v>216.9975</v>
      </c>
      <c r="K11" s="159">
        <f t="shared" si="1"/>
        <v>214.86499999999998</v>
      </c>
      <c r="L11" s="285">
        <f t="shared" si="2"/>
        <v>431.86249999999995</v>
      </c>
      <c r="M11" s="286">
        <f t="shared" si="4"/>
        <v>2578.3799999999997</v>
      </c>
      <c r="N11" s="287">
        <f t="shared" si="5"/>
        <v>72.332499999999996</v>
      </c>
      <c r="O11" s="159">
        <f t="shared" si="6"/>
        <v>214.86499999999998</v>
      </c>
      <c r="P11" s="285">
        <f t="shared" si="3"/>
        <v>287.19749999999999</v>
      </c>
      <c r="Q11" s="159">
        <f t="shared" si="7"/>
        <v>2578.3799999999997</v>
      </c>
    </row>
    <row r="12" spans="1:17" x14ac:dyDescent="0.25">
      <c r="A12" s="294" t="s">
        <v>1159</v>
      </c>
      <c r="B12" s="294" t="s">
        <v>1165</v>
      </c>
      <c r="C12" s="295" t="s">
        <v>1152</v>
      </c>
      <c r="D12" s="295" t="s">
        <v>1155</v>
      </c>
      <c r="E12" s="295" t="s">
        <v>1154</v>
      </c>
      <c r="F12" s="295" t="s">
        <v>1158</v>
      </c>
      <c r="G12" s="296">
        <f>[1]F80!D9</f>
        <v>861.58</v>
      </c>
      <c r="H12" s="297">
        <f>[1]F80!B9</f>
        <v>360.66</v>
      </c>
      <c r="I12" s="298">
        <f>[1]F80!E9</f>
        <v>500.92</v>
      </c>
      <c r="J12" s="299">
        <f t="shared" si="0"/>
        <v>270.495</v>
      </c>
      <c r="K12" s="299">
        <f t="shared" si="1"/>
        <v>250.46</v>
      </c>
      <c r="L12" s="298">
        <f t="shared" si="2"/>
        <v>520.95500000000004</v>
      </c>
      <c r="M12" s="300">
        <f t="shared" si="4"/>
        <v>3005.52</v>
      </c>
      <c r="N12" s="301">
        <f t="shared" si="5"/>
        <v>90.165000000000006</v>
      </c>
      <c r="O12" s="299">
        <f t="shared" si="6"/>
        <v>250.46</v>
      </c>
      <c r="P12" s="298">
        <f t="shared" si="3"/>
        <v>340.625</v>
      </c>
      <c r="Q12" s="299">
        <f t="shared" si="7"/>
        <v>3005.52</v>
      </c>
    </row>
    <row r="13" spans="1:17" x14ac:dyDescent="0.25">
      <c r="A13" s="302" t="s">
        <v>1160</v>
      </c>
      <c r="B13" t="s">
        <v>1169</v>
      </c>
      <c r="C13" s="27" t="s">
        <v>1152</v>
      </c>
      <c r="D13" s="27" t="s">
        <v>1153</v>
      </c>
      <c r="E13" s="27" t="s">
        <v>1161</v>
      </c>
      <c r="F13" s="27">
        <v>52</v>
      </c>
      <c r="G13" s="283">
        <f>'[1]MP+65'!H10</f>
        <v>2438.0700000000002</v>
      </c>
      <c r="H13" s="284">
        <f>'[1]MP+65'!B10</f>
        <v>814.59</v>
      </c>
      <c r="I13" s="285">
        <f>'[1]MP+65'!I10</f>
        <v>1623.48</v>
      </c>
      <c r="J13" s="159">
        <f t="shared" si="0"/>
        <v>610.9425</v>
      </c>
      <c r="K13" s="159">
        <f t="shared" si="1"/>
        <v>811.74</v>
      </c>
      <c r="L13" s="285">
        <f t="shared" si="2"/>
        <v>1422.6824999999999</v>
      </c>
      <c r="M13" s="286">
        <f t="shared" si="4"/>
        <v>9740.880000000001</v>
      </c>
      <c r="N13" s="287">
        <f t="shared" si="5"/>
        <v>203.64750000000001</v>
      </c>
      <c r="O13" s="159">
        <f t="shared" si="6"/>
        <v>811.74</v>
      </c>
      <c r="P13" s="285">
        <f t="shared" si="3"/>
        <v>1015.3875</v>
      </c>
      <c r="Q13" s="159">
        <f t="shared" si="7"/>
        <v>9740.880000000001</v>
      </c>
    </row>
    <row r="14" spans="1:17" x14ac:dyDescent="0.25">
      <c r="A14" t="s">
        <v>1160</v>
      </c>
      <c r="B14" t="s">
        <v>1168</v>
      </c>
      <c r="C14" s="27" t="s">
        <v>1152</v>
      </c>
      <c r="D14" s="27" t="s">
        <v>1153</v>
      </c>
      <c r="E14" s="27" t="s">
        <v>1161</v>
      </c>
      <c r="F14" s="27">
        <v>38</v>
      </c>
      <c r="G14" s="288">
        <f>'[1]MP+65'!H9</f>
        <v>1674.07</v>
      </c>
      <c r="H14" s="289">
        <f>'[1]MP+65'!B9</f>
        <v>480.34</v>
      </c>
      <c r="I14" s="290">
        <f>'[1]MP+65'!I9</f>
        <v>1193.73</v>
      </c>
      <c r="J14" s="159">
        <f t="shared" si="0"/>
        <v>360.255</v>
      </c>
      <c r="K14" s="159">
        <f t="shared" si="1"/>
        <v>596.86500000000001</v>
      </c>
      <c r="L14" s="285">
        <f t="shared" si="2"/>
        <v>957.12</v>
      </c>
      <c r="M14" s="286">
        <f t="shared" si="4"/>
        <v>7162.38</v>
      </c>
      <c r="N14" s="287">
        <f t="shared" si="5"/>
        <v>120.08499999999999</v>
      </c>
      <c r="O14" s="159">
        <f t="shared" si="6"/>
        <v>596.86500000000001</v>
      </c>
      <c r="P14" s="285">
        <f t="shared" si="3"/>
        <v>716.95</v>
      </c>
      <c r="Q14" s="159">
        <f t="shared" si="7"/>
        <v>7162.38</v>
      </c>
    </row>
    <row r="15" spans="1:17" x14ac:dyDescent="0.25">
      <c r="G15" s="303"/>
      <c r="H15" s="304"/>
      <c r="I15" s="304"/>
      <c r="J15" s="194"/>
      <c r="K15" s="194"/>
      <c r="L15" s="290"/>
      <c r="M15" s="292"/>
      <c r="N15" s="305"/>
      <c r="O15" s="194"/>
      <c r="P15" s="290"/>
      <c r="Q15" s="194"/>
    </row>
    <row r="16" spans="1:17" x14ac:dyDescent="0.25">
      <c r="G16" s="283"/>
      <c r="H16" s="284"/>
      <c r="I16" s="284"/>
      <c r="J16" s="159">
        <f t="shared" ref="J16:Q16" si="8">SUM(J7:J15)</f>
        <v>2416.0650000000001</v>
      </c>
      <c r="K16" s="159">
        <f t="shared" si="8"/>
        <v>2677.1549999999997</v>
      </c>
      <c r="L16" s="285">
        <f t="shared" si="8"/>
        <v>5093.2199999999993</v>
      </c>
      <c r="M16" s="286">
        <f t="shared" si="8"/>
        <v>32125.860000000004</v>
      </c>
      <c r="N16" s="287">
        <f t="shared" si="8"/>
        <v>805.35500000000002</v>
      </c>
      <c r="O16" s="159">
        <f t="shared" si="8"/>
        <v>2677.1549999999997</v>
      </c>
      <c r="P16" s="285">
        <f t="shared" si="8"/>
        <v>3482.51</v>
      </c>
      <c r="Q16" s="159">
        <f t="shared" si="8"/>
        <v>32125.860000000004</v>
      </c>
    </row>
    <row r="17" spans="7:16" x14ac:dyDescent="0.25">
      <c r="G17" s="283"/>
      <c r="H17" s="284"/>
      <c r="I17" s="284"/>
      <c r="L17" s="285"/>
      <c r="M17" s="306"/>
      <c r="N17" s="307"/>
      <c r="P17" s="285"/>
    </row>
    <row r="18" spans="7:16" x14ac:dyDescent="0.25">
      <c r="G18" s="288"/>
      <c r="H18" s="289"/>
      <c r="I18" s="289"/>
      <c r="J18" s="194"/>
      <c r="K18" s="194"/>
      <c r="L18" s="290"/>
      <c r="M18" s="306"/>
      <c r="N18" s="305"/>
      <c r="O18" s="194"/>
      <c r="P18" s="290"/>
    </row>
    <row r="19" spans="7:16" x14ac:dyDescent="0.25">
      <c r="G19" s="284"/>
      <c r="H19" s="284"/>
      <c r="I19" s="284"/>
      <c r="L19" s="284"/>
      <c r="M19" s="306"/>
      <c r="P19" s="284"/>
    </row>
    <row r="20" spans="7:16" ht="15.75" thickBot="1" x14ac:dyDescent="0.3">
      <c r="G20" s="306"/>
      <c r="H20" s="306"/>
      <c r="I20" s="306"/>
      <c r="K20" s="308" t="s">
        <v>294</v>
      </c>
      <c r="L20" s="306"/>
      <c r="M20" s="309" t="s">
        <v>1133</v>
      </c>
      <c r="P20" s="306"/>
    </row>
    <row r="21" spans="7:16" ht="15.75" thickTop="1" x14ac:dyDescent="0.25">
      <c r="G21" s="306"/>
      <c r="H21" s="306"/>
      <c r="I21" s="306"/>
      <c r="J21" s="158" t="s">
        <v>1162</v>
      </c>
      <c r="K21" s="159">
        <f>K16</f>
        <v>2677.1549999999997</v>
      </c>
      <c r="L21" s="306"/>
      <c r="M21" s="306">
        <f>M16</f>
        <v>32125.860000000004</v>
      </c>
      <c r="P21" s="306"/>
    </row>
  </sheetData>
  <mergeCells count="4">
    <mergeCell ref="B2:Q2"/>
    <mergeCell ref="B3:Q3"/>
    <mergeCell ref="G5:L5"/>
    <mergeCell ref="N5:P5"/>
  </mergeCells>
  <pageMargins left="0.25" right="0.25" top="0.75" bottom="0.75" header="0.3" footer="0.3"/>
  <pageSetup scale="70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8B38AD-1951-4558-8036-39377F7D3416}">
  <sheetPr>
    <pageSetUpPr fitToPage="1"/>
  </sheetPr>
  <dimension ref="A1:L32"/>
  <sheetViews>
    <sheetView workbookViewId="0">
      <selection activeCell="B7" sqref="B7"/>
    </sheetView>
  </sheetViews>
  <sheetFormatPr defaultRowHeight="15" x14ac:dyDescent="0.25"/>
  <cols>
    <col min="1" max="1" width="22.7109375" customWidth="1"/>
    <col min="2" max="2" width="21.140625" customWidth="1"/>
    <col min="3" max="3" width="14.28515625" bestFit="1" customWidth="1"/>
    <col min="4" max="4" width="8.42578125" customWidth="1"/>
    <col min="5" max="5" width="12.5703125" bestFit="1" customWidth="1"/>
    <col min="6" max="6" width="7.28515625" customWidth="1"/>
    <col min="7" max="7" width="14.28515625" bestFit="1" customWidth="1"/>
    <col min="8" max="8" width="32.7109375" bestFit="1" customWidth="1"/>
    <col min="9" max="9" width="12.5703125" bestFit="1" customWidth="1"/>
  </cols>
  <sheetData>
    <row r="1" spans="1:12" ht="18.75" x14ac:dyDescent="0.3">
      <c r="A1" s="367" t="s">
        <v>1181</v>
      </c>
      <c r="B1" s="367"/>
      <c r="C1" s="367"/>
      <c r="D1" s="367"/>
      <c r="E1" s="367"/>
      <c r="F1" s="367"/>
      <c r="G1" s="367"/>
      <c r="H1" s="367"/>
      <c r="I1" s="367"/>
      <c r="J1" s="346"/>
    </row>
    <row r="2" spans="1:12" x14ac:dyDescent="0.25">
      <c r="A2" s="188" t="s">
        <v>1182</v>
      </c>
      <c r="B2" s="188"/>
      <c r="C2" s="315"/>
      <c r="D2" s="188"/>
      <c r="E2" s="188"/>
      <c r="F2" s="188"/>
      <c r="G2" s="188"/>
      <c r="H2" s="188"/>
      <c r="I2" s="188"/>
      <c r="J2" s="316"/>
      <c r="K2" s="316"/>
    </row>
    <row r="3" spans="1:12" x14ac:dyDescent="0.25">
      <c r="B3" s="192"/>
      <c r="C3" s="286"/>
    </row>
    <row r="4" spans="1:12" ht="15.75" x14ac:dyDescent="0.25">
      <c r="A4" s="366" t="s">
        <v>1183</v>
      </c>
      <c r="B4" s="366"/>
      <c r="C4" s="366"/>
      <c r="D4" s="366"/>
      <c r="E4" s="366"/>
      <c r="F4" s="366"/>
      <c r="G4" s="366"/>
      <c r="H4" s="366"/>
      <c r="I4" s="345"/>
      <c r="J4" s="345"/>
      <c r="K4" s="345"/>
    </row>
    <row r="5" spans="1:12" x14ac:dyDescent="0.25">
      <c r="A5" s="198" t="s">
        <v>1184</v>
      </c>
      <c r="B5" s="198" t="s">
        <v>1185</v>
      </c>
      <c r="C5" s="306"/>
      <c r="E5" s="198" t="s">
        <v>1152</v>
      </c>
      <c r="F5" s="198"/>
      <c r="G5" s="198" t="s">
        <v>1186</v>
      </c>
      <c r="H5" s="344" t="s">
        <v>1187</v>
      </c>
      <c r="I5" s="344"/>
      <c r="J5" s="344"/>
      <c r="K5" s="344"/>
    </row>
    <row r="6" spans="1:12" x14ac:dyDescent="0.25">
      <c r="A6" t="s">
        <v>1188</v>
      </c>
      <c r="B6" t="s">
        <v>1262</v>
      </c>
      <c r="C6" s="257">
        <v>12750</v>
      </c>
      <c r="E6" s="306">
        <v>9945</v>
      </c>
      <c r="F6" s="159"/>
      <c r="G6" s="306">
        <f>+C6-E6</f>
        <v>2805</v>
      </c>
    </row>
    <row r="7" spans="1:12" x14ac:dyDescent="0.25">
      <c r="A7" t="s">
        <v>1189</v>
      </c>
      <c r="B7" t="s">
        <v>1190</v>
      </c>
      <c r="C7" s="257">
        <v>71735</v>
      </c>
      <c r="E7" s="306">
        <v>71735</v>
      </c>
      <c r="F7" s="159"/>
      <c r="G7" s="306">
        <f t="shared" ref="G7:G13" si="0">+C7-E7</f>
        <v>0</v>
      </c>
    </row>
    <row r="8" spans="1:12" x14ac:dyDescent="0.25">
      <c r="A8" t="s">
        <v>1191</v>
      </c>
      <c r="B8" t="s">
        <v>1192</v>
      </c>
      <c r="C8" s="257">
        <v>46228</v>
      </c>
      <c r="E8" s="257">
        <v>19629.72</v>
      </c>
      <c r="F8" s="257"/>
      <c r="G8" s="306">
        <f t="shared" si="0"/>
        <v>26598.28</v>
      </c>
      <c r="H8" s="313" t="s">
        <v>1193</v>
      </c>
      <c r="I8" s="313"/>
      <c r="J8" s="313"/>
      <c r="K8" s="313"/>
    </row>
    <row r="9" spans="1:12" x14ac:dyDescent="0.25">
      <c r="A9" t="s">
        <v>1194</v>
      </c>
      <c r="B9" t="s">
        <v>189</v>
      </c>
      <c r="C9" s="257">
        <v>13041</v>
      </c>
      <c r="E9" s="257">
        <v>10239.540000000001</v>
      </c>
      <c r="F9" s="257"/>
      <c r="G9" s="306">
        <f t="shared" si="0"/>
        <v>2801.4599999999991</v>
      </c>
    </row>
    <row r="10" spans="1:12" x14ac:dyDescent="0.25">
      <c r="A10" t="s">
        <v>1098</v>
      </c>
      <c r="B10" t="s">
        <v>1195</v>
      </c>
      <c r="C10" s="257">
        <v>23275</v>
      </c>
      <c r="D10" s="159"/>
      <c r="E10" s="257">
        <v>16854.39</v>
      </c>
      <c r="F10" s="257"/>
      <c r="G10" s="306">
        <f t="shared" si="0"/>
        <v>6420.6100000000006</v>
      </c>
      <c r="H10" s="342" t="s">
        <v>1196</v>
      </c>
      <c r="I10" s="342"/>
      <c r="J10" s="342"/>
      <c r="K10" s="342"/>
      <c r="L10" s="159"/>
    </row>
    <row r="11" spans="1:12" x14ac:dyDescent="0.25">
      <c r="A11" t="s">
        <v>1197</v>
      </c>
      <c r="B11" t="s">
        <v>1198</v>
      </c>
      <c r="C11" s="257">
        <v>8500</v>
      </c>
      <c r="E11" s="306">
        <v>8500</v>
      </c>
      <c r="F11" s="306"/>
      <c r="G11" s="306">
        <f t="shared" si="0"/>
        <v>0</v>
      </c>
    </row>
    <row r="12" spans="1:12" x14ac:dyDescent="0.25">
      <c r="A12" t="s">
        <v>1199</v>
      </c>
      <c r="B12" t="s">
        <v>1200</v>
      </c>
      <c r="C12" s="257">
        <v>8926</v>
      </c>
      <c r="E12" s="306">
        <v>5870</v>
      </c>
      <c r="F12" s="306"/>
      <c r="G12" s="306">
        <f t="shared" si="0"/>
        <v>3056</v>
      </c>
    </row>
    <row r="13" spans="1:12" x14ac:dyDescent="0.25">
      <c r="A13" t="s">
        <v>1201</v>
      </c>
      <c r="B13" t="s">
        <v>189</v>
      </c>
      <c r="C13" s="257">
        <v>10633</v>
      </c>
      <c r="E13" s="306">
        <v>8293.74</v>
      </c>
      <c r="F13" s="306"/>
      <c r="G13" s="306">
        <f t="shared" si="0"/>
        <v>2339.2600000000002</v>
      </c>
    </row>
    <row r="14" spans="1:12" x14ac:dyDescent="0.25">
      <c r="A14" s="194" t="s">
        <v>1202</v>
      </c>
      <c r="B14" s="194" t="s">
        <v>1200</v>
      </c>
      <c r="C14" s="317">
        <v>2435</v>
      </c>
      <c r="D14" s="194"/>
      <c r="E14" s="289">
        <v>1891.42</v>
      </c>
      <c r="F14" s="289"/>
      <c r="G14" s="289">
        <f>+C14-E14</f>
        <v>543.57999999999993</v>
      </c>
      <c r="H14" s="194"/>
      <c r="I14" s="194"/>
      <c r="J14" s="194"/>
      <c r="K14" s="194"/>
      <c r="L14" s="194"/>
    </row>
    <row r="15" spans="1:12" x14ac:dyDescent="0.25">
      <c r="A15" s="318" t="s">
        <v>1203</v>
      </c>
      <c r="B15" s="318"/>
      <c r="C15" s="319">
        <f>SUM(C6:C14)</f>
        <v>197523</v>
      </c>
      <c r="D15" s="318"/>
      <c r="E15" s="320">
        <f>SUM(E6:E14)</f>
        <v>152958.81000000003</v>
      </c>
      <c r="F15" s="320"/>
      <c r="G15" s="320">
        <f>SUM(G6:G14)</f>
        <v>44564.19</v>
      </c>
      <c r="H15" s="318"/>
      <c r="I15" s="321">
        <f>SUM(E15:H15)</f>
        <v>197523.00000000003</v>
      </c>
    </row>
    <row r="16" spans="1:12" x14ac:dyDescent="0.25">
      <c r="C16" s="257"/>
      <c r="F16" s="322">
        <f>SUM(E15/C15)</f>
        <v>0.77438480582008185</v>
      </c>
      <c r="H16" s="322">
        <f>SUM(G15/C15)</f>
        <v>0.22561519417991829</v>
      </c>
    </row>
    <row r="17" spans="1:12" x14ac:dyDescent="0.25">
      <c r="C17" s="257"/>
    </row>
    <row r="18" spans="1:12" x14ac:dyDescent="0.25">
      <c r="A18" t="s">
        <v>1204</v>
      </c>
      <c r="B18" t="s">
        <v>1205</v>
      </c>
      <c r="C18" s="257">
        <v>25000</v>
      </c>
      <c r="E18" s="306">
        <v>19359.62</v>
      </c>
      <c r="F18" s="306"/>
      <c r="G18" s="306">
        <f>+C18-E18</f>
        <v>5640.380000000001</v>
      </c>
      <c r="H18" s="158" t="s">
        <v>1206</v>
      </c>
      <c r="I18">
        <f>C18/C15</f>
        <v>0.12656753897014525</v>
      </c>
    </row>
    <row r="19" spans="1:12" x14ac:dyDescent="0.25">
      <c r="C19" s="306"/>
    </row>
    <row r="20" spans="1:12" ht="15.75" thickBot="1" x14ac:dyDescent="0.3">
      <c r="A20" s="323"/>
      <c r="B20" s="323"/>
      <c r="C20" s="324"/>
      <c r="D20" s="323"/>
      <c r="E20" s="323"/>
      <c r="F20" s="323"/>
      <c r="G20" s="323"/>
      <c r="H20" s="323"/>
      <c r="I20" s="323"/>
      <c r="J20" s="323"/>
      <c r="K20" s="323"/>
      <c r="L20" s="323"/>
    </row>
    <row r="21" spans="1:12" ht="15.75" thickTop="1" x14ac:dyDescent="0.25">
      <c r="A21" s="192" t="s">
        <v>273</v>
      </c>
      <c r="B21" s="192"/>
      <c r="C21" s="286">
        <f>SUM(C15:C18)</f>
        <v>222523</v>
      </c>
      <c r="D21" s="192"/>
      <c r="E21" s="325">
        <f>SUM(E18+E15)</f>
        <v>172318.43000000002</v>
      </c>
      <c r="F21" s="325"/>
      <c r="G21" s="325">
        <f>SUM(G18+G15)</f>
        <v>50204.570000000007</v>
      </c>
      <c r="I21" s="159">
        <f>SUM(E21:G21)</f>
        <v>222523.00000000003</v>
      </c>
    </row>
    <row r="22" spans="1:12" x14ac:dyDescent="0.25">
      <c r="C22" s="306"/>
    </row>
    <row r="23" spans="1:12" x14ac:dyDescent="0.25">
      <c r="A23" t="s">
        <v>1207</v>
      </c>
      <c r="C23" s="306">
        <f>+C21/12</f>
        <v>18543.583333333332</v>
      </c>
      <c r="E23" s="306">
        <f>+E21/12</f>
        <v>14359.869166666669</v>
      </c>
      <c r="G23" s="306">
        <f>+G21/12</f>
        <v>4183.7141666666676</v>
      </c>
    </row>
    <row r="24" spans="1:12" x14ac:dyDescent="0.25">
      <c r="C24" s="306"/>
    </row>
    <row r="25" spans="1:12" x14ac:dyDescent="0.25">
      <c r="A25" t="s">
        <v>1208</v>
      </c>
      <c r="C25" s="306"/>
      <c r="E25" s="159">
        <f>+E23*11</f>
        <v>157958.56083333335</v>
      </c>
    </row>
    <row r="26" spans="1:12" x14ac:dyDescent="0.25">
      <c r="A26" t="s">
        <v>1209</v>
      </c>
      <c r="C26" s="306"/>
      <c r="E26" s="291">
        <f>+'[2]Breakdown 2019-2020'!E30</f>
        <v>14292.335308785283</v>
      </c>
    </row>
    <row r="27" spans="1:12" x14ac:dyDescent="0.25">
      <c r="C27" s="306"/>
      <c r="E27" s="159">
        <f>SUM(E25:E26)</f>
        <v>172250.89614211864</v>
      </c>
    </row>
    <row r="28" spans="1:12" x14ac:dyDescent="0.25">
      <c r="A28" t="s">
        <v>1210</v>
      </c>
      <c r="C28" s="306"/>
      <c r="E28" s="291">
        <v>4373.5300000000007</v>
      </c>
    </row>
    <row r="29" spans="1:12" x14ac:dyDescent="0.25">
      <c r="C29" s="306"/>
      <c r="E29" s="159">
        <f>SUM(E27:E28)</f>
        <v>176624.42614211864</v>
      </c>
    </row>
    <row r="30" spans="1:12" x14ac:dyDescent="0.25">
      <c r="C30" s="306"/>
      <c r="E30" s="159"/>
    </row>
    <row r="31" spans="1:12" x14ac:dyDescent="0.25">
      <c r="A31" t="s">
        <v>1211</v>
      </c>
      <c r="C31" s="306"/>
      <c r="E31" s="291">
        <v>125975.5</v>
      </c>
    </row>
    <row r="32" spans="1:12" x14ac:dyDescent="0.25">
      <c r="A32" t="s">
        <v>1212</v>
      </c>
      <c r="C32" s="306"/>
      <c r="E32" s="159">
        <f>+E29-E31</f>
        <v>50648.926142118638</v>
      </c>
    </row>
  </sheetData>
  <mergeCells count="2">
    <mergeCell ref="A4:H4"/>
    <mergeCell ref="A1:I1"/>
  </mergeCells>
  <pageMargins left="0.25" right="0.25" top="0.75" bottom="0.75" header="0.3" footer="0.3"/>
  <pageSetup scale="91" fitToHeight="0" orientation="landscape" r:id="rId1"/>
  <headerFooter>
    <oddHeader>&amp;C&amp;"-,Bold"&amp;14Arrow Launch Service, Inc.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6F302E-B232-440F-A0B7-7EBE81324023}">
  <sheetPr>
    <pageSetUpPr fitToPage="1"/>
  </sheetPr>
  <dimension ref="A1:L25"/>
  <sheetViews>
    <sheetView tabSelected="1" workbookViewId="0">
      <selection activeCell="B7" sqref="B7"/>
    </sheetView>
  </sheetViews>
  <sheetFormatPr defaultRowHeight="15" x14ac:dyDescent="0.25"/>
  <cols>
    <col min="1" max="1" width="22.7109375" customWidth="1"/>
    <col min="2" max="2" width="21.140625" customWidth="1"/>
    <col min="3" max="3" width="14.28515625" bestFit="1" customWidth="1"/>
    <col min="4" max="4" width="8.42578125" customWidth="1"/>
    <col min="5" max="5" width="12.5703125" bestFit="1" customWidth="1"/>
    <col min="7" max="7" width="11.5703125" bestFit="1" customWidth="1"/>
    <col min="8" max="8" width="32.7109375" bestFit="1" customWidth="1"/>
    <col min="9" max="9" width="12.5703125" bestFit="1" customWidth="1"/>
  </cols>
  <sheetData>
    <row r="1" spans="1:12" ht="18.75" x14ac:dyDescent="0.3">
      <c r="A1" s="367" t="s">
        <v>1213</v>
      </c>
      <c r="B1" s="367"/>
      <c r="C1" s="367"/>
      <c r="D1" s="367"/>
      <c r="E1" s="367"/>
      <c r="F1" s="367"/>
      <c r="G1" s="367"/>
      <c r="H1" s="367"/>
      <c r="I1" s="367"/>
      <c r="J1" s="346"/>
    </row>
    <row r="2" spans="1:12" x14ac:dyDescent="0.25">
      <c r="C2" s="306"/>
    </row>
    <row r="3" spans="1:12" x14ac:dyDescent="0.25">
      <c r="B3" s="192"/>
      <c r="C3" s="286"/>
    </row>
    <row r="4" spans="1:12" ht="15.75" x14ac:dyDescent="0.25">
      <c r="A4" s="366" t="s">
        <v>1183</v>
      </c>
      <c r="B4" s="366"/>
      <c r="C4" s="366"/>
      <c r="D4" s="366"/>
      <c r="E4" s="366"/>
      <c r="F4" s="366"/>
      <c r="G4" s="366"/>
      <c r="H4" s="366"/>
      <c r="I4" s="345"/>
      <c r="J4" s="345"/>
      <c r="K4" s="345"/>
    </row>
    <row r="5" spans="1:12" x14ac:dyDescent="0.25">
      <c r="A5" s="198" t="s">
        <v>1184</v>
      </c>
      <c r="B5" s="198" t="s">
        <v>1185</v>
      </c>
      <c r="C5" s="306"/>
      <c r="E5" s="198" t="s">
        <v>1152</v>
      </c>
      <c r="F5" s="198"/>
      <c r="G5" s="198" t="s">
        <v>1186</v>
      </c>
      <c r="H5" s="344" t="s">
        <v>1187</v>
      </c>
      <c r="I5" s="344"/>
      <c r="J5" s="344"/>
      <c r="K5" s="344"/>
    </row>
    <row r="6" spans="1:12" x14ac:dyDescent="0.25">
      <c r="A6" t="s">
        <v>1188</v>
      </c>
      <c r="B6" t="s">
        <v>1262</v>
      </c>
      <c r="C6" s="306">
        <v>12750</v>
      </c>
      <c r="E6" s="159">
        <v>9945</v>
      </c>
      <c r="F6" s="159"/>
      <c r="G6" s="159">
        <f>+C6-E6</f>
        <v>2805</v>
      </c>
    </row>
    <row r="7" spans="1:12" x14ac:dyDescent="0.25">
      <c r="A7" t="s">
        <v>1189</v>
      </c>
      <c r="B7" t="s">
        <v>1190</v>
      </c>
      <c r="C7" s="306">
        <v>73299</v>
      </c>
      <c r="E7" s="159">
        <v>73299</v>
      </c>
      <c r="F7" s="159"/>
      <c r="G7" s="159">
        <f t="shared" ref="G7:G13" si="0">+C7-E7</f>
        <v>0</v>
      </c>
    </row>
    <row r="8" spans="1:12" x14ac:dyDescent="0.25">
      <c r="A8" t="s">
        <v>1191</v>
      </c>
      <c r="B8" t="s">
        <v>1192</v>
      </c>
      <c r="C8" s="257">
        <v>46228</v>
      </c>
      <c r="E8" s="257">
        <v>14728</v>
      </c>
      <c r="F8" s="257"/>
      <c r="G8" s="159">
        <f t="shared" si="0"/>
        <v>31500</v>
      </c>
      <c r="H8" s="313" t="s">
        <v>1193</v>
      </c>
      <c r="I8" s="313"/>
      <c r="J8" s="313"/>
      <c r="K8" s="313"/>
    </row>
    <row r="9" spans="1:12" x14ac:dyDescent="0.25">
      <c r="A9" t="s">
        <v>1194</v>
      </c>
      <c r="B9" t="s">
        <v>189</v>
      </c>
      <c r="C9" s="306">
        <v>13041</v>
      </c>
      <c r="E9" s="257">
        <v>10171.98</v>
      </c>
      <c r="F9" s="257"/>
      <c r="G9" s="159">
        <f t="shared" si="0"/>
        <v>2869.0200000000004</v>
      </c>
    </row>
    <row r="10" spans="1:12" x14ac:dyDescent="0.25">
      <c r="A10" t="s">
        <v>1098</v>
      </c>
      <c r="B10" t="s">
        <v>1195</v>
      </c>
      <c r="C10" s="306">
        <v>25988</v>
      </c>
      <c r="D10" s="159"/>
      <c r="E10" s="257">
        <v>17325.400000000001</v>
      </c>
      <c r="F10" s="257"/>
      <c r="G10" s="159">
        <f t="shared" si="0"/>
        <v>8662.5999999999985</v>
      </c>
      <c r="H10" s="313" t="s">
        <v>1214</v>
      </c>
      <c r="I10" s="313"/>
      <c r="J10" s="313"/>
      <c r="K10" s="313"/>
      <c r="L10" s="159"/>
    </row>
    <row r="11" spans="1:12" x14ac:dyDescent="0.25">
      <c r="A11" t="s">
        <v>1197</v>
      </c>
      <c r="B11" t="s">
        <v>1198</v>
      </c>
      <c r="C11" s="306">
        <v>8500</v>
      </c>
      <c r="E11" s="306">
        <v>8500</v>
      </c>
      <c r="F11" s="306"/>
      <c r="G11" s="159">
        <f t="shared" si="0"/>
        <v>0</v>
      </c>
    </row>
    <row r="12" spans="1:12" x14ac:dyDescent="0.25">
      <c r="A12" t="s">
        <v>1199</v>
      </c>
      <c r="B12" t="s">
        <v>1200</v>
      </c>
      <c r="C12" s="306">
        <v>9045</v>
      </c>
      <c r="E12" s="306">
        <v>5989</v>
      </c>
      <c r="F12" s="306"/>
      <c r="G12" s="159">
        <f t="shared" si="0"/>
        <v>3056</v>
      </c>
    </row>
    <row r="13" spans="1:12" x14ac:dyDescent="0.25">
      <c r="A13" t="s">
        <v>1201</v>
      </c>
      <c r="B13" t="s">
        <v>189</v>
      </c>
      <c r="C13" s="306">
        <v>10689</v>
      </c>
      <c r="E13" s="306">
        <v>8337.42</v>
      </c>
      <c r="F13" s="306"/>
      <c r="G13" s="159">
        <f t="shared" si="0"/>
        <v>2351.58</v>
      </c>
    </row>
    <row r="14" spans="1:12" x14ac:dyDescent="0.25">
      <c r="A14" s="194" t="s">
        <v>1202</v>
      </c>
      <c r="B14" s="194" t="s">
        <v>1200</v>
      </c>
      <c r="C14" s="289">
        <v>2435</v>
      </c>
      <c r="D14" s="194"/>
      <c r="E14" s="289">
        <v>2297.9699999999998</v>
      </c>
      <c r="F14" s="289"/>
      <c r="G14" s="289">
        <f>+C14-E14</f>
        <v>137.0300000000002</v>
      </c>
      <c r="H14" s="194"/>
      <c r="I14" s="194"/>
      <c r="J14" s="194"/>
      <c r="K14" s="194"/>
      <c r="L14" s="194"/>
    </row>
    <row r="15" spans="1:12" x14ac:dyDescent="0.25">
      <c r="A15" s="318" t="s">
        <v>1203</v>
      </c>
      <c r="B15" s="318"/>
      <c r="C15" s="320">
        <f>SUM(C6:C14)</f>
        <v>201975</v>
      </c>
      <c r="D15" s="318"/>
      <c r="E15" s="320">
        <f>SUM(E6:E14)</f>
        <v>150593.77000000002</v>
      </c>
      <c r="F15" s="320"/>
      <c r="G15" s="320">
        <f>SUM(G6:G14)</f>
        <v>51381.23</v>
      </c>
      <c r="H15" s="318"/>
      <c r="I15" s="321">
        <f>SUM(E15:H15)</f>
        <v>201975.00000000003</v>
      </c>
    </row>
    <row r="16" spans="1:12" x14ac:dyDescent="0.25">
      <c r="C16" s="306"/>
      <c r="F16" s="322">
        <f>SUM(E15/C15)</f>
        <v>0.74560599084045065</v>
      </c>
      <c r="H16" s="322">
        <f>SUM(G15/C15)</f>
        <v>0.25439400915954946</v>
      </c>
    </row>
    <row r="17" spans="1:12" x14ac:dyDescent="0.25">
      <c r="C17" s="306"/>
    </row>
    <row r="18" spans="1:12" x14ac:dyDescent="0.25">
      <c r="A18" t="s">
        <v>1204</v>
      </c>
      <c r="B18" t="s">
        <v>1205</v>
      </c>
      <c r="C18" s="306">
        <v>28050</v>
      </c>
      <c r="E18" s="306">
        <f>I18*E15</f>
        <v>20914.24804307464</v>
      </c>
      <c r="F18" s="306"/>
      <c r="G18" s="306">
        <f>I18*G15</f>
        <v>7135.7519569253627</v>
      </c>
      <c r="I18">
        <f>C18/C15</f>
        <v>0.13887857408095061</v>
      </c>
    </row>
    <row r="19" spans="1:12" x14ac:dyDescent="0.25">
      <c r="C19" s="306"/>
    </row>
    <row r="20" spans="1:12" ht="15.75" thickBot="1" x14ac:dyDescent="0.3">
      <c r="A20" s="323"/>
      <c r="B20" s="323"/>
      <c r="C20" s="324"/>
      <c r="D20" s="323"/>
      <c r="E20" s="323"/>
      <c r="F20" s="323"/>
      <c r="G20" s="323"/>
      <c r="H20" s="323"/>
      <c r="I20" s="323"/>
      <c r="J20" s="323"/>
      <c r="K20" s="323"/>
      <c r="L20" s="323"/>
    </row>
    <row r="21" spans="1:12" ht="15.75" thickTop="1" x14ac:dyDescent="0.25">
      <c r="A21" s="192" t="s">
        <v>273</v>
      </c>
      <c r="B21" s="192"/>
      <c r="C21" s="286">
        <f>SUM(C15:C18)</f>
        <v>230025</v>
      </c>
      <c r="D21" s="192"/>
      <c r="E21" s="325">
        <f>SUM(E18+E15)</f>
        <v>171508.01804307467</v>
      </c>
      <c r="F21" s="325"/>
      <c r="G21" s="325">
        <f>SUM(G18+G15)</f>
        <v>58516.981956925367</v>
      </c>
      <c r="I21" s="159">
        <f>SUM(E21:G21)</f>
        <v>230025.00000000003</v>
      </c>
    </row>
    <row r="22" spans="1:12" x14ac:dyDescent="0.25">
      <c r="C22" s="306"/>
    </row>
    <row r="23" spans="1:12" x14ac:dyDescent="0.25">
      <c r="A23" t="s">
        <v>1207</v>
      </c>
      <c r="C23" s="306">
        <f>+C21/12</f>
        <v>19168.75</v>
      </c>
      <c r="E23" s="306">
        <f>+E21/12</f>
        <v>14292.33483692289</v>
      </c>
      <c r="G23" s="306">
        <f>+G21/12</f>
        <v>4876.4151630771139</v>
      </c>
    </row>
    <row r="24" spans="1:12" x14ac:dyDescent="0.25">
      <c r="C24" s="306"/>
    </row>
    <row r="25" spans="1:12" x14ac:dyDescent="0.25">
      <c r="C25" s="306"/>
    </row>
  </sheetData>
  <mergeCells count="2">
    <mergeCell ref="A1:I1"/>
    <mergeCell ref="A4:H4"/>
  </mergeCells>
  <pageMargins left="0.25" right="0.25" top="0.75" bottom="0.75" header="0.3" footer="0.3"/>
  <pageSetup scale="92" fitToHeight="0" orientation="landscape" r:id="rId1"/>
  <headerFooter>
    <oddHeader>&amp;C&amp;"-,Bold"&amp;14Arrow Launch Service, Inc.</oddHeader>
    <oddFooter>&amp;L&amp;D&amp;C&amp;F     &amp;A&amp;RPage &amp;P of &amp;N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906739-3214-4073-9CF7-D2500680D82E}">
  <sheetPr>
    <pageSetUpPr fitToPage="1"/>
  </sheetPr>
  <dimension ref="A1:I40"/>
  <sheetViews>
    <sheetView workbookViewId="0">
      <selection activeCell="J18" sqref="J18"/>
    </sheetView>
  </sheetViews>
  <sheetFormatPr defaultRowHeight="15" x14ac:dyDescent="0.25"/>
  <cols>
    <col min="2" max="2" width="26.140625" bestFit="1" customWidth="1"/>
    <col min="4" max="4" width="16.42578125" bestFit="1" customWidth="1"/>
    <col min="5" max="5" width="70.28515625" bestFit="1" customWidth="1"/>
    <col min="6" max="6" width="12" customWidth="1"/>
    <col min="7" max="7" width="12" bestFit="1" customWidth="1"/>
    <col min="8" max="8" width="12" customWidth="1"/>
    <col min="9" max="9" width="35.42578125" bestFit="1" customWidth="1"/>
  </cols>
  <sheetData>
    <row r="1" spans="1:9" ht="15.75" x14ac:dyDescent="0.25">
      <c r="A1" s="326" t="s">
        <v>650</v>
      </c>
      <c r="B1" s="326" t="s">
        <v>651</v>
      </c>
      <c r="C1" s="326" t="s">
        <v>652</v>
      </c>
      <c r="D1" s="326" t="s">
        <v>653</v>
      </c>
      <c r="E1" s="326" t="s">
        <v>655</v>
      </c>
      <c r="F1" s="327" t="s">
        <v>656</v>
      </c>
      <c r="G1" s="327" t="s">
        <v>657</v>
      </c>
      <c r="H1" s="216" t="s">
        <v>907</v>
      </c>
    </row>
    <row r="2" spans="1:9" x14ac:dyDescent="0.25">
      <c r="A2" s="328" t="s">
        <v>1215</v>
      </c>
      <c r="B2" s="328" t="s">
        <v>113</v>
      </c>
      <c r="C2" s="329">
        <v>43405</v>
      </c>
      <c r="D2" s="328" t="s">
        <v>973</v>
      </c>
      <c r="E2" s="328" t="s">
        <v>1216</v>
      </c>
      <c r="F2" s="330">
        <v>35608.199999999997</v>
      </c>
      <c r="G2" s="330"/>
      <c r="H2" s="330"/>
    </row>
    <row r="3" spans="1:9" x14ac:dyDescent="0.25">
      <c r="A3" s="328" t="s">
        <v>1215</v>
      </c>
      <c r="B3" s="328" t="s">
        <v>113</v>
      </c>
      <c r="C3" s="329">
        <v>43434</v>
      </c>
      <c r="D3" s="328" t="s">
        <v>1217</v>
      </c>
      <c r="E3" s="328" t="s">
        <v>838</v>
      </c>
      <c r="F3" s="330">
        <v>326.23</v>
      </c>
      <c r="I3" s="331" t="s">
        <v>1218</v>
      </c>
    </row>
    <row r="4" spans="1:9" x14ac:dyDescent="0.25">
      <c r="A4" s="328" t="s">
        <v>1215</v>
      </c>
      <c r="B4" s="328" t="s">
        <v>113</v>
      </c>
      <c r="C4" s="329">
        <v>43437</v>
      </c>
      <c r="D4" s="328" t="s">
        <v>1219</v>
      </c>
      <c r="E4" s="328" t="s">
        <v>973</v>
      </c>
      <c r="F4" s="330"/>
      <c r="G4" s="330">
        <v>5934.7</v>
      </c>
      <c r="H4" s="330"/>
    </row>
    <row r="5" spans="1:9" x14ac:dyDescent="0.25">
      <c r="A5" s="328" t="s">
        <v>1215</v>
      </c>
      <c r="B5" s="328" t="s">
        <v>113</v>
      </c>
      <c r="C5" s="329">
        <v>43438</v>
      </c>
      <c r="D5" s="328" t="s">
        <v>1220</v>
      </c>
      <c r="E5" s="328" t="s">
        <v>1216</v>
      </c>
      <c r="F5" s="330">
        <v>11869.4</v>
      </c>
      <c r="G5" s="330"/>
      <c r="H5" s="330"/>
    </row>
    <row r="6" spans="1:9" x14ac:dyDescent="0.25">
      <c r="A6" s="328" t="s">
        <v>1215</v>
      </c>
      <c r="B6" s="328" t="s">
        <v>113</v>
      </c>
      <c r="C6" s="329">
        <v>43467</v>
      </c>
      <c r="D6" s="328" t="s">
        <v>1221</v>
      </c>
      <c r="E6" s="328" t="s">
        <v>1222</v>
      </c>
      <c r="F6" s="330">
        <v>850</v>
      </c>
      <c r="G6" s="330"/>
      <c r="H6" s="330"/>
    </row>
    <row r="7" spans="1:9" x14ac:dyDescent="0.25">
      <c r="A7" s="328" t="s">
        <v>1215</v>
      </c>
      <c r="B7" s="328" t="s">
        <v>113</v>
      </c>
      <c r="C7" s="329">
        <v>43476</v>
      </c>
      <c r="D7" s="328" t="s">
        <v>1223</v>
      </c>
      <c r="E7" s="328" t="s">
        <v>1216</v>
      </c>
      <c r="F7" s="330">
        <v>11869.4</v>
      </c>
      <c r="G7" s="330"/>
      <c r="H7" s="330"/>
    </row>
    <row r="8" spans="1:9" x14ac:dyDescent="0.25">
      <c r="A8" s="328" t="s">
        <v>1215</v>
      </c>
      <c r="B8" s="328" t="s">
        <v>113</v>
      </c>
      <c r="C8" s="329">
        <v>43483</v>
      </c>
      <c r="D8" s="328" t="s">
        <v>973</v>
      </c>
      <c r="E8" s="328" t="s">
        <v>1224</v>
      </c>
      <c r="F8" s="330"/>
      <c r="G8" s="330">
        <v>11842</v>
      </c>
      <c r="H8" s="330"/>
    </row>
    <row r="9" spans="1:9" x14ac:dyDescent="0.25">
      <c r="A9" s="328" t="s">
        <v>1215</v>
      </c>
      <c r="B9" s="328" t="s">
        <v>113</v>
      </c>
      <c r="C9" s="329">
        <v>43507</v>
      </c>
      <c r="D9" s="328" t="s">
        <v>1225</v>
      </c>
      <c r="E9" s="328" t="s">
        <v>1216</v>
      </c>
      <c r="F9" s="330">
        <v>11869.4</v>
      </c>
      <c r="G9" s="330"/>
      <c r="H9" s="330"/>
    </row>
    <row r="10" spans="1:9" x14ac:dyDescent="0.25">
      <c r="A10" s="328" t="s">
        <v>1215</v>
      </c>
      <c r="B10" s="328" t="s">
        <v>113</v>
      </c>
      <c r="C10" s="329">
        <v>43515</v>
      </c>
      <c r="D10" s="328" t="s">
        <v>1226</v>
      </c>
      <c r="E10" s="328" t="s">
        <v>1227</v>
      </c>
      <c r="F10" s="330">
        <v>634.49</v>
      </c>
      <c r="G10" s="330"/>
      <c r="H10" s="330"/>
    </row>
    <row r="11" spans="1:9" x14ac:dyDescent="0.25">
      <c r="A11" s="328" t="s">
        <v>1215</v>
      </c>
      <c r="B11" s="328" t="s">
        <v>113</v>
      </c>
      <c r="C11" s="329">
        <v>43524</v>
      </c>
      <c r="D11" s="328" t="s">
        <v>973</v>
      </c>
      <c r="E11" s="328" t="s">
        <v>973</v>
      </c>
      <c r="F11" s="330"/>
      <c r="G11" s="330">
        <v>716</v>
      </c>
      <c r="H11" s="330"/>
    </row>
    <row r="12" spans="1:9" x14ac:dyDescent="0.25">
      <c r="A12" s="328" t="s">
        <v>1215</v>
      </c>
      <c r="B12" s="328" t="s">
        <v>113</v>
      </c>
      <c r="C12" s="329">
        <v>43535</v>
      </c>
      <c r="D12" s="328" t="s">
        <v>1228</v>
      </c>
      <c r="E12" s="328" t="s">
        <v>1216</v>
      </c>
      <c r="F12" s="330">
        <v>11869.4</v>
      </c>
      <c r="G12" s="330"/>
      <c r="H12" s="330"/>
    </row>
    <row r="13" spans="1:9" x14ac:dyDescent="0.25">
      <c r="A13" s="328" t="s">
        <v>1215</v>
      </c>
      <c r="B13" s="328" t="s">
        <v>113</v>
      </c>
      <c r="C13" s="329">
        <v>43564</v>
      </c>
      <c r="D13" s="328" t="s">
        <v>1229</v>
      </c>
      <c r="E13" s="328" t="s">
        <v>1216</v>
      </c>
      <c r="F13" s="330">
        <v>11869.4</v>
      </c>
      <c r="G13" s="330"/>
      <c r="H13" s="330"/>
    </row>
    <row r="14" spans="1:9" x14ac:dyDescent="0.25">
      <c r="A14" s="328" t="s">
        <v>1215</v>
      </c>
      <c r="B14" s="328" t="s">
        <v>113</v>
      </c>
      <c r="C14" s="329">
        <v>43585</v>
      </c>
      <c r="D14" s="328" t="s">
        <v>1230</v>
      </c>
      <c r="E14" s="328" t="s">
        <v>1231</v>
      </c>
      <c r="F14" s="330">
        <v>500</v>
      </c>
      <c r="G14" s="330"/>
      <c r="H14" s="330"/>
    </row>
    <row r="15" spans="1:9" x14ac:dyDescent="0.25">
      <c r="A15" s="328" t="s">
        <v>1215</v>
      </c>
      <c r="B15" s="328" t="s">
        <v>113</v>
      </c>
      <c r="C15" s="329">
        <v>43595</v>
      </c>
      <c r="D15" s="328" t="s">
        <v>1232</v>
      </c>
      <c r="E15" s="328" t="s">
        <v>1216</v>
      </c>
      <c r="F15" s="330">
        <v>11785.7</v>
      </c>
      <c r="G15" s="330"/>
      <c r="H15" s="330"/>
    </row>
    <row r="16" spans="1:9" x14ac:dyDescent="0.25">
      <c r="A16" s="328" t="s">
        <v>1215</v>
      </c>
      <c r="B16" s="328" t="s">
        <v>113</v>
      </c>
      <c r="C16" s="329">
        <v>43598</v>
      </c>
      <c r="D16" s="328" t="s">
        <v>1233</v>
      </c>
      <c r="E16" s="328" t="s">
        <v>1234</v>
      </c>
      <c r="F16" s="330">
        <v>500</v>
      </c>
      <c r="G16" s="330"/>
      <c r="H16" s="330"/>
    </row>
    <row r="17" spans="1:9" x14ac:dyDescent="0.25">
      <c r="A17" s="328" t="s">
        <v>1215</v>
      </c>
      <c r="B17" s="328" t="s">
        <v>113</v>
      </c>
      <c r="C17" s="329">
        <v>43616</v>
      </c>
      <c r="D17" s="328" t="s">
        <v>1235</v>
      </c>
      <c r="E17" s="328" t="s">
        <v>838</v>
      </c>
      <c r="F17" s="330">
        <v>4834.62</v>
      </c>
      <c r="I17" s="331" t="s">
        <v>1236</v>
      </c>
    </row>
    <row r="18" spans="1:9" x14ac:dyDescent="0.25">
      <c r="A18" s="328" t="s">
        <v>1215</v>
      </c>
      <c r="B18" s="328" t="s">
        <v>113</v>
      </c>
      <c r="C18" s="329">
        <v>43646</v>
      </c>
      <c r="D18" s="328" t="s">
        <v>1237</v>
      </c>
      <c r="E18" s="328" t="s">
        <v>838</v>
      </c>
      <c r="F18" s="330">
        <v>2246.86</v>
      </c>
      <c r="I18" s="331" t="s">
        <v>1238</v>
      </c>
    </row>
    <row r="19" spans="1:9" x14ac:dyDescent="0.25">
      <c r="A19" s="328" t="s">
        <v>1215</v>
      </c>
      <c r="B19" s="328" t="s">
        <v>113</v>
      </c>
      <c r="C19" s="329">
        <v>43738</v>
      </c>
      <c r="D19" s="328" t="s">
        <v>1239</v>
      </c>
      <c r="E19" s="328" t="s">
        <v>838</v>
      </c>
      <c r="F19" s="330">
        <v>388.09</v>
      </c>
      <c r="I19" s="331" t="s">
        <v>1218</v>
      </c>
    </row>
    <row r="20" spans="1:9" x14ac:dyDescent="0.25">
      <c r="A20" s="328" t="s">
        <v>1240</v>
      </c>
      <c r="B20" s="328" t="s">
        <v>114</v>
      </c>
      <c r="C20" s="329">
        <v>43411</v>
      </c>
      <c r="D20" s="328" t="s">
        <v>1241</v>
      </c>
      <c r="E20" s="328" t="s">
        <v>1242</v>
      </c>
      <c r="F20" s="330">
        <v>4486.55</v>
      </c>
      <c r="G20" s="330"/>
      <c r="H20" s="330"/>
    </row>
    <row r="21" spans="1:9" x14ac:dyDescent="0.25">
      <c r="A21" s="328" t="s">
        <v>1240</v>
      </c>
      <c r="B21" s="328" t="s">
        <v>114</v>
      </c>
      <c r="C21" s="329">
        <v>43467</v>
      </c>
      <c r="D21" s="328" t="s">
        <v>1243</v>
      </c>
      <c r="E21" s="328" t="s">
        <v>1244</v>
      </c>
      <c r="F21" s="330">
        <v>4268.1400000000003</v>
      </c>
      <c r="G21" s="330"/>
      <c r="H21" s="330"/>
    </row>
    <row r="22" spans="1:9" x14ac:dyDescent="0.25">
      <c r="A22" s="328" t="s">
        <v>1240</v>
      </c>
      <c r="B22" s="328" t="s">
        <v>114</v>
      </c>
      <c r="C22" s="329">
        <v>43556</v>
      </c>
      <c r="D22" s="328" t="s">
        <v>1245</v>
      </c>
      <c r="E22" s="328" t="s">
        <v>1246</v>
      </c>
      <c r="F22" s="330">
        <v>5583.91</v>
      </c>
      <c r="G22" s="330"/>
      <c r="H22" s="330"/>
    </row>
    <row r="23" spans="1:9" x14ac:dyDescent="0.25">
      <c r="A23" s="328" t="s">
        <v>1240</v>
      </c>
      <c r="B23" s="328" t="s">
        <v>114</v>
      </c>
      <c r="C23" s="329">
        <v>43586</v>
      </c>
      <c r="D23" s="328" t="s">
        <v>1247</v>
      </c>
      <c r="E23" s="328" t="s">
        <v>1242</v>
      </c>
      <c r="F23" s="330">
        <v>5583.91</v>
      </c>
      <c r="G23" s="330"/>
      <c r="H23" s="330"/>
    </row>
    <row r="24" spans="1:9" x14ac:dyDescent="0.25">
      <c r="A24" s="328" t="s">
        <v>1240</v>
      </c>
      <c r="B24" s="328" t="s">
        <v>114</v>
      </c>
      <c r="C24" s="329">
        <v>43621</v>
      </c>
      <c r="D24" s="328" t="s">
        <v>1248</v>
      </c>
      <c r="E24" s="328" t="s">
        <v>1242</v>
      </c>
      <c r="F24" s="330">
        <v>5583.91</v>
      </c>
      <c r="G24" s="330"/>
      <c r="H24" s="330"/>
    </row>
    <row r="25" spans="1:9" x14ac:dyDescent="0.25">
      <c r="A25" s="328" t="s">
        <v>1240</v>
      </c>
      <c r="B25" s="328" t="s">
        <v>114</v>
      </c>
      <c r="C25" s="329">
        <v>43654</v>
      </c>
      <c r="D25" s="328" t="s">
        <v>1249</v>
      </c>
      <c r="E25" s="328" t="s">
        <v>1242</v>
      </c>
      <c r="F25" s="330">
        <v>5862.86</v>
      </c>
      <c r="G25" s="330"/>
      <c r="H25" s="330"/>
    </row>
    <row r="26" spans="1:9" x14ac:dyDescent="0.25">
      <c r="A26" s="328" t="s">
        <v>1240</v>
      </c>
      <c r="B26" s="328" t="s">
        <v>114</v>
      </c>
      <c r="C26" s="329">
        <v>43672</v>
      </c>
      <c r="D26" s="328" t="s">
        <v>1250</v>
      </c>
      <c r="E26" s="328" t="s">
        <v>1251</v>
      </c>
      <c r="F26" s="330"/>
      <c r="G26" s="330">
        <v>500</v>
      </c>
      <c r="H26" s="330"/>
    </row>
    <row r="27" spans="1:9" x14ac:dyDescent="0.25">
      <c r="A27" s="328" t="s">
        <v>1252</v>
      </c>
      <c r="B27" s="328" t="s">
        <v>116</v>
      </c>
      <c r="C27" s="329">
        <v>43426</v>
      </c>
      <c r="D27" s="328" t="s">
        <v>1253</v>
      </c>
      <c r="E27" s="328" t="s">
        <v>1254</v>
      </c>
      <c r="F27" s="330">
        <v>575.86</v>
      </c>
      <c r="I27" s="331" t="s">
        <v>1218</v>
      </c>
    </row>
    <row r="28" spans="1:9" x14ac:dyDescent="0.25">
      <c r="A28" s="328" t="s">
        <v>1252</v>
      </c>
      <c r="B28" s="328" t="s">
        <v>116</v>
      </c>
      <c r="C28" s="329">
        <v>43515</v>
      </c>
      <c r="D28" s="328" t="s">
        <v>1226</v>
      </c>
      <c r="E28" s="328" t="s">
        <v>1227</v>
      </c>
      <c r="F28" s="330">
        <v>399.88</v>
      </c>
      <c r="I28" s="331" t="s">
        <v>1218</v>
      </c>
    </row>
    <row r="29" spans="1:9" x14ac:dyDescent="0.25">
      <c r="A29" s="328" t="s">
        <v>1252</v>
      </c>
      <c r="B29" s="328" t="s">
        <v>116</v>
      </c>
      <c r="C29" s="329">
        <v>43546</v>
      </c>
      <c r="D29" s="328" t="s">
        <v>1255</v>
      </c>
      <c r="E29" s="328" t="s">
        <v>1256</v>
      </c>
      <c r="F29" s="330">
        <v>436.61</v>
      </c>
      <c r="I29" s="331" t="s">
        <v>1218</v>
      </c>
    </row>
    <row r="30" spans="1:9" x14ac:dyDescent="0.25">
      <c r="F30" s="237">
        <f>SUM(F2:F29)</f>
        <v>149802.81999999995</v>
      </c>
      <c r="G30" s="237">
        <f>SUM(G2:G29)</f>
        <v>18992.7</v>
      </c>
      <c r="H30" s="234">
        <f>+F30-G30</f>
        <v>130810.11999999995</v>
      </c>
    </row>
    <row r="31" spans="1:9" x14ac:dyDescent="0.25">
      <c r="A31" s="328" t="s">
        <v>1257</v>
      </c>
      <c r="F31" s="332">
        <v>-4834.62</v>
      </c>
      <c r="G31" s="332"/>
      <c r="H31" s="332">
        <v>-4834.62</v>
      </c>
      <c r="I31" s="234"/>
    </row>
    <row r="32" spans="1:9" x14ac:dyDescent="0.25">
      <c r="F32" s="234">
        <f t="shared" ref="F32:H32" si="0">SUM(F30:F31)</f>
        <v>144968.19999999995</v>
      </c>
      <c r="G32" s="234">
        <f t="shared" si="0"/>
        <v>18992.7</v>
      </c>
      <c r="H32" s="234">
        <f t="shared" si="0"/>
        <v>125975.49999999996</v>
      </c>
    </row>
    <row r="35" spans="1:6" x14ac:dyDescent="0.25">
      <c r="A35" s="310" t="str">
        <f>+A18</f>
        <v>58300</v>
      </c>
      <c r="B35" t="s">
        <v>1258</v>
      </c>
      <c r="F35" s="237">
        <f>SUM(F2:F19)-SUM(G2:G19)</f>
        <v>98528.489999999991</v>
      </c>
    </row>
    <row r="36" spans="1:6" x14ac:dyDescent="0.25">
      <c r="A36" s="310" t="str">
        <f>+A20</f>
        <v>58500</v>
      </c>
      <c r="B36" t="s">
        <v>1258</v>
      </c>
      <c r="F36" s="43">
        <f>SUM(F20:F26)-G26</f>
        <v>30869.280000000002</v>
      </c>
    </row>
    <row r="37" spans="1:6" x14ac:dyDescent="0.25">
      <c r="A37" s="310" t="str">
        <f>+A27</f>
        <v>58700</v>
      </c>
      <c r="B37" t="s">
        <v>1258</v>
      </c>
      <c r="F37" s="332">
        <f>SUM(F27:F29)</f>
        <v>1412.35</v>
      </c>
    </row>
    <row r="38" spans="1:6" x14ac:dyDescent="0.25">
      <c r="F38" s="237">
        <f>SUM(F35:F37)</f>
        <v>130810.12</v>
      </c>
    </row>
    <row r="39" spans="1:6" x14ac:dyDescent="0.25">
      <c r="A39" t="s">
        <v>1259</v>
      </c>
      <c r="F39" s="332">
        <f>+F31</f>
        <v>-4834.62</v>
      </c>
    </row>
    <row r="40" spans="1:6" x14ac:dyDescent="0.25">
      <c r="F40" s="237">
        <f>SUM(F38:F39)</f>
        <v>125975.5</v>
      </c>
    </row>
  </sheetData>
  <pageMargins left="0.25" right="0.2" top="1.5" bottom="0.75" header="0.3" footer="0.3"/>
  <pageSetup scale="66" fitToHeight="0" orientation="landscape" r:id="rId1"/>
  <headerFooter>
    <oddHeader>&amp;C&amp;"-,Bold"&amp;14Arrow Launch Service, Inc. 
General Ledger
Insurance 
10/1/18 - 9/30/19</oddHeader>
    <oddFooter>&amp;L&amp;D&amp;C&amp;F     &amp;A&amp;RPage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2D1530-44A1-47C1-994E-3DFA0C48E3BD}">
  <sheetPr>
    <pageSetUpPr fitToPage="1"/>
  </sheetPr>
  <dimension ref="A1:M72"/>
  <sheetViews>
    <sheetView workbookViewId="0">
      <selection activeCell="A6" sqref="A6:M69"/>
    </sheetView>
  </sheetViews>
  <sheetFormatPr defaultRowHeight="15" x14ac:dyDescent="0.25"/>
  <cols>
    <col min="2" max="2" width="33.7109375" bestFit="1" customWidth="1"/>
    <col min="3" max="3" width="14.42578125" customWidth="1"/>
    <col min="4" max="4" width="12" customWidth="1"/>
    <col min="5" max="7" width="13.7109375" customWidth="1"/>
    <col min="8" max="8" width="12" customWidth="1"/>
    <col min="9" max="9" width="23" customWidth="1"/>
    <col min="10" max="10" width="14.42578125" customWidth="1"/>
    <col min="11" max="11" width="13.42578125" customWidth="1"/>
    <col min="12" max="12" width="15.85546875" customWidth="1"/>
    <col min="13" max="13" width="14.85546875" customWidth="1"/>
  </cols>
  <sheetData>
    <row r="1" spans="1:13" ht="18.75" x14ac:dyDescent="0.3">
      <c r="A1" s="19" t="s">
        <v>158</v>
      </c>
      <c r="B1" s="19"/>
      <c r="C1" s="19"/>
      <c r="D1" s="19"/>
      <c r="E1" s="19"/>
      <c r="F1" s="19"/>
      <c r="G1" s="19"/>
      <c r="H1" s="19"/>
      <c r="I1" s="19"/>
      <c r="J1" s="19"/>
    </row>
    <row r="2" spans="1:13" ht="18.75" x14ac:dyDescent="0.3">
      <c r="A2" s="19" t="s">
        <v>159</v>
      </c>
      <c r="B2" s="19"/>
      <c r="C2" s="19"/>
      <c r="D2" s="19"/>
      <c r="E2" s="19"/>
      <c r="F2" s="19"/>
      <c r="G2" s="19"/>
      <c r="H2" s="19"/>
      <c r="I2" s="19"/>
      <c r="J2" s="19"/>
    </row>
    <row r="3" spans="1:13" ht="18.75" x14ac:dyDescent="0.3">
      <c r="A3" s="19" t="s">
        <v>219</v>
      </c>
      <c r="B3" s="19"/>
      <c r="C3" s="19"/>
      <c r="D3" s="19"/>
      <c r="E3" s="19"/>
      <c r="F3" s="19"/>
      <c r="G3" s="19"/>
      <c r="H3" s="19"/>
      <c r="I3" s="19"/>
      <c r="J3" s="19"/>
    </row>
    <row r="4" spans="1:13" ht="72" x14ac:dyDescent="0.25">
      <c r="B4" s="20" t="s">
        <v>160</v>
      </c>
      <c r="C4" s="21" t="s">
        <v>161</v>
      </c>
      <c r="D4" s="259" t="s">
        <v>649</v>
      </c>
      <c r="E4" s="260"/>
      <c r="F4" s="44" t="s">
        <v>1120</v>
      </c>
      <c r="G4" s="45"/>
      <c r="H4" s="238" t="s">
        <v>148</v>
      </c>
      <c r="I4" s="261" t="s">
        <v>162</v>
      </c>
      <c r="J4" s="240" t="s">
        <v>163</v>
      </c>
      <c r="K4" s="239" t="s">
        <v>153</v>
      </c>
      <c r="L4" s="333" t="s">
        <v>1260</v>
      </c>
      <c r="M4" s="334" t="s">
        <v>1261</v>
      </c>
    </row>
    <row r="5" spans="1:13" ht="18.75" x14ac:dyDescent="0.3">
      <c r="A5" s="22" t="s">
        <v>164</v>
      </c>
      <c r="B5" s="23" t="s">
        <v>165</v>
      </c>
      <c r="C5" s="23" t="s">
        <v>166</v>
      </c>
      <c r="D5" s="46" t="s">
        <v>167</v>
      </c>
      <c r="E5" s="46"/>
      <c r="F5" s="46" t="s">
        <v>168</v>
      </c>
      <c r="G5" s="46"/>
      <c r="H5" s="24" t="s">
        <v>169</v>
      </c>
      <c r="I5" s="23" t="s">
        <v>170</v>
      </c>
      <c r="J5" s="23" t="s">
        <v>171</v>
      </c>
      <c r="K5" s="23" t="s">
        <v>1121</v>
      </c>
      <c r="L5" s="23" t="s">
        <v>1129</v>
      </c>
      <c r="M5" s="23" t="s">
        <v>1130</v>
      </c>
    </row>
    <row r="6" spans="1:13" ht="18.75" x14ac:dyDescent="0.3">
      <c r="A6" s="19"/>
      <c r="B6" s="25"/>
      <c r="C6" s="25"/>
      <c r="D6" s="25"/>
      <c r="E6" s="25"/>
      <c r="F6" s="25"/>
      <c r="G6" s="25"/>
      <c r="H6" s="25"/>
      <c r="I6" s="26"/>
      <c r="J6" s="25"/>
      <c r="K6" s="25"/>
    </row>
    <row r="7" spans="1:13" ht="15.75" x14ac:dyDescent="0.25">
      <c r="A7" s="262">
        <v>7</v>
      </c>
      <c r="B7" s="263" t="s">
        <v>172</v>
      </c>
      <c r="C7" s="264">
        <f>+'ALS Income'!G52</f>
        <v>2962341.5</v>
      </c>
      <c r="D7" s="264"/>
      <c r="E7" s="264"/>
      <c r="F7" s="264"/>
      <c r="G7" s="264"/>
      <c r="H7" s="264">
        <f t="shared" ref="H7:H13" si="0">+C7</f>
        <v>2962341.5</v>
      </c>
      <c r="I7" s="241" t="s">
        <v>173</v>
      </c>
      <c r="J7" s="264"/>
      <c r="K7" s="264">
        <f>+H7</f>
        <v>2962341.5</v>
      </c>
      <c r="L7" s="265">
        <f>+'Price Out Worksheet'!N16</f>
        <v>938571.09375</v>
      </c>
      <c r="M7" s="265">
        <f>+L7+K7</f>
        <v>3900912.59375</v>
      </c>
    </row>
    <row r="8" spans="1:13" ht="15.75" x14ac:dyDescent="0.25">
      <c r="A8" s="262">
        <f>1+A7</f>
        <v>8</v>
      </c>
      <c r="B8" s="263" t="s">
        <v>111</v>
      </c>
      <c r="C8" s="264">
        <f>+'ALS Income'!H52</f>
        <v>452888.78</v>
      </c>
      <c r="D8" s="264"/>
      <c r="E8" s="264"/>
      <c r="F8" s="264"/>
      <c r="G8" s="264"/>
      <c r="H8" s="264">
        <f t="shared" si="0"/>
        <v>452888.78</v>
      </c>
      <c r="I8" s="241" t="s">
        <v>173</v>
      </c>
      <c r="J8" s="264"/>
      <c r="K8" s="264">
        <f>+H8</f>
        <v>452888.78</v>
      </c>
      <c r="L8" s="262"/>
      <c r="M8" s="265">
        <f t="shared" ref="M8:M10" si="1">+L8+K8</f>
        <v>452888.78</v>
      </c>
    </row>
    <row r="9" spans="1:13" ht="15.75" x14ac:dyDescent="0.25">
      <c r="A9" s="262">
        <f>+A8+1</f>
        <v>9</v>
      </c>
      <c r="B9" s="263" t="s">
        <v>154</v>
      </c>
      <c r="C9" s="264">
        <f>+'ALS Income'!I52</f>
        <v>139237.5</v>
      </c>
      <c r="D9" s="264"/>
      <c r="E9" s="264"/>
      <c r="F9" s="264"/>
      <c r="G9" s="264"/>
      <c r="H9" s="264">
        <f t="shared" si="0"/>
        <v>139237.5</v>
      </c>
      <c r="I9" s="241" t="s">
        <v>173</v>
      </c>
      <c r="J9" s="264"/>
      <c r="K9" s="264">
        <f>+H9</f>
        <v>139237.5</v>
      </c>
      <c r="L9" s="262"/>
      <c r="M9" s="265">
        <f t="shared" si="1"/>
        <v>139237.5</v>
      </c>
    </row>
    <row r="10" spans="1:13" ht="15.75" x14ac:dyDescent="0.25">
      <c r="A10" s="262">
        <f>+A9+1</f>
        <v>10</v>
      </c>
      <c r="B10" s="263" t="s">
        <v>155</v>
      </c>
      <c r="C10" s="264">
        <f>+'ALS Income'!J52</f>
        <v>567958.76</v>
      </c>
      <c r="D10" s="264"/>
      <c r="E10" s="264"/>
      <c r="F10" s="264"/>
      <c r="G10" s="264"/>
      <c r="H10" s="264">
        <f t="shared" si="0"/>
        <v>567958.76</v>
      </c>
      <c r="I10" s="241" t="s">
        <v>173</v>
      </c>
      <c r="J10" s="264"/>
      <c r="K10" s="264">
        <f>+H10</f>
        <v>567958.76</v>
      </c>
      <c r="L10" s="262"/>
      <c r="M10" s="265">
        <f t="shared" si="1"/>
        <v>567958.76</v>
      </c>
    </row>
    <row r="11" spans="1:13" ht="15.75" x14ac:dyDescent="0.25">
      <c r="A11" s="262">
        <f>+A10+1</f>
        <v>11</v>
      </c>
      <c r="B11" s="263" t="s">
        <v>2</v>
      </c>
      <c r="C11" s="264">
        <f>+'ALS Income'!K52+'ALS Income'!L52+'ALS Income'!M52+'ALS Income'!N52+'ALS Income'!O52+'ALS Income'!P52</f>
        <v>1135733.67</v>
      </c>
      <c r="D11" s="264"/>
      <c r="E11" s="264"/>
      <c r="F11" s="264"/>
      <c r="G11" s="264"/>
      <c r="H11" s="264">
        <f t="shared" si="0"/>
        <v>1135733.67</v>
      </c>
      <c r="I11" s="241" t="s">
        <v>173</v>
      </c>
      <c r="J11" s="264">
        <f>+H11</f>
        <v>1135733.67</v>
      </c>
      <c r="K11" s="264"/>
      <c r="L11" s="262"/>
      <c r="M11" s="262"/>
    </row>
    <row r="12" spans="1:13" ht="15.75" x14ac:dyDescent="0.25">
      <c r="A12" s="262">
        <f>+A11+1</f>
        <v>12</v>
      </c>
      <c r="B12" s="263" t="s">
        <v>4</v>
      </c>
      <c r="C12" s="264">
        <f>+'ALS Income'!Q52</f>
        <v>5211.49</v>
      </c>
      <c r="D12" s="264"/>
      <c r="E12" s="264"/>
      <c r="F12" s="264"/>
      <c r="G12" s="264"/>
      <c r="H12" s="264">
        <f t="shared" si="0"/>
        <v>5211.49</v>
      </c>
      <c r="I12" s="241" t="s">
        <v>173</v>
      </c>
      <c r="J12" s="264">
        <f>+H12</f>
        <v>5211.49</v>
      </c>
      <c r="K12" s="264"/>
      <c r="L12" s="262"/>
      <c r="M12" s="262"/>
    </row>
    <row r="13" spans="1:13" ht="15.75" x14ac:dyDescent="0.25">
      <c r="A13" s="262">
        <f>+A12+1</f>
        <v>13</v>
      </c>
      <c r="B13" s="263" t="s">
        <v>5</v>
      </c>
      <c r="C13" s="266">
        <f>+'ALS Income'!R52</f>
        <v>8900.0499999999993</v>
      </c>
      <c r="D13" s="264"/>
      <c r="E13" s="264"/>
      <c r="F13" s="264"/>
      <c r="G13" s="264"/>
      <c r="H13" s="266">
        <f t="shared" si="0"/>
        <v>8900.0499999999993</v>
      </c>
      <c r="I13" s="241" t="s">
        <v>173</v>
      </c>
      <c r="J13" s="266">
        <f>+H13</f>
        <v>8900.0499999999993</v>
      </c>
      <c r="K13" s="266"/>
      <c r="L13" s="277"/>
      <c r="M13" s="277"/>
    </row>
    <row r="14" spans="1:13" ht="15.75" x14ac:dyDescent="0.25">
      <c r="A14" s="262"/>
      <c r="B14" s="263" t="s">
        <v>6</v>
      </c>
      <c r="C14" s="264">
        <f>SUM(C7:C13)</f>
        <v>5272271.75</v>
      </c>
      <c r="D14" s="264"/>
      <c r="E14" s="264"/>
      <c r="F14" s="264"/>
      <c r="G14" s="264"/>
      <c r="H14" s="264">
        <f>SUM(H7:H13)</f>
        <v>5272271.75</v>
      </c>
      <c r="I14" s="264"/>
      <c r="J14" s="264">
        <f>SUM(J7:J13)</f>
        <v>1149845.21</v>
      </c>
      <c r="K14" s="264">
        <f>SUM(K7:K13)</f>
        <v>4122426.54</v>
      </c>
      <c r="L14" s="264">
        <f t="shared" ref="L14:M14" si="2">SUM(L7:L13)</f>
        <v>938571.09375</v>
      </c>
      <c r="M14" s="264">
        <f t="shared" si="2"/>
        <v>5060997.63375</v>
      </c>
    </row>
    <row r="15" spans="1:13" ht="15.75" x14ac:dyDescent="0.25">
      <c r="A15" s="262"/>
      <c r="B15" s="263" t="s">
        <v>174</v>
      </c>
      <c r="C15" s="264"/>
      <c r="D15" s="264"/>
      <c r="E15" s="264"/>
      <c r="F15" s="264"/>
      <c r="G15" s="264"/>
      <c r="H15" s="264"/>
      <c r="I15" s="264"/>
      <c r="J15" s="267">
        <f>+J14/H14</f>
        <v>0.21809293308904268</v>
      </c>
      <c r="K15" s="267">
        <f>+K14/H14</f>
        <v>0.78190706691095735</v>
      </c>
      <c r="L15" s="262"/>
      <c r="M15" s="262"/>
    </row>
    <row r="16" spans="1:13" ht="15.75" x14ac:dyDescent="0.25">
      <c r="A16" s="262"/>
      <c r="B16" s="263"/>
      <c r="C16" s="264"/>
      <c r="D16" s="264"/>
      <c r="E16" s="264"/>
      <c r="F16" s="264"/>
      <c r="G16" s="264"/>
      <c r="H16" s="264"/>
      <c r="I16" s="264"/>
      <c r="J16" s="264"/>
      <c r="K16" s="264"/>
      <c r="L16" s="262"/>
      <c r="M16" s="262"/>
    </row>
    <row r="17" spans="1:13" ht="15.75" x14ac:dyDescent="0.25">
      <c r="A17" s="262">
        <v>17</v>
      </c>
      <c r="B17" s="263" t="s">
        <v>175</v>
      </c>
      <c r="C17" s="264">
        <f>+'ALS Income'!F55+'ALS Income'!F56+'ALS Income'!F57+'ALS Income'!F58+'ALS Income'!F59</f>
        <v>2032.4899999999998</v>
      </c>
      <c r="D17" s="264"/>
      <c r="E17" s="268"/>
      <c r="F17" s="268"/>
      <c r="G17" s="268"/>
      <c r="H17" s="264">
        <f t="shared" ref="H17:H47" si="3">+C17+D17</f>
        <v>2032.4899999999998</v>
      </c>
      <c r="I17" s="241" t="s">
        <v>176</v>
      </c>
      <c r="J17" s="264">
        <f>+H17*'Allocation Worksheet'!$F$14</f>
        <v>522.35305863326016</v>
      </c>
      <c r="K17" s="264">
        <f>+H17*'Allocation Worksheet'!$D$14</f>
        <v>1510.1369413667394</v>
      </c>
      <c r="L17" s="262"/>
      <c r="M17" s="265">
        <f t="shared" ref="M17:M65" si="4">+L17+K17</f>
        <v>1510.1369413667394</v>
      </c>
    </row>
    <row r="18" spans="1:13" ht="15.75" x14ac:dyDescent="0.25">
      <c r="A18" s="262">
        <f t="shared" ref="A18:A26" si="5">+A17+1</f>
        <v>18</v>
      </c>
      <c r="B18" s="263" t="s">
        <v>177</v>
      </c>
      <c r="C18" s="264">
        <f>+SUM('ALS Income'!F60:F64)</f>
        <v>38021.040000000001</v>
      </c>
      <c r="D18" s="264"/>
      <c r="E18" s="268"/>
      <c r="F18" s="268"/>
      <c r="G18" s="268"/>
      <c r="H18" s="264">
        <f t="shared" si="3"/>
        <v>38021.040000000001</v>
      </c>
      <c r="I18" s="241" t="s">
        <v>176</v>
      </c>
      <c r="J18" s="264">
        <f>+H18*'Allocation Worksheet'!$F$14</f>
        <v>9771.4658061872542</v>
      </c>
      <c r="K18" s="264">
        <f>+H18*'Allocation Worksheet'!$D$14</f>
        <v>28249.574193812743</v>
      </c>
      <c r="L18" s="262"/>
      <c r="M18" s="265">
        <f t="shared" si="4"/>
        <v>28249.574193812743</v>
      </c>
    </row>
    <row r="19" spans="1:13" ht="15.75" x14ac:dyDescent="0.25">
      <c r="A19" s="262">
        <f t="shared" si="5"/>
        <v>19</v>
      </c>
      <c r="B19" s="263" t="s">
        <v>178</v>
      </c>
      <c r="C19" s="264">
        <f>SUM('ALS Income'!F65:F78)</f>
        <v>212962.81000000003</v>
      </c>
      <c r="D19" s="264"/>
      <c r="E19" s="268"/>
      <c r="F19" s="268"/>
      <c r="G19" s="268"/>
      <c r="H19" s="264">
        <f t="shared" si="3"/>
        <v>212962.81000000003</v>
      </c>
      <c r="I19" s="269" t="s">
        <v>179</v>
      </c>
      <c r="J19" s="264">
        <f>+H19*'Allocation Worksheet'!$F$8</f>
        <v>27998.050429342999</v>
      </c>
      <c r="K19" s="264">
        <f>+H19*'Allocation Worksheet'!$D$8</f>
        <v>184964.75957065704</v>
      </c>
      <c r="L19" s="262"/>
      <c r="M19" s="265">
        <f t="shared" si="4"/>
        <v>184964.75957065704</v>
      </c>
    </row>
    <row r="20" spans="1:13" ht="15.75" x14ac:dyDescent="0.25">
      <c r="A20" s="262">
        <f t="shared" si="5"/>
        <v>20</v>
      </c>
      <c r="B20" s="263" t="s">
        <v>180</v>
      </c>
      <c r="C20" s="264">
        <f>SUM('ALS Income'!F79:F85)</f>
        <v>168549.23</v>
      </c>
      <c r="D20" s="264">
        <f>+'Restating Entries'!J35+'Restating Entries'!J42</f>
        <v>5669.8147800000006</v>
      </c>
      <c r="E20" s="268" t="s">
        <v>1099</v>
      </c>
      <c r="F20" s="268"/>
      <c r="G20" s="268"/>
      <c r="H20" s="264">
        <f t="shared" si="3"/>
        <v>174219.04478</v>
      </c>
      <c r="I20" s="241" t="s">
        <v>176</v>
      </c>
      <c r="J20" s="264">
        <f>+H20*'Allocation Worksheet'!$F$14</f>
        <v>44774.562685670251</v>
      </c>
      <c r="K20" s="264">
        <f>+H20*'Allocation Worksheet'!$D$14</f>
        <v>129444.48209432974</v>
      </c>
      <c r="L20" s="262"/>
      <c r="M20" s="265">
        <f t="shared" si="4"/>
        <v>129444.48209432974</v>
      </c>
    </row>
    <row r="21" spans="1:13" ht="15.75" x14ac:dyDescent="0.25">
      <c r="A21" s="262">
        <f t="shared" si="5"/>
        <v>21</v>
      </c>
      <c r="B21" s="263" t="s">
        <v>181</v>
      </c>
      <c r="C21" s="264">
        <f>SUM('ALS Income'!F86:F99)</f>
        <v>573748.57000000007</v>
      </c>
      <c r="D21" s="264"/>
      <c r="E21" s="268"/>
      <c r="F21" s="268"/>
      <c r="G21" s="268"/>
      <c r="H21" s="264">
        <f t="shared" si="3"/>
        <v>573748.57000000007</v>
      </c>
      <c r="I21" s="269" t="s">
        <v>179</v>
      </c>
      <c r="J21" s="264">
        <f>+H21*'Allocation Worksheet'!$F$8</f>
        <v>75430.26595405757</v>
      </c>
      <c r="K21" s="264">
        <f>+H21*'Allocation Worksheet'!$D$8</f>
        <v>498318.3040459425</v>
      </c>
      <c r="L21" s="262"/>
      <c r="M21" s="265">
        <f t="shared" si="4"/>
        <v>498318.3040459425</v>
      </c>
    </row>
    <row r="22" spans="1:13" ht="15.75" x14ac:dyDescent="0.25">
      <c r="A22" s="262">
        <f t="shared" si="5"/>
        <v>22</v>
      </c>
      <c r="B22" s="263" t="s">
        <v>182</v>
      </c>
      <c r="C22" s="264">
        <f>+SUM('ALS Income'!F101:F103)</f>
        <v>1398.8000000000002</v>
      </c>
      <c r="D22" s="264"/>
      <c r="E22" s="268"/>
      <c r="F22" s="268"/>
      <c r="G22" s="268"/>
      <c r="H22" s="264">
        <f t="shared" si="3"/>
        <v>1398.8000000000002</v>
      </c>
      <c r="I22" s="241" t="s">
        <v>176</v>
      </c>
      <c r="J22" s="264">
        <f>+H22*'Allocation Worksheet'!$F$14</f>
        <v>359.49375318757018</v>
      </c>
      <c r="K22" s="264">
        <f>+H22*'Allocation Worksheet'!$D$14</f>
        <v>1039.3062468124299</v>
      </c>
      <c r="L22" s="262"/>
      <c r="M22" s="265">
        <f t="shared" si="4"/>
        <v>1039.3062468124299</v>
      </c>
    </row>
    <row r="23" spans="1:13" ht="15.75" x14ac:dyDescent="0.25">
      <c r="A23" s="262">
        <f t="shared" si="5"/>
        <v>23</v>
      </c>
      <c r="B23" s="263" t="s">
        <v>183</v>
      </c>
      <c r="C23" s="264">
        <f>SUM('ALS Income'!F104:F117)</f>
        <v>87717.47</v>
      </c>
      <c r="D23" s="264"/>
      <c r="E23" s="268"/>
      <c r="F23" s="268"/>
      <c r="G23" s="268"/>
      <c r="H23" s="264">
        <f t="shared" si="3"/>
        <v>87717.47</v>
      </c>
      <c r="I23" s="269" t="s">
        <v>179</v>
      </c>
      <c r="J23" s="264">
        <f>+H23*'Allocation Worksheet'!$F$8</f>
        <v>11532.145676488684</v>
      </c>
      <c r="K23" s="264">
        <f>+H23*'Allocation Worksheet'!$D$8</f>
        <v>76185.324323511319</v>
      </c>
      <c r="L23" s="262"/>
      <c r="M23" s="265">
        <f t="shared" si="4"/>
        <v>76185.324323511319</v>
      </c>
    </row>
    <row r="24" spans="1:13" ht="15.75" x14ac:dyDescent="0.25">
      <c r="A24" s="262">
        <f t="shared" si="5"/>
        <v>24</v>
      </c>
      <c r="B24" s="263" t="s">
        <v>184</v>
      </c>
      <c r="C24" s="264">
        <f>SUM('ALS Income'!F118:F119)</f>
        <v>2674.02</v>
      </c>
      <c r="D24" s="264"/>
      <c r="E24" s="268"/>
      <c r="F24" s="268"/>
      <c r="G24" s="268"/>
      <c r="H24" s="264">
        <f t="shared" si="3"/>
        <v>2674.02</v>
      </c>
      <c r="I24" s="241" t="s">
        <v>176</v>
      </c>
      <c r="J24" s="264">
        <f>+H24*'Allocation Worksheet'!$F$14</f>
        <v>687.22725614714489</v>
      </c>
      <c r="K24" s="264">
        <f>+H24*'Allocation Worksheet'!$D$14</f>
        <v>1986.792743852855</v>
      </c>
      <c r="L24" s="262"/>
      <c r="M24" s="265">
        <f t="shared" si="4"/>
        <v>1986.792743852855</v>
      </c>
    </row>
    <row r="25" spans="1:13" ht="15.75" x14ac:dyDescent="0.25">
      <c r="A25" s="262">
        <f t="shared" si="5"/>
        <v>25</v>
      </c>
      <c r="B25" s="263" t="s">
        <v>185</v>
      </c>
      <c r="C25" s="264">
        <f>SUM('ALS Income'!F120:F125)</f>
        <v>1994702.4499999995</v>
      </c>
      <c r="D25" s="264">
        <f>+'Restating Entries'!J15</f>
        <v>112213.60575999995</v>
      </c>
      <c r="E25" s="268" t="s">
        <v>257</v>
      </c>
      <c r="F25" s="270">
        <f>+'Pro Fomra'!J10</f>
        <v>302200.16000000003</v>
      </c>
      <c r="G25" s="268" t="s">
        <v>1122</v>
      </c>
      <c r="H25" s="264">
        <f>SUM(C25:G25)</f>
        <v>2409116.2157599996</v>
      </c>
      <c r="I25" s="271" t="s">
        <v>186</v>
      </c>
      <c r="J25" s="264">
        <f>+H25*'Allocation Worksheet'!$F$10</f>
        <v>393052.89758486807</v>
      </c>
      <c r="K25" s="264">
        <f>+H25*'Allocation Worksheet'!$D$10</f>
        <v>2016063.3181751317</v>
      </c>
      <c r="L25" s="262"/>
      <c r="M25" s="265">
        <f t="shared" si="4"/>
        <v>2016063.3181751317</v>
      </c>
    </row>
    <row r="26" spans="1:13" ht="15.75" x14ac:dyDescent="0.25">
      <c r="A26" s="262">
        <f t="shared" si="5"/>
        <v>26</v>
      </c>
      <c r="B26" s="263" t="s">
        <v>187</v>
      </c>
      <c r="C26" s="264">
        <f>SUM('ALS Income'!F126:F130)</f>
        <v>166898.60000000003</v>
      </c>
      <c r="D26" s="264"/>
      <c r="E26" s="268"/>
      <c r="F26" s="268"/>
      <c r="G26" s="268"/>
      <c r="H26" s="264">
        <f t="shared" si="3"/>
        <v>166898.60000000003</v>
      </c>
      <c r="I26" s="271" t="s">
        <v>186</v>
      </c>
      <c r="J26" s="264">
        <f>+H26*'Allocation Worksheet'!$F$10</f>
        <v>27229.893644696243</v>
      </c>
      <c r="K26" s="264">
        <f>+H26*'Allocation Worksheet'!$D$10</f>
        <v>139668.70635530379</v>
      </c>
      <c r="L26" s="262"/>
      <c r="M26" s="265">
        <f t="shared" si="4"/>
        <v>139668.70635530379</v>
      </c>
    </row>
    <row r="27" spans="1:13" ht="15.75" x14ac:dyDescent="0.25">
      <c r="A27" s="262">
        <f>+A26+1</f>
        <v>27</v>
      </c>
      <c r="B27" s="263" t="s">
        <v>188</v>
      </c>
      <c r="C27" s="272">
        <f>SUM('ALS Income'!F138:F141)</f>
        <v>-370.53999999999905</v>
      </c>
      <c r="D27" s="264"/>
      <c r="E27" s="268"/>
      <c r="F27" s="268"/>
      <c r="G27" s="268"/>
      <c r="H27" s="264">
        <f t="shared" si="3"/>
        <v>-370.53999999999905</v>
      </c>
      <c r="I27" s="241" t="s">
        <v>176</v>
      </c>
      <c r="J27" s="264">
        <f>+H27*'Allocation Worksheet'!$F$14</f>
        <v>-95.229350376123747</v>
      </c>
      <c r="K27" s="264">
        <f>+H27*'Allocation Worksheet'!$D$14</f>
        <v>-275.31064962387529</v>
      </c>
      <c r="L27" s="262"/>
      <c r="M27" s="265">
        <f t="shared" si="4"/>
        <v>-275.31064962387529</v>
      </c>
    </row>
    <row r="28" spans="1:13" ht="15.75" x14ac:dyDescent="0.25">
      <c r="A28" s="262">
        <f>+A27+1</f>
        <v>28</v>
      </c>
      <c r="B28" s="273" t="s">
        <v>91</v>
      </c>
      <c r="C28" s="264">
        <f>+'ALS Income'!F142</f>
        <v>3835</v>
      </c>
      <c r="D28" s="264"/>
      <c r="E28" s="268"/>
      <c r="F28" s="268"/>
      <c r="G28" s="268"/>
      <c r="H28" s="264">
        <f t="shared" si="3"/>
        <v>3835</v>
      </c>
      <c r="I28" s="268" t="s">
        <v>189</v>
      </c>
      <c r="J28" s="264">
        <f>+H28-K28</f>
        <v>836.3863983964784</v>
      </c>
      <c r="K28" s="264">
        <f>+H28*$K$15</f>
        <v>2998.6136016035216</v>
      </c>
      <c r="L28" s="262"/>
      <c r="M28" s="265">
        <f t="shared" si="4"/>
        <v>2998.6136016035216</v>
      </c>
    </row>
    <row r="29" spans="1:13" ht="15.75" x14ac:dyDescent="0.25">
      <c r="A29" s="262">
        <f t="shared" ref="A29:A69" si="6">+A28+1</f>
        <v>29</v>
      </c>
      <c r="B29" s="263" t="s">
        <v>92</v>
      </c>
      <c r="C29" s="264">
        <f>+'ALS Income'!F143</f>
        <v>157194.23999999999</v>
      </c>
      <c r="D29" s="264"/>
      <c r="E29" s="268"/>
      <c r="F29" s="268"/>
      <c r="G29" s="268"/>
      <c r="H29" s="264">
        <f t="shared" si="3"/>
        <v>157194.23999999999</v>
      </c>
      <c r="I29" s="271" t="s">
        <v>186</v>
      </c>
      <c r="J29" s="264">
        <f>+H29*'Allocation Worksheet'!$F$10</f>
        <v>25646.604805306066</v>
      </c>
      <c r="K29" s="264">
        <f>+H29*'Allocation Worksheet'!$D$10</f>
        <v>131547.63519469392</v>
      </c>
      <c r="L29" s="262"/>
      <c r="M29" s="265">
        <f t="shared" si="4"/>
        <v>131547.63519469392</v>
      </c>
    </row>
    <row r="30" spans="1:13" ht="15.75" x14ac:dyDescent="0.25">
      <c r="A30" s="262">
        <f t="shared" si="6"/>
        <v>30</v>
      </c>
      <c r="B30" s="263" t="s">
        <v>93</v>
      </c>
      <c r="C30" s="264">
        <f>+'ALS Income'!F144</f>
        <v>200063.63</v>
      </c>
      <c r="D30" s="264"/>
      <c r="E30" s="268"/>
      <c r="F30" s="268"/>
      <c r="G30" s="268"/>
      <c r="H30" s="264">
        <f t="shared" si="3"/>
        <v>200063.63</v>
      </c>
      <c r="I30" s="241" t="s">
        <v>176</v>
      </c>
      <c r="J30" s="264">
        <f>+H30*'Allocation Worksheet'!$F$14</f>
        <v>51416.660870052438</v>
      </c>
      <c r="K30" s="264">
        <f>+H30*'Allocation Worksheet'!$D$14</f>
        <v>148646.96912994757</v>
      </c>
      <c r="L30" s="262"/>
      <c r="M30" s="265">
        <f t="shared" si="4"/>
        <v>148646.96912994757</v>
      </c>
    </row>
    <row r="31" spans="1:13" ht="15.75" x14ac:dyDescent="0.25">
      <c r="A31" s="262">
        <f t="shared" si="6"/>
        <v>31</v>
      </c>
      <c r="B31" s="263" t="s">
        <v>201</v>
      </c>
      <c r="C31" s="264">
        <f>+'ALS Income'!F145</f>
        <v>47373.79</v>
      </c>
      <c r="D31" s="264"/>
      <c r="E31" s="268"/>
      <c r="F31" s="268"/>
      <c r="G31" s="268"/>
      <c r="H31" s="264">
        <f t="shared" si="3"/>
        <v>47373.79</v>
      </c>
      <c r="I31" s="271" t="s">
        <v>186</v>
      </c>
      <c r="J31" s="264">
        <f>+H31*'Allocation Worksheet'!$F$10</f>
        <v>7729.1437030998122</v>
      </c>
      <c r="K31" s="264">
        <f>+H31*'Allocation Worksheet'!$D$10</f>
        <v>39644.646296900195</v>
      </c>
      <c r="L31" s="262"/>
      <c r="M31" s="265">
        <f t="shared" si="4"/>
        <v>39644.646296900195</v>
      </c>
    </row>
    <row r="32" spans="1:13" ht="15.75" x14ac:dyDescent="0.25">
      <c r="A32" s="262">
        <f t="shared" si="6"/>
        <v>32</v>
      </c>
      <c r="B32" s="263" t="s">
        <v>95</v>
      </c>
      <c r="C32" s="264">
        <f>+'ALS Income'!F146</f>
        <v>5451.76</v>
      </c>
      <c r="D32" s="264"/>
      <c r="E32" s="268"/>
      <c r="F32" s="268"/>
      <c r="G32" s="268"/>
      <c r="H32" s="264">
        <f t="shared" si="3"/>
        <v>5451.76</v>
      </c>
      <c r="I32" s="271" t="s">
        <v>186</v>
      </c>
      <c r="J32" s="264">
        <f>+H32*'Allocation Worksheet'!$F$10</f>
        <v>889.46728718161307</v>
      </c>
      <c r="K32" s="264">
        <f>+H32*'Allocation Worksheet'!$D$10</f>
        <v>4562.2927128183874</v>
      </c>
      <c r="L32" s="262"/>
      <c r="M32" s="265">
        <f t="shared" si="4"/>
        <v>4562.2927128183874</v>
      </c>
    </row>
    <row r="33" spans="1:13" ht="15.75" x14ac:dyDescent="0.25">
      <c r="A33" s="262">
        <f t="shared" si="6"/>
        <v>33</v>
      </c>
      <c r="B33" s="263" t="s">
        <v>96</v>
      </c>
      <c r="C33" s="264">
        <f>+'ALS Income'!F147</f>
        <v>54512.95</v>
      </c>
      <c r="D33" s="264"/>
      <c r="E33" s="268"/>
      <c r="F33" s="268"/>
      <c r="G33" s="268"/>
      <c r="H33" s="264">
        <f t="shared" si="3"/>
        <v>54512.95</v>
      </c>
      <c r="I33" s="241" t="s">
        <v>176</v>
      </c>
      <c r="J33" s="264">
        <f>+H33*'Allocation Worksheet'!$F$14</f>
        <v>14009.912062357986</v>
      </c>
      <c r="K33" s="264">
        <f>+H33*'Allocation Worksheet'!$D$14</f>
        <v>40503.03793764201</v>
      </c>
      <c r="L33" s="262"/>
      <c r="M33" s="265">
        <f t="shared" si="4"/>
        <v>40503.03793764201</v>
      </c>
    </row>
    <row r="34" spans="1:13" ht="15.75" x14ac:dyDescent="0.25">
      <c r="A34" s="262">
        <f t="shared" si="6"/>
        <v>34</v>
      </c>
      <c r="B34" s="263" t="s">
        <v>97</v>
      </c>
      <c r="C34" s="264">
        <f>+'ALS Income'!F148</f>
        <v>28721.91</v>
      </c>
      <c r="D34" s="264">
        <f>+'Restating Entries'!J29</f>
        <v>8792.3100000000013</v>
      </c>
      <c r="E34" s="268" t="s">
        <v>561</v>
      </c>
      <c r="F34" s="270">
        <f>+'Pro Fomra'!J14</f>
        <v>12613.125</v>
      </c>
      <c r="G34" s="268" t="s">
        <v>1126</v>
      </c>
      <c r="H34" s="264">
        <f t="shared" ref="H34:H35" si="7">SUM(C34:G34)</f>
        <v>50127.345000000001</v>
      </c>
      <c r="I34" s="241" t="s">
        <v>176</v>
      </c>
      <c r="J34" s="264">
        <f>+H34*'Allocation Worksheet'!$F$14</f>
        <v>12882.804826550027</v>
      </c>
      <c r="K34" s="264">
        <f>+H34*'Allocation Worksheet'!$D$14</f>
        <v>37244.540173449968</v>
      </c>
      <c r="L34" s="262"/>
      <c r="M34" s="265">
        <f t="shared" si="4"/>
        <v>37244.540173449968</v>
      </c>
    </row>
    <row r="35" spans="1:13" ht="15.75" x14ac:dyDescent="0.25">
      <c r="A35" s="262">
        <f t="shared" si="6"/>
        <v>35</v>
      </c>
      <c r="B35" s="263" t="s">
        <v>98</v>
      </c>
      <c r="C35" s="264">
        <f>+'ALS Income'!F149</f>
        <v>36911.070000000007</v>
      </c>
      <c r="D35" s="264">
        <f>+'Restating Entries'!J30</f>
        <v>35491.762000000002</v>
      </c>
      <c r="E35" s="268" t="s">
        <v>561</v>
      </c>
      <c r="F35" s="270">
        <f>+'Attorney Costs MEI Amort'!H26</f>
        <v>12500</v>
      </c>
      <c r="G35" s="268" t="s">
        <v>1126</v>
      </c>
      <c r="H35" s="264">
        <f t="shared" si="7"/>
        <v>84902.832000000009</v>
      </c>
      <c r="I35" s="241" t="s">
        <v>176</v>
      </c>
      <c r="J35" s="264">
        <f>+H35*'Allocation Worksheet'!$F$14</f>
        <v>21820.158515823372</v>
      </c>
      <c r="K35" s="264">
        <f>+H35*'Allocation Worksheet'!$D$14</f>
        <v>63082.67348417663</v>
      </c>
      <c r="L35" s="262"/>
      <c r="M35" s="265">
        <f t="shared" si="4"/>
        <v>63082.67348417663</v>
      </c>
    </row>
    <row r="36" spans="1:13" ht="15.75" x14ac:dyDescent="0.25">
      <c r="A36" s="262">
        <f t="shared" si="6"/>
        <v>36</v>
      </c>
      <c r="B36" s="263" t="s">
        <v>99</v>
      </c>
      <c r="C36" s="264">
        <f>+'ALS Income'!F150</f>
        <v>35704.94</v>
      </c>
      <c r="D36" s="264">
        <f>-Rents!G100</f>
        <v>586</v>
      </c>
      <c r="E36" s="268" t="s">
        <v>1096</v>
      </c>
      <c r="F36" s="270"/>
      <c r="G36" s="268"/>
      <c r="H36" s="264">
        <f t="shared" si="3"/>
        <v>36290.94</v>
      </c>
      <c r="I36" s="241" t="s">
        <v>176</v>
      </c>
      <c r="J36" s="264">
        <f>+H36*'Allocation Worksheet'!$F$14</f>
        <v>9326.8274430261063</v>
      </c>
      <c r="K36" s="264">
        <f>+H36*'Allocation Worksheet'!$D$14</f>
        <v>26964.112556973894</v>
      </c>
      <c r="L36" s="262"/>
      <c r="M36" s="265">
        <f t="shared" si="4"/>
        <v>26964.112556973894</v>
      </c>
    </row>
    <row r="37" spans="1:13" ht="15.75" x14ac:dyDescent="0.25">
      <c r="A37" s="262">
        <f t="shared" si="6"/>
        <v>37</v>
      </c>
      <c r="B37" s="263" t="s">
        <v>100</v>
      </c>
      <c r="C37" s="264">
        <f>+'ALS Income'!F151</f>
        <v>6601.12</v>
      </c>
      <c r="D37" s="264"/>
      <c r="E37" s="268"/>
      <c r="F37" s="268"/>
      <c r="G37" s="268"/>
      <c r="H37" s="264">
        <f t="shared" si="3"/>
        <v>6601.12</v>
      </c>
      <c r="I37" s="268" t="s">
        <v>189</v>
      </c>
      <c r="J37" s="264">
        <f>+H37-K37</f>
        <v>1439.6576224727414</v>
      </c>
      <c r="K37" s="264">
        <f>+H37*$K$15</f>
        <v>5161.4623775272585</v>
      </c>
      <c r="L37" s="262"/>
      <c r="M37" s="265">
        <f t="shared" si="4"/>
        <v>5161.4623775272585</v>
      </c>
    </row>
    <row r="38" spans="1:13" ht="15.75" x14ac:dyDescent="0.25">
      <c r="A38" s="262">
        <f t="shared" si="6"/>
        <v>38</v>
      </c>
      <c r="B38" s="263" t="s">
        <v>197</v>
      </c>
      <c r="C38" s="264">
        <f>+'ALS Income'!F152</f>
        <v>57</v>
      </c>
      <c r="D38" s="264"/>
      <c r="E38" s="268"/>
      <c r="F38" s="268"/>
      <c r="G38" s="268"/>
      <c r="H38" s="264">
        <f t="shared" si="3"/>
        <v>57</v>
      </c>
      <c r="I38" s="241" t="s">
        <v>176</v>
      </c>
      <c r="J38" s="264">
        <f>+H38*'Allocation Worksheet'!$F$14</f>
        <v>14.64908774070024</v>
      </c>
      <c r="K38" s="264">
        <f>+H38*'Allocation Worksheet'!$D$14</f>
        <v>42.350912259299754</v>
      </c>
      <c r="L38" s="262"/>
      <c r="M38" s="265">
        <f t="shared" si="4"/>
        <v>42.350912259299754</v>
      </c>
    </row>
    <row r="39" spans="1:13" ht="15.75" x14ac:dyDescent="0.25">
      <c r="A39" s="262">
        <f t="shared" si="6"/>
        <v>39</v>
      </c>
      <c r="B39" s="263" t="s">
        <v>102</v>
      </c>
      <c r="C39" s="264">
        <f>+'ALS Income'!F153</f>
        <v>2937.5899999999992</v>
      </c>
      <c r="D39" s="264">
        <f>-C39</f>
        <v>-2937.5899999999992</v>
      </c>
      <c r="E39" s="274" t="s">
        <v>231</v>
      </c>
      <c r="F39" s="274"/>
      <c r="G39" s="274"/>
      <c r="H39" s="264">
        <f t="shared" si="3"/>
        <v>0</v>
      </c>
      <c r="I39" s="241" t="s">
        <v>176</v>
      </c>
      <c r="J39" s="264">
        <f>+H39*'Allocation Worksheet'!$F$14</f>
        <v>0</v>
      </c>
      <c r="K39" s="264">
        <f>+H39*'Allocation Worksheet'!$D$14</f>
        <v>0</v>
      </c>
      <c r="L39" s="262"/>
      <c r="M39" s="265">
        <f t="shared" si="4"/>
        <v>0</v>
      </c>
    </row>
    <row r="40" spans="1:13" ht="15.75" x14ac:dyDescent="0.25">
      <c r="A40" s="262">
        <f t="shared" si="6"/>
        <v>40</v>
      </c>
      <c r="B40" s="263" t="s">
        <v>103</v>
      </c>
      <c r="C40" s="264">
        <f>+'ALS Income'!F154</f>
        <v>311604</v>
      </c>
      <c r="D40" s="264">
        <f>+'Restating Entries'!J20</f>
        <v>151012.75617857196</v>
      </c>
      <c r="E40" s="274" t="s">
        <v>558</v>
      </c>
      <c r="F40" s="274"/>
      <c r="G40" s="274"/>
      <c r="H40" s="264">
        <f t="shared" si="3"/>
        <v>462616.75617857196</v>
      </c>
      <c r="I40" s="241" t="s">
        <v>563</v>
      </c>
      <c r="J40" s="264">
        <f>+'Regulatory Depreciation'!R304</f>
        <v>187422.27925238133</v>
      </c>
      <c r="K40" s="264">
        <f>+'Regulatory Depreciation'!P304</f>
        <v>275194.4769261906</v>
      </c>
      <c r="L40" s="265"/>
      <c r="M40" s="265">
        <f t="shared" si="4"/>
        <v>275194.4769261906</v>
      </c>
    </row>
    <row r="41" spans="1:13" ht="15.75" x14ac:dyDescent="0.25">
      <c r="A41" s="262">
        <f t="shared" si="6"/>
        <v>41</v>
      </c>
      <c r="B41" s="263" t="s">
        <v>104</v>
      </c>
      <c r="C41" s="264">
        <f>+'ALS Income'!F155</f>
        <v>7040</v>
      </c>
      <c r="D41" s="264"/>
      <c r="E41" s="268"/>
      <c r="F41" s="268"/>
      <c r="G41" s="268"/>
      <c r="H41" s="264">
        <f t="shared" si="3"/>
        <v>7040</v>
      </c>
      <c r="I41" s="271" t="s">
        <v>186</v>
      </c>
      <c r="J41" s="264">
        <f>+H41*'Allocation Worksheet'!$F$10</f>
        <v>1148.5923264704529</v>
      </c>
      <c r="K41" s="264">
        <f>+H41*'Allocation Worksheet'!$D$10</f>
        <v>5891.4076735295475</v>
      </c>
      <c r="L41" s="262"/>
      <c r="M41" s="265">
        <f t="shared" si="4"/>
        <v>5891.4076735295475</v>
      </c>
    </row>
    <row r="42" spans="1:13" ht="15.75" x14ac:dyDescent="0.25">
      <c r="A42" s="262">
        <f t="shared" si="6"/>
        <v>42</v>
      </c>
      <c r="B42" s="263" t="s">
        <v>105</v>
      </c>
      <c r="C42" s="264">
        <f>+'ALS Income'!F156</f>
        <v>24863.32</v>
      </c>
      <c r="D42" s="264">
        <f>+'Restating Entries'!J25</f>
        <v>-18493</v>
      </c>
      <c r="E42" s="268" t="s">
        <v>562</v>
      </c>
      <c r="F42" s="268"/>
      <c r="G42" s="268"/>
      <c r="H42" s="264">
        <f t="shared" si="3"/>
        <v>6370.32</v>
      </c>
      <c r="I42" s="241" t="s">
        <v>176</v>
      </c>
      <c r="J42" s="264">
        <f>+H42*'Allocation Worksheet'!$F$14</f>
        <v>1637.182045900659</v>
      </c>
      <c r="K42" s="264">
        <f>+H42*'Allocation Worksheet'!$D$14</f>
        <v>4733.1379540993403</v>
      </c>
      <c r="L42" s="262"/>
      <c r="M42" s="265">
        <f t="shared" si="4"/>
        <v>4733.1379540993403</v>
      </c>
    </row>
    <row r="43" spans="1:13" ht="15.75" x14ac:dyDescent="0.25">
      <c r="A43" s="262">
        <f t="shared" si="6"/>
        <v>43</v>
      </c>
      <c r="B43" s="263" t="s">
        <v>107</v>
      </c>
      <c r="C43" s="264">
        <f>+'ALS Income'!F158</f>
        <v>16869.880000000005</v>
      </c>
      <c r="D43" s="264"/>
      <c r="E43" s="268"/>
      <c r="F43" s="268"/>
      <c r="G43" s="268"/>
      <c r="H43" s="264">
        <f t="shared" si="3"/>
        <v>16869.880000000005</v>
      </c>
      <c r="I43" s="271" t="s">
        <v>186</v>
      </c>
      <c r="J43" s="264">
        <f>+H43*'Allocation Worksheet'!$F$10</f>
        <v>2752.3600449541718</v>
      </c>
      <c r="K43" s="264">
        <f>+H43*'Allocation Worksheet'!$D$10</f>
        <v>14117.519955045835</v>
      </c>
      <c r="L43" s="262"/>
      <c r="M43" s="265">
        <f t="shared" si="4"/>
        <v>14117.519955045835</v>
      </c>
    </row>
    <row r="44" spans="1:13" ht="15.75" x14ac:dyDescent="0.25">
      <c r="A44" s="262">
        <f t="shared" si="6"/>
        <v>44</v>
      </c>
      <c r="B44" s="263" t="s">
        <v>198</v>
      </c>
      <c r="C44" s="264">
        <f>+'ALS Income'!F157+'ALS Income'!F159+'ALS Income'!F160</f>
        <v>61004.89</v>
      </c>
      <c r="D44" s="264"/>
      <c r="E44" s="268"/>
      <c r="F44" s="268"/>
      <c r="G44" s="268"/>
      <c r="H44" s="264">
        <f t="shared" si="3"/>
        <v>61004.89</v>
      </c>
      <c r="I44" s="271" t="s">
        <v>186</v>
      </c>
      <c r="J44" s="264">
        <f>+H44*'Allocation Worksheet'!$F$10</f>
        <v>9953.0892799963167</v>
      </c>
      <c r="K44" s="264">
        <f>+H44*'Allocation Worksheet'!$D$10</f>
        <v>51051.800720003688</v>
      </c>
      <c r="L44" s="262"/>
      <c r="M44" s="265">
        <f t="shared" si="4"/>
        <v>51051.800720003688</v>
      </c>
    </row>
    <row r="45" spans="1:13" ht="15.75" x14ac:dyDescent="0.25">
      <c r="A45" s="262">
        <f t="shared" si="6"/>
        <v>45</v>
      </c>
      <c r="B45" s="263" t="s">
        <v>110</v>
      </c>
      <c r="C45" s="264">
        <f>+'ALS Income'!F161</f>
        <v>5563.25</v>
      </c>
      <c r="D45" s="264"/>
      <c r="E45" s="268"/>
      <c r="F45" s="268"/>
      <c r="G45" s="268"/>
      <c r="H45" s="264">
        <f t="shared" si="3"/>
        <v>5563.25</v>
      </c>
      <c r="I45" s="241" t="s">
        <v>176</v>
      </c>
      <c r="J45" s="264">
        <f>+H45*'Allocation Worksheet'!$F$14</f>
        <v>1429.7638135693091</v>
      </c>
      <c r="K45" s="264">
        <f>+H45*'Allocation Worksheet'!$D$14</f>
        <v>4133.4861864306904</v>
      </c>
      <c r="L45" s="262"/>
      <c r="M45" s="265">
        <f t="shared" si="4"/>
        <v>4133.4861864306904</v>
      </c>
    </row>
    <row r="46" spans="1:13" ht="15.75" x14ac:dyDescent="0.25">
      <c r="A46" s="262">
        <f t="shared" si="6"/>
        <v>46</v>
      </c>
      <c r="B46" s="263" t="s">
        <v>112</v>
      </c>
      <c r="C46" s="264">
        <f>+'ALS Income'!F163</f>
        <v>46034.890000000007</v>
      </c>
      <c r="D46" s="264"/>
      <c r="E46" s="268"/>
      <c r="F46" s="268"/>
      <c r="G46" s="268"/>
      <c r="H46" s="264">
        <f t="shared" si="3"/>
        <v>46034.890000000007</v>
      </c>
      <c r="I46" s="241" t="s">
        <v>176</v>
      </c>
      <c r="J46" s="264">
        <f>+H46*'Allocation Worksheet'!$F$14</f>
        <v>11831.037591990951</v>
      </c>
      <c r="K46" s="264">
        <f>+H46*'Allocation Worksheet'!$D$14</f>
        <v>34203.85240800905</v>
      </c>
      <c r="L46" s="262"/>
      <c r="M46" s="265">
        <f t="shared" si="4"/>
        <v>34203.85240800905</v>
      </c>
    </row>
    <row r="47" spans="1:13" ht="15.75" x14ac:dyDescent="0.25">
      <c r="A47" s="262">
        <f t="shared" si="6"/>
        <v>47</v>
      </c>
      <c r="B47" s="263" t="s">
        <v>199</v>
      </c>
      <c r="C47" s="264">
        <f>+'ALS Income'!F164+'ALS Income'!F165+'ALS Income'!F167</f>
        <v>130810.12000000001</v>
      </c>
      <c r="D47" s="264">
        <f>+'Restating Entries'!J46+'Restating Entries'!J47</f>
        <v>45814.306142118636</v>
      </c>
      <c r="E47" s="268" t="s">
        <v>1117</v>
      </c>
      <c r="F47" s="268"/>
      <c r="G47" s="268"/>
      <c r="H47" s="264">
        <f t="shared" si="3"/>
        <v>176624.42614211864</v>
      </c>
      <c r="I47" s="268" t="s">
        <v>190</v>
      </c>
      <c r="J47" s="264">
        <f>+H47*'Allocation Worksheet'!$F$6</f>
        <v>84140.89131469946</v>
      </c>
      <c r="K47" s="264">
        <f>+H47*'Allocation Worksheet'!$D$6</f>
        <v>92483.534827419164</v>
      </c>
      <c r="L47" s="262"/>
      <c r="M47" s="265">
        <f t="shared" si="4"/>
        <v>92483.534827419164</v>
      </c>
    </row>
    <row r="48" spans="1:13" ht="15.75" x14ac:dyDescent="0.25">
      <c r="A48" s="262">
        <f t="shared" si="6"/>
        <v>48</v>
      </c>
      <c r="B48" s="263" t="s">
        <v>200</v>
      </c>
      <c r="C48" s="264">
        <f>+'ALS Income'!F166</f>
        <v>124873.33000000002</v>
      </c>
      <c r="D48" s="264"/>
      <c r="E48" s="268"/>
      <c r="F48" s="270">
        <f>+'Pro Fomra'!J20</f>
        <v>32125.860000000004</v>
      </c>
      <c r="G48" s="268" t="s">
        <v>1125</v>
      </c>
      <c r="H48" s="264">
        <f t="shared" ref="H48" si="8">SUM(C48:G48)</f>
        <v>156999.19000000003</v>
      </c>
      <c r="I48" s="271" t="s">
        <v>186</v>
      </c>
      <c r="J48" s="264">
        <f>+H48*'Allocation Worksheet'!$F$10</f>
        <v>25614.781945465438</v>
      </c>
      <c r="K48" s="264">
        <f>+H48*'Allocation Worksheet'!$D$10</f>
        <v>131384.40805453461</v>
      </c>
      <c r="L48" s="262"/>
      <c r="M48" s="265">
        <f t="shared" si="4"/>
        <v>131384.40805453461</v>
      </c>
    </row>
    <row r="49" spans="1:13" ht="15.75" x14ac:dyDescent="0.25">
      <c r="A49" s="262">
        <f t="shared" si="6"/>
        <v>49</v>
      </c>
      <c r="B49" s="263" t="s">
        <v>117</v>
      </c>
      <c r="C49" s="264">
        <f>+'ALS Income'!F168</f>
        <v>12521.05</v>
      </c>
      <c r="D49" s="264"/>
      <c r="E49" s="268"/>
      <c r="F49" s="268"/>
      <c r="G49" s="268"/>
      <c r="H49" s="264">
        <f t="shared" ref="H49:H65" si="9">+C49+D49</f>
        <v>12521.05</v>
      </c>
      <c r="I49" s="241" t="s">
        <v>176</v>
      </c>
      <c r="J49" s="264">
        <f>+H49*'Allocation Worksheet'!$F$14</f>
        <v>3217.9291237841185</v>
      </c>
      <c r="K49" s="264">
        <f>+H49*'Allocation Worksheet'!$D$14</f>
        <v>9303.1208762158803</v>
      </c>
      <c r="L49" s="262"/>
      <c r="M49" s="265">
        <f t="shared" si="4"/>
        <v>9303.1208762158803</v>
      </c>
    </row>
    <row r="50" spans="1:13" ht="15.75" x14ac:dyDescent="0.25">
      <c r="A50" s="262">
        <f t="shared" si="6"/>
        <v>50</v>
      </c>
      <c r="B50" s="263" t="s">
        <v>119</v>
      </c>
      <c r="C50" s="264">
        <f>+'ALS Income'!F169+'ALS Income'!F170+'ALS Income'!F171</f>
        <v>105875.21</v>
      </c>
      <c r="D50" s="264"/>
      <c r="E50" s="268"/>
      <c r="F50" s="268"/>
      <c r="G50" s="268"/>
      <c r="H50" s="264">
        <f t="shared" si="9"/>
        <v>105875.21</v>
      </c>
      <c r="I50" s="241" t="s">
        <v>176</v>
      </c>
      <c r="J50" s="264">
        <f>+H50*'Allocation Worksheet'!$F$14</f>
        <v>27210.091944825679</v>
      </c>
      <c r="K50" s="264">
        <f>+H50*'Allocation Worksheet'!$D$14</f>
        <v>78665.118055174316</v>
      </c>
      <c r="L50" s="262"/>
      <c r="M50" s="265">
        <f t="shared" si="4"/>
        <v>78665.118055174316</v>
      </c>
    </row>
    <row r="51" spans="1:13" ht="15.75" x14ac:dyDescent="0.25">
      <c r="A51" s="262">
        <f t="shared" si="6"/>
        <v>51</v>
      </c>
      <c r="B51" s="263" t="s">
        <v>121</v>
      </c>
      <c r="C51" s="264">
        <f>+'ALS Income'!F172</f>
        <v>7342.5</v>
      </c>
      <c r="D51" s="264"/>
      <c r="E51" s="268"/>
      <c r="F51" s="268"/>
      <c r="G51" s="268"/>
      <c r="H51" s="264">
        <f t="shared" si="9"/>
        <v>7342.5</v>
      </c>
      <c r="I51" s="241" t="s">
        <v>176</v>
      </c>
      <c r="J51" s="264">
        <f>+H51*'Allocation Worksheet'!$F$14</f>
        <v>1887.0338023875706</v>
      </c>
      <c r="K51" s="264">
        <f>+H51*'Allocation Worksheet'!$D$14</f>
        <v>5455.4661976124289</v>
      </c>
      <c r="L51" s="262"/>
      <c r="M51" s="265">
        <f t="shared" si="4"/>
        <v>5455.4661976124289</v>
      </c>
    </row>
    <row r="52" spans="1:13" ht="15.75" x14ac:dyDescent="0.25">
      <c r="A52" s="262">
        <f t="shared" si="6"/>
        <v>52</v>
      </c>
      <c r="B52" s="263" t="s">
        <v>122</v>
      </c>
      <c r="C52" s="264">
        <f>+'ALS Income'!F173</f>
        <v>135133.64000000001</v>
      </c>
      <c r="D52" s="264">
        <f>+Rents!G99+Rents!G100+Rents!G97+Rents!G98</f>
        <v>-544.39999999999759</v>
      </c>
      <c r="E52" s="268" t="s">
        <v>1099</v>
      </c>
      <c r="F52" s="268"/>
      <c r="G52" s="268"/>
      <c r="H52" s="264">
        <f t="shared" si="9"/>
        <v>134589.24000000002</v>
      </c>
      <c r="I52" s="241" t="s">
        <v>176</v>
      </c>
      <c r="J52" s="264">
        <f>+H52*'Allocation Worksheet'!$F$14</f>
        <v>34589.641854634436</v>
      </c>
      <c r="K52" s="264">
        <f>+H52*'Allocation Worksheet'!$D$14</f>
        <v>99999.598145365584</v>
      </c>
      <c r="L52" s="262"/>
      <c r="M52" s="265">
        <f t="shared" si="4"/>
        <v>99999.598145365584</v>
      </c>
    </row>
    <row r="53" spans="1:13" ht="15.75" x14ac:dyDescent="0.25">
      <c r="A53" s="262">
        <f t="shared" si="6"/>
        <v>53</v>
      </c>
      <c r="B53" s="263" t="s">
        <v>191</v>
      </c>
      <c r="C53" s="264">
        <f>SUM('ALS Income'!F174:F182)+'ALS Income'!F132</f>
        <v>43259.479999999996</v>
      </c>
      <c r="D53" s="264"/>
      <c r="E53" s="268"/>
      <c r="F53" s="268"/>
      <c r="G53" s="268"/>
      <c r="H53" s="264">
        <f t="shared" si="9"/>
        <v>43259.479999999996</v>
      </c>
      <c r="I53" s="241" t="s">
        <v>176</v>
      </c>
      <c r="J53" s="264">
        <f>+H53*'Allocation Worksheet'!$F$14</f>
        <v>11117.752949773108</v>
      </c>
      <c r="K53" s="264">
        <f>+H53*'Allocation Worksheet'!$D$14</f>
        <v>32141.727050226884</v>
      </c>
      <c r="L53" s="262"/>
      <c r="M53" s="265">
        <f t="shared" si="4"/>
        <v>32141.727050226884</v>
      </c>
    </row>
    <row r="54" spans="1:13" ht="15.75" x14ac:dyDescent="0.25">
      <c r="A54" s="262">
        <f t="shared" si="6"/>
        <v>54</v>
      </c>
      <c r="B54" s="263" t="s">
        <v>132</v>
      </c>
      <c r="C54" s="264">
        <f>+'ALS Income'!F183</f>
        <v>2764.14</v>
      </c>
      <c r="D54" s="264"/>
      <c r="E54" s="268"/>
      <c r="F54" s="268"/>
      <c r="G54" s="268"/>
      <c r="H54" s="264">
        <f t="shared" si="9"/>
        <v>2764.14</v>
      </c>
      <c r="I54" s="241" t="s">
        <v>176</v>
      </c>
      <c r="J54" s="264">
        <f>+H54*'Allocation Worksheet'!$F$14</f>
        <v>710.38823486980982</v>
      </c>
      <c r="K54" s="264">
        <f>+H54*'Allocation Worksheet'!$D$14</f>
        <v>2053.7517651301901</v>
      </c>
      <c r="L54" s="262"/>
      <c r="M54" s="265">
        <f t="shared" si="4"/>
        <v>2053.7517651301901</v>
      </c>
    </row>
    <row r="55" spans="1:13" ht="15.75" x14ac:dyDescent="0.25">
      <c r="A55" s="262">
        <f t="shared" si="6"/>
        <v>55</v>
      </c>
      <c r="B55" s="263" t="s">
        <v>133</v>
      </c>
      <c r="C55" s="264">
        <f>+'ALS Income'!F185+'ALS Income'!F186</f>
        <v>6908.38</v>
      </c>
      <c r="D55" s="264"/>
      <c r="E55" s="268"/>
      <c r="F55" s="268"/>
      <c r="G55" s="268"/>
      <c r="H55" s="264">
        <f t="shared" si="9"/>
        <v>6908.38</v>
      </c>
      <c r="I55" s="241" t="s">
        <v>176</v>
      </c>
      <c r="J55" s="264">
        <f>+H55*'Allocation Worksheet'!$F$14</f>
        <v>1775.464294142083</v>
      </c>
      <c r="K55" s="264">
        <f>+H55*'Allocation Worksheet'!$D$14</f>
        <v>5132.9157058579167</v>
      </c>
      <c r="L55" s="262"/>
      <c r="M55" s="265">
        <f t="shared" si="4"/>
        <v>5132.9157058579167</v>
      </c>
    </row>
    <row r="56" spans="1:13" ht="15.75" x14ac:dyDescent="0.25">
      <c r="A56" s="262">
        <f t="shared" si="6"/>
        <v>56</v>
      </c>
      <c r="B56" s="263" t="s">
        <v>134</v>
      </c>
      <c r="C56" s="264">
        <f>+'ALS Income'!F184</f>
        <v>37644.89</v>
      </c>
      <c r="D56" s="264"/>
      <c r="E56" s="268"/>
      <c r="F56" s="268"/>
      <c r="G56" s="268"/>
      <c r="H56" s="264">
        <f t="shared" si="9"/>
        <v>37644.89</v>
      </c>
      <c r="I56" s="241" t="s">
        <v>189</v>
      </c>
      <c r="J56" s="264">
        <f>+H56*J15</f>
        <v>8210.0844759143711</v>
      </c>
      <c r="K56" s="264">
        <f>+H56*K15</f>
        <v>29434.80552408563</v>
      </c>
      <c r="L56" s="262"/>
      <c r="M56" s="265">
        <f t="shared" si="4"/>
        <v>29434.80552408563</v>
      </c>
    </row>
    <row r="57" spans="1:13" ht="15.75" x14ac:dyDescent="0.25">
      <c r="A57" s="262">
        <f t="shared" si="6"/>
        <v>57</v>
      </c>
      <c r="B57" s="263" t="s">
        <v>137</v>
      </c>
      <c r="C57" s="264">
        <f>+'ALS Income'!F187</f>
        <v>95125.65</v>
      </c>
      <c r="D57" s="264"/>
      <c r="E57" s="268"/>
      <c r="F57" s="268"/>
      <c r="G57" s="268"/>
      <c r="H57" s="264">
        <f t="shared" si="9"/>
        <v>95125.65</v>
      </c>
      <c r="I57" s="241" t="s">
        <v>176</v>
      </c>
      <c r="J57" s="264">
        <f>+H57*'Allocation Worksheet'!$F$14</f>
        <v>24447.438477914769</v>
      </c>
      <c r="K57" s="264">
        <f>+H57*'Allocation Worksheet'!$D$14</f>
        <v>70678.211522085214</v>
      </c>
      <c r="L57" s="262"/>
      <c r="M57" s="265">
        <f t="shared" si="4"/>
        <v>70678.211522085214</v>
      </c>
    </row>
    <row r="58" spans="1:13" ht="15.75" x14ac:dyDescent="0.25">
      <c r="A58" s="262">
        <f t="shared" si="6"/>
        <v>58</v>
      </c>
      <c r="B58" s="263" t="s">
        <v>138</v>
      </c>
      <c r="C58" s="264">
        <f>+'ALS Income'!F188</f>
        <v>-606.98</v>
      </c>
      <c r="D58" s="264"/>
      <c r="E58" s="268"/>
      <c r="F58" s="268"/>
      <c r="G58" s="268"/>
      <c r="H58" s="264">
        <f t="shared" si="9"/>
        <v>-606.98</v>
      </c>
      <c r="I58" s="241" t="s">
        <v>176</v>
      </c>
      <c r="J58" s="264">
        <f>+H58*'Allocation Worksheet'!$F$14</f>
        <v>-155.99479433070584</v>
      </c>
      <c r="K58" s="264">
        <f>+H58*'Allocation Worksheet'!$D$14</f>
        <v>-450.98520566929415</v>
      </c>
      <c r="L58" s="262"/>
      <c r="M58" s="265">
        <f t="shared" si="4"/>
        <v>-450.98520566929415</v>
      </c>
    </row>
    <row r="59" spans="1:13" ht="15.75" x14ac:dyDescent="0.25">
      <c r="A59" s="262">
        <f t="shared" si="6"/>
        <v>59</v>
      </c>
      <c r="B59" s="263" t="s">
        <v>192</v>
      </c>
      <c r="C59" s="264">
        <f>+'ALS Income'!F189</f>
        <v>167646.22999999998</v>
      </c>
      <c r="D59" s="264"/>
      <c r="E59" s="268"/>
      <c r="F59" s="268"/>
      <c r="G59" s="268"/>
      <c r="H59" s="264">
        <f t="shared" si="9"/>
        <v>167646.22999999998</v>
      </c>
      <c r="I59" s="241" t="s">
        <v>176</v>
      </c>
      <c r="J59" s="264">
        <f>+H59*'Allocation Worksheet'!$F$14</f>
        <v>43085.339169607243</v>
      </c>
      <c r="K59" s="264">
        <f>+H59*'Allocation Worksheet'!$D$14</f>
        <v>124560.89083039273</v>
      </c>
      <c r="L59" s="262"/>
      <c r="M59" s="265">
        <f t="shared" si="4"/>
        <v>124560.89083039273</v>
      </c>
    </row>
    <row r="60" spans="1:13" ht="15.75" x14ac:dyDescent="0.25">
      <c r="A60" s="262">
        <f t="shared" si="6"/>
        <v>60</v>
      </c>
      <c r="B60" s="263" t="s">
        <v>193</v>
      </c>
      <c r="C60" s="264">
        <v>0</v>
      </c>
      <c r="D60" s="264">
        <f>+'Restating Entries'!J24</f>
        <v>18493</v>
      </c>
      <c r="E60" s="268" t="s">
        <v>562</v>
      </c>
      <c r="F60" s="268"/>
      <c r="G60" s="268"/>
      <c r="H60" s="264">
        <f t="shared" si="9"/>
        <v>18493</v>
      </c>
      <c r="I60" s="268" t="s">
        <v>173</v>
      </c>
      <c r="J60" s="264"/>
      <c r="K60" s="264">
        <f>+H60</f>
        <v>18493</v>
      </c>
      <c r="L60" s="265">
        <f>20244-18493</f>
        <v>1751</v>
      </c>
      <c r="M60" s="265">
        <f t="shared" si="4"/>
        <v>20244</v>
      </c>
    </row>
    <row r="61" spans="1:13" ht="15.75" x14ac:dyDescent="0.25">
      <c r="A61" s="262">
        <f t="shared" si="6"/>
        <v>61</v>
      </c>
      <c r="B61" s="263" t="s">
        <v>140</v>
      </c>
      <c r="C61" s="264">
        <f>+'ALS Income'!F190</f>
        <v>34656.990000000005</v>
      </c>
      <c r="D61" s="264"/>
      <c r="E61" s="268"/>
      <c r="F61" s="268"/>
      <c r="G61" s="268"/>
      <c r="H61" s="264">
        <f t="shared" si="9"/>
        <v>34656.990000000005</v>
      </c>
      <c r="I61" s="241" t="s">
        <v>176</v>
      </c>
      <c r="J61" s="264">
        <f>+H61*'Allocation Worksheet'!$F$14</f>
        <v>8906.8997778696648</v>
      </c>
      <c r="K61" s="264">
        <f>+H61*'Allocation Worksheet'!$D$14</f>
        <v>25750.090222130337</v>
      </c>
      <c r="L61" s="262"/>
      <c r="M61" s="265">
        <f t="shared" si="4"/>
        <v>25750.090222130337</v>
      </c>
    </row>
    <row r="62" spans="1:13" ht="15.75" x14ac:dyDescent="0.25">
      <c r="A62" s="262">
        <f t="shared" si="6"/>
        <v>62</v>
      </c>
      <c r="B62" s="263" t="s">
        <v>141</v>
      </c>
      <c r="C62" s="264">
        <f>+'ALS Income'!F191</f>
        <v>22926.02</v>
      </c>
      <c r="D62" s="264"/>
      <c r="E62" s="268"/>
      <c r="F62" s="268"/>
      <c r="G62" s="268"/>
      <c r="H62" s="264">
        <f t="shared" si="9"/>
        <v>22926.02</v>
      </c>
      <c r="I62" s="241" t="s">
        <v>176</v>
      </c>
      <c r="J62" s="264">
        <f>+H62*'Allocation Worksheet'!$F$14</f>
        <v>5892.0224302640099</v>
      </c>
      <c r="K62" s="264">
        <f>+H62*'Allocation Worksheet'!$D$14</f>
        <v>17033.997569735988</v>
      </c>
      <c r="L62" s="262"/>
      <c r="M62" s="265">
        <f t="shared" si="4"/>
        <v>17033.997569735988</v>
      </c>
    </row>
    <row r="63" spans="1:13" ht="15.75" x14ac:dyDescent="0.25">
      <c r="A63" s="262">
        <f t="shared" si="6"/>
        <v>63</v>
      </c>
      <c r="B63" s="263" t="s">
        <v>142</v>
      </c>
      <c r="C63" s="264">
        <f>+'ALS Income'!F192</f>
        <v>118854.63999999998</v>
      </c>
      <c r="D63" s="264">
        <f>-C63</f>
        <v>-118854.63999999998</v>
      </c>
      <c r="E63" s="268" t="s">
        <v>258</v>
      </c>
      <c r="F63" s="268"/>
      <c r="G63" s="268"/>
      <c r="H63" s="264">
        <f t="shared" si="9"/>
        <v>0</v>
      </c>
      <c r="I63" s="268"/>
      <c r="J63" s="264"/>
      <c r="K63" s="264"/>
      <c r="L63" s="262"/>
      <c r="M63" s="265">
        <f t="shared" si="4"/>
        <v>0</v>
      </c>
    </row>
    <row r="64" spans="1:13" ht="15.75" x14ac:dyDescent="0.25">
      <c r="A64" s="262">
        <f t="shared" si="6"/>
        <v>64</v>
      </c>
      <c r="B64" s="263" t="s">
        <v>194</v>
      </c>
      <c r="C64" s="264">
        <f>+'ALS Income'!F194</f>
        <v>7670.32</v>
      </c>
      <c r="D64" s="264"/>
      <c r="E64" s="268"/>
      <c r="F64" s="268"/>
      <c r="G64" s="268"/>
      <c r="H64" s="264">
        <f t="shared" si="9"/>
        <v>7670.32</v>
      </c>
      <c r="I64" s="241" t="s">
        <v>176</v>
      </c>
      <c r="J64" s="264">
        <f>+H64*'Allocation Worksheet'!$F$14</f>
        <v>1971.2840470043486</v>
      </c>
      <c r="K64" s="264">
        <f>+H64*'Allocation Worksheet'!$D$14</f>
        <v>5699.0359529956504</v>
      </c>
      <c r="L64" s="262"/>
      <c r="M64" s="265">
        <f t="shared" si="4"/>
        <v>5699.0359529956504</v>
      </c>
    </row>
    <row r="65" spans="1:13" ht="15.75" x14ac:dyDescent="0.25">
      <c r="A65" s="262">
        <f t="shared" si="6"/>
        <v>65</v>
      </c>
      <c r="B65" s="263" t="s">
        <v>143</v>
      </c>
      <c r="C65" s="264">
        <f>+'ALS Income'!F193</f>
        <v>35215.53</v>
      </c>
      <c r="D65" s="264">
        <f>-C65</f>
        <v>-35215.53</v>
      </c>
      <c r="E65" s="268" t="s">
        <v>231</v>
      </c>
      <c r="F65" s="268"/>
      <c r="G65" s="268"/>
      <c r="H65" s="264">
        <f t="shared" si="9"/>
        <v>0</v>
      </c>
      <c r="I65" s="268"/>
      <c r="J65" s="264"/>
      <c r="K65" s="264"/>
      <c r="L65" s="262"/>
      <c r="M65" s="265">
        <f t="shared" si="4"/>
        <v>0</v>
      </c>
    </row>
    <row r="66" spans="1:13" ht="15.75" x14ac:dyDescent="0.25">
      <c r="A66" s="262">
        <f t="shared" si="6"/>
        <v>66</v>
      </c>
      <c r="B66" s="263" t="s">
        <v>146</v>
      </c>
      <c r="C66" s="275">
        <f>SUM(C17:C65)</f>
        <v>5389301.3099999987</v>
      </c>
      <c r="D66" s="275">
        <f>SUM(D17:D65)</f>
        <v>202028.39486069052</v>
      </c>
      <c r="E66" s="275"/>
      <c r="F66" s="275">
        <f>SUM(F17:F65)</f>
        <v>359439.14500000002</v>
      </c>
      <c r="G66" s="275"/>
      <c r="H66" s="275">
        <f>SUM(H17:H65)</f>
        <v>5950768.8498606905</v>
      </c>
      <c r="I66" s="264"/>
      <c r="J66" s="275">
        <f>SUM(J17:J65)</f>
        <v>1236070.7525249987</v>
      </c>
      <c r="K66" s="275">
        <f>SUM(K17:K65)</f>
        <v>4714698.0973356934</v>
      </c>
      <c r="L66" s="275">
        <f t="shared" ref="L66:M66" si="10">SUM(L17:L65)</f>
        <v>1751</v>
      </c>
      <c r="M66" s="275">
        <f t="shared" si="10"/>
        <v>4716449.0973356934</v>
      </c>
    </row>
    <row r="67" spans="1:13" ht="15.75" x14ac:dyDescent="0.25">
      <c r="A67" s="262">
        <f t="shared" si="6"/>
        <v>67</v>
      </c>
      <c r="B67" s="263" t="s">
        <v>147</v>
      </c>
      <c r="C67" s="264">
        <f>+C14-C66</f>
        <v>-117029.55999999866</v>
      </c>
      <c r="D67" s="264">
        <f>+D14-D66</f>
        <v>-202028.39486069052</v>
      </c>
      <c r="E67" s="264"/>
      <c r="F67" s="264">
        <f>+F14-F66</f>
        <v>-359439.14500000002</v>
      </c>
      <c r="G67" s="264"/>
      <c r="H67" s="264">
        <f>+H14-H66</f>
        <v>-678497.09986069053</v>
      </c>
      <c r="I67" s="264"/>
      <c r="J67" s="264">
        <f>+J14-J66</f>
        <v>-86225.542524998775</v>
      </c>
      <c r="K67" s="264">
        <f>+K14-K66</f>
        <v>-592271.55733569339</v>
      </c>
      <c r="L67" s="264">
        <f t="shared" ref="L67:M67" si="11">+L14-L66</f>
        <v>936820.09375</v>
      </c>
      <c r="M67" s="264">
        <f t="shared" si="11"/>
        <v>344548.53641430661</v>
      </c>
    </row>
    <row r="68" spans="1:13" ht="15.75" x14ac:dyDescent="0.25">
      <c r="A68" s="262">
        <f t="shared" si="6"/>
        <v>68</v>
      </c>
      <c r="B68" s="218" t="s">
        <v>195</v>
      </c>
      <c r="C68" s="264"/>
      <c r="D68" s="264"/>
      <c r="E68" s="264"/>
      <c r="F68" s="264"/>
      <c r="G68" s="264"/>
      <c r="H68" s="276">
        <f>+H66/H14</f>
        <v>1.128691602412317</v>
      </c>
      <c r="I68" s="264"/>
      <c r="J68" s="264"/>
      <c r="K68" s="276">
        <f>+K66/K14</f>
        <v>1.1436706152526597</v>
      </c>
      <c r="L68" s="276">
        <f t="shared" ref="L68:M68" si="12">+L66/L14</f>
        <v>1.865601883181798E-3</v>
      </c>
      <c r="M68" s="276">
        <f t="shared" si="12"/>
        <v>0.93192082641638985</v>
      </c>
    </row>
    <row r="69" spans="1:13" ht="15.75" x14ac:dyDescent="0.25">
      <c r="A69" s="262">
        <f t="shared" si="6"/>
        <v>69</v>
      </c>
      <c r="B69" s="218" t="s">
        <v>196</v>
      </c>
      <c r="C69" s="265"/>
      <c r="D69" s="265"/>
      <c r="E69" s="265"/>
      <c r="F69" s="265"/>
      <c r="G69" s="265"/>
      <c r="H69" s="265"/>
      <c r="I69" s="265"/>
      <c r="J69" s="265"/>
      <c r="K69" s="264"/>
      <c r="L69" s="264"/>
      <c r="M69" s="264"/>
    </row>
    <row r="70" spans="1:13" x14ac:dyDescent="0.25">
      <c r="C70" s="29"/>
      <c r="D70" s="29"/>
      <c r="E70" s="29"/>
      <c r="F70" s="29"/>
      <c r="G70" s="29"/>
      <c r="H70" s="29"/>
      <c r="I70" s="29"/>
      <c r="J70" s="29"/>
      <c r="K70" s="29"/>
    </row>
    <row r="71" spans="1:13" x14ac:dyDescent="0.25">
      <c r="K71" s="29"/>
    </row>
    <row r="72" spans="1:13" x14ac:dyDescent="0.25">
      <c r="K72" s="312"/>
    </row>
  </sheetData>
  <pageMargins left="0.25" right="0.25" top="0.75" bottom="0.75" header="0.3" footer="0.3"/>
  <pageSetup scale="65" fitToHeight="0" orientation="landscape" r:id="rId1"/>
  <headerFooter>
    <oddHeader>&amp;C&amp;"-,Bold Italic"&amp;18DRAFT @ 1:30 PM 1/28/2020</oddHeader>
    <oddFooter>&amp;L&amp;D&amp;C&amp;F    &amp;A &amp;RPage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BE525D-0CC5-4379-ACEC-AD3F86487FDE}">
  <sheetPr>
    <pageSetUpPr fitToPage="1"/>
  </sheetPr>
  <dimension ref="A1:J80"/>
  <sheetViews>
    <sheetView workbookViewId="0">
      <selection sqref="A1:J50"/>
    </sheetView>
  </sheetViews>
  <sheetFormatPr defaultRowHeight="15" x14ac:dyDescent="0.25"/>
  <sheetData>
    <row r="1" spans="1:10" ht="18.75" x14ac:dyDescent="0.3">
      <c r="A1" s="19" t="s">
        <v>158</v>
      </c>
      <c r="B1" s="19"/>
      <c r="C1" s="19"/>
      <c r="D1" s="19"/>
      <c r="E1" s="19"/>
      <c r="F1" s="19"/>
      <c r="G1" s="19"/>
      <c r="H1" s="19"/>
      <c r="I1" s="19"/>
    </row>
    <row r="2" spans="1:10" ht="18.75" x14ac:dyDescent="0.3">
      <c r="A2" s="19" t="s">
        <v>227</v>
      </c>
      <c r="B2" s="19"/>
      <c r="C2" s="19"/>
      <c r="D2" s="19"/>
      <c r="E2" s="19"/>
      <c r="F2" s="19"/>
      <c r="G2" s="19"/>
      <c r="H2" s="19"/>
      <c r="I2" s="19"/>
    </row>
    <row r="3" spans="1:10" ht="18.75" x14ac:dyDescent="0.3">
      <c r="A3" s="19" t="s">
        <v>219</v>
      </c>
      <c r="B3" s="19"/>
      <c r="C3" s="19"/>
      <c r="D3" s="19"/>
      <c r="E3" s="19"/>
      <c r="F3" s="19"/>
      <c r="G3" s="19"/>
      <c r="H3" s="19"/>
      <c r="I3" s="19"/>
    </row>
    <row r="5" spans="1:10" ht="15.75" x14ac:dyDescent="0.25">
      <c r="A5" s="47" t="s">
        <v>229</v>
      </c>
      <c r="B5" s="48"/>
      <c r="C5" s="48"/>
      <c r="D5" s="33"/>
      <c r="E5" s="33"/>
      <c r="F5" s="33"/>
      <c r="G5" s="33"/>
      <c r="H5" s="33"/>
      <c r="J5" t="s">
        <v>230</v>
      </c>
    </row>
    <row r="7" spans="1:10" x14ac:dyDescent="0.25">
      <c r="A7" s="33" t="s">
        <v>231</v>
      </c>
      <c r="B7" s="33"/>
      <c r="C7" s="33"/>
      <c r="D7" s="33"/>
      <c r="E7" s="33"/>
      <c r="F7" s="33"/>
      <c r="G7" s="33"/>
      <c r="H7" s="33"/>
    </row>
    <row r="8" spans="1:10" x14ac:dyDescent="0.25">
      <c r="B8" t="s">
        <v>102</v>
      </c>
      <c r="J8" s="29">
        <v>-2938</v>
      </c>
    </row>
    <row r="9" spans="1:10" x14ac:dyDescent="0.25">
      <c r="B9" t="s">
        <v>142</v>
      </c>
      <c r="J9" s="29">
        <v>-118855</v>
      </c>
    </row>
    <row r="10" spans="1:10" x14ac:dyDescent="0.25">
      <c r="B10" t="s">
        <v>143</v>
      </c>
      <c r="J10" s="29">
        <v>-35216</v>
      </c>
    </row>
    <row r="11" spans="1:10" x14ac:dyDescent="0.25">
      <c r="B11" t="s">
        <v>232</v>
      </c>
      <c r="J11" s="29"/>
    </row>
    <row r="12" spans="1:10" x14ac:dyDescent="0.25">
      <c r="J12" s="29"/>
    </row>
    <row r="13" spans="1:10" x14ac:dyDescent="0.25">
      <c r="J13" s="29"/>
    </row>
    <row r="14" spans="1:10" x14ac:dyDescent="0.25">
      <c r="A14" s="33" t="s">
        <v>257</v>
      </c>
      <c r="B14" s="33"/>
      <c r="C14" s="33"/>
      <c r="D14" s="33"/>
      <c r="E14" s="33"/>
      <c r="F14" s="33"/>
      <c r="G14" s="33"/>
      <c r="H14" s="33"/>
      <c r="J14" s="29"/>
    </row>
    <row r="15" spans="1:10" x14ac:dyDescent="0.25">
      <c r="B15" t="s">
        <v>244</v>
      </c>
      <c r="J15" s="29">
        <f>+'Payroll Worksheet'!O70+'Payroll Worksheet'!P70</f>
        <v>112213.60575999995</v>
      </c>
    </row>
    <row r="16" spans="1:10" x14ac:dyDescent="0.25">
      <c r="B16" t="s">
        <v>1123</v>
      </c>
      <c r="J16" s="29"/>
    </row>
    <row r="17" spans="1:10" x14ac:dyDescent="0.25">
      <c r="J17" s="29"/>
    </row>
    <row r="18" spans="1:10" x14ac:dyDescent="0.25">
      <c r="J18" s="29"/>
    </row>
    <row r="19" spans="1:10" x14ac:dyDescent="0.25">
      <c r="A19" s="33" t="s">
        <v>558</v>
      </c>
      <c r="B19" s="33"/>
      <c r="C19" s="33"/>
      <c r="D19" s="33"/>
      <c r="E19" s="33"/>
      <c r="F19" s="33"/>
      <c r="G19" s="33"/>
      <c r="H19" s="33"/>
      <c r="J19" s="29"/>
    </row>
    <row r="20" spans="1:10" x14ac:dyDescent="0.25">
      <c r="B20" t="s">
        <v>559</v>
      </c>
      <c r="J20" s="29">
        <f>+'Regulatory Depreciation'!S304-'Pro Forma with Allocations'!C40</f>
        <v>151012.75617857196</v>
      </c>
    </row>
    <row r="21" spans="1:10" x14ac:dyDescent="0.25">
      <c r="B21" t="s">
        <v>560</v>
      </c>
      <c r="J21" s="29"/>
    </row>
    <row r="22" spans="1:10" x14ac:dyDescent="0.25">
      <c r="J22" s="29"/>
    </row>
    <row r="23" spans="1:10" x14ac:dyDescent="0.25">
      <c r="A23" s="33" t="s">
        <v>562</v>
      </c>
      <c r="B23" s="33"/>
      <c r="C23" s="33"/>
      <c r="D23" s="33"/>
      <c r="E23" s="33"/>
      <c r="F23" s="33"/>
      <c r="G23" s="33"/>
      <c r="H23" s="33"/>
      <c r="J23" s="29"/>
    </row>
    <row r="24" spans="1:10" x14ac:dyDescent="0.25">
      <c r="B24" t="s">
        <v>193</v>
      </c>
      <c r="J24" s="29">
        <v>18493</v>
      </c>
    </row>
    <row r="25" spans="1:10" x14ac:dyDescent="0.25">
      <c r="B25" t="s">
        <v>105</v>
      </c>
      <c r="J25" s="29">
        <v>-18493</v>
      </c>
    </row>
    <row r="26" spans="1:10" x14ac:dyDescent="0.25">
      <c r="B26" t="s">
        <v>631</v>
      </c>
      <c r="J26" s="29"/>
    </row>
    <row r="27" spans="1:10" x14ac:dyDescent="0.25">
      <c r="J27" s="29"/>
    </row>
    <row r="28" spans="1:10" x14ac:dyDescent="0.25">
      <c r="A28" s="33" t="s">
        <v>561</v>
      </c>
      <c r="B28" s="33"/>
      <c r="C28" s="33"/>
      <c r="D28" s="33"/>
      <c r="E28" s="33"/>
      <c r="F28" s="33"/>
      <c r="G28" s="33"/>
      <c r="H28" s="33"/>
      <c r="J28" s="29"/>
    </row>
    <row r="29" spans="1:10" x14ac:dyDescent="0.25">
      <c r="B29" t="s">
        <v>647</v>
      </c>
      <c r="J29" s="29">
        <f>+'Accounting-MEI-Current Case'!H12</f>
        <v>8792.3100000000013</v>
      </c>
    </row>
    <row r="30" spans="1:10" x14ac:dyDescent="0.25">
      <c r="B30" t="s">
        <v>646</v>
      </c>
      <c r="J30" s="29">
        <f>+'Attorney Costs MEI Amort'!H12</f>
        <v>35491.762000000002</v>
      </c>
    </row>
    <row r="31" spans="1:10" x14ac:dyDescent="0.25">
      <c r="B31" t="s">
        <v>1127</v>
      </c>
      <c r="J31" s="29"/>
    </row>
    <row r="32" spans="1:10" x14ac:dyDescent="0.25">
      <c r="B32" t="s">
        <v>648</v>
      </c>
      <c r="J32" s="29"/>
    </row>
    <row r="33" spans="1:10" x14ac:dyDescent="0.25">
      <c r="J33" s="29"/>
    </row>
    <row r="34" spans="1:10" x14ac:dyDescent="0.25">
      <c r="A34" s="33" t="s">
        <v>1096</v>
      </c>
      <c r="B34" s="33"/>
      <c r="C34" s="33"/>
      <c r="D34" s="33"/>
      <c r="E34" s="33"/>
      <c r="F34" s="33"/>
      <c r="G34" s="33"/>
      <c r="H34" s="33"/>
      <c r="J34" s="29"/>
    </row>
    <row r="35" spans="1:10" x14ac:dyDescent="0.25">
      <c r="B35" t="s">
        <v>180</v>
      </c>
      <c r="J35" s="29">
        <v>1045.9000000000001</v>
      </c>
    </row>
    <row r="36" spans="1:10" x14ac:dyDescent="0.25">
      <c r="B36" t="s">
        <v>1098</v>
      </c>
      <c r="J36" s="29">
        <v>586</v>
      </c>
    </row>
    <row r="37" spans="1:10" x14ac:dyDescent="0.25">
      <c r="B37" t="s">
        <v>1097</v>
      </c>
      <c r="J37" s="29">
        <f>-SUM(J35:J36)</f>
        <v>-1631.9</v>
      </c>
    </row>
    <row r="38" spans="1:10" x14ac:dyDescent="0.25">
      <c r="B38" t="s">
        <v>1101</v>
      </c>
      <c r="J38" s="29"/>
    </row>
    <row r="39" spans="1:10" x14ac:dyDescent="0.25">
      <c r="J39" s="29"/>
    </row>
    <row r="40" spans="1:10" x14ac:dyDescent="0.25">
      <c r="A40" s="33" t="s">
        <v>1100</v>
      </c>
      <c r="B40" s="33"/>
      <c r="C40" s="33"/>
      <c r="D40" s="33"/>
      <c r="E40" s="33"/>
      <c r="F40" s="33"/>
      <c r="G40" s="33"/>
      <c r="H40" s="33"/>
      <c r="J40" s="29"/>
    </row>
    <row r="41" spans="1:10" x14ac:dyDescent="0.25">
      <c r="B41" t="s">
        <v>1097</v>
      </c>
      <c r="J41" s="29">
        <f>+Rents!G97+Rents!G98</f>
        <v>1087.5000000000025</v>
      </c>
    </row>
    <row r="42" spans="1:10" x14ac:dyDescent="0.25">
      <c r="B42" t="s">
        <v>180</v>
      </c>
      <c r="J42" s="29">
        <f>+'Moorage Costs'!G127+'Moorage Costs'!G128+'Moorage Costs'!G129</f>
        <v>4623.9147800000001</v>
      </c>
    </row>
    <row r="43" spans="1:10" x14ac:dyDescent="0.25">
      <c r="B43" t="s">
        <v>1102</v>
      </c>
      <c r="J43" s="29"/>
    </row>
    <row r="44" spans="1:10" x14ac:dyDescent="0.25">
      <c r="J44" s="29"/>
    </row>
    <row r="45" spans="1:10" x14ac:dyDescent="0.25">
      <c r="A45" s="33" t="s">
        <v>1117</v>
      </c>
      <c r="B45" s="33"/>
      <c r="C45" s="33"/>
      <c r="D45" s="33"/>
      <c r="E45" s="33"/>
      <c r="F45" s="33"/>
      <c r="G45" s="33"/>
      <c r="H45" s="33"/>
      <c r="I45" s="313"/>
      <c r="J45" s="314"/>
    </row>
    <row r="46" spans="1:10" x14ac:dyDescent="0.25">
      <c r="B46" t="s">
        <v>113</v>
      </c>
      <c r="J46" s="29">
        <f>+'Insurance 2018-2019'!E32</f>
        <v>50648.926142118638</v>
      </c>
    </row>
    <row r="47" spans="1:10" x14ac:dyDescent="0.25">
      <c r="B47" t="s">
        <v>113</v>
      </c>
      <c r="J47" s="29">
        <f>+'GL Insurnace Account'!F39</f>
        <v>-4834.62</v>
      </c>
    </row>
    <row r="48" spans="1:10" x14ac:dyDescent="0.25">
      <c r="B48" t="s">
        <v>1116</v>
      </c>
      <c r="J48" s="29"/>
    </row>
    <row r="49" spans="2:10" x14ac:dyDescent="0.25">
      <c r="B49" t="s">
        <v>1118</v>
      </c>
      <c r="J49" s="29"/>
    </row>
    <row r="50" spans="2:10" x14ac:dyDescent="0.25">
      <c r="J50" s="29"/>
    </row>
    <row r="51" spans="2:10" x14ac:dyDescent="0.25">
      <c r="J51" s="29"/>
    </row>
    <row r="52" spans="2:10" x14ac:dyDescent="0.25">
      <c r="J52" s="29"/>
    </row>
    <row r="53" spans="2:10" x14ac:dyDescent="0.25">
      <c r="J53" s="29"/>
    </row>
    <row r="54" spans="2:10" x14ac:dyDescent="0.25">
      <c r="J54" s="29"/>
    </row>
    <row r="55" spans="2:10" x14ac:dyDescent="0.25">
      <c r="J55" s="29"/>
    </row>
    <row r="56" spans="2:10" x14ac:dyDescent="0.25">
      <c r="J56" s="29"/>
    </row>
    <row r="57" spans="2:10" x14ac:dyDescent="0.25">
      <c r="J57" s="29"/>
    </row>
    <row r="58" spans="2:10" x14ac:dyDescent="0.25">
      <c r="J58" s="29"/>
    </row>
    <row r="59" spans="2:10" x14ac:dyDescent="0.25">
      <c r="J59" s="29"/>
    </row>
    <row r="60" spans="2:10" x14ac:dyDescent="0.25">
      <c r="J60" s="29"/>
    </row>
    <row r="61" spans="2:10" x14ac:dyDescent="0.25">
      <c r="J61" s="29"/>
    </row>
    <row r="62" spans="2:10" x14ac:dyDescent="0.25">
      <c r="J62" s="29"/>
    </row>
    <row r="63" spans="2:10" x14ac:dyDescent="0.25">
      <c r="J63" s="29"/>
    </row>
    <row r="64" spans="2:10" x14ac:dyDescent="0.25">
      <c r="J64" s="29"/>
    </row>
    <row r="65" spans="10:10" x14ac:dyDescent="0.25">
      <c r="J65" s="29"/>
    </row>
    <row r="66" spans="10:10" x14ac:dyDescent="0.25">
      <c r="J66" s="29"/>
    </row>
    <row r="67" spans="10:10" x14ac:dyDescent="0.25">
      <c r="J67" s="29"/>
    </row>
    <row r="68" spans="10:10" x14ac:dyDescent="0.25">
      <c r="J68" s="29"/>
    </row>
    <row r="69" spans="10:10" x14ac:dyDescent="0.25">
      <c r="J69" s="29"/>
    </row>
    <row r="70" spans="10:10" x14ac:dyDescent="0.25">
      <c r="J70" s="29"/>
    </row>
    <row r="71" spans="10:10" x14ac:dyDescent="0.25">
      <c r="J71" s="29"/>
    </row>
    <row r="72" spans="10:10" x14ac:dyDescent="0.25">
      <c r="J72" s="29"/>
    </row>
    <row r="73" spans="10:10" x14ac:dyDescent="0.25">
      <c r="J73" s="29"/>
    </row>
    <row r="74" spans="10:10" x14ac:dyDescent="0.25">
      <c r="J74" s="29"/>
    </row>
    <row r="75" spans="10:10" x14ac:dyDescent="0.25">
      <c r="J75" s="29"/>
    </row>
    <row r="76" spans="10:10" x14ac:dyDescent="0.25">
      <c r="J76" s="29"/>
    </row>
    <row r="77" spans="10:10" x14ac:dyDescent="0.25">
      <c r="J77" s="29"/>
    </row>
    <row r="78" spans="10:10" x14ac:dyDescent="0.25">
      <c r="J78" s="29"/>
    </row>
    <row r="79" spans="10:10" x14ac:dyDescent="0.25">
      <c r="J79" s="29"/>
    </row>
    <row r="80" spans="10:10" x14ac:dyDescent="0.25">
      <c r="J80" s="29"/>
    </row>
  </sheetData>
  <pageMargins left="0.25" right="0.25" top="0.75" bottom="0.75" header="0.3" footer="0.3"/>
  <pageSetup scale="8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594C7C-8498-41B9-9CE8-5831351197EB}">
  <dimension ref="A1:J22"/>
  <sheetViews>
    <sheetView workbookViewId="0">
      <selection activeCell="L31" sqref="L30:M31"/>
    </sheetView>
  </sheetViews>
  <sheetFormatPr defaultRowHeight="15" x14ac:dyDescent="0.25"/>
  <cols>
    <col min="10" max="10" width="11.5703125" bestFit="1" customWidth="1"/>
  </cols>
  <sheetData>
    <row r="1" spans="1:10" ht="18.75" x14ac:dyDescent="0.3">
      <c r="A1" s="19" t="s">
        <v>158</v>
      </c>
      <c r="B1" s="19"/>
      <c r="C1" s="19"/>
      <c r="D1" s="19"/>
      <c r="E1" s="19"/>
      <c r="F1" s="19"/>
      <c r="G1" s="19"/>
      <c r="H1" s="19"/>
      <c r="I1" s="19"/>
    </row>
    <row r="2" spans="1:10" ht="18.75" x14ac:dyDescent="0.3">
      <c r="A2" s="19" t="s">
        <v>228</v>
      </c>
      <c r="B2" s="19"/>
      <c r="C2" s="19"/>
      <c r="D2" s="19"/>
      <c r="E2" s="19"/>
      <c r="F2" s="19"/>
      <c r="G2" s="19"/>
      <c r="H2" s="19"/>
      <c r="I2" s="19"/>
    </row>
    <row r="3" spans="1:10" ht="18.75" x14ac:dyDescent="0.3">
      <c r="A3" s="19" t="s">
        <v>219</v>
      </c>
      <c r="B3" s="19"/>
      <c r="C3" s="19"/>
      <c r="D3" s="19"/>
      <c r="E3" s="19"/>
      <c r="F3" s="19"/>
      <c r="G3" s="19"/>
      <c r="H3" s="19"/>
      <c r="I3" s="19"/>
    </row>
    <row r="5" spans="1:10" ht="15.75" x14ac:dyDescent="0.25">
      <c r="A5" s="47" t="s">
        <v>229</v>
      </c>
      <c r="B5" s="48"/>
      <c r="C5" s="48"/>
      <c r="D5" s="33"/>
      <c r="E5" s="33"/>
      <c r="F5" s="33"/>
      <c r="G5" s="33"/>
      <c r="H5" s="33"/>
      <c r="J5" t="s">
        <v>230</v>
      </c>
    </row>
    <row r="9" spans="1:10" x14ac:dyDescent="0.25">
      <c r="B9" s="33" t="s">
        <v>1122</v>
      </c>
      <c r="C9" s="33"/>
      <c r="D9" s="33"/>
      <c r="E9" s="33"/>
      <c r="F9" s="33"/>
      <c r="G9" s="33"/>
      <c r="H9" s="33"/>
    </row>
    <row r="10" spans="1:10" x14ac:dyDescent="0.25">
      <c r="B10" t="s">
        <v>244</v>
      </c>
      <c r="J10" s="29">
        <f>SUM('Payroll Worksheet'!P73:P76)</f>
        <v>302200.16000000003</v>
      </c>
    </row>
    <row r="11" spans="1:10" x14ac:dyDescent="0.25">
      <c r="B11" t="s">
        <v>1124</v>
      </c>
    </row>
    <row r="13" spans="1:10" x14ac:dyDescent="0.25">
      <c r="B13" s="33" t="s">
        <v>1126</v>
      </c>
      <c r="C13" s="33"/>
      <c r="D13" s="33"/>
      <c r="E13" s="33"/>
      <c r="F13" s="33"/>
      <c r="G13" s="33"/>
      <c r="H13" s="33"/>
      <c r="J13" s="29"/>
    </row>
    <row r="14" spans="1:10" x14ac:dyDescent="0.25">
      <c r="B14" t="s">
        <v>647</v>
      </c>
      <c r="J14" s="29">
        <f>+'Accounting-MEI-Current Case'!H26</f>
        <v>12613.125</v>
      </c>
    </row>
    <row r="15" spans="1:10" x14ac:dyDescent="0.25">
      <c r="B15" t="s">
        <v>646</v>
      </c>
      <c r="J15" s="29">
        <f>+'Attorney Costs MEI Amort'!H26</f>
        <v>12500</v>
      </c>
    </row>
    <row r="16" spans="1:10" x14ac:dyDescent="0.25">
      <c r="B16" t="s">
        <v>1128</v>
      </c>
      <c r="J16" s="29"/>
    </row>
    <row r="17" spans="2:10" x14ac:dyDescent="0.25">
      <c r="B17" t="s">
        <v>648</v>
      </c>
      <c r="J17" s="29"/>
    </row>
    <row r="19" spans="2:10" x14ac:dyDescent="0.25">
      <c r="B19" s="33" t="s">
        <v>1125</v>
      </c>
      <c r="C19" s="33"/>
      <c r="D19" s="33"/>
      <c r="E19" s="33"/>
      <c r="F19" s="33"/>
      <c r="G19" s="33"/>
      <c r="H19" s="33"/>
      <c r="J19" s="29"/>
    </row>
    <row r="20" spans="2:10" x14ac:dyDescent="0.25">
      <c r="B20" s="310" t="str">
        <f>+'Pro Forma with Allocations'!B48</f>
        <v>Insurance - Employee Benefit</v>
      </c>
      <c r="J20" s="311">
        <f>+'Health Care Cost Increase'!M16</f>
        <v>32125.860000000004</v>
      </c>
    </row>
    <row r="21" spans="2:10" x14ac:dyDescent="0.25">
      <c r="B21" t="s">
        <v>1163</v>
      </c>
    </row>
    <row r="22" spans="2:10" x14ac:dyDescent="0.25">
      <c r="B22" t="s">
        <v>1164</v>
      </c>
    </row>
  </sheetData>
  <pageMargins left="0.25" right="0.25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7606F0-62ED-48B7-A679-42B166B85EB4}">
  <sheetPr>
    <pageSetUpPr fitToPage="1"/>
  </sheetPr>
  <dimension ref="A1:AA94"/>
  <sheetViews>
    <sheetView workbookViewId="0">
      <selection activeCell="S6" sqref="S6"/>
    </sheetView>
  </sheetViews>
  <sheetFormatPr defaultRowHeight="15" x14ac:dyDescent="0.25"/>
  <cols>
    <col min="1" max="1" width="24.5703125" customWidth="1"/>
    <col min="2" max="2" width="15.140625" bestFit="1" customWidth="1"/>
    <col min="3" max="3" width="12.7109375" customWidth="1"/>
    <col min="4" max="13" width="13.42578125" customWidth="1"/>
    <col min="14" max="14" width="4.5703125" customWidth="1"/>
    <col min="15" max="15" width="12.140625" bestFit="1" customWidth="1"/>
    <col min="16" max="16" width="12.5703125" customWidth="1"/>
    <col min="17" max="17" width="13.140625" bestFit="1" customWidth="1"/>
    <col min="19" max="19" width="20.140625" bestFit="1" customWidth="1"/>
  </cols>
  <sheetData>
    <row r="1" spans="1:27" ht="15.75" x14ac:dyDescent="0.25">
      <c r="A1" s="49" t="s">
        <v>158</v>
      </c>
      <c r="B1" s="49"/>
      <c r="C1" s="49"/>
      <c r="D1" s="50"/>
      <c r="E1" s="50"/>
      <c r="F1" s="50"/>
      <c r="G1" s="50"/>
      <c r="H1" s="51"/>
      <c r="I1" s="51"/>
      <c r="J1" s="50"/>
      <c r="K1" s="52"/>
      <c r="L1" s="52"/>
      <c r="M1" s="53"/>
      <c r="N1" s="54"/>
      <c r="O1" s="54"/>
      <c r="P1" s="54"/>
      <c r="Q1" s="54"/>
      <c r="T1" s="54"/>
      <c r="U1" s="54"/>
      <c r="V1" s="54"/>
      <c r="W1" s="54"/>
      <c r="X1" s="54"/>
      <c r="Y1" s="54"/>
      <c r="Z1" s="54"/>
      <c r="AA1" s="54"/>
    </row>
    <row r="2" spans="1:27" ht="15.75" x14ac:dyDescent="0.25">
      <c r="A2" s="55" t="s">
        <v>233</v>
      </c>
      <c r="B2" s="55"/>
      <c r="C2" s="55"/>
      <c r="D2" s="49"/>
      <c r="E2" s="49"/>
      <c r="F2" s="49"/>
      <c r="G2" s="49"/>
      <c r="H2" s="49"/>
      <c r="I2" s="49"/>
      <c r="J2" s="49"/>
      <c r="K2" s="49"/>
      <c r="L2" s="49"/>
      <c r="M2" s="55"/>
      <c r="N2" s="54"/>
      <c r="O2" s="54"/>
      <c r="P2" s="54"/>
      <c r="Q2" s="54"/>
      <c r="T2" s="54"/>
      <c r="U2" s="54"/>
      <c r="V2" s="54"/>
      <c r="W2" s="54"/>
      <c r="X2" s="54"/>
      <c r="Y2" s="54"/>
      <c r="Z2" s="54"/>
      <c r="AA2" s="54"/>
    </row>
    <row r="3" spans="1:27" ht="15.75" x14ac:dyDescent="0.25">
      <c r="A3" s="53" t="s">
        <v>234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47"/>
      <c r="N3" s="54"/>
      <c r="O3" s="54"/>
      <c r="P3" s="54"/>
      <c r="Q3" s="54"/>
      <c r="T3" s="54"/>
      <c r="U3" s="54"/>
      <c r="V3" s="54"/>
      <c r="W3" s="54"/>
      <c r="X3" s="54"/>
      <c r="Y3" s="54"/>
      <c r="Z3" s="54"/>
      <c r="AA3" s="54"/>
    </row>
    <row r="4" spans="1:27" ht="15.75" x14ac:dyDescent="0.25">
      <c r="A4" s="56"/>
      <c r="B4" s="56"/>
      <c r="C4" s="56"/>
      <c r="D4" s="347" t="s">
        <v>235</v>
      </c>
      <c r="E4" s="347"/>
      <c r="F4" s="347" t="s">
        <v>236</v>
      </c>
      <c r="G4" s="347"/>
      <c r="H4" s="347" t="s">
        <v>237</v>
      </c>
      <c r="I4" s="347"/>
      <c r="J4" s="347" t="s">
        <v>238</v>
      </c>
      <c r="K4" s="347"/>
      <c r="L4" s="348" t="s">
        <v>239</v>
      </c>
      <c r="M4" s="348"/>
      <c r="N4" s="54"/>
      <c r="O4" s="54"/>
      <c r="P4" s="54"/>
      <c r="Q4" s="54"/>
      <c r="T4" s="54"/>
      <c r="U4" s="54"/>
      <c r="V4" s="54"/>
      <c r="W4" s="54"/>
      <c r="X4" s="54"/>
      <c r="Y4" s="54"/>
      <c r="Z4" s="54"/>
      <c r="AA4" s="54"/>
    </row>
    <row r="5" spans="1:27" ht="48" thickBot="1" x14ac:dyDescent="0.3">
      <c r="A5" s="57" t="s">
        <v>240</v>
      </c>
      <c r="B5" s="57" t="s">
        <v>241</v>
      </c>
      <c r="C5" s="57" t="s">
        <v>242</v>
      </c>
      <c r="D5" s="58" t="s">
        <v>243</v>
      </c>
      <c r="E5" s="58" t="s">
        <v>244</v>
      </c>
      <c r="F5" s="58" t="s">
        <v>243</v>
      </c>
      <c r="G5" s="58" t="s">
        <v>244</v>
      </c>
      <c r="H5" s="58" t="s">
        <v>243</v>
      </c>
      <c r="I5" s="58" t="s">
        <v>244</v>
      </c>
      <c r="J5" s="58" t="s">
        <v>243</v>
      </c>
      <c r="K5" s="58" t="s">
        <v>244</v>
      </c>
      <c r="L5" s="58" t="s">
        <v>243</v>
      </c>
      <c r="M5" s="58" t="s">
        <v>244</v>
      </c>
      <c r="N5" s="59"/>
      <c r="O5" s="59" t="s">
        <v>245</v>
      </c>
      <c r="P5" s="60" t="s">
        <v>246</v>
      </c>
      <c r="Q5" s="59" t="s">
        <v>247</v>
      </c>
      <c r="S5" s="343" t="s">
        <v>1187</v>
      </c>
      <c r="T5" s="54"/>
      <c r="U5" s="54"/>
      <c r="V5" s="54"/>
      <c r="W5" s="54"/>
      <c r="X5" s="54"/>
      <c r="Y5" s="54"/>
      <c r="Z5" s="54"/>
      <c r="AA5" s="54"/>
    </row>
    <row r="6" spans="1:27" ht="15.75" x14ac:dyDescent="0.25">
      <c r="A6" s="61" t="s">
        <v>1165</v>
      </c>
      <c r="B6" s="62" t="s">
        <v>248</v>
      </c>
      <c r="C6" s="63">
        <v>1</v>
      </c>
      <c r="D6" s="64">
        <f>466.25+8.25</f>
        <v>474.5</v>
      </c>
      <c r="E6" s="65">
        <f>9325+247.5</f>
        <v>9572.5</v>
      </c>
      <c r="F6" s="66">
        <f>400.5+12.25+22.75</f>
        <v>435.5</v>
      </c>
      <c r="G6" s="66">
        <v>9182.5</v>
      </c>
      <c r="H6" s="67">
        <f>174.5+10.25</f>
        <v>184.75</v>
      </c>
      <c r="I6" s="67">
        <v>3797.5</v>
      </c>
      <c r="J6" s="68"/>
      <c r="K6" s="68"/>
      <c r="L6" s="69">
        <f t="shared" ref="L6:M37" si="0">+D6+F6+H6+J6</f>
        <v>1094.75</v>
      </c>
      <c r="M6" s="69">
        <f t="shared" si="0"/>
        <v>22552.5</v>
      </c>
      <c r="N6" s="70"/>
      <c r="O6" s="70">
        <f>-M6</f>
        <v>-22552.5</v>
      </c>
      <c r="P6" s="70"/>
      <c r="Q6" s="70">
        <f>SUM(M6:P6)</f>
        <v>0</v>
      </c>
      <c r="T6" s="70"/>
      <c r="U6" s="70"/>
      <c r="V6" s="70"/>
      <c r="W6" s="70"/>
      <c r="X6" s="70"/>
      <c r="Y6" s="70"/>
      <c r="Z6" s="70"/>
      <c r="AA6" s="70"/>
    </row>
    <row r="7" spans="1:27" ht="15.75" x14ac:dyDescent="0.25">
      <c r="A7" s="61" t="s">
        <v>1165</v>
      </c>
      <c r="B7" s="71" t="s">
        <v>249</v>
      </c>
      <c r="C7" s="72">
        <f>1+1</f>
        <v>2</v>
      </c>
      <c r="D7" s="73">
        <v>480</v>
      </c>
      <c r="E7" s="74">
        <v>19700.04</v>
      </c>
      <c r="F7" s="66">
        <v>480</v>
      </c>
      <c r="G7" s="66">
        <v>19700.04</v>
      </c>
      <c r="H7" s="75">
        <v>480</v>
      </c>
      <c r="I7" s="75">
        <v>19700.04</v>
      </c>
      <c r="J7" s="68">
        <v>480</v>
      </c>
      <c r="K7" s="68">
        <v>19700.04</v>
      </c>
      <c r="L7" s="69">
        <f t="shared" si="0"/>
        <v>1920</v>
      </c>
      <c r="M7" s="69">
        <f t="shared" si="0"/>
        <v>78800.160000000003</v>
      </c>
      <c r="N7" s="70"/>
      <c r="O7" s="70">
        <f>-M7</f>
        <v>-78800.160000000003</v>
      </c>
      <c r="P7" s="70"/>
      <c r="Q7" s="70">
        <f t="shared" ref="Q7:Q70" si="1">SUM(M7:P7)</f>
        <v>0</v>
      </c>
      <c r="T7" s="70"/>
      <c r="U7" s="70"/>
      <c r="V7" s="70"/>
      <c r="W7" s="70"/>
      <c r="X7" s="70"/>
      <c r="Y7" s="70"/>
      <c r="Z7" s="70"/>
      <c r="AA7" s="70"/>
    </row>
    <row r="8" spans="1:27" ht="15.75" x14ac:dyDescent="0.25">
      <c r="A8" s="61" t="s">
        <v>1165</v>
      </c>
      <c r="B8" s="71" t="s">
        <v>250</v>
      </c>
      <c r="C8" s="72">
        <f>+C7+1</f>
        <v>3</v>
      </c>
      <c r="D8" s="67">
        <v>480</v>
      </c>
      <c r="E8" s="67">
        <v>15375</v>
      </c>
      <c r="F8" s="66">
        <v>480</v>
      </c>
      <c r="G8" s="66">
        <v>15375</v>
      </c>
      <c r="H8" s="67">
        <v>480</v>
      </c>
      <c r="I8" s="67">
        <v>15375</v>
      </c>
      <c r="J8" s="68">
        <v>480</v>
      </c>
      <c r="K8" s="68">
        <v>15375</v>
      </c>
      <c r="L8" s="69">
        <f t="shared" si="0"/>
        <v>1920</v>
      </c>
      <c r="M8" s="69">
        <f t="shared" si="0"/>
        <v>61500</v>
      </c>
      <c r="N8" s="70"/>
      <c r="O8" s="70"/>
      <c r="P8" s="70">
        <f>+M8*0.02</f>
        <v>1230</v>
      </c>
      <c r="Q8" s="70">
        <f t="shared" si="1"/>
        <v>62730</v>
      </c>
      <c r="S8" t="s">
        <v>1104</v>
      </c>
      <c r="T8" s="70"/>
      <c r="U8" s="70"/>
      <c r="V8" s="70"/>
      <c r="W8" s="70"/>
      <c r="X8" s="70"/>
      <c r="Y8" s="70"/>
      <c r="Z8" s="70"/>
      <c r="AA8" s="70"/>
    </row>
    <row r="9" spans="1:27" ht="15.75" x14ac:dyDescent="0.25">
      <c r="A9" s="61" t="s">
        <v>1165</v>
      </c>
      <c r="B9" s="71" t="s">
        <v>248</v>
      </c>
      <c r="C9" s="72">
        <f t="shared" ref="C9:C63" si="2">+C8+1</f>
        <v>4</v>
      </c>
      <c r="D9" s="67">
        <f>280.25+20+2+71.75</f>
        <v>374</v>
      </c>
      <c r="E9" s="67">
        <v>10796.89</v>
      </c>
      <c r="F9" s="66">
        <f>267.75+1.75+32.75+51.25</f>
        <v>353.5</v>
      </c>
      <c r="G9" s="66">
        <v>8442.9699999999993</v>
      </c>
      <c r="H9" s="67">
        <f>430+1.75+40.25</f>
        <v>472</v>
      </c>
      <c r="I9" s="67">
        <v>12346.89</v>
      </c>
      <c r="J9" s="68">
        <f>24+2.5</f>
        <v>26.5</v>
      </c>
      <c r="K9" s="68">
        <v>693.75</v>
      </c>
      <c r="L9" s="69">
        <f t="shared" si="0"/>
        <v>1226</v>
      </c>
      <c r="M9" s="69">
        <f t="shared" si="0"/>
        <v>32280.5</v>
      </c>
      <c r="N9" s="70"/>
      <c r="O9" s="70"/>
      <c r="P9" s="70">
        <f>+M9*0.02</f>
        <v>645.61</v>
      </c>
      <c r="Q9" s="70">
        <f t="shared" si="1"/>
        <v>32926.11</v>
      </c>
      <c r="S9" t="s">
        <v>1104</v>
      </c>
      <c r="T9" s="70"/>
      <c r="U9" s="70"/>
      <c r="V9" s="70"/>
      <c r="W9" s="70"/>
      <c r="X9" s="70"/>
      <c r="Y9" s="70"/>
      <c r="Z9" s="70"/>
      <c r="AA9" s="70"/>
    </row>
    <row r="10" spans="1:27" ht="15.75" x14ac:dyDescent="0.25">
      <c r="A10" s="61" t="s">
        <v>1165</v>
      </c>
      <c r="B10" s="71" t="s">
        <v>251</v>
      </c>
      <c r="C10" s="72">
        <f t="shared" si="2"/>
        <v>5</v>
      </c>
      <c r="D10" s="67">
        <v>480</v>
      </c>
      <c r="E10" s="67">
        <v>11531.28</v>
      </c>
      <c r="F10" s="66">
        <v>480</v>
      </c>
      <c r="G10" s="66">
        <v>11531.28</v>
      </c>
      <c r="H10" s="67">
        <v>480</v>
      </c>
      <c r="I10" s="67">
        <v>11531.28</v>
      </c>
      <c r="J10" s="68">
        <v>480</v>
      </c>
      <c r="K10" s="68">
        <v>11531.28</v>
      </c>
      <c r="L10" s="69">
        <f t="shared" si="0"/>
        <v>1920</v>
      </c>
      <c r="M10" s="69">
        <f t="shared" si="0"/>
        <v>46125.120000000003</v>
      </c>
      <c r="N10" s="70"/>
      <c r="O10" s="70"/>
      <c r="P10" s="70">
        <f>+M10*0.084</f>
        <v>3874.5100800000005</v>
      </c>
      <c r="Q10" s="70">
        <f t="shared" si="1"/>
        <v>49999.630080000003</v>
      </c>
      <c r="S10" t="s">
        <v>1105</v>
      </c>
      <c r="T10" s="70"/>
      <c r="U10" s="70"/>
      <c r="V10" s="70"/>
      <c r="W10" s="70"/>
      <c r="X10" s="70"/>
      <c r="Y10" s="70"/>
      <c r="Z10" s="70"/>
      <c r="AA10" s="70"/>
    </row>
    <row r="11" spans="1:27" ht="15.75" x14ac:dyDescent="0.25">
      <c r="A11" s="61" t="s">
        <v>1165</v>
      </c>
      <c r="B11" s="71" t="s">
        <v>252</v>
      </c>
      <c r="C11" s="72">
        <f t="shared" si="2"/>
        <v>6</v>
      </c>
      <c r="D11" s="67">
        <f>539.5+17.25+51.5</f>
        <v>608.25</v>
      </c>
      <c r="E11" s="67">
        <f>14971.13+957.38+2143.96</f>
        <v>18072.469999999998</v>
      </c>
      <c r="F11" s="66">
        <f>381.5+32.5+60.75+17</f>
        <v>491.75</v>
      </c>
      <c r="G11" s="66">
        <v>15522.5</v>
      </c>
      <c r="H11" s="67">
        <f>516.5+1.75+46.75</f>
        <v>565</v>
      </c>
      <c r="I11" s="67">
        <v>16966.36</v>
      </c>
      <c r="J11" s="68">
        <f>482.25+0.5+51.25</f>
        <v>534</v>
      </c>
      <c r="K11" s="68">
        <v>16997.07</v>
      </c>
      <c r="L11" s="69">
        <f t="shared" si="0"/>
        <v>2199</v>
      </c>
      <c r="M11" s="69">
        <f t="shared" si="0"/>
        <v>67558.399999999994</v>
      </c>
      <c r="N11" s="70"/>
      <c r="O11" s="70"/>
      <c r="P11" s="70">
        <f>+M11*0.11</f>
        <v>7431.4239999999991</v>
      </c>
      <c r="Q11" s="70">
        <f t="shared" si="1"/>
        <v>74989.823999999993</v>
      </c>
      <c r="S11" t="s">
        <v>1106</v>
      </c>
      <c r="T11" s="70"/>
      <c r="U11" s="70"/>
      <c r="V11" s="70"/>
      <c r="W11" s="70"/>
      <c r="X11" s="70"/>
      <c r="Y11" s="70"/>
      <c r="Z11" s="70"/>
      <c r="AA11" s="70"/>
    </row>
    <row r="12" spans="1:27" ht="15.75" x14ac:dyDescent="0.25">
      <c r="A12" s="61" t="s">
        <v>1165</v>
      </c>
      <c r="B12" s="71" t="s">
        <v>252</v>
      </c>
      <c r="C12" s="72">
        <f t="shared" si="2"/>
        <v>7</v>
      </c>
      <c r="D12" s="67">
        <f>193.5+82.25</f>
        <v>275.75</v>
      </c>
      <c r="E12" s="67">
        <v>10425.209999999999</v>
      </c>
      <c r="F12" s="66">
        <f>259.25+14.5+42.5</f>
        <v>316.25</v>
      </c>
      <c r="G12" s="66">
        <v>11580.82</v>
      </c>
      <c r="H12" s="75">
        <f>265+66</f>
        <v>331</v>
      </c>
      <c r="I12" s="75">
        <v>11975.61</v>
      </c>
      <c r="J12" s="68">
        <f>101+3+76.75</f>
        <v>180.75</v>
      </c>
      <c r="K12" s="68">
        <v>7307.93</v>
      </c>
      <c r="L12" s="69">
        <f t="shared" si="0"/>
        <v>1103.75</v>
      </c>
      <c r="M12" s="69">
        <f t="shared" si="0"/>
        <v>41289.57</v>
      </c>
      <c r="N12" s="70"/>
      <c r="O12" s="70"/>
      <c r="P12" s="70">
        <f>+M12*0.02</f>
        <v>825.79140000000007</v>
      </c>
      <c r="Q12" s="70">
        <f t="shared" si="1"/>
        <v>42115.361400000002</v>
      </c>
      <c r="S12" t="s">
        <v>1104</v>
      </c>
      <c r="T12" s="70"/>
      <c r="U12" s="70"/>
      <c r="V12" s="70"/>
      <c r="W12" s="70"/>
      <c r="X12" s="70"/>
      <c r="Y12" s="70"/>
      <c r="Z12" s="70"/>
      <c r="AA12" s="70"/>
    </row>
    <row r="13" spans="1:27" ht="15.75" x14ac:dyDescent="0.25">
      <c r="A13" s="61" t="s">
        <v>1165</v>
      </c>
      <c r="B13" s="71" t="s">
        <v>252</v>
      </c>
      <c r="C13" s="72">
        <f t="shared" si="2"/>
        <v>8</v>
      </c>
      <c r="D13" s="67">
        <f>401.25+9+50.5</f>
        <v>460.75</v>
      </c>
      <c r="E13" s="67">
        <v>12472.83</v>
      </c>
      <c r="F13" s="66">
        <f>129+11.25+31.25</f>
        <v>171.5</v>
      </c>
      <c r="G13" s="66">
        <v>5607.3</v>
      </c>
      <c r="H13" s="67"/>
      <c r="I13" s="67"/>
      <c r="J13" s="68"/>
      <c r="K13" s="68"/>
      <c r="L13" s="69">
        <f t="shared" si="0"/>
        <v>632.25</v>
      </c>
      <c r="M13" s="69">
        <f t="shared" si="0"/>
        <v>18080.13</v>
      </c>
      <c r="N13" s="70"/>
      <c r="O13" s="70">
        <f>-M13</f>
        <v>-18080.13</v>
      </c>
      <c r="P13" s="70"/>
      <c r="Q13" s="70">
        <f t="shared" si="1"/>
        <v>0</v>
      </c>
      <c r="T13" s="70"/>
      <c r="U13" s="70"/>
      <c r="V13" s="70"/>
      <c r="W13" s="70"/>
      <c r="X13" s="70"/>
      <c r="Y13" s="70"/>
      <c r="Z13" s="70"/>
      <c r="AA13" s="70"/>
    </row>
    <row r="14" spans="1:27" ht="15.75" x14ac:dyDescent="0.25">
      <c r="A14" s="61" t="s">
        <v>1165</v>
      </c>
      <c r="B14" s="71" t="s">
        <v>248</v>
      </c>
      <c r="C14" s="72">
        <f t="shared" si="2"/>
        <v>9</v>
      </c>
      <c r="D14" s="67">
        <f>461+0.75+12.75</f>
        <v>474.5</v>
      </c>
      <c r="E14" s="67">
        <v>10610.07</v>
      </c>
      <c r="F14" s="76">
        <f>523+18.5+11.75</f>
        <v>553.25</v>
      </c>
      <c r="G14" s="76">
        <v>12996.58</v>
      </c>
      <c r="H14" s="75">
        <f>447.5+12</f>
        <v>459.5</v>
      </c>
      <c r="I14" s="75">
        <v>10473.77</v>
      </c>
      <c r="J14" s="68">
        <f>425.25+12</f>
        <v>437.25</v>
      </c>
      <c r="K14" s="68">
        <v>9973.1299999999992</v>
      </c>
      <c r="L14" s="69">
        <f t="shared" si="0"/>
        <v>1924.5</v>
      </c>
      <c r="M14" s="69">
        <f t="shared" si="0"/>
        <v>44053.549999999996</v>
      </c>
      <c r="N14" s="70"/>
      <c r="O14" s="70"/>
      <c r="P14" s="70">
        <f>+L14*2.5</f>
        <v>4811.25</v>
      </c>
      <c r="Q14" s="70">
        <f t="shared" si="1"/>
        <v>48864.799999999996</v>
      </c>
      <c r="S14" t="s">
        <v>1107</v>
      </c>
      <c r="T14" s="70"/>
      <c r="U14" s="70"/>
      <c r="V14" s="70"/>
      <c r="W14" s="70"/>
      <c r="X14" s="70"/>
      <c r="Y14" s="70"/>
      <c r="Z14" s="70"/>
      <c r="AA14" s="70"/>
    </row>
    <row r="15" spans="1:27" ht="15.75" x14ac:dyDescent="0.25">
      <c r="A15" s="61" t="s">
        <v>1165</v>
      </c>
      <c r="B15" s="77" t="s">
        <v>252</v>
      </c>
      <c r="C15" s="72">
        <f t="shared" si="2"/>
        <v>10</v>
      </c>
      <c r="D15" s="68">
        <f>481.5+0.75+2+5</f>
        <v>489.25</v>
      </c>
      <c r="E15" s="68">
        <v>12362.51</v>
      </c>
      <c r="F15" s="66">
        <f>516+11.75+35.75</f>
        <v>563.5</v>
      </c>
      <c r="G15" s="66">
        <v>14828.14</v>
      </c>
      <c r="H15" s="67">
        <f>505.25+64+6</f>
        <v>575.25</v>
      </c>
      <c r="I15" s="67">
        <v>14126.25</v>
      </c>
      <c r="J15" s="68">
        <f>441+3</f>
        <v>444</v>
      </c>
      <c r="K15" s="68">
        <v>15813.75</v>
      </c>
      <c r="L15" s="69">
        <f t="shared" si="0"/>
        <v>2072</v>
      </c>
      <c r="M15" s="69">
        <f t="shared" si="0"/>
        <v>57130.65</v>
      </c>
      <c r="N15" s="70"/>
      <c r="O15" s="70"/>
      <c r="P15" s="70">
        <f>+M15*0.2</f>
        <v>11426.130000000001</v>
      </c>
      <c r="Q15" s="70">
        <f t="shared" si="1"/>
        <v>68556.78</v>
      </c>
      <c r="S15" t="s">
        <v>1108</v>
      </c>
      <c r="T15" s="70"/>
      <c r="U15" s="70"/>
      <c r="V15" s="70"/>
      <c r="W15" s="70"/>
      <c r="X15" s="70"/>
      <c r="Y15" s="70"/>
      <c r="Z15" s="70"/>
      <c r="AA15" s="70"/>
    </row>
    <row r="16" spans="1:27" ht="15.75" x14ac:dyDescent="0.25">
      <c r="A16" s="61" t="s">
        <v>1165</v>
      </c>
      <c r="B16" s="71" t="s">
        <v>248</v>
      </c>
      <c r="C16" s="72">
        <f t="shared" si="2"/>
        <v>11</v>
      </c>
      <c r="D16" s="67">
        <f>477.25+11.5</f>
        <v>488.75</v>
      </c>
      <c r="E16" s="67">
        <v>13316.96</v>
      </c>
      <c r="F16" s="66">
        <f>341.25+28+32</f>
        <v>401.25</v>
      </c>
      <c r="G16" s="66">
        <v>11990.75</v>
      </c>
      <c r="H16" s="67">
        <f>370.5+3+4.5+99</f>
        <v>477</v>
      </c>
      <c r="I16" s="67">
        <v>14381.13</v>
      </c>
      <c r="J16" s="68">
        <f>437.75+8+37.25</f>
        <v>483</v>
      </c>
      <c r="K16" s="68">
        <v>13724.4</v>
      </c>
      <c r="L16" s="69">
        <f t="shared" si="0"/>
        <v>1850</v>
      </c>
      <c r="M16" s="69">
        <f t="shared" si="0"/>
        <v>53413.24</v>
      </c>
      <c r="N16" s="70"/>
      <c r="O16" s="70"/>
      <c r="P16" s="70">
        <f>+M16*0.02</f>
        <v>1068.2647999999999</v>
      </c>
      <c r="Q16" s="70">
        <f t="shared" si="1"/>
        <v>54481.504799999995</v>
      </c>
      <c r="S16" t="s">
        <v>1104</v>
      </c>
      <c r="T16" s="70"/>
      <c r="U16" s="70"/>
      <c r="V16" s="70"/>
      <c r="W16" s="70"/>
      <c r="X16" s="70"/>
      <c r="Y16" s="70"/>
      <c r="Z16" s="70"/>
      <c r="AA16" s="70"/>
    </row>
    <row r="17" spans="1:27" ht="15.75" x14ac:dyDescent="0.25">
      <c r="A17" s="61" t="s">
        <v>1165</v>
      </c>
      <c r="B17" s="71" t="s">
        <v>252</v>
      </c>
      <c r="C17" s="72">
        <f t="shared" si="2"/>
        <v>12</v>
      </c>
      <c r="D17" s="67">
        <f>563.75+3+23</f>
        <v>589.75</v>
      </c>
      <c r="E17" s="67">
        <v>19336</v>
      </c>
      <c r="F17" s="66">
        <f>433+3+24.5+42.25</f>
        <v>502.75</v>
      </c>
      <c r="G17" s="66">
        <v>19343.310000000001</v>
      </c>
      <c r="H17" s="67">
        <f>490.25+2+39.25</f>
        <v>531.5</v>
      </c>
      <c r="I17" s="67">
        <v>19663.8</v>
      </c>
      <c r="J17" s="68">
        <f>428.75+2.75+7.75+53.76</f>
        <v>493.01</v>
      </c>
      <c r="K17" s="68">
        <v>18855.64</v>
      </c>
      <c r="L17" s="69">
        <f t="shared" si="0"/>
        <v>2117.0100000000002</v>
      </c>
      <c r="M17" s="69">
        <f t="shared" si="0"/>
        <v>77198.75</v>
      </c>
      <c r="N17" s="70"/>
      <c r="O17" s="70"/>
      <c r="P17" s="70">
        <f>+M17*0.11</f>
        <v>8491.8624999999993</v>
      </c>
      <c r="Q17" s="70">
        <f t="shared" si="1"/>
        <v>85690.612500000003</v>
      </c>
      <c r="S17" t="s">
        <v>1106</v>
      </c>
      <c r="T17" s="70"/>
      <c r="U17" s="70"/>
      <c r="V17" s="70"/>
      <c r="W17" s="70"/>
      <c r="X17" s="70"/>
      <c r="Y17" s="70"/>
      <c r="Z17" s="70"/>
      <c r="AA17" s="70"/>
    </row>
    <row r="18" spans="1:27" ht="15.75" x14ac:dyDescent="0.25">
      <c r="A18" s="61" t="s">
        <v>1165</v>
      </c>
      <c r="B18" s="71" t="s">
        <v>251</v>
      </c>
      <c r="C18" s="72">
        <f t="shared" si="2"/>
        <v>13</v>
      </c>
      <c r="D18" s="67">
        <v>480</v>
      </c>
      <c r="E18" s="67">
        <v>18819</v>
      </c>
      <c r="F18" s="66">
        <v>480</v>
      </c>
      <c r="G18" s="66">
        <v>18819</v>
      </c>
      <c r="H18" s="67">
        <v>480</v>
      </c>
      <c r="I18" s="67">
        <v>18819</v>
      </c>
      <c r="J18" s="68">
        <v>480</v>
      </c>
      <c r="K18" s="68">
        <v>18819</v>
      </c>
      <c r="L18" s="69">
        <f t="shared" si="0"/>
        <v>1920</v>
      </c>
      <c r="M18" s="69">
        <f t="shared" si="0"/>
        <v>75276</v>
      </c>
      <c r="N18" s="70"/>
      <c r="O18" s="70"/>
      <c r="P18" s="70">
        <f t="shared" ref="P18:P19" si="3">+M18*0.02</f>
        <v>1505.52</v>
      </c>
      <c r="Q18" s="70">
        <f t="shared" ref="Q18:Q19" si="4">SUM(M18:P18)</f>
        <v>76781.52</v>
      </c>
      <c r="S18" t="s">
        <v>1104</v>
      </c>
      <c r="T18" s="70"/>
      <c r="U18" s="70"/>
      <c r="V18" s="70"/>
      <c r="W18" s="70"/>
      <c r="X18" s="70"/>
      <c r="Y18" s="70"/>
      <c r="Z18" s="70"/>
      <c r="AA18" s="70"/>
    </row>
    <row r="19" spans="1:27" ht="15.75" x14ac:dyDescent="0.25">
      <c r="A19" s="61" t="s">
        <v>1165</v>
      </c>
      <c r="B19" s="71" t="s">
        <v>252</v>
      </c>
      <c r="C19" s="72">
        <f t="shared" si="2"/>
        <v>14</v>
      </c>
      <c r="D19" s="67">
        <f>617.25+0.75+2+5</f>
        <v>625</v>
      </c>
      <c r="E19" s="67">
        <v>22405.439999999999</v>
      </c>
      <c r="F19" s="66">
        <f>613+10.25+7</f>
        <v>630.25</v>
      </c>
      <c r="G19" s="66">
        <v>22894.27</v>
      </c>
      <c r="H19" s="67">
        <f>629.25+4.25</f>
        <v>633.5</v>
      </c>
      <c r="I19" s="67">
        <v>22596.51</v>
      </c>
      <c r="J19" s="68">
        <f>600.75+1.5+5+16.25</f>
        <v>623.5</v>
      </c>
      <c r="K19" s="68">
        <v>22685.439999999999</v>
      </c>
      <c r="L19" s="69">
        <f t="shared" si="0"/>
        <v>2512.25</v>
      </c>
      <c r="M19" s="69">
        <f t="shared" si="0"/>
        <v>90581.66</v>
      </c>
      <c r="N19" s="70"/>
      <c r="O19" s="70"/>
      <c r="P19" s="70">
        <f t="shared" si="3"/>
        <v>1811.6332000000002</v>
      </c>
      <c r="Q19" s="70">
        <f t="shared" si="4"/>
        <v>92393.2932</v>
      </c>
      <c r="S19" t="s">
        <v>1104</v>
      </c>
      <c r="T19" s="70"/>
      <c r="U19" s="70"/>
      <c r="V19" s="70"/>
      <c r="W19" s="70"/>
      <c r="X19" s="70"/>
      <c r="Y19" s="70"/>
      <c r="Z19" s="70"/>
      <c r="AA19" s="70"/>
    </row>
    <row r="20" spans="1:27" ht="15.75" x14ac:dyDescent="0.25">
      <c r="A20" s="61" t="s">
        <v>1165</v>
      </c>
      <c r="B20" s="71" t="s">
        <v>252</v>
      </c>
      <c r="C20" s="72">
        <f t="shared" si="2"/>
        <v>15</v>
      </c>
      <c r="D20" s="67">
        <f>182.75+15.5+559.5+0.75+6+42</f>
        <v>806.5</v>
      </c>
      <c r="E20" s="67">
        <v>45614.1</v>
      </c>
      <c r="F20" s="66">
        <v>1050.5</v>
      </c>
      <c r="G20" s="66">
        <v>53066.15</v>
      </c>
      <c r="H20" s="67">
        <f>242.75+38+630+12+1.75+261</f>
        <v>1185.5</v>
      </c>
      <c r="I20" s="67">
        <v>59537.64</v>
      </c>
      <c r="J20" s="68">
        <f>128.5+110+661+11+6+45</f>
        <v>961.5</v>
      </c>
      <c r="K20" s="68">
        <v>47900.7</v>
      </c>
      <c r="L20" s="69">
        <f t="shared" si="0"/>
        <v>4004</v>
      </c>
      <c r="M20" s="69">
        <f t="shared" si="0"/>
        <v>206118.59000000003</v>
      </c>
      <c r="N20" s="70"/>
      <c r="O20" s="70"/>
      <c r="P20" s="70"/>
      <c r="Q20" s="70">
        <f t="shared" si="1"/>
        <v>206118.59000000003</v>
      </c>
      <c r="T20" s="70"/>
      <c r="U20" s="70"/>
      <c r="V20" s="70"/>
      <c r="W20" s="70"/>
      <c r="X20" s="70"/>
      <c r="Y20" s="70"/>
      <c r="Z20" s="70"/>
      <c r="AA20" s="70"/>
    </row>
    <row r="21" spans="1:27" ht="15.75" x14ac:dyDescent="0.25">
      <c r="A21" s="61" t="s">
        <v>1165</v>
      </c>
      <c r="B21" s="71" t="s">
        <v>249</v>
      </c>
      <c r="C21" s="72">
        <f t="shared" si="2"/>
        <v>16</v>
      </c>
      <c r="D21" s="67">
        <v>360</v>
      </c>
      <c r="E21" s="67">
        <v>10296</v>
      </c>
      <c r="F21" s="66">
        <f>360</f>
        <v>360</v>
      </c>
      <c r="G21" s="66">
        <v>10296</v>
      </c>
      <c r="H21" s="67">
        <v>360</v>
      </c>
      <c r="I21" s="67">
        <v>10296</v>
      </c>
      <c r="J21" s="68">
        <v>360</v>
      </c>
      <c r="K21" s="68">
        <v>10296</v>
      </c>
      <c r="L21" s="69">
        <f t="shared" si="0"/>
        <v>1440</v>
      </c>
      <c r="M21" s="69">
        <f t="shared" si="0"/>
        <v>41184</v>
      </c>
      <c r="N21" s="70"/>
      <c r="O21" s="70">
        <f>-M21</f>
        <v>-41184</v>
      </c>
      <c r="P21" s="70"/>
      <c r="Q21" s="70">
        <f t="shared" si="1"/>
        <v>0</v>
      </c>
      <c r="T21" s="70"/>
      <c r="U21" s="70"/>
      <c r="V21" s="70"/>
      <c r="W21" s="70"/>
      <c r="X21" s="70"/>
      <c r="Y21" s="70"/>
      <c r="Z21" s="70"/>
      <c r="AA21" s="70"/>
    </row>
    <row r="22" spans="1:27" ht="15.75" x14ac:dyDescent="0.25">
      <c r="A22" s="61" t="s">
        <v>1165</v>
      </c>
      <c r="B22" s="71" t="s">
        <v>251</v>
      </c>
      <c r="C22" s="72">
        <f t="shared" si="2"/>
        <v>17</v>
      </c>
      <c r="D22" s="67">
        <v>240</v>
      </c>
      <c r="E22" s="67">
        <v>5227.5</v>
      </c>
      <c r="F22" s="66"/>
      <c r="G22" s="66"/>
      <c r="H22" s="67"/>
      <c r="I22" s="67"/>
      <c r="J22" s="68"/>
      <c r="K22" s="68"/>
      <c r="L22" s="69">
        <f t="shared" si="0"/>
        <v>240</v>
      </c>
      <c r="M22" s="69">
        <f t="shared" si="0"/>
        <v>5227.5</v>
      </c>
      <c r="N22" s="70"/>
      <c r="O22" s="70">
        <f>-M22</f>
        <v>-5227.5</v>
      </c>
      <c r="P22" s="70"/>
      <c r="Q22" s="70">
        <f t="shared" si="1"/>
        <v>0</v>
      </c>
      <c r="T22" s="70"/>
      <c r="U22" s="70"/>
      <c r="V22" s="70"/>
      <c r="W22" s="70"/>
      <c r="X22" s="70"/>
      <c r="Y22" s="70"/>
      <c r="Z22" s="70"/>
      <c r="AA22" s="70"/>
    </row>
    <row r="23" spans="1:27" ht="15.75" x14ac:dyDescent="0.25">
      <c r="A23" s="61" t="s">
        <v>1165</v>
      </c>
      <c r="B23" s="71" t="s">
        <v>251</v>
      </c>
      <c r="C23" s="72">
        <f t="shared" si="2"/>
        <v>18</v>
      </c>
      <c r="D23" s="67">
        <v>90</v>
      </c>
      <c r="E23" s="67">
        <v>1693.2</v>
      </c>
      <c r="F23" s="66">
        <v>240</v>
      </c>
      <c r="G23" s="66">
        <v>1693.2</v>
      </c>
      <c r="H23" s="67">
        <v>240</v>
      </c>
      <c r="I23" s="67">
        <v>1693.2</v>
      </c>
      <c r="J23" s="68">
        <v>240</v>
      </c>
      <c r="K23" s="68">
        <v>1693.2</v>
      </c>
      <c r="L23" s="69">
        <f t="shared" si="0"/>
        <v>810</v>
      </c>
      <c r="M23" s="69">
        <f t="shared" si="0"/>
        <v>6772.8</v>
      </c>
      <c r="N23" s="70"/>
      <c r="O23" s="70"/>
      <c r="P23" s="70"/>
      <c r="Q23" s="70">
        <f t="shared" si="1"/>
        <v>6772.8</v>
      </c>
      <c r="T23" s="70"/>
      <c r="U23" s="70"/>
      <c r="V23" s="70"/>
      <c r="W23" s="70"/>
      <c r="X23" s="70"/>
      <c r="Y23" s="70"/>
      <c r="Z23" s="70"/>
      <c r="AA23" s="70"/>
    </row>
    <row r="24" spans="1:27" ht="15.75" x14ac:dyDescent="0.25">
      <c r="A24" s="61" t="s">
        <v>1165</v>
      </c>
      <c r="B24" s="71" t="s">
        <v>251</v>
      </c>
      <c r="C24" s="72">
        <f t="shared" si="2"/>
        <v>19</v>
      </c>
      <c r="D24" s="67">
        <v>480</v>
      </c>
      <c r="E24" s="67">
        <v>16260</v>
      </c>
      <c r="F24" s="78">
        <v>480</v>
      </c>
      <c r="G24" s="78">
        <v>16260</v>
      </c>
      <c r="H24" s="67">
        <v>480</v>
      </c>
      <c r="I24" s="67">
        <v>16260</v>
      </c>
      <c r="J24" s="68">
        <v>480</v>
      </c>
      <c r="K24" s="68">
        <v>16260</v>
      </c>
      <c r="L24" s="69">
        <f t="shared" si="0"/>
        <v>1920</v>
      </c>
      <c r="M24" s="69">
        <f t="shared" si="0"/>
        <v>65040</v>
      </c>
      <c r="N24" s="70"/>
      <c r="O24" s="70"/>
      <c r="P24" s="70"/>
      <c r="Q24" s="70">
        <f t="shared" si="1"/>
        <v>65040</v>
      </c>
      <c r="T24" s="70"/>
      <c r="U24" s="70"/>
      <c r="V24" s="70"/>
      <c r="W24" s="70"/>
      <c r="X24" s="70"/>
      <c r="Y24" s="70"/>
      <c r="Z24" s="70"/>
      <c r="AA24" s="70"/>
    </row>
    <row r="25" spans="1:27" ht="15.75" x14ac:dyDescent="0.25">
      <c r="A25" s="61" t="s">
        <v>1165</v>
      </c>
      <c r="B25" s="71" t="s">
        <v>248</v>
      </c>
      <c r="C25" s="72">
        <f t="shared" si="2"/>
        <v>20</v>
      </c>
      <c r="D25" s="67">
        <f>486+17.5</f>
        <v>503.5</v>
      </c>
      <c r="E25" s="67">
        <v>10550.51</v>
      </c>
      <c r="F25" s="66">
        <f>389+3.75+39</f>
        <v>431.75</v>
      </c>
      <c r="G25" s="66">
        <v>9555.02</v>
      </c>
      <c r="H25" s="67">
        <f>442+3.25+7+50.25</f>
        <v>502.5</v>
      </c>
      <c r="I25" s="67">
        <v>11295.39</v>
      </c>
      <c r="J25" s="68">
        <f>367.75+1+4.25+47.75</f>
        <v>420.75</v>
      </c>
      <c r="K25" s="68">
        <v>9835.33</v>
      </c>
      <c r="L25" s="69">
        <f t="shared" si="0"/>
        <v>1858.5</v>
      </c>
      <c r="M25" s="69">
        <f t="shared" si="0"/>
        <v>41236.25</v>
      </c>
      <c r="N25" s="70"/>
      <c r="O25" s="70"/>
      <c r="P25" s="70">
        <f>+M25*0.05</f>
        <v>2061.8125</v>
      </c>
      <c r="Q25" s="70">
        <f t="shared" si="1"/>
        <v>43298.0625</v>
      </c>
      <c r="S25" t="s">
        <v>1109</v>
      </c>
      <c r="T25" s="70"/>
      <c r="U25" s="70"/>
      <c r="V25" s="70"/>
      <c r="W25" s="70"/>
      <c r="X25" s="70"/>
      <c r="Y25" s="70"/>
      <c r="Z25" s="70"/>
      <c r="AA25" s="70"/>
    </row>
    <row r="26" spans="1:27" ht="15.75" x14ac:dyDescent="0.25">
      <c r="A26" s="61" t="s">
        <v>1165</v>
      </c>
      <c r="B26" s="71" t="s">
        <v>253</v>
      </c>
      <c r="C26" s="72">
        <f t="shared" si="2"/>
        <v>21</v>
      </c>
      <c r="D26" s="67">
        <v>508.75</v>
      </c>
      <c r="E26" s="67">
        <v>11192.5</v>
      </c>
      <c r="F26" s="66">
        <f>528+15.75+8+1</f>
        <v>552.75</v>
      </c>
      <c r="G26" s="66">
        <v>12267.75</v>
      </c>
      <c r="H26" s="67">
        <f>499+9.25+0.5</f>
        <v>508.75</v>
      </c>
      <c r="I26" s="67">
        <v>11288.75</v>
      </c>
      <c r="J26" s="68">
        <f>522+37.75+2</f>
        <v>561.75</v>
      </c>
      <c r="K26" s="68">
        <v>12751.75</v>
      </c>
      <c r="L26" s="69">
        <f t="shared" si="0"/>
        <v>2132</v>
      </c>
      <c r="M26" s="69">
        <f t="shared" si="0"/>
        <v>47500.75</v>
      </c>
      <c r="N26" s="70"/>
      <c r="O26" s="70"/>
      <c r="P26" s="70">
        <f t="shared" ref="P26:P28" si="5">+M26*0.02</f>
        <v>950.01499999999999</v>
      </c>
      <c r="Q26" s="70">
        <f t="shared" si="1"/>
        <v>48450.764999999999</v>
      </c>
      <c r="S26" t="s">
        <v>1104</v>
      </c>
      <c r="T26" s="70"/>
      <c r="U26" s="70"/>
      <c r="V26" s="70"/>
      <c r="W26" s="70"/>
      <c r="X26" s="70"/>
      <c r="Y26" s="70"/>
      <c r="Z26" s="70"/>
      <c r="AA26" s="70"/>
    </row>
    <row r="27" spans="1:27" ht="15.75" x14ac:dyDescent="0.25">
      <c r="A27" s="61" t="s">
        <v>1165</v>
      </c>
      <c r="B27" s="71" t="s">
        <v>252</v>
      </c>
      <c r="C27" s="72">
        <f t="shared" si="2"/>
        <v>22</v>
      </c>
      <c r="D27" s="67">
        <f>130+9+13</f>
        <v>152</v>
      </c>
      <c r="E27" s="67">
        <v>6013.27</v>
      </c>
      <c r="F27" s="66">
        <f>78+4.75+27.75</f>
        <v>110.5</v>
      </c>
      <c r="G27" s="66">
        <v>4635.6099999999997</v>
      </c>
      <c r="H27" s="67">
        <f>173.5+8.75+37.5</f>
        <v>219.75</v>
      </c>
      <c r="I27" s="67">
        <v>8876.2800000000007</v>
      </c>
      <c r="J27" s="68">
        <f>82.25+14</f>
        <v>96.25</v>
      </c>
      <c r="K27" s="68">
        <v>3706.69</v>
      </c>
      <c r="L27" s="69">
        <f t="shared" si="0"/>
        <v>578.5</v>
      </c>
      <c r="M27" s="69">
        <f t="shared" si="0"/>
        <v>23231.850000000002</v>
      </c>
      <c r="N27" s="70"/>
      <c r="O27" s="70"/>
      <c r="P27" s="70">
        <f t="shared" si="5"/>
        <v>464.63700000000006</v>
      </c>
      <c r="Q27" s="70">
        <f t="shared" si="1"/>
        <v>23696.487000000001</v>
      </c>
      <c r="S27" t="s">
        <v>1104</v>
      </c>
      <c r="T27" s="70"/>
      <c r="U27" s="70"/>
      <c r="V27" s="70"/>
      <c r="W27" s="70"/>
      <c r="X27" s="70"/>
      <c r="Y27" s="70"/>
      <c r="Z27" s="70"/>
      <c r="AA27" s="70"/>
    </row>
    <row r="28" spans="1:27" ht="15.75" x14ac:dyDescent="0.25">
      <c r="A28" s="61" t="s">
        <v>1165</v>
      </c>
      <c r="B28" s="71" t="s">
        <v>252</v>
      </c>
      <c r="C28" s="72">
        <f t="shared" si="2"/>
        <v>23</v>
      </c>
      <c r="D28" s="67">
        <v>480</v>
      </c>
      <c r="E28" s="67">
        <v>23917.79</v>
      </c>
      <c r="F28" s="66">
        <v>480</v>
      </c>
      <c r="G28" s="66">
        <v>26416.07</v>
      </c>
      <c r="H28" s="67">
        <v>480</v>
      </c>
      <c r="I28" s="67">
        <v>24327.61</v>
      </c>
      <c r="J28" s="68">
        <v>480</v>
      </c>
      <c r="K28" s="68">
        <v>23950.85</v>
      </c>
      <c r="L28" s="69">
        <f t="shared" si="0"/>
        <v>1920</v>
      </c>
      <c r="M28" s="69">
        <f t="shared" si="0"/>
        <v>98612.32</v>
      </c>
      <c r="N28" s="70"/>
      <c r="O28" s="70"/>
      <c r="P28" s="70">
        <f t="shared" si="5"/>
        <v>1972.2464000000002</v>
      </c>
      <c r="Q28" s="70">
        <f t="shared" si="1"/>
        <v>100584.56640000001</v>
      </c>
      <c r="S28" t="s">
        <v>1104</v>
      </c>
      <c r="T28" s="70"/>
      <c r="U28" s="70"/>
      <c r="V28" s="70"/>
      <c r="W28" s="70"/>
      <c r="X28" s="70"/>
      <c r="Y28" s="70"/>
      <c r="Z28" s="70"/>
      <c r="AA28" s="70"/>
    </row>
    <row r="29" spans="1:27" ht="15.75" x14ac:dyDescent="0.25">
      <c r="A29" s="61" t="s">
        <v>1165</v>
      </c>
      <c r="B29" s="71" t="s">
        <v>252</v>
      </c>
      <c r="C29" s="72">
        <f t="shared" si="2"/>
        <v>24</v>
      </c>
      <c r="D29" s="67">
        <v>8.5</v>
      </c>
      <c r="E29" s="67">
        <v>302.18</v>
      </c>
      <c r="F29" s="66">
        <f>67.25+1</f>
        <v>68.25</v>
      </c>
      <c r="G29" s="66">
        <v>2444.08</v>
      </c>
      <c r="H29" s="67"/>
      <c r="I29" s="67"/>
      <c r="J29" s="68"/>
      <c r="K29" s="68"/>
      <c r="L29" s="69">
        <f t="shared" si="0"/>
        <v>76.75</v>
      </c>
      <c r="M29" s="69">
        <f t="shared" si="0"/>
        <v>2746.2599999999998</v>
      </c>
      <c r="N29" s="70"/>
      <c r="O29" s="70">
        <f>-M29</f>
        <v>-2746.2599999999998</v>
      </c>
      <c r="P29" s="70"/>
      <c r="Q29" s="70">
        <f t="shared" si="1"/>
        <v>0</v>
      </c>
      <c r="T29" s="70"/>
      <c r="U29" s="70"/>
      <c r="V29" s="70"/>
      <c r="W29" s="70"/>
      <c r="X29" s="70"/>
      <c r="Y29" s="70"/>
      <c r="Z29" s="70"/>
      <c r="AA29" s="70"/>
    </row>
    <row r="30" spans="1:27" ht="15.75" x14ac:dyDescent="0.25">
      <c r="A30" s="61" t="s">
        <v>1165</v>
      </c>
      <c r="B30" s="71" t="s">
        <v>251</v>
      </c>
      <c r="C30" s="72">
        <f t="shared" si="2"/>
        <v>25</v>
      </c>
      <c r="D30" s="67">
        <v>480</v>
      </c>
      <c r="E30" s="67">
        <v>19211.04</v>
      </c>
      <c r="F30" s="66">
        <v>480</v>
      </c>
      <c r="G30" s="66">
        <v>19211.04</v>
      </c>
      <c r="H30" s="67">
        <v>480</v>
      </c>
      <c r="I30" s="67">
        <v>19211.04</v>
      </c>
      <c r="J30" s="68">
        <v>480</v>
      </c>
      <c r="K30" s="68">
        <v>19211.04</v>
      </c>
      <c r="L30" s="69">
        <f t="shared" si="0"/>
        <v>1920</v>
      </c>
      <c r="M30" s="69">
        <f t="shared" si="0"/>
        <v>76844.160000000003</v>
      </c>
      <c r="N30" s="70"/>
      <c r="O30" s="70"/>
      <c r="P30" s="70">
        <f>+M30*0.02</f>
        <v>1536.8832000000002</v>
      </c>
      <c r="Q30" s="70">
        <f t="shared" ref="Q30" si="6">SUM(M30:P30)</f>
        <v>78381.0432</v>
      </c>
      <c r="S30" t="s">
        <v>1104</v>
      </c>
      <c r="T30" s="70"/>
      <c r="U30" s="70"/>
      <c r="V30" s="70"/>
      <c r="W30" s="70"/>
      <c r="X30" s="70"/>
      <c r="Y30" s="70"/>
      <c r="Z30" s="70"/>
      <c r="AA30" s="70"/>
    </row>
    <row r="31" spans="1:27" ht="15.75" x14ac:dyDescent="0.25">
      <c r="A31" s="61" t="s">
        <v>1165</v>
      </c>
      <c r="B31" s="71" t="s">
        <v>253</v>
      </c>
      <c r="C31" s="72">
        <f t="shared" si="2"/>
        <v>26</v>
      </c>
      <c r="D31" s="67">
        <v>480</v>
      </c>
      <c r="E31" s="67">
        <v>20500.02</v>
      </c>
      <c r="F31" s="66">
        <v>480</v>
      </c>
      <c r="G31" s="66">
        <v>20500.02</v>
      </c>
      <c r="H31" s="67">
        <v>480</v>
      </c>
      <c r="I31" s="67">
        <v>20500.02</v>
      </c>
      <c r="J31" s="68">
        <v>480</v>
      </c>
      <c r="K31" s="68">
        <v>20500.02</v>
      </c>
      <c r="L31" s="69">
        <f t="shared" si="0"/>
        <v>1920</v>
      </c>
      <c r="M31" s="69">
        <f t="shared" si="0"/>
        <v>82000.08</v>
      </c>
      <c r="N31" s="70"/>
      <c r="O31" s="70"/>
      <c r="P31" s="70">
        <v>3000</v>
      </c>
      <c r="Q31" s="70">
        <f t="shared" si="1"/>
        <v>85000.08</v>
      </c>
      <c r="S31" t="s">
        <v>1110</v>
      </c>
      <c r="T31" s="70"/>
      <c r="U31" s="70"/>
      <c r="V31" s="70"/>
      <c r="W31" s="70"/>
      <c r="X31" s="70"/>
      <c r="Y31" s="70"/>
      <c r="Z31" s="70"/>
      <c r="AA31" s="70"/>
    </row>
    <row r="32" spans="1:27" ht="15.75" x14ac:dyDescent="0.25">
      <c r="A32" s="61" t="s">
        <v>1165</v>
      </c>
      <c r="B32" s="71" t="s">
        <v>251</v>
      </c>
      <c r="C32" s="72">
        <f t="shared" si="2"/>
        <v>27</v>
      </c>
      <c r="D32" s="67">
        <f>80*4</f>
        <v>320</v>
      </c>
      <c r="E32" s="67">
        <v>7833.36</v>
      </c>
      <c r="F32" s="66">
        <v>264</v>
      </c>
      <c r="G32" s="66">
        <v>5875.02</v>
      </c>
      <c r="H32" s="67"/>
      <c r="I32" s="67"/>
      <c r="J32" s="68"/>
      <c r="K32" s="68"/>
      <c r="L32" s="69">
        <f t="shared" si="0"/>
        <v>584</v>
      </c>
      <c r="M32" s="69">
        <f t="shared" si="0"/>
        <v>13708.380000000001</v>
      </c>
      <c r="N32" s="70"/>
      <c r="O32" s="70">
        <f>-M32</f>
        <v>-13708.380000000001</v>
      </c>
      <c r="P32" s="70"/>
      <c r="Q32" s="70">
        <f t="shared" si="1"/>
        <v>0</v>
      </c>
      <c r="T32" s="70"/>
      <c r="U32" s="70"/>
      <c r="V32" s="70"/>
      <c r="W32" s="70"/>
      <c r="X32" s="70"/>
      <c r="Y32" s="70"/>
      <c r="Z32" s="70"/>
      <c r="AA32" s="70"/>
    </row>
    <row r="33" spans="1:27" ht="15.75" x14ac:dyDescent="0.25">
      <c r="A33" s="61" t="s">
        <v>1165</v>
      </c>
      <c r="B33" s="71" t="s">
        <v>253</v>
      </c>
      <c r="C33" s="72">
        <f t="shared" si="2"/>
        <v>28</v>
      </c>
      <c r="D33" s="67">
        <v>36</v>
      </c>
      <c r="E33" s="67">
        <v>1211.76</v>
      </c>
      <c r="F33" s="66"/>
      <c r="G33" s="66"/>
      <c r="H33" s="67"/>
      <c r="I33" s="67"/>
      <c r="J33" s="68"/>
      <c r="K33" s="68"/>
      <c r="L33" s="69">
        <f t="shared" si="0"/>
        <v>36</v>
      </c>
      <c r="M33" s="69">
        <f t="shared" si="0"/>
        <v>1211.76</v>
      </c>
      <c r="N33" s="70"/>
      <c r="O33" s="70">
        <f>-M33</f>
        <v>-1211.76</v>
      </c>
      <c r="P33" s="70"/>
      <c r="Q33" s="70">
        <f t="shared" si="1"/>
        <v>0</v>
      </c>
      <c r="T33" s="70"/>
      <c r="U33" s="70"/>
      <c r="V33" s="70"/>
      <c r="W33" s="70"/>
      <c r="X33" s="70"/>
      <c r="Y33" s="70"/>
      <c r="Z33" s="70"/>
      <c r="AA33" s="70"/>
    </row>
    <row r="34" spans="1:27" ht="15.75" x14ac:dyDescent="0.25">
      <c r="A34" s="61" t="s">
        <v>1165</v>
      </c>
      <c r="B34" s="71" t="s">
        <v>248</v>
      </c>
      <c r="C34" s="72">
        <f t="shared" si="2"/>
        <v>29</v>
      </c>
      <c r="D34" s="67">
        <f>526.75+24.5</f>
        <v>551.25</v>
      </c>
      <c r="E34" s="67">
        <v>14442.37</v>
      </c>
      <c r="F34" s="66">
        <f>529+20+14</f>
        <v>563</v>
      </c>
      <c r="G34" s="66">
        <v>14795.25</v>
      </c>
      <c r="H34" s="67">
        <f>535.5+37.5+15.75</f>
        <v>588.75</v>
      </c>
      <c r="I34" s="67">
        <v>15674.22</v>
      </c>
      <c r="J34" s="68">
        <f>535.5+18+12.5</f>
        <v>566</v>
      </c>
      <c r="K34" s="68">
        <v>14867.14</v>
      </c>
      <c r="L34" s="69">
        <f t="shared" si="0"/>
        <v>2269</v>
      </c>
      <c r="M34" s="69">
        <f t="shared" si="0"/>
        <v>59778.98</v>
      </c>
      <c r="N34" s="70"/>
      <c r="O34" s="70"/>
      <c r="P34" s="70">
        <f>+M34*0.02</f>
        <v>1195.5796</v>
      </c>
      <c r="Q34" s="70">
        <f t="shared" si="1"/>
        <v>60974.559600000001</v>
      </c>
      <c r="S34" t="s">
        <v>1104</v>
      </c>
      <c r="T34" s="70"/>
      <c r="U34" s="70"/>
      <c r="V34" s="70"/>
      <c r="W34" s="70"/>
      <c r="X34" s="70"/>
      <c r="Y34" s="70"/>
      <c r="Z34" s="70"/>
      <c r="AA34" s="70"/>
    </row>
    <row r="35" spans="1:27" ht="15.75" x14ac:dyDescent="0.25">
      <c r="A35" s="61" t="s">
        <v>1165</v>
      </c>
      <c r="B35" s="71" t="s">
        <v>248</v>
      </c>
      <c r="C35" s="72">
        <f t="shared" si="2"/>
        <v>30</v>
      </c>
      <c r="D35" s="67">
        <f>360.25+13.5+63.75</f>
        <v>437.5</v>
      </c>
      <c r="E35" s="67">
        <v>12071.89</v>
      </c>
      <c r="F35" s="66">
        <f>301.25+12.25+31.25+60.75</f>
        <v>405.5</v>
      </c>
      <c r="G35" s="66">
        <v>12334.14</v>
      </c>
      <c r="H35" s="67">
        <f>378.75+4.75+61</f>
        <v>444.5</v>
      </c>
      <c r="I35" s="67">
        <v>12953.26</v>
      </c>
      <c r="J35" s="68">
        <f>173.25+3.75+32.75</f>
        <v>209.75</v>
      </c>
      <c r="K35" s="68">
        <v>6206.63</v>
      </c>
      <c r="L35" s="69">
        <f t="shared" si="0"/>
        <v>1497.25</v>
      </c>
      <c r="M35" s="69">
        <f t="shared" si="0"/>
        <v>43565.919999999998</v>
      </c>
      <c r="N35" s="70"/>
      <c r="O35" s="70"/>
      <c r="P35" s="70">
        <f>+M35*0.08</f>
        <v>3485.2736</v>
      </c>
      <c r="Q35" s="70">
        <f t="shared" si="1"/>
        <v>47051.193599999999</v>
      </c>
      <c r="S35" t="s">
        <v>1111</v>
      </c>
      <c r="T35" s="70"/>
      <c r="U35" s="70"/>
      <c r="V35" s="70"/>
      <c r="W35" s="70"/>
      <c r="X35" s="70"/>
      <c r="Y35" s="70"/>
      <c r="Z35" s="70"/>
      <c r="AA35" s="70"/>
    </row>
    <row r="36" spans="1:27" ht="15.75" x14ac:dyDescent="0.25">
      <c r="A36" s="61" t="s">
        <v>1165</v>
      </c>
      <c r="B36" s="71" t="s">
        <v>248</v>
      </c>
      <c r="C36" s="72">
        <f t="shared" si="2"/>
        <v>31</v>
      </c>
      <c r="D36" s="67">
        <f>114.25+4.75</f>
        <v>119</v>
      </c>
      <c r="E36" s="67">
        <v>3268.67</v>
      </c>
      <c r="F36" s="66">
        <f>157+8.25+5.75</f>
        <v>171</v>
      </c>
      <c r="G36" s="66">
        <v>4904.67</v>
      </c>
      <c r="H36" s="67">
        <f>181.75+18.5</f>
        <v>200.25</v>
      </c>
      <c r="I36" s="67">
        <v>5641.94</v>
      </c>
      <c r="J36" s="68">
        <f>117.25+11</f>
        <v>128.25</v>
      </c>
      <c r="K36" s="68">
        <v>3601.95</v>
      </c>
      <c r="L36" s="69">
        <f t="shared" si="0"/>
        <v>618.5</v>
      </c>
      <c r="M36" s="69">
        <f t="shared" si="0"/>
        <v>17417.23</v>
      </c>
      <c r="N36" s="70"/>
      <c r="O36" s="70"/>
      <c r="P36" s="70">
        <f t="shared" ref="P36:P40" si="7">+M36*0.02</f>
        <v>348.34460000000001</v>
      </c>
      <c r="Q36" s="70">
        <f t="shared" si="1"/>
        <v>17765.5746</v>
      </c>
      <c r="S36" t="s">
        <v>1104</v>
      </c>
      <c r="T36" s="70"/>
      <c r="U36" s="70"/>
      <c r="V36" s="70"/>
      <c r="W36" s="70"/>
      <c r="X36" s="70"/>
      <c r="Y36" s="70"/>
      <c r="Z36" s="70"/>
      <c r="AA36" s="70"/>
    </row>
    <row r="37" spans="1:27" ht="15.75" x14ac:dyDescent="0.25">
      <c r="A37" s="61" t="s">
        <v>1165</v>
      </c>
      <c r="B37" s="71" t="s">
        <v>252</v>
      </c>
      <c r="C37" s="72">
        <f t="shared" si="2"/>
        <v>32</v>
      </c>
      <c r="D37" s="67">
        <f>432.65+27.75</f>
        <v>460.4</v>
      </c>
      <c r="E37" s="67">
        <v>18444.71</v>
      </c>
      <c r="F37" s="66">
        <v>450</v>
      </c>
      <c r="G37" s="66">
        <v>17500.5</v>
      </c>
      <c r="H37" s="67">
        <f>226.5+8.5+16.75</f>
        <v>251.75</v>
      </c>
      <c r="I37" s="67">
        <v>10446.92</v>
      </c>
      <c r="J37" s="68">
        <f>383+2+44.5</f>
        <v>429.5</v>
      </c>
      <c r="K37" s="68">
        <v>17646.59</v>
      </c>
      <c r="L37" s="69">
        <f t="shared" si="0"/>
        <v>1591.65</v>
      </c>
      <c r="M37" s="69">
        <f t="shared" si="0"/>
        <v>64038.720000000001</v>
      </c>
      <c r="N37" s="70"/>
      <c r="O37" s="70"/>
      <c r="P37" s="70">
        <f t="shared" si="7"/>
        <v>1280.7744</v>
      </c>
      <c r="Q37" s="70">
        <f t="shared" si="1"/>
        <v>65319.494400000003</v>
      </c>
      <c r="S37" t="s">
        <v>1104</v>
      </c>
      <c r="T37" s="70"/>
      <c r="U37" s="70"/>
      <c r="V37" s="70"/>
      <c r="W37" s="70"/>
      <c r="X37" s="70"/>
      <c r="Y37" s="70"/>
      <c r="Z37" s="70"/>
      <c r="AA37" s="70"/>
    </row>
    <row r="38" spans="1:27" ht="15.75" x14ac:dyDescent="0.25">
      <c r="A38" s="61" t="s">
        <v>1165</v>
      </c>
      <c r="B38" s="71" t="s">
        <v>252</v>
      </c>
      <c r="C38" s="72">
        <f t="shared" si="2"/>
        <v>33</v>
      </c>
      <c r="D38" s="67">
        <f>367.25+6.75+59.75</f>
        <v>433.75</v>
      </c>
      <c r="E38" s="67">
        <v>18293.2</v>
      </c>
      <c r="F38" s="66"/>
      <c r="G38" s="66"/>
      <c r="H38" s="67"/>
      <c r="I38" s="67"/>
      <c r="J38" s="68">
        <v>2.75</v>
      </c>
      <c r="K38" s="68">
        <v>160.44</v>
      </c>
      <c r="L38" s="69">
        <f t="shared" ref="L38:M63" si="8">+D38+F38+H38+J38</f>
        <v>436.5</v>
      </c>
      <c r="M38" s="69">
        <f t="shared" si="8"/>
        <v>18453.64</v>
      </c>
      <c r="N38" s="70"/>
      <c r="O38" s="70"/>
      <c r="P38" s="70">
        <f t="shared" si="7"/>
        <v>369.07279999999997</v>
      </c>
      <c r="Q38" s="70">
        <f t="shared" si="1"/>
        <v>18822.712800000001</v>
      </c>
      <c r="S38" t="s">
        <v>1104</v>
      </c>
      <c r="T38" s="70"/>
      <c r="U38" s="70"/>
      <c r="V38" s="70"/>
      <c r="W38" s="70"/>
      <c r="X38" s="70"/>
      <c r="Y38" s="70"/>
      <c r="Z38" s="70"/>
      <c r="AA38" s="70"/>
    </row>
    <row r="39" spans="1:27" ht="15.75" x14ac:dyDescent="0.25">
      <c r="A39" s="61" t="s">
        <v>1165</v>
      </c>
      <c r="B39" s="71" t="s">
        <v>248</v>
      </c>
      <c r="C39" s="72">
        <f t="shared" si="2"/>
        <v>34</v>
      </c>
      <c r="D39" s="67">
        <f>303.5+33</f>
        <v>336.5</v>
      </c>
      <c r="E39" s="67">
        <v>7942.53</v>
      </c>
      <c r="F39" s="66">
        <f>299.5+2+6.75+35.25</f>
        <v>343.5</v>
      </c>
      <c r="G39" s="66">
        <v>8322.2000000000007</v>
      </c>
      <c r="H39" s="67">
        <f>365.25+10.75+25.75</f>
        <v>401.75</v>
      </c>
      <c r="I39" s="67">
        <v>9570.9599999999991</v>
      </c>
      <c r="J39" s="68">
        <f>328.75+10.75+43.25</f>
        <v>382.75</v>
      </c>
      <c r="K39" s="68">
        <v>9340.34</v>
      </c>
      <c r="L39" s="69">
        <f t="shared" si="8"/>
        <v>1464.5</v>
      </c>
      <c r="M39" s="69">
        <f t="shared" si="8"/>
        <v>35176.03</v>
      </c>
      <c r="N39" s="70"/>
      <c r="O39" s="70"/>
      <c r="P39" s="70">
        <f t="shared" si="7"/>
        <v>703.52059999999994</v>
      </c>
      <c r="Q39" s="70">
        <f t="shared" si="1"/>
        <v>35879.550600000002</v>
      </c>
      <c r="S39" t="s">
        <v>1104</v>
      </c>
      <c r="T39" s="70"/>
      <c r="U39" s="70"/>
      <c r="V39" s="70"/>
      <c r="W39" s="70"/>
      <c r="X39" s="70"/>
      <c r="Y39" s="70"/>
      <c r="Z39" s="70"/>
      <c r="AA39" s="70"/>
    </row>
    <row r="40" spans="1:27" ht="15.75" x14ac:dyDescent="0.25">
      <c r="A40" s="61" t="s">
        <v>1165</v>
      </c>
      <c r="B40" s="71" t="s">
        <v>254</v>
      </c>
      <c r="C40" s="72">
        <f t="shared" si="2"/>
        <v>35</v>
      </c>
      <c r="D40" s="67">
        <f>526.5+7.75+7.25</f>
        <v>541.5</v>
      </c>
      <c r="E40" s="67">
        <v>12492.75</v>
      </c>
      <c r="F40" s="66">
        <f>519.75+20.5+3.75</f>
        <v>544</v>
      </c>
      <c r="G40" s="66">
        <v>12737.8</v>
      </c>
      <c r="H40" s="67">
        <f>522.75+28.5+4.25</f>
        <v>555.5</v>
      </c>
      <c r="I40" s="67">
        <v>13089.44</v>
      </c>
      <c r="J40" s="68">
        <f>522.5+18.75+2.75</f>
        <v>544</v>
      </c>
      <c r="K40" s="68">
        <v>12729.14</v>
      </c>
      <c r="L40" s="69">
        <f t="shared" si="8"/>
        <v>2185</v>
      </c>
      <c r="M40" s="69">
        <f t="shared" si="8"/>
        <v>51049.13</v>
      </c>
      <c r="N40" s="70"/>
      <c r="O40" s="70"/>
      <c r="P40" s="70">
        <f t="shared" si="7"/>
        <v>1020.9825999999999</v>
      </c>
      <c r="Q40" s="70">
        <f t="shared" si="1"/>
        <v>52070.1126</v>
      </c>
      <c r="S40" t="s">
        <v>1104</v>
      </c>
      <c r="T40" s="70"/>
      <c r="U40" s="70"/>
      <c r="V40" s="70"/>
      <c r="W40" s="70"/>
      <c r="X40" s="70"/>
      <c r="Y40" s="70"/>
      <c r="Z40" s="70"/>
      <c r="AA40" s="70"/>
    </row>
    <row r="41" spans="1:27" ht="15.75" x14ac:dyDescent="0.25">
      <c r="A41" s="61" t="s">
        <v>1165</v>
      </c>
      <c r="B41" s="71" t="s">
        <v>253</v>
      </c>
      <c r="C41" s="72">
        <f t="shared" si="2"/>
        <v>36</v>
      </c>
      <c r="D41" s="67">
        <f>152.5+6.5</f>
        <v>159</v>
      </c>
      <c r="E41" s="67">
        <v>3569.5</v>
      </c>
      <c r="F41" s="66"/>
      <c r="G41" s="66"/>
      <c r="H41" s="67"/>
      <c r="I41" s="67"/>
      <c r="J41" s="68"/>
      <c r="K41" s="68"/>
      <c r="L41" s="69">
        <f t="shared" si="8"/>
        <v>159</v>
      </c>
      <c r="M41" s="69">
        <f t="shared" si="8"/>
        <v>3569.5</v>
      </c>
      <c r="N41" s="70"/>
      <c r="O41" s="70">
        <f>-M41</f>
        <v>-3569.5</v>
      </c>
      <c r="P41" s="70"/>
      <c r="Q41" s="70">
        <f t="shared" si="1"/>
        <v>0</v>
      </c>
      <c r="T41" s="70"/>
      <c r="U41" s="70"/>
      <c r="V41" s="70"/>
      <c r="W41" s="70"/>
      <c r="X41" s="70"/>
      <c r="Y41" s="70"/>
      <c r="Z41" s="70"/>
      <c r="AA41" s="70"/>
    </row>
    <row r="42" spans="1:27" ht="15.75" x14ac:dyDescent="0.25">
      <c r="A42" s="61" t="s">
        <v>1165</v>
      </c>
      <c r="B42" s="71" t="s">
        <v>252</v>
      </c>
      <c r="C42" s="72">
        <f t="shared" si="2"/>
        <v>37</v>
      </c>
      <c r="D42" s="67">
        <v>480</v>
      </c>
      <c r="E42" s="67">
        <v>26178.79</v>
      </c>
      <c r="F42" s="66">
        <v>480</v>
      </c>
      <c r="G42" s="66">
        <v>25392.03</v>
      </c>
      <c r="H42" s="67">
        <v>480</v>
      </c>
      <c r="I42" s="67">
        <v>24790.48</v>
      </c>
      <c r="J42" s="68">
        <v>480</v>
      </c>
      <c r="K42" s="68">
        <v>26125.94</v>
      </c>
      <c r="L42" s="69">
        <f t="shared" si="8"/>
        <v>1920</v>
      </c>
      <c r="M42" s="69">
        <f t="shared" si="8"/>
        <v>102487.24</v>
      </c>
      <c r="N42" s="70"/>
      <c r="O42" s="70"/>
      <c r="P42" s="70">
        <f t="shared" ref="P42:P44" si="9">+M42*0.02</f>
        <v>2049.7447999999999</v>
      </c>
      <c r="Q42" s="70">
        <f t="shared" si="1"/>
        <v>104536.98480000001</v>
      </c>
      <c r="S42" t="s">
        <v>1104</v>
      </c>
      <c r="T42" s="70"/>
      <c r="U42" s="70"/>
      <c r="V42" s="70"/>
      <c r="W42" s="70"/>
      <c r="X42" s="70"/>
      <c r="Y42" s="70"/>
      <c r="Z42" s="70"/>
      <c r="AA42" s="70"/>
    </row>
    <row r="43" spans="1:27" ht="15.75" x14ac:dyDescent="0.25">
      <c r="A43" s="61" t="s">
        <v>1165</v>
      </c>
      <c r="B43" s="71" t="s">
        <v>252</v>
      </c>
      <c r="C43" s="72">
        <f t="shared" si="2"/>
        <v>38</v>
      </c>
      <c r="D43" s="67">
        <f>450.75+7.75+20.75</f>
        <v>479.25</v>
      </c>
      <c r="E43" s="67">
        <v>14717.45</v>
      </c>
      <c r="F43" s="66">
        <f>268.5+2.75+33.5+39.5</f>
        <v>344.25</v>
      </c>
      <c r="G43" s="66">
        <v>11843.61</v>
      </c>
      <c r="H43" s="67">
        <f>341.25+2+36.5</f>
        <v>379.75</v>
      </c>
      <c r="I43" s="67">
        <v>11836.21</v>
      </c>
      <c r="J43" s="68">
        <f>399.5+0.5+29</f>
        <v>429</v>
      </c>
      <c r="K43" s="68">
        <v>13138.13</v>
      </c>
      <c r="L43" s="69">
        <f t="shared" si="8"/>
        <v>1632.25</v>
      </c>
      <c r="M43" s="69">
        <f t="shared" si="8"/>
        <v>51535.4</v>
      </c>
      <c r="N43" s="70"/>
      <c r="O43" s="70"/>
      <c r="P43" s="70">
        <f t="shared" si="9"/>
        <v>1030.7080000000001</v>
      </c>
      <c r="Q43" s="70">
        <f t="shared" si="1"/>
        <v>52566.108</v>
      </c>
      <c r="S43" t="s">
        <v>1104</v>
      </c>
      <c r="T43" s="70"/>
      <c r="U43" s="70"/>
      <c r="V43" s="70"/>
      <c r="W43" s="70"/>
      <c r="X43" s="70"/>
      <c r="Y43" s="70"/>
      <c r="Z43" s="70"/>
      <c r="AA43" s="70"/>
    </row>
    <row r="44" spans="1:27" ht="15.75" x14ac:dyDescent="0.25">
      <c r="A44" s="61" t="s">
        <v>1165</v>
      </c>
      <c r="B44" s="71" t="s">
        <v>253</v>
      </c>
      <c r="C44" s="72">
        <f t="shared" si="2"/>
        <v>39</v>
      </c>
      <c r="D44" s="67">
        <v>480</v>
      </c>
      <c r="E44" s="67">
        <v>20500.02</v>
      </c>
      <c r="F44" s="66">
        <v>480</v>
      </c>
      <c r="G44" s="66">
        <v>20500.02</v>
      </c>
      <c r="H44" s="67">
        <v>480</v>
      </c>
      <c r="I44" s="67">
        <v>20500.05</v>
      </c>
      <c r="J44" s="68">
        <v>480</v>
      </c>
      <c r="K44" s="68">
        <v>20500.02</v>
      </c>
      <c r="L44" s="69">
        <f t="shared" si="8"/>
        <v>1920</v>
      </c>
      <c r="M44" s="69">
        <f t="shared" si="8"/>
        <v>82000.11</v>
      </c>
      <c r="N44" s="70"/>
      <c r="O44" s="70"/>
      <c r="P44" s="70">
        <f t="shared" si="9"/>
        <v>1640.0022000000001</v>
      </c>
      <c r="Q44" s="70">
        <f t="shared" si="1"/>
        <v>83640.112200000003</v>
      </c>
      <c r="S44" t="s">
        <v>1104</v>
      </c>
      <c r="T44" s="70"/>
      <c r="U44" s="70"/>
      <c r="V44" s="70"/>
      <c r="W44" s="70"/>
      <c r="X44" s="70"/>
      <c r="Y44" s="70"/>
      <c r="Z44" s="70"/>
      <c r="AA44" s="70"/>
    </row>
    <row r="45" spans="1:27" ht="15.75" x14ac:dyDescent="0.25">
      <c r="A45" s="61" t="s">
        <v>1165</v>
      </c>
      <c r="B45" s="71" t="s">
        <v>253</v>
      </c>
      <c r="C45" s="72">
        <f t="shared" si="2"/>
        <v>40</v>
      </c>
      <c r="D45" s="67">
        <v>420</v>
      </c>
      <c r="E45" s="67">
        <v>8400</v>
      </c>
      <c r="F45" s="66">
        <f>236.5+0.25</f>
        <v>236.75</v>
      </c>
      <c r="G45" s="66">
        <v>5140</v>
      </c>
      <c r="H45" s="67"/>
      <c r="I45" s="67"/>
      <c r="J45" s="68"/>
      <c r="K45" s="68"/>
      <c r="L45" s="69">
        <f t="shared" si="8"/>
        <v>656.75</v>
      </c>
      <c r="M45" s="69">
        <f t="shared" si="8"/>
        <v>13540</v>
      </c>
      <c r="N45" s="70"/>
      <c r="O45" s="70">
        <f>-M45</f>
        <v>-13540</v>
      </c>
      <c r="P45" s="70"/>
      <c r="Q45" s="70">
        <f t="shared" si="1"/>
        <v>0</v>
      </c>
      <c r="T45" s="70"/>
      <c r="U45" s="70"/>
      <c r="V45" s="70"/>
      <c r="W45" s="70"/>
      <c r="X45" s="70"/>
      <c r="Y45" s="70"/>
      <c r="Z45" s="70"/>
      <c r="AA45" s="70"/>
    </row>
    <row r="46" spans="1:27" ht="15.75" x14ac:dyDescent="0.25">
      <c r="A46" s="61" t="s">
        <v>1165</v>
      </c>
      <c r="B46" s="71" t="s">
        <v>252</v>
      </c>
      <c r="C46" s="72">
        <f t="shared" si="2"/>
        <v>41</v>
      </c>
      <c r="D46" s="67">
        <f>418.5+9.25+35</f>
        <v>462.75</v>
      </c>
      <c r="E46" s="67">
        <v>13583.82</v>
      </c>
      <c r="F46" s="66">
        <f>400.91+25.5+46.5</f>
        <v>472.91</v>
      </c>
      <c r="G46" s="66">
        <v>14931.26</v>
      </c>
      <c r="H46" s="67">
        <f>360+7+31.25</f>
        <v>398.25</v>
      </c>
      <c r="I46" s="67">
        <v>12521.19</v>
      </c>
      <c r="J46" s="68">
        <f>308.75+3.25+6+56.75</f>
        <v>374.75</v>
      </c>
      <c r="K46" s="68">
        <v>12268.45</v>
      </c>
      <c r="L46" s="69">
        <f t="shared" si="8"/>
        <v>1708.66</v>
      </c>
      <c r="M46" s="69">
        <f t="shared" si="8"/>
        <v>53304.72</v>
      </c>
      <c r="N46" s="70"/>
      <c r="O46" s="70"/>
      <c r="P46" s="70">
        <f>+M46*0.07</f>
        <v>3731.3304000000003</v>
      </c>
      <c r="Q46" s="70">
        <f t="shared" si="1"/>
        <v>57036.0504</v>
      </c>
      <c r="S46" t="s">
        <v>1112</v>
      </c>
      <c r="T46" s="70"/>
      <c r="U46" s="70"/>
      <c r="V46" s="70"/>
      <c r="W46" s="70"/>
      <c r="X46" s="70"/>
      <c r="Y46" s="70"/>
      <c r="Z46" s="70"/>
      <c r="AA46" s="70"/>
    </row>
    <row r="47" spans="1:27" ht="15.75" x14ac:dyDescent="0.25">
      <c r="A47" s="61" t="s">
        <v>1165</v>
      </c>
      <c r="B47" s="71" t="s">
        <v>248</v>
      </c>
      <c r="C47" s="72">
        <f t="shared" si="2"/>
        <v>42</v>
      </c>
      <c r="D47" s="67">
        <v>29.5</v>
      </c>
      <c r="E47" s="67">
        <v>694.68</v>
      </c>
      <c r="F47" s="66">
        <f>31.75+1.5</f>
        <v>33.25</v>
      </c>
      <c r="G47" s="66">
        <v>732.38</v>
      </c>
      <c r="H47" s="67">
        <f>50+4+14.25</f>
        <v>68.25</v>
      </c>
      <c r="I47" s="67">
        <v>1709.75</v>
      </c>
      <c r="J47" s="68">
        <f>33.5+16</f>
        <v>49.5</v>
      </c>
      <c r="K47" s="68">
        <v>1238.57</v>
      </c>
      <c r="L47" s="69">
        <f t="shared" si="8"/>
        <v>180.5</v>
      </c>
      <c r="M47" s="69">
        <f t="shared" si="8"/>
        <v>4375.38</v>
      </c>
      <c r="N47" s="70"/>
      <c r="O47" s="70"/>
      <c r="P47" s="70">
        <f t="shared" ref="P47:P49" si="10">+M47*0.02</f>
        <v>87.507600000000011</v>
      </c>
      <c r="Q47" s="70">
        <f t="shared" si="1"/>
        <v>4462.8876</v>
      </c>
      <c r="S47" t="s">
        <v>1104</v>
      </c>
      <c r="T47" s="70"/>
      <c r="U47" s="70"/>
      <c r="V47" s="70"/>
      <c r="W47" s="70"/>
      <c r="X47" s="70"/>
      <c r="Y47" s="70"/>
      <c r="Z47" s="70"/>
      <c r="AA47" s="70"/>
    </row>
    <row r="48" spans="1:27" ht="15.75" x14ac:dyDescent="0.25">
      <c r="A48" s="61" t="s">
        <v>1165</v>
      </c>
      <c r="B48" s="71" t="s">
        <v>252</v>
      </c>
      <c r="C48" s="72">
        <f t="shared" si="2"/>
        <v>43</v>
      </c>
      <c r="D48" s="67">
        <f>494.75+10.25</f>
        <v>505</v>
      </c>
      <c r="E48" s="67">
        <v>15326.254000000001</v>
      </c>
      <c r="F48" s="78">
        <f>460.5+0.25+11+15.5</f>
        <v>487.25</v>
      </c>
      <c r="G48" s="66">
        <v>15187.5</v>
      </c>
      <c r="H48" s="67">
        <f>544.75+9.25</f>
        <v>554</v>
      </c>
      <c r="I48" s="67">
        <v>16758.75</v>
      </c>
      <c r="J48" s="68">
        <f>522.5+10</f>
        <v>532.5</v>
      </c>
      <c r="K48" s="68">
        <v>16125</v>
      </c>
      <c r="L48" s="69">
        <f t="shared" si="8"/>
        <v>2078.75</v>
      </c>
      <c r="M48" s="69">
        <f t="shared" si="8"/>
        <v>63397.504000000001</v>
      </c>
      <c r="N48" s="70"/>
      <c r="O48" s="70"/>
      <c r="P48" s="70">
        <f t="shared" si="10"/>
        <v>1267.9500800000001</v>
      </c>
      <c r="Q48" s="70">
        <f t="shared" si="1"/>
        <v>64665.454080000003</v>
      </c>
      <c r="S48" t="s">
        <v>1104</v>
      </c>
      <c r="T48" s="70"/>
      <c r="U48" s="70"/>
      <c r="V48" s="70"/>
      <c r="W48" s="70"/>
      <c r="X48" s="70"/>
      <c r="Y48" s="70"/>
      <c r="Z48" s="70"/>
      <c r="AA48" s="70"/>
    </row>
    <row r="49" spans="1:27" ht="15.75" x14ac:dyDescent="0.25">
      <c r="A49" s="61" t="s">
        <v>1165</v>
      </c>
      <c r="B49" s="71" t="s">
        <v>252</v>
      </c>
      <c r="C49" s="72">
        <f t="shared" si="2"/>
        <v>44</v>
      </c>
      <c r="D49" s="67">
        <f>485.75+1+10.25</f>
        <v>497</v>
      </c>
      <c r="E49" s="67">
        <v>14887.53</v>
      </c>
      <c r="F49" s="66">
        <f>396.5+0.5+8.25+23</f>
        <v>428.25</v>
      </c>
      <c r="G49" s="66">
        <v>13271.25</v>
      </c>
      <c r="H49" s="67">
        <f>443.75+3.5+25.75</f>
        <v>473</v>
      </c>
      <c r="I49" s="67">
        <v>14480.74</v>
      </c>
      <c r="J49" s="68">
        <f>421.5+10.25</f>
        <v>431.75</v>
      </c>
      <c r="K49" s="68">
        <v>13006.86</v>
      </c>
      <c r="L49" s="69">
        <f t="shared" si="8"/>
        <v>1830</v>
      </c>
      <c r="M49" s="69">
        <f t="shared" si="8"/>
        <v>55646.38</v>
      </c>
      <c r="N49" s="70"/>
      <c r="O49" s="70"/>
      <c r="P49" s="70">
        <f t="shared" si="10"/>
        <v>1112.9276</v>
      </c>
      <c r="Q49" s="70">
        <f t="shared" si="1"/>
        <v>56759.3076</v>
      </c>
      <c r="S49" t="s">
        <v>1104</v>
      </c>
      <c r="T49" s="70"/>
      <c r="U49" s="70"/>
      <c r="V49" s="70"/>
      <c r="W49" s="70"/>
      <c r="X49" s="70"/>
      <c r="Y49" s="70"/>
      <c r="Z49" s="70"/>
      <c r="AA49" s="70"/>
    </row>
    <row r="50" spans="1:27" ht="15.75" x14ac:dyDescent="0.25">
      <c r="A50" s="61" t="s">
        <v>1165</v>
      </c>
      <c r="B50" s="71" t="s">
        <v>252</v>
      </c>
      <c r="C50" s="72">
        <f t="shared" si="2"/>
        <v>45</v>
      </c>
      <c r="D50" s="67">
        <f>482.25+6.75+29.5</f>
        <v>518.5</v>
      </c>
      <c r="E50" s="67">
        <v>17280</v>
      </c>
      <c r="F50" s="66">
        <f>414+2+29+43.5</f>
        <v>488.5</v>
      </c>
      <c r="G50" s="66">
        <v>17320</v>
      </c>
      <c r="H50" s="67"/>
      <c r="I50" s="67"/>
      <c r="J50" s="68"/>
      <c r="K50" s="68"/>
      <c r="L50" s="69">
        <f t="shared" si="8"/>
        <v>1007</v>
      </c>
      <c r="M50" s="69">
        <f t="shared" si="8"/>
        <v>34600</v>
      </c>
      <c r="N50" s="70"/>
      <c r="O50" s="70">
        <f t="shared" ref="O50:O57" si="11">-M50</f>
        <v>-34600</v>
      </c>
      <c r="P50" s="70"/>
      <c r="Q50" s="70">
        <f t="shared" si="1"/>
        <v>0</v>
      </c>
      <c r="T50" s="70"/>
      <c r="U50" s="70"/>
      <c r="V50" s="70"/>
      <c r="W50" s="70"/>
      <c r="X50" s="70"/>
      <c r="Y50" s="70"/>
      <c r="Z50" s="70"/>
      <c r="AA50" s="70"/>
    </row>
    <row r="51" spans="1:27" ht="15.75" x14ac:dyDescent="0.25">
      <c r="A51" s="61" t="s">
        <v>1165</v>
      </c>
      <c r="B51" s="71" t="s">
        <v>252</v>
      </c>
      <c r="C51" s="72">
        <f t="shared" si="2"/>
        <v>46</v>
      </c>
      <c r="D51" s="67">
        <f>52.75+4.5</f>
        <v>57.25</v>
      </c>
      <c r="E51" s="67">
        <v>2231.2600000000002</v>
      </c>
      <c r="F51" s="78">
        <f>203.25+18.75+21</f>
        <v>243</v>
      </c>
      <c r="G51" s="78">
        <v>10209.379999999999</v>
      </c>
      <c r="H51" s="67"/>
      <c r="I51" s="67"/>
      <c r="J51" s="68"/>
      <c r="K51" s="68"/>
      <c r="L51" s="69">
        <f t="shared" si="8"/>
        <v>300.25</v>
      </c>
      <c r="M51" s="69">
        <f t="shared" si="8"/>
        <v>12440.64</v>
      </c>
      <c r="N51" s="70"/>
      <c r="O51" s="70">
        <f t="shared" si="11"/>
        <v>-12440.64</v>
      </c>
      <c r="P51" s="70"/>
      <c r="Q51" s="70">
        <f t="shared" si="1"/>
        <v>0</v>
      </c>
      <c r="T51" s="70"/>
      <c r="U51" s="70"/>
      <c r="V51" s="70"/>
      <c r="W51" s="70"/>
      <c r="X51" s="70"/>
      <c r="Y51" s="70"/>
      <c r="Z51" s="70"/>
      <c r="AA51" s="70"/>
    </row>
    <row r="52" spans="1:27" ht="15.75" x14ac:dyDescent="0.25">
      <c r="A52" s="61" t="s">
        <v>1165</v>
      </c>
      <c r="B52" s="71" t="s">
        <v>248</v>
      </c>
      <c r="C52" s="72">
        <f t="shared" si="2"/>
        <v>47</v>
      </c>
      <c r="D52" s="67"/>
      <c r="E52" s="67"/>
      <c r="F52" s="66">
        <v>52.5</v>
      </c>
      <c r="G52" s="66">
        <v>1500</v>
      </c>
      <c r="H52" s="67">
        <f>81.5+3.75+37</f>
        <v>122.25</v>
      </c>
      <c r="I52" s="67">
        <v>3612.5</v>
      </c>
      <c r="J52" s="68"/>
      <c r="K52" s="68"/>
      <c r="L52" s="69">
        <f>+D52+F52+H52+J52</f>
        <v>174.75</v>
      </c>
      <c r="M52" s="69">
        <f>+E52+G52+I52+K52</f>
        <v>5112.5</v>
      </c>
      <c r="N52" s="70"/>
      <c r="O52" s="70">
        <f t="shared" si="11"/>
        <v>-5112.5</v>
      </c>
      <c r="P52" s="70"/>
      <c r="Q52" s="70">
        <f t="shared" si="1"/>
        <v>0</v>
      </c>
      <c r="T52" s="70"/>
      <c r="U52" s="70"/>
      <c r="V52" s="70"/>
      <c r="W52" s="70"/>
      <c r="X52" s="70"/>
      <c r="Y52" s="70"/>
      <c r="Z52" s="70"/>
      <c r="AA52" s="70"/>
    </row>
    <row r="53" spans="1:27" ht="15.75" x14ac:dyDescent="0.25">
      <c r="A53" s="61" t="s">
        <v>1165</v>
      </c>
      <c r="B53" s="71" t="s">
        <v>252</v>
      </c>
      <c r="C53" s="72">
        <f t="shared" si="2"/>
        <v>48</v>
      </c>
      <c r="D53" s="67"/>
      <c r="E53" s="67"/>
      <c r="F53" s="66">
        <v>2</v>
      </c>
      <c r="G53" s="66">
        <v>65.8</v>
      </c>
      <c r="H53" s="67">
        <v>3.75</v>
      </c>
      <c r="I53" s="67">
        <v>123.38</v>
      </c>
      <c r="J53" s="68"/>
      <c r="K53" s="68"/>
      <c r="L53" s="69">
        <f>+D53+F53+H53+J53</f>
        <v>5.75</v>
      </c>
      <c r="M53" s="69">
        <f>+E53+G53+I53+K53</f>
        <v>189.18</v>
      </c>
      <c r="N53" s="70"/>
      <c r="O53" s="70">
        <f t="shared" si="11"/>
        <v>-189.18</v>
      </c>
      <c r="P53" s="70"/>
      <c r="Q53" s="70">
        <f t="shared" si="1"/>
        <v>0</v>
      </c>
      <c r="T53" s="70"/>
      <c r="U53" s="70"/>
      <c r="V53" s="70"/>
      <c r="W53" s="70"/>
      <c r="X53" s="70"/>
      <c r="Y53" s="70"/>
      <c r="Z53" s="70"/>
      <c r="AA53" s="70"/>
    </row>
    <row r="54" spans="1:27" ht="15.75" x14ac:dyDescent="0.25">
      <c r="A54" s="61" t="s">
        <v>1165</v>
      </c>
      <c r="B54" s="71" t="s">
        <v>252</v>
      </c>
      <c r="C54" s="72">
        <f t="shared" si="2"/>
        <v>49</v>
      </c>
      <c r="D54" s="67"/>
      <c r="E54" s="67"/>
      <c r="F54" s="66">
        <v>221</v>
      </c>
      <c r="G54" s="66">
        <v>7121.95</v>
      </c>
      <c r="H54" s="67">
        <f>203.5+2.75+0.75+39.75</f>
        <v>246.75</v>
      </c>
      <c r="I54" s="67">
        <v>7968.7</v>
      </c>
      <c r="J54" s="68">
        <v>2</v>
      </c>
      <c r="K54" s="68">
        <v>66.38</v>
      </c>
      <c r="L54" s="69">
        <f>F54+H54+J54</f>
        <v>469.75</v>
      </c>
      <c r="M54" s="69">
        <f>G54+I54+K54</f>
        <v>15157.029999999999</v>
      </c>
      <c r="N54" s="70"/>
      <c r="O54" s="70">
        <f t="shared" si="11"/>
        <v>-15157.029999999999</v>
      </c>
      <c r="P54" s="70"/>
      <c r="Q54" s="70">
        <f t="shared" si="1"/>
        <v>0</v>
      </c>
      <c r="T54" s="70"/>
      <c r="U54" s="70"/>
      <c r="V54" s="70"/>
      <c r="W54" s="70"/>
      <c r="X54" s="70"/>
      <c r="Y54" s="70"/>
      <c r="Z54" s="70"/>
      <c r="AA54" s="70"/>
    </row>
    <row r="55" spans="1:27" ht="15.75" x14ac:dyDescent="0.25">
      <c r="A55" s="61" t="s">
        <v>1165</v>
      </c>
      <c r="B55" s="71" t="s">
        <v>253</v>
      </c>
      <c r="C55" s="72">
        <f t="shared" si="2"/>
        <v>50</v>
      </c>
      <c r="D55" s="67"/>
      <c r="E55" s="67"/>
      <c r="F55" s="66">
        <v>82.5</v>
      </c>
      <c r="G55" s="66">
        <v>1650</v>
      </c>
      <c r="H55" s="75">
        <v>40</v>
      </c>
      <c r="I55" s="75">
        <v>800</v>
      </c>
      <c r="J55" s="68"/>
      <c r="K55" s="68"/>
      <c r="L55" s="69">
        <f>+D55+F55+H55+J55</f>
        <v>122.5</v>
      </c>
      <c r="M55" s="69">
        <f>+E55+G55+I55+K55</f>
        <v>2450</v>
      </c>
      <c r="N55" s="70"/>
      <c r="O55" s="70">
        <f t="shared" si="11"/>
        <v>-2450</v>
      </c>
      <c r="P55" s="70"/>
      <c r="Q55" s="70">
        <f t="shared" si="1"/>
        <v>0</v>
      </c>
      <c r="T55" s="70"/>
      <c r="U55" s="70"/>
      <c r="V55" s="70"/>
      <c r="W55" s="70"/>
      <c r="X55" s="70"/>
      <c r="Y55" s="70"/>
      <c r="Z55" s="70"/>
      <c r="AA55" s="70"/>
    </row>
    <row r="56" spans="1:27" ht="15.75" x14ac:dyDescent="0.25">
      <c r="A56" s="61" t="s">
        <v>1165</v>
      </c>
      <c r="B56" s="71" t="s">
        <v>251</v>
      </c>
      <c r="C56" s="72">
        <f t="shared" si="2"/>
        <v>51</v>
      </c>
      <c r="D56" s="67"/>
      <c r="E56" s="67"/>
      <c r="F56" s="66">
        <v>201.25</v>
      </c>
      <c r="G56" s="66">
        <v>3723.13</v>
      </c>
      <c r="H56" s="67">
        <v>427</v>
      </c>
      <c r="I56" s="67">
        <v>6803.9</v>
      </c>
      <c r="J56" s="68">
        <v>5</v>
      </c>
      <c r="K56" s="68">
        <v>104.15</v>
      </c>
      <c r="L56" s="69">
        <f>+D56+F56+H56+J56</f>
        <v>633.25</v>
      </c>
      <c r="M56" s="69">
        <f>+E56+G56+I56+K56</f>
        <v>10631.179999999998</v>
      </c>
      <c r="N56" s="70"/>
      <c r="O56" s="70">
        <f t="shared" si="11"/>
        <v>-10631.179999999998</v>
      </c>
      <c r="P56" s="70"/>
      <c r="Q56" s="70">
        <f t="shared" si="1"/>
        <v>0</v>
      </c>
      <c r="T56" s="70"/>
      <c r="U56" s="70"/>
      <c r="V56" s="70"/>
      <c r="W56" s="70"/>
      <c r="X56" s="70"/>
      <c r="Y56" s="70"/>
      <c r="Z56" s="70"/>
      <c r="AA56" s="70"/>
    </row>
    <row r="57" spans="1:27" ht="15.75" x14ac:dyDescent="0.25">
      <c r="A57" s="61" t="s">
        <v>1165</v>
      </c>
      <c r="B57" s="71" t="s">
        <v>253</v>
      </c>
      <c r="C57" s="72">
        <f t="shared" si="2"/>
        <v>52</v>
      </c>
      <c r="D57" s="67"/>
      <c r="E57" s="67"/>
      <c r="F57" s="66"/>
      <c r="G57" s="66"/>
      <c r="H57" s="67">
        <v>320</v>
      </c>
      <c r="I57" s="67">
        <v>8333.36</v>
      </c>
      <c r="J57" s="68"/>
      <c r="K57" s="68"/>
      <c r="L57" s="69">
        <f t="shared" si="8"/>
        <v>320</v>
      </c>
      <c r="M57" s="69">
        <f t="shared" si="8"/>
        <v>8333.36</v>
      </c>
      <c r="N57" s="70"/>
      <c r="O57" s="70">
        <f t="shared" si="11"/>
        <v>-8333.36</v>
      </c>
      <c r="P57" s="70"/>
      <c r="Q57" s="70">
        <f t="shared" si="1"/>
        <v>0</v>
      </c>
      <c r="T57" s="70"/>
      <c r="U57" s="70"/>
      <c r="V57" s="70"/>
      <c r="W57" s="70"/>
      <c r="X57" s="70"/>
      <c r="Y57" s="70"/>
      <c r="Z57" s="70"/>
      <c r="AA57" s="70"/>
    </row>
    <row r="58" spans="1:27" ht="15.75" x14ac:dyDescent="0.25">
      <c r="A58" s="61" t="s">
        <v>1165</v>
      </c>
      <c r="B58" s="71" t="s">
        <v>252</v>
      </c>
      <c r="C58" s="72">
        <f t="shared" si="2"/>
        <v>53</v>
      </c>
      <c r="D58" s="67"/>
      <c r="E58" s="67"/>
      <c r="F58" s="66"/>
      <c r="G58" s="66"/>
      <c r="H58" s="67">
        <f>44.5+5</f>
        <v>49.5</v>
      </c>
      <c r="I58" s="67">
        <v>1300</v>
      </c>
      <c r="J58" s="68">
        <f>371.5+7.5+6.75+67.5</f>
        <v>453.25</v>
      </c>
      <c r="K58" s="68">
        <v>14598.13</v>
      </c>
      <c r="L58" s="69">
        <f t="shared" si="8"/>
        <v>502.75</v>
      </c>
      <c r="M58" s="69">
        <f t="shared" si="8"/>
        <v>15898.13</v>
      </c>
      <c r="N58" s="70"/>
      <c r="O58" s="70"/>
      <c r="P58" s="70">
        <f>1800*30-M58</f>
        <v>38101.870000000003</v>
      </c>
      <c r="Q58" s="70">
        <f t="shared" si="1"/>
        <v>54000</v>
      </c>
      <c r="S58" t="s">
        <v>1113</v>
      </c>
      <c r="T58" s="70"/>
      <c r="U58" s="70"/>
      <c r="V58" s="70"/>
      <c r="W58" s="70"/>
      <c r="X58" s="70"/>
      <c r="Y58" s="70"/>
      <c r="Z58" s="70"/>
      <c r="AA58" s="70"/>
    </row>
    <row r="59" spans="1:27" ht="15.75" x14ac:dyDescent="0.25">
      <c r="A59" s="61" t="s">
        <v>1165</v>
      </c>
      <c r="B59" s="71" t="s">
        <v>252</v>
      </c>
      <c r="C59" s="72">
        <f t="shared" si="2"/>
        <v>54</v>
      </c>
      <c r="D59" s="67"/>
      <c r="E59" s="67"/>
      <c r="F59" s="66"/>
      <c r="G59" s="66"/>
      <c r="H59" s="67">
        <v>18.75</v>
      </c>
      <c r="I59" s="67">
        <v>649.78</v>
      </c>
      <c r="J59" s="68"/>
      <c r="K59" s="68"/>
      <c r="L59" s="69">
        <f t="shared" si="8"/>
        <v>18.75</v>
      </c>
      <c r="M59" s="69">
        <f t="shared" si="8"/>
        <v>649.78</v>
      </c>
      <c r="N59" s="70"/>
      <c r="O59" s="70">
        <f>-M59</f>
        <v>-649.78</v>
      </c>
      <c r="P59" s="70"/>
      <c r="Q59" s="70">
        <f t="shared" si="1"/>
        <v>0</v>
      </c>
      <c r="T59" s="70"/>
      <c r="U59" s="70"/>
      <c r="V59" s="70"/>
      <c r="W59" s="70"/>
      <c r="X59" s="70"/>
      <c r="Y59" s="70"/>
      <c r="Z59" s="70"/>
      <c r="AA59" s="70"/>
    </row>
    <row r="60" spans="1:27" ht="15.75" x14ac:dyDescent="0.25">
      <c r="A60" s="61" t="s">
        <v>1165</v>
      </c>
      <c r="B60" s="71" t="s">
        <v>248</v>
      </c>
      <c r="C60" s="72">
        <f t="shared" si="2"/>
        <v>55</v>
      </c>
      <c r="D60" s="67"/>
      <c r="E60" s="67"/>
      <c r="F60" s="66"/>
      <c r="G60" s="66"/>
      <c r="H60" s="67">
        <v>233.75</v>
      </c>
      <c r="I60" s="67">
        <v>4223.25</v>
      </c>
      <c r="J60" s="68"/>
      <c r="K60" s="68"/>
      <c r="L60" s="69">
        <f t="shared" si="8"/>
        <v>233.75</v>
      </c>
      <c r="M60" s="69">
        <f t="shared" si="8"/>
        <v>4223.25</v>
      </c>
      <c r="N60" s="70"/>
      <c r="O60" s="70"/>
      <c r="P60" s="70">
        <f t="shared" ref="P60:P61" si="12">+M60*0.02</f>
        <v>84.465000000000003</v>
      </c>
      <c r="Q60" s="70">
        <f t="shared" ref="Q60:Q61" si="13">SUM(M60:P60)</f>
        <v>4307.7150000000001</v>
      </c>
      <c r="S60" t="s">
        <v>1104</v>
      </c>
      <c r="T60" s="70"/>
      <c r="U60" s="70"/>
      <c r="V60" s="70"/>
      <c r="W60" s="70"/>
      <c r="X60" s="70"/>
      <c r="Y60" s="70"/>
      <c r="Z60" s="70"/>
      <c r="AA60" s="70"/>
    </row>
    <row r="61" spans="1:27" ht="15.75" x14ac:dyDescent="0.25">
      <c r="A61" s="61" t="s">
        <v>1165</v>
      </c>
      <c r="B61" s="71" t="s">
        <v>248</v>
      </c>
      <c r="C61" s="72">
        <v>56</v>
      </c>
      <c r="D61" s="67"/>
      <c r="E61" s="67"/>
      <c r="F61" s="66"/>
      <c r="G61" s="66"/>
      <c r="H61" s="67">
        <f>232.5+2+14.75</f>
        <v>249.25</v>
      </c>
      <c r="I61" s="67">
        <v>7466.59</v>
      </c>
      <c r="J61" s="68"/>
      <c r="K61" s="68"/>
      <c r="L61" s="69">
        <f t="shared" si="8"/>
        <v>249.25</v>
      </c>
      <c r="M61" s="69">
        <f t="shared" si="8"/>
        <v>7466.59</v>
      </c>
      <c r="N61" s="70"/>
      <c r="O61" s="70"/>
      <c r="P61" s="70">
        <f t="shared" si="12"/>
        <v>149.33180000000002</v>
      </c>
      <c r="Q61" s="70">
        <f t="shared" si="13"/>
        <v>7615.9218000000001</v>
      </c>
      <c r="S61" t="s">
        <v>1104</v>
      </c>
      <c r="T61" s="70"/>
      <c r="U61" s="70"/>
      <c r="V61" s="70"/>
      <c r="W61" s="70"/>
      <c r="X61" s="70"/>
      <c r="Y61" s="70"/>
      <c r="Z61" s="70"/>
      <c r="AA61" s="70"/>
    </row>
    <row r="62" spans="1:27" ht="15.75" x14ac:dyDescent="0.25">
      <c r="A62" s="61" t="s">
        <v>1165</v>
      </c>
      <c r="B62" s="77" t="s">
        <v>248</v>
      </c>
      <c r="C62" s="72">
        <v>57</v>
      </c>
      <c r="D62" s="67"/>
      <c r="E62" s="67"/>
      <c r="F62" s="66"/>
      <c r="G62" s="66"/>
      <c r="H62" s="67"/>
      <c r="I62" s="67"/>
      <c r="J62" s="68">
        <v>23</v>
      </c>
      <c r="K62" s="68">
        <v>575</v>
      </c>
      <c r="L62" s="69">
        <f t="shared" si="8"/>
        <v>23</v>
      </c>
      <c r="M62" s="69">
        <f t="shared" si="8"/>
        <v>575</v>
      </c>
      <c r="N62" s="70"/>
      <c r="O62" s="70"/>
      <c r="P62" s="70">
        <f>1800*25-M62</f>
        <v>44425</v>
      </c>
      <c r="Q62" s="70">
        <f t="shared" si="1"/>
        <v>45000</v>
      </c>
      <c r="S62" t="s">
        <v>1113</v>
      </c>
      <c r="T62" s="70"/>
      <c r="U62" s="70"/>
      <c r="V62" s="70"/>
      <c r="W62" s="70"/>
      <c r="X62" s="70"/>
      <c r="Y62" s="70"/>
      <c r="Z62" s="70"/>
      <c r="AA62" s="70"/>
    </row>
    <row r="63" spans="1:27" ht="15.75" x14ac:dyDescent="0.25">
      <c r="A63" s="61" t="s">
        <v>1165</v>
      </c>
      <c r="B63" s="77" t="s">
        <v>248</v>
      </c>
      <c r="C63" s="72">
        <f t="shared" si="2"/>
        <v>58</v>
      </c>
      <c r="D63" s="67"/>
      <c r="E63" s="67"/>
      <c r="F63" s="66"/>
      <c r="G63" s="66"/>
      <c r="H63" s="67"/>
      <c r="I63" s="67"/>
      <c r="J63" s="68">
        <f>82.5+4</f>
        <v>86.5</v>
      </c>
      <c r="K63" s="68">
        <v>2212.5</v>
      </c>
      <c r="L63" s="69">
        <f t="shared" si="8"/>
        <v>86.5</v>
      </c>
      <c r="M63" s="69">
        <f t="shared" si="8"/>
        <v>2212.5</v>
      </c>
      <c r="N63" s="70"/>
      <c r="O63" s="70"/>
      <c r="P63" s="70">
        <f>1800*25-M63</f>
        <v>42787.5</v>
      </c>
      <c r="Q63" s="70">
        <f t="shared" si="1"/>
        <v>45000</v>
      </c>
      <c r="S63" t="s">
        <v>1113</v>
      </c>
      <c r="T63" s="70"/>
      <c r="U63" s="70"/>
      <c r="V63" s="70"/>
      <c r="W63" s="70"/>
      <c r="X63" s="70"/>
      <c r="Y63" s="70"/>
      <c r="Z63" s="70"/>
      <c r="AA63" s="70"/>
    </row>
    <row r="64" spans="1:27" ht="15.75" x14ac:dyDescent="0.25">
      <c r="A64" s="61" t="s">
        <v>1165</v>
      </c>
      <c r="B64" s="71" t="s">
        <v>248</v>
      </c>
      <c r="C64" s="72">
        <f>+C63+1</f>
        <v>59</v>
      </c>
      <c r="D64" s="67"/>
      <c r="E64" s="67"/>
      <c r="F64" s="66"/>
      <c r="G64" s="66"/>
      <c r="H64" s="67"/>
      <c r="I64" s="67"/>
      <c r="J64" s="68">
        <f>259+33.25</f>
        <v>292.25</v>
      </c>
      <c r="K64" s="68">
        <v>6177.5</v>
      </c>
      <c r="L64" s="69">
        <f>+D64+F64+H64+J64</f>
        <v>292.25</v>
      </c>
      <c r="M64" s="69">
        <f>+E64+G64+I64+K64</f>
        <v>6177.5</v>
      </c>
      <c r="N64" s="70"/>
      <c r="O64" s="70"/>
      <c r="P64" s="70">
        <f>1800*21-M64</f>
        <v>31622.5</v>
      </c>
      <c r="Q64" s="70">
        <f t="shared" si="1"/>
        <v>37800</v>
      </c>
      <c r="S64" t="s">
        <v>1113</v>
      </c>
      <c r="T64" s="70"/>
      <c r="U64" s="70"/>
      <c r="V64" s="70"/>
      <c r="W64" s="70"/>
      <c r="X64" s="70"/>
      <c r="Y64" s="70"/>
      <c r="Z64" s="70"/>
      <c r="AA64" s="70"/>
    </row>
    <row r="65" spans="1:27" ht="15.75" x14ac:dyDescent="0.25">
      <c r="A65" s="61" t="s">
        <v>1165</v>
      </c>
      <c r="B65" s="71" t="s">
        <v>248</v>
      </c>
      <c r="C65" s="72">
        <f>+C64+1</f>
        <v>60</v>
      </c>
      <c r="D65" s="67"/>
      <c r="E65" s="67"/>
      <c r="F65" s="66"/>
      <c r="G65" s="79"/>
      <c r="H65" s="75"/>
      <c r="I65" s="75"/>
      <c r="J65" s="68">
        <f>397.5+3.75+2+26.5</f>
        <v>429.75</v>
      </c>
      <c r="K65" s="68">
        <v>11218.76</v>
      </c>
      <c r="L65" s="69">
        <f>+D65+F65+H65+J65</f>
        <v>429.75</v>
      </c>
      <c r="M65" s="69">
        <f>+E65+G65+I65+K65</f>
        <v>11218.76</v>
      </c>
      <c r="N65" s="70"/>
      <c r="O65" s="70"/>
      <c r="P65" s="70">
        <f>1800*25-M65</f>
        <v>33781.24</v>
      </c>
      <c r="Q65" s="70">
        <f t="shared" si="1"/>
        <v>45000</v>
      </c>
      <c r="S65" t="s">
        <v>1113</v>
      </c>
      <c r="T65" s="70"/>
      <c r="U65" s="70"/>
      <c r="V65" s="70"/>
      <c r="W65" s="70"/>
      <c r="X65" s="70"/>
      <c r="Y65" s="70"/>
      <c r="Z65" s="70"/>
      <c r="AA65" s="70"/>
    </row>
    <row r="66" spans="1:27" ht="15.75" x14ac:dyDescent="0.25">
      <c r="A66" s="61" t="s">
        <v>1165</v>
      </c>
      <c r="B66" s="80" t="s">
        <v>248</v>
      </c>
      <c r="C66" s="54">
        <v>62</v>
      </c>
      <c r="D66" s="54"/>
      <c r="E66" s="54"/>
      <c r="F66" s="54"/>
      <c r="G66" s="54"/>
      <c r="H66" s="54"/>
      <c r="I66" s="54"/>
      <c r="J66" s="54">
        <f>101.25+1.25+5+14</f>
        <v>121.5</v>
      </c>
      <c r="K66" s="54">
        <v>2425.5</v>
      </c>
      <c r="L66" s="54">
        <f>J66+H66+F66+D66</f>
        <v>121.5</v>
      </c>
      <c r="M66" s="54">
        <f>+E66+G66+I66+K66</f>
        <v>2425.5</v>
      </c>
      <c r="N66" s="70"/>
      <c r="O66" s="70"/>
      <c r="P66" s="70">
        <f>1800*20-M66</f>
        <v>33574.5</v>
      </c>
      <c r="Q66" s="70">
        <f t="shared" si="1"/>
        <v>36000</v>
      </c>
      <c r="S66" t="s">
        <v>1113</v>
      </c>
      <c r="T66" s="70"/>
      <c r="U66" s="70"/>
      <c r="V66" s="70"/>
      <c r="W66" s="70"/>
      <c r="X66" s="70"/>
      <c r="Y66" s="70"/>
      <c r="Z66" s="70"/>
      <c r="AA66" s="70"/>
    </row>
    <row r="67" spans="1:27" ht="15.75" x14ac:dyDescent="0.25">
      <c r="A67" s="61" t="s">
        <v>1165</v>
      </c>
      <c r="B67" s="80" t="s">
        <v>251</v>
      </c>
      <c r="C67" s="54">
        <v>63</v>
      </c>
      <c r="D67" s="54"/>
      <c r="E67" s="54"/>
      <c r="F67" s="54"/>
      <c r="G67" s="54"/>
      <c r="H67" s="54"/>
      <c r="I67" s="54"/>
      <c r="J67" s="54">
        <v>314.25</v>
      </c>
      <c r="K67" s="54">
        <v>7856.25</v>
      </c>
      <c r="L67" s="54">
        <f>J67+H67+F67+D67</f>
        <v>314.25</v>
      </c>
      <c r="M67" s="54">
        <f>+E67+G67+I67+K67</f>
        <v>7856.25</v>
      </c>
      <c r="N67" s="70"/>
      <c r="O67" s="70"/>
      <c r="P67" s="70">
        <f>1800*25-M67</f>
        <v>37143.75</v>
      </c>
      <c r="Q67" s="70">
        <f t="shared" si="1"/>
        <v>45000</v>
      </c>
      <c r="S67" t="s">
        <v>1113</v>
      </c>
      <c r="T67" s="70"/>
      <c r="U67" s="70"/>
      <c r="V67" s="70"/>
      <c r="W67" s="70"/>
      <c r="X67" s="70"/>
      <c r="Y67" s="70"/>
      <c r="Z67" s="70"/>
      <c r="AA67" s="70"/>
    </row>
    <row r="68" spans="1:27" ht="15.75" x14ac:dyDescent="0.25">
      <c r="A68" s="61" t="s">
        <v>1165</v>
      </c>
      <c r="B68" s="80" t="s">
        <v>253</v>
      </c>
      <c r="C68" s="54">
        <v>64</v>
      </c>
      <c r="D68" s="54"/>
      <c r="E68" s="54"/>
      <c r="F68" s="54"/>
      <c r="G68" s="54"/>
      <c r="H68" s="54"/>
      <c r="I68" s="54"/>
      <c r="J68" s="54">
        <v>480</v>
      </c>
      <c r="K68" s="54">
        <v>16458.37</v>
      </c>
      <c r="L68" s="54">
        <f t="shared" ref="L68:L69" si="14">J68+H68+F68+D68</f>
        <v>480</v>
      </c>
      <c r="M68" s="54">
        <f>+E68+G68+I68+K68</f>
        <v>16458.37</v>
      </c>
      <c r="N68" s="70"/>
      <c r="O68" s="70"/>
      <c r="P68" s="70">
        <f>1800*25-M68</f>
        <v>28541.63</v>
      </c>
      <c r="Q68" s="70">
        <f t="shared" si="1"/>
        <v>45000</v>
      </c>
      <c r="S68" t="s">
        <v>1113</v>
      </c>
      <c r="T68" s="70"/>
      <c r="U68" s="70"/>
      <c r="V68" s="70"/>
      <c r="W68" s="70"/>
      <c r="X68" s="70"/>
      <c r="Y68" s="70"/>
      <c r="Z68" s="70"/>
      <c r="AA68" s="70"/>
    </row>
    <row r="69" spans="1:27" ht="15.75" x14ac:dyDescent="0.25">
      <c r="A69" s="61" t="s">
        <v>1165</v>
      </c>
      <c r="B69" s="80" t="s">
        <v>248</v>
      </c>
      <c r="C69" s="54">
        <v>65</v>
      </c>
      <c r="D69" s="54"/>
      <c r="E69" s="81"/>
      <c r="F69" s="81"/>
      <c r="G69" s="81"/>
      <c r="H69" s="81"/>
      <c r="I69" s="81"/>
      <c r="J69" s="81">
        <f>158.5+21.5</f>
        <v>180</v>
      </c>
      <c r="K69" s="81">
        <v>5245.63</v>
      </c>
      <c r="L69" s="81">
        <f t="shared" si="14"/>
        <v>180</v>
      </c>
      <c r="M69" s="81">
        <f>+E69+G69+I69+K69</f>
        <v>5245.63</v>
      </c>
      <c r="N69" s="82"/>
      <c r="O69" s="82"/>
      <c r="P69" s="82">
        <f>1800*25-M69</f>
        <v>39754.370000000003</v>
      </c>
      <c r="Q69" s="82">
        <f t="shared" si="1"/>
        <v>45000</v>
      </c>
      <c r="S69" t="s">
        <v>1113</v>
      </c>
      <c r="T69" s="70"/>
      <c r="U69" s="70"/>
      <c r="V69" s="70"/>
      <c r="W69" s="70"/>
      <c r="X69" s="70"/>
      <c r="Y69" s="70"/>
      <c r="Z69" s="70"/>
      <c r="AA69" s="70"/>
    </row>
    <row r="70" spans="1:27" ht="15.75" x14ac:dyDescent="0.25">
      <c r="A70" s="83" t="s">
        <v>255</v>
      </c>
      <c r="B70" s="56"/>
      <c r="C70" s="84"/>
      <c r="D70" s="68"/>
      <c r="E70" s="68">
        <f>SUM(E6:E65)</f>
        <v>608944.85400000005</v>
      </c>
      <c r="F70" s="85"/>
      <c r="G70" s="68">
        <f>SUM(G6:G65)</f>
        <v>599217.29</v>
      </c>
      <c r="H70" s="67"/>
      <c r="I70" s="68">
        <f>SUM(I6:I65)</f>
        <v>586294.43999999994</v>
      </c>
      <c r="J70" s="68"/>
      <c r="K70" s="68">
        <f>SUM(K6:K69)</f>
        <v>571475.38000000012</v>
      </c>
      <c r="L70" s="69"/>
      <c r="M70" s="68">
        <f>SUM(M6:M69)</f>
        <v>2365931.9639999992</v>
      </c>
      <c r="N70" s="70"/>
      <c r="O70" s="68">
        <f t="shared" ref="O70:P70" si="15">SUM(O6:O69)</f>
        <v>-290183.86000000004</v>
      </c>
      <c r="P70" s="68">
        <f t="shared" si="15"/>
        <v>402397.46575999999</v>
      </c>
      <c r="Q70" s="70">
        <f t="shared" si="1"/>
        <v>2478145.5697599989</v>
      </c>
      <c r="T70" s="70"/>
      <c r="U70" s="70"/>
      <c r="V70" s="70"/>
      <c r="W70" s="70"/>
      <c r="X70" s="70"/>
      <c r="Y70" s="70"/>
      <c r="Z70" s="70"/>
      <c r="AA70" s="70"/>
    </row>
    <row r="71" spans="1:27" ht="15.75" x14ac:dyDescent="0.25">
      <c r="A71" s="54"/>
      <c r="B71" s="54"/>
      <c r="C71" s="54"/>
      <c r="D71" s="54"/>
      <c r="E71" s="54"/>
      <c r="F71" s="54"/>
      <c r="G71" s="54"/>
      <c r="H71" s="54"/>
      <c r="I71" s="54"/>
      <c r="J71" s="54"/>
      <c r="K71" s="54"/>
      <c r="L71" s="54"/>
      <c r="M71" s="54"/>
      <c r="N71" s="70"/>
      <c r="O71" s="70"/>
      <c r="P71" s="70"/>
      <c r="Q71" s="70"/>
      <c r="T71" s="70"/>
      <c r="U71" s="70"/>
      <c r="V71" s="70"/>
      <c r="W71" s="70"/>
      <c r="X71" s="70"/>
      <c r="Y71" s="70"/>
      <c r="Z71" s="70"/>
      <c r="AA71" s="70"/>
    </row>
    <row r="72" spans="1:27" ht="15.75" x14ac:dyDescent="0.25">
      <c r="A72" s="54" t="s">
        <v>1114</v>
      </c>
      <c r="B72" s="54"/>
      <c r="C72" s="54"/>
      <c r="D72" s="54"/>
      <c r="E72" s="54"/>
      <c r="F72" s="54"/>
      <c r="G72" s="54"/>
      <c r="H72" s="54"/>
      <c r="I72" s="54"/>
      <c r="J72" s="54"/>
      <c r="K72" s="54"/>
      <c r="L72" s="54"/>
      <c r="M72" s="54"/>
      <c r="N72" s="70"/>
      <c r="O72" s="70"/>
      <c r="P72" s="70"/>
      <c r="Q72" s="70"/>
      <c r="T72" s="70"/>
      <c r="U72" s="70"/>
      <c r="V72" s="70"/>
      <c r="W72" s="70"/>
      <c r="X72" s="70"/>
      <c r="Y72" s="70"/>
      <c r="Z72" s="70"/>
      <c r="AA72" s="70"/>
    </row>
    <row r="73" spans="1:27" ht="15.75" x14ac:dyDescent="0.25">
      <c r="A73" s="54" t="s">
        <v>1165</v>
      </c>
      <c r="B73" s="54" t="s">
        <v>1167</v>
      </c>
      <c r="C73" s="54"/>
      <c r="D73" s="54"/>
      <c r="E73" s="54"/>
      <c r="F73" s="54"/>
      <c r="G73" s="54"/>
      <c r="H73" s="54"/>
      <c r="I73" s="54"/>
      <c r="J73" s="54"/>
      <c r="K73" s="54"/>
      <c r="L73" s="54"/>
      <c r="M73" s="54"/>
      <c r="N73" s="70"/>
      <c r="O73" s="70"/>
      <c r="P73" s="70">
        <f>4166.67*24</f>
        <v>100000.08</v>
      </c>
      <c r="Q73" s="70">
        <f t="shared" ref="Q73:Q76" si="16">SUM(M73:P73)</f>
        <v>100000.08</v>
      </c>
      <c r="S73" t="s">
        <v>1113</v>
      </c>
      <c r="T73" s="70"/>
      <c r="U73" s="70"/>
      <c r="V73" s="70"/>
      <c r="W73" s="70"/>
      <c r="X73" s="70"/>
      <c r="Y73" s="70"/>
      <c r="Z73" s="70"/>
      <c r="AA73" s="70"/>
    </row>
    <row r="74" spans="1:27" ht="15.75" x14ac:dyDescent="0.25">
      <c r="A74" s="61" t="s">
        <v>1165</v>
      </c>
      <c r="B74" s="54" t="s">
        <v>252</v>
      </c>
      <c r="C74" s="54"/>
      <c r="D74" s="54"/>
      <c r="E74" s="54"/>
      <c r="F74" s="54"/>
      <c r="G74" s="54"/>
      <c r="H74" s="54"/>
      <c r="I74" s="54"/>
      <c r="J74" s="54"/>
      <c r="K74" s="54"/>
      <c r="L74" s="54"/>
      <c r="M74" s="54"/>
      <c r="N74" s="70"/>
      <c r="O74" s="70"/>
      <c r="P74" s="70">
        <v>70000</v>
      </c>
      <c r="Q74" s="70">
        <f t="shared" si="16"/>
        <v>70000</v>
      </c>
      <c r="S74" t="s">
        <v>1113</v>
      </c>
      <c r="T74" s="70"/>
      <c r="U74" s="70"/>
      <c r="V74" s="70"/>
      <c r="W74" s="70"/>
      <c r="X74" s="70"/>
      <c r="Y74" s="70"/>
      <c r="Z74" s="70"/>
      <c r="AA74" s="70"/>
    </row>
    <row r="75" spans="1:27" ht="15.75" x14ac:dyDescent="0.25">
      <c r="A75" s="61" t="s">
        <v>1165</v>
      </c>
      <c r="B75" s="54" t="s">
        <v>1115</v>
      </c>
      <c r="C75" s="54"/>
      <c r="D75" s="54"/>
      <c r="E75" s="54"/>
      <c r="F75" s="54"/>
      <c r="G75" s="54"/>
      <c r="H75" s="54"/>
      <c r="I75" s="54"/>
      <c r="J75" s="54"/>
      <c r="K75" s="54"/>
      <c r="L75" s="54"/>
      <c r="M75" s="54"/>
      <c r="N75" s="70"/>
      <c r="O75" s="70"/>
      <c r="P75" s="70">
        <f>1800*29</f>
        <v>52200</v>
      </c>
      <c r="Q75" s="70">
        <f t="shared" si="16"/>
        <v>52200</v>
      </c>
      <c r="S75" t="s">
        <v>1113</v>
      </c>
      <c r="T75" s="70"/>
      <c r="U75" s="70"/>
      <c r="V75" s="70"/>
      <c r="W75" s="70"/>
      <c r="X75" s="70"/>
      <c r="Y75" s="70"/>
      <c r="Z75" s="70"/>
      <c r="AA75" s="70"/>
    </row>
    <row r="76" spans="1:27" ht="15.75" x14ac:dyDescent="0.25">
      <c r="A76" s="61" t="s">
        <v>1165</v>
      </c>
      <c r="B76" s="54" t="s">
        <v>1166</v>
      </c>
      <c r="C76" s="54"/>
      <c r="D76" s="54"/>
      <c r="E76" s="54"/>
      <c r="F76" s="54"/>
      <c r="G76" s="54"/>
      <c r="H76" s="54"/>
      <c r="I76" s="54"/>
      <c r="J76" s="54"/>
      <c r="K76" s="54"/>
      <c r="L76" s="54"/>
      <c r="M76" s="54"/>
      <c r="N76" s="70"/>
      <c r="O76" s="82"/>
      <c r="P76" s="82">
        <f>2916.67*24+10000</f>
        <v>80000.08</v>
      </c>
      <c r="Q76" s="82">
        <f t="shared" si="16"/>
        <v>80000.08</v>
      </c>
      <c r="S76" t="s">
        <v>1113</v>
      </c>
      <c r="T76" s="70"/>
      <c r="U76" s="70"/>
      <c r="V76" s="70"/>
      <c r="W76" s="70"/>
      <c r="X76" s="70"/>
      <c r="Y76" s="70"/>
      <c r="Z76" s="70"/>
      <c r="AA76" s="70"/>
    </row>
    <row r="77" spans="1:27" ht="15.75" x14ac:dyDescent="0.25">
      <c r="A77" s="54" t="s">
        <v>256</v>
      </c>
      <c r="B77" s="54"/>
      <c r="C77" s="54"/>
      <c r="D77" s="54"/>
      <c r="E77" s="54"/>
      <c r="F77" s="54"/>
      <c r="G77" s="54"/>
      <c r="H77" s="54"/>
      <c r="I77" s="54"/>
      <c r="J77" s="54"/>
      <c r="K77" s="54"/>
      <c r="L77" s="54"/>
      <c r="M77" s="54"/>
      <c r="N77" s="70"/>
      <c r="O77" s="70">
        <f t="shared" ref="O77:P77" si="17">SUM(O70:O76)</f>
        <v>-290183.86000000004</v>
      </c>
      <c r="P77" s="70">
        <f t="shared" si="17"/>
        <v>704597.62575999997</v>
      </c>
      <c r="Q77" s="70">
        <f>SUM(Q70:Q76)</f>
        <v>2780345.7297599991</v>
      </c>
      <c r="T77" s="70"/>
      <c r="U77" s="70"/>
      <c r="V77" s="70"/>
      <c r="W77" s="70"/>
      <c r="X77" s="70"/>
      <c r="Y77" s="70"/>
      <c r="Z77" s="70"/>
      <c r="AA77" s="70"/>
    </row>
    <row r="78" spans="1:27" ht="15.75" x14ac:dyDescent="0.25">
      <c r="A78" s="54"/>
      <c r="B78" s="54"/>
      <c r="C78" s="54"/>
      <c r="D78" s="54"/>
      <c r="E78" s="54"/>
      <c r="F78" s="54"/>
      <c r="G78" s="54"/>
      <c r="H78" s="54"/>
      <c r="I78" s="54"/>
      <c r="J78" s="54"/>
      <c r="K78" s="54"/>
      <c r="L78" s="54"/>
      <c r="M78" s="54"/>
      <c r="N78" s="70"/>
      <c r="O78" s="70"/>
      <c r="P78" s="70"/>
      <c r="Q78" s="70"/>
      <c r="T78" s="70"/>
      <c r="U78" s="70"/>
      <c r="V78" s="70"/>
      <c r="W78" s="70"/>
      <c r="X78" s="70"/>
      <c r="Y78" s="70"/>
      <c r="Z78" s="70"/>
      <c r="AA78" s="70"/>
    </row>
    <row r="79" spans="1:27" ht="15.75" x14ac:dyDescent="0.25">
      <c r="Q79" s="43">
        <f>+Q77-M70</f>
        <v>414413.76575999986</v>
      </c>
      <c r="T79" s="70"/>
      <c r="U79" s="70"/>
      <c r="V79" s="70"/>
      <c r="W79" s="70"/>
      <c r="X79" s="70"/>
      <c r="Y79" s="70"/>
      <c r="Z79" s="70"/>
      <c r="AA79" s="70"/>
    </row>
    <row r="80" spans="1:27" ht="15.75" x14ac:dyDescent="0.25">
      <c r="M80" s="29"/>
      <c r="Q80" s="43"/>
      <c r="T80" s="70"/>
      <c r="U80" s="70"/>
      <c r="V80" s="70"/>
      <c r="W80" s="70"/>
      <c r="X80" s="70"/>
      <c r="Y80" s="70"/>
      <c r="Z80" s="70"/>
      <c r="AA80" s="70"/>
    </row>
    <row r="81" spans="1:27" ht="15.75" x14ac:dyDescent="0.25">
      <c r="M81" s="43"/>
      <c r="T81" s="70"/>
      <c r="U81" s="70"/>
      <c r="V81" s="70"/>
      <c r="W81" s="70"/>
      <c r="X81" s="70"/>
      <c r="Y81" s="70"/>
      <c r="Z81" s="70"/>
      <c r="AA81" s="70"/>
    </row>
    <row r="82" spans="1:27" ht="15.75" x14ac:dyDescent="0.25">
      <c r="A82" s="54"/>
      <c r="B82" s="54"/>
      <c r="C82" s="54"/>
      <c r="D82" s="54"/>
      <c r="E82" s="54"/>
      <c r="F82" s="54"/>
      <c r="G82" s="54"/>
      <c r="H82" s="54"/>
      <c r="I82" s="54"/>
      <c r="J82" s="54"/>
      <c r="K82" s="54"/>
      <c r="L82" s="54"/>
      <c r="M82" s="54"/>
      <c r="N82" s="70"/>
      <c r="O82" s="70"/>
      <c r="P82" s="70"/>
      <c r="Q82" s="70"/>
      <c r="R82" s="70"/>
      <c r="S82" s="70"/>
      <c r="T82" s="70"/>
      <c r="U82" s="70"/>
      <c r="V82" s="70"/>
      <c r="W82" s="70"/>
      <c r="X82" s="70"/>
      <c r="Y82" s="70"/>
      <c r="Z82" s="70"/>
      <c r="AA82" s="70"/>
    </row>
    <row r="83" spans="1:27" ht="15.75" x14ac:dyDescent="0.25">
      <c r="A83" s="54"/>
      <c r="B83" s="54"/>
      <c r="C83" s="54"/>
      <c r="D83" s="54"/>
      <c r="E83" s="54"/>
      <c r="F83" s="54"/>
      <c r="G83" s="54"/>
      <c r="H83" s="54"/>
      <c r="I83" s="54"/>
      <c r="J83" s="54"/>
      <c r="K83" s="54"/>
      <c r="L83" s="54"/>
      <c r="M83" s="54"/>
      <c r="N83" s="70"/>
      <c r="O83" s="70"/>
      <c r="P83" s="70"/>
      <c r="Q83" s="70"/>
      <c r="R83" s="70"/>
      <c r="S83" s="70"/>
      <c r="T83" s="70"/>
      <c r="U83" s="70"/>
      <c r="V83" s="70"/>
      <c r="W83" s="70"/>
      <c r="X83" s="70"/>
      <c r="Y83" s="70"/>
      <c r="Z83" s="70"/>
      <c r="AA83" s="70"/>
    </row>
    <row r="84" spans="1:27" ht="15.75" x14ac:dyDescent="0.25">
      <c r="A84" s="54"/>
      <c r="B84" s="54"/>
      <c r="C84" s="54"/>
      <c r="D84" s="54"/>
      <c r="E84" s="54"/>
      <c r="F84" s="54"/>
      <c r="G84" s="54"/>
      <c r="H84" s="54"/>
      <c r="I84" s="54"/>
      <c r="J84" s="54"/>
      <c r="K84" s="54"/>
      <c r="L84" s="54"/>
      <c r="M84" s="54"/>
      <c r="N84" s="70"/>
      <c r="O84" s="70"/>
      <c r="P84" s="70"/>
      <c r="Q84" s="70"/>
      <c r="R84" s="70"/>
      <c r="S84" s="70"/>
      <c r="T84" s="70"/>
      <c r="U84" s="70"/>
      <c r="V84" s="70"/>
      <c r="W84" s="70"/>
      <c r="X84" s="70"/>
      <c r="Y84" s="70"/>
      <c r="Z84" s="70"/>
      <c r="AA84" s="70"/>
    </row>
    <row r="85" spans="1:27" ht="15.75" x14ac:dyDescent="0.25">
      <c r="A85" s="54"/>
      <c r="B85" s="54"/>
      <c r="C85" s="54"/>
      <c r="D85" s="54"/>
      <c r="E85" s="54"/>
      <c r="F85" s="54"/>
      <c r="G85" s="54"/>
      <c r="H85" s="54"/>
      <c r="I85" s="54"/>
      <c r="J85" s="54"/>
      <c r="K85" s="54"/>
      <c r="L85" s="54"/>
      <c r="M85" s="54"/>
      <c r="N85" s="70"/>
      <c r="O85" s="70"/>
      <c r="P85" s="70"/>
      <c r="Q85" s="70"/>
      <c r="R85" s="70"/>
      <c r="S85" s="70"/>
      <c r="T85" s="70"/>
      <c r="U85" s="70"/>
      <c r="V85" s="70"/>
      <c r="W85" s="70"/>
      <c r="X85" s="70"/>
      <c r="Y85" s="70"/>
      <c r="Z85" s="70"/>
      <c r="AA85" s="70"/>
    </row>
    <row r="86" spans="1:27" ht="15.75" x14ac:dyDescent="0.25">
      <c r="A86" s="54"/>
      <c r="B86" s="54"/>
      <c r="C86" s="54"/>
      <c r="D86" s="54"/>
      <c r="E86" s="54"/>
      <c r="F86" s="54"/>
      <c r="G86" s="54"/>
      <c r="H86" s="54"/>
      <c r="I86" s="54"/>
      <c r="J86" s="54"/>
      <c r="K86" s="54"/>
      <c r="L86" s="54"/>
      <c r="M86" s="54"/>
      <c r="N86" s="70"/>
      <c r="O86" s="70"/>
      <c r="P86" s="70"/>
      <c r="Q86" s="70"/>
      <c r="R86" s="70"/>
      <c r="S86" s="70"/>
      <c r="T86" s="70"/>
      <c r="U86" s="70"/>
      <c r="V86" s="70"/>
      <c r="W86" s="70"/>
      <c r="X86" s="70"/>
      <c r="Y86" s="70"/>
      <c r="Z86" s="70"/>
      <c r="AA86" s="70"/>
    </row>
    <row r="87" spans="1:27" ht="15.75" x14ac:dyDescent="0.25">
      <c r="A87" s="54"/>
      <c r="B87" s="54"/>
      <c r="C87" s="54"/>
      <c r="D87" s="54"/>
      <c r="E87" s="54"/>
      <c r="F87" s="54"/>
      <c r="G87" s="54"/>
      <c r="H87" s="54"/>
      <c r="I87" s="54"/>
      <c r="J87" s="54"/>
      <c r="K87" s="54"/>
      <c r="L87" s="54"/>
      <c r="M87" s="54"/>
      <c r="N87" s="70"/>
      <c r="O87" s="70"/>
      <c r="P87" s="70"/>
      <c r="Q87" s="70"/>
      <c r="R87" s="70"/>
      <c r="S87" s="70"/>
      <c r="T87" s="70"/>
      <c r="U87" s="70"/>
      <c r="V87" s="70"/>
      <c r="W87" s="70"/>
      <c r="X87" s="70"/>
      <c r="Y87" s="70"/>
      <c r="Z87" s="70"/>
      <c r="AA87" s="70"/>
    </row>
    <row r="88" spans="1:27" ht="15.75" x14ac:dyDescent="0.25">
      <c r="A88" s="54"/>
      <c r="B88" s="54"/>
      <c r="C88" s="54"/>
      <c r="D88" s="54"/>
      <c r="E88" s="54"/>
      <c r="F88" s="54"/>
      <c r="G88" s="54"/>
      <c r="H88" s="54"/>
      <c r="I88" s="54"/>
      <c r="J88" s="54"/>
      <c r="K88" s="54"/>
      <c r="L88" s="54"/>
      <c r="M88" s="54"/>
      <c r="N88" s="70"/>
      <c r="O88" s="70"/>
      <c r="P88" s="70"/>
      <c r="Q88" s="70"/>
      <c r="R88" s="70"/>
      <c r="S88" s="70"/>
      <c r="T88" s="70"/>
      <c r="U88" s="70"/>
      <c r="V88" s="70"/>
      <c r="W88" s="70"/>
      <c r="X88" s="70"/>
      <c r="Y88" s="70"/>
      <c r="Z88" s="70"/>
      <c r="AA88" s="70"/>
    </row>
    <row r="89" spans="1:27" ht="15.75" x14ac:dyDescent="0.25">
      <c r="A89" s="54"/>
      <c r="B89" s="54"/>
      <c r="C89" s="54"/>
      <c r="D89" s="54"/>
      <c r="E89" s="54"/>
      <c r="F89" s="54"/>
      <c r="G89" s="54"/>
      <c r="H89" s="54"/>
      <c r="I89" s="54"/>
      <c r="J89" s="54"/>
      <c r="K89" s="54"/>
      <c r="L89" s="54"/>
      <c r="M89" s="54"/>
      <c r="N89" s="70"/>
      <c r="O89" s="70"/>
      <c r="P89" s="70"/>
      <c r="Q89" s="70"/>
      <c r="R89" s="70"/>
      <c r="S89" s="70"/>
      <c r="T89" s="70"/>
      <c r="U89" s="70"/>
      <c r="V89" s="70"/>
      <c r="W89" s="70"/>
      <c r="X89" s="70"/>
      <c r="Y89" s="70"/>
      <c r="Z89" s="70"/>
      <c r="AA89" s="70"/>
    </row>
    <row r="90" spans="1:27" ht="15.75" x14ac:dyDescent="0.25">
      <c r="A90" s="54"/>
      <c r="B90" s="54"/>
      <c r="C90" s="54"/>
      <c r="D90" s="54"/>
      <c r="E90" s="54"/>
      <c r="F90" s="54"/>
      <c r="G90" s="54"/>
      <c r="H90" s="54"/>
      <c r="I90" s="54"/>
      <c r="J90" s="54"/>
      <c r="K90" s="54"/>
      <c r="L90" s="54"/>
      <c r="M90" s="54"/>
      <c r="N90" s="70"/>
      <c r="O90" s="70"/>
      <c r="P90" s="70"/>
      <c r="Q90" s="70"/>
      <c r="R90" s="70"/>
      <c r="S90" s="70"/>
      <c r="T90" s="70"/>
      <c r="U90" s="70"/>
      <c r="V90" s="70"/>
      <c r="W90" s="70"/>
      <c r="X90" s="70"/>
      <c r="Y90" s="70"/>
      <c r="Z90" s="70"/>
      <c r="AA90" s="70"/>
    </row>
    <row r="91" spans="1:27" ht="15.75" x14ac:dyDescent="0.25">
      <c r="A91" s="54"/>
      <c r="B91" s="54"/>
      <c r="C91" s="54"/>
      <c r="D91" s="54"/>
      <c r="E91" s="54"/>
      <c r="F91" s="54"/>
      <c r="G91" s="54"/>
      <c r="H91" s="54"/>
      <c r="I91" s="54"/>
      <c r="J91" s="54"/>
      <c r="K91" s="54"/>
      <c r="L91" s="54"/>
      <c r="M91" s="54"/>
      <c r="N91" s="70"/>
      <c r="O91" s="70"/>
      <c r="P91" s="70"/>
      <c r="Q91" s="70"/>
      <c r="R91" s="70"/>
      <c r="S91" s="70"/>
      <c r="T91" s="70"/>
      <c r="U91" s="70"/>
      <c r="V91" s="70"/>
      <c r="W91" s="70"/>
      <c r="X91" s="70"/>
      <c r="Y91" s="70"/>
      <c r="Z91" s="70"/>
      <c r="AA91" s="70"/>
    </row>
    <row r="92" spans="1:27" ht="15.75" x14ac:dyDescent="0.25">
      <c r="A92" s="54"/>
      <c r="B92" s="54"/>
      <c r="C92" s="54"/>
      <c r="D92" s="54"/>
      <c r="E92" s="54"/>
      <c r="F92" s="54"/>
      <c r="G92" s="54"/>
      <c r="H92" s="54"/>
      <c r="I92" s="54"/>
      <c r="J92" s="54"/>
      <c r="K92" s="54"/>
      <c r="L92" s="54"/>
      <c r="M92" s="54"/>
      <c r="N92" s="70"/>
      <c r="O92" s="70"/>
      <c r="P92" s="70"/>
      <c r="Q92" s="70"/>
      <c r="R92" s="70"/>
      <c r="S92" s="70"/>
      <c r="T92" s="70"/>
      <c r="U92" s="70"/>
      <c r="V92" s="70"/>
      <c r="W92" s="70"/>
      <c r="X92" s="70"/>
      <c r="Y92" s="70"/>
      <c r="Z92" s="70"/>
      <c r="AA92" s="70"/>
    </row>
    <row r="93" spans="1:27" ht="15.75" x14ac:dyDescent="0.25">
      <c r="A93" s="54"/>
      <c r="B93" s="54"/>
      <c r="C93" s="54"/>
      <c r="D93" s="54"/>
      <c r="E93" s="54"/>
      <c r="F93" s="54"/>
      <c r="G93" s="54"/>
      <c r="H93" s="54"/>
      <c r="I93" s="54"/>
      <c r="J93" s="54"/>
      <c r="K93" s="54"/>
      <c r="L93" s="54"/>
      <c r="M93" s="54"/>
      <c r="N93" s="70"/>
      <c r="O93" s="70"/>
      <c r="P93" s="70"/>
      <c r="Q93" s="70"/>
      <c r="R93" s="70"/>
      <c r="S93" s="70"/>
      <c r="T93" s="70"/>
      <c r="U93" s="70"/>
      <c r="V93" s="70"/>
      <c r="W93" s="70"/>
      <c r="X93" s="70"/>
      <c r="Y93" s="70"/>
      <c r="Z93" s="70"/>
      <c r="AA93" s="70"/>
    </row>
    <row r="94" spans="1:27" ht="15.75" x14ac:dyDescent="0.25">
      <c r="A94" s="54"/>
      <c r="B94" s="54"/>
      <c r="C94" s="54"/>
      <c r="D94" s="54"/>
      <c r="E94" s="54"/>
      <c r="F94" s="54"/>
      <c r="G94" s="54"/>
      <c r="H94" s="54"/>
      <c r="I94" s="54"/>
      <c r="J94" s="54"/>
      <c r="K94" s="54"/>
      <c r="L94" s="54"/>
      <c r="M94" s="54"/>
      <c r="N94" s="70"/>
      <c r="O94" s="70"/>
      <c r="P94" s="70"/>
      <c r="Q94" s="70"/>
      <c r="R94" s="70"/>
      <c r="S94" s="70"/>
      <c r="T94" s="70"/>
      <c r="U94" s="70"/>
      <c r="V94" s="70"/>
      <c r="W94" s="70"/>
      <c r="X94" s="70"/>
      <c r="Y94" s="70"/>
      <c r="Z94" s="70"/>
      <c r="AA94" s="70"/>
    </row>
  </sheetData>
  <mergeCells count="5">
    <mergeCell ref="D4:E4"/>
    <mergeCell ref="F4:G4"/>
    <mergeCell ref="H4:I4"/>
    <mergeCell ref="J4:K4"/>
    <mergeCell ref="L4:M4"/>
  </mergeCells>
  <pageMargins left="0.25" right="0.25" top="0.75" bottom="0.75" header="0.3" footer="0.3"/>
  <pageSetup scale="51" fitToHeight="0" orientation="landscape" r:id="rId1"/>
  <headerFooter>
    <oddFooter>&amp;L&amp;D&amp;C&amp;F    &amp;A&amp;RPage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96C804-5061-476E-AAFB-24143641E56C}">
  <sheetPr>
    <pageSetUpPr fitToPage="1"/>
  </sheetPr>
  <dimension ref="A1:AM308"/>
  <sheetViews>
    <sheetView workbookViewId="0">
      <selection activeCell="A12" sqref="A12:AE12"/>
    </sheetView>
  </sheetViews>
  <sheetFormatPr defaultRowHeight="15" x14ac:dyDescent="0.25"/>
  <cols>
    <col min="1" max="1" width="10.42578125" customWidth="1"/>
    <col min="2" max="2" width="42.7109375" customWidth="1"/>
    <col min="3" max="3" width="4.140625" customWidth="1"/>
    <col min="4" max="4" width="7.5703125" customWidth="1"/>
    <col min="5" max="5" width="5.85546875" customWidth="1"/>
    <col min="6" max="6" width="10.42578125" customWidth="1"/>
    <col min="7" max="7" width="8" customWidth="1"/>
    <col min="8" max="8" width="6.5703125" customWidth="1"/>
    <col min="9" max="9" width="13.85546875" customWidth="1"/>
    <col min="10" max="15" width="9.140625" customWidth="1"/>
    <col min="16" max="16" width="12.5703125" customWidth="1"/>
    <col min="17" max="17" width="9.140625" customWidth="1"/>
    <col min="18" max="18" width="13.140625" customWidth="1"/>
    <col min="19" max="19" width="14.7109375" customWidth="1"/>
    <col min="20" max="20" width="16.140625" customWidth="1"/>
    <col min="21" max="25" width="9.140625" customWidth="1"/>
    <col min="26" max="26" width="15.140625" customWidth="1"/>
    <col min="27" max="29" width="9.140625" customWidth="1"/>
    <col min="30" max="30" width="15.7109375" customWidth="1"/>
    <col min="31" max="31" width="13.42578125" customWidth="1"/>
    <col min="32" max="35" width="10.5703125" bestFit="1" customWidth="1"/>
    <col min="36" max="36" width="10.42578125" bestFit="1" customWidth="1"/>
  </cols>
  <sheetData>
    <row r="1" spans="1:39" x14ac:dyDescent="0.25">
      <c r="A1" s="86"/>
      <c r="B1" s="87" t="s">
        <v>158</v>
      </c>
      <c r="C1" s="87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9"/>
      <c r="R1" s="89"/>
      <c r="S1" s="89"/>
      <c r="T1" s="89"/>
      <c r="U1" s="89"/>
      <c r="V1" s="89"/>
      <c r="W1" s="90"/>
      <c r="X1" s="89"/>
      <c r="Y1" s="89"/>
      <c r="Z1" s="89"/>
      <c r="AA1" s="89"/>
      <c r="AB1" s="89"/>
      <c r="AC1" s="89"/>
      <c r="AD1" s="89"/>
      <c r="AE1" s="89"/>
      <c r="AF1" s="89"/>
      <c r="AG1" s="89"/>
      <c r="AH1" s="89"/>
      <c r="AI1" s="89"/>
      <c r="AJ1" s="89"/>
      <c r="AK1" s="89"/>
      <c r="AL1" s="89"/>
      <c r="AM1" s="89"/>
    </row>
    <row r="2" spans="1:39" x14ac:dyDescent="0.25">
      <c r="A2" s="86"/>
      <c r="B2" s="87" t="s">
        <v>259</v>
      </c>
      <c r="C2" s="87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9"/>
      <c r="R2" s="89">
        <v>3</v>
      </c>
      <c r="S2" s="89"/>
      <c r="T2" s="91" t="s">
        <v>260</v>
      </c>
      <c r="U2" s="89"/>
      <c r="V2" s="89"/>
      <c r="W2" s="90"/>
      <c r="X2" s="89"/>
      <c r="Y2" s="89"/>
      <c r="Z2" s="89"/>
      <c r="AA2" s="89"/>
      <c r="AB2" s="89"/>
      <c r="AC2" s="89"/>
      <c r="AD2" s="89"/>
      <c r="AE2" s="89"/>
      <c r="AF2" s="89"/>
      <c r="AG2" s="89"/>
      <c r="AH2" s="89"/>
      <c r="AI2" s="89"/>
      <c r="AJ2" s="89"/>
      <c r="AK2" s="89"/>
      <c r="AL2" s="89"/>
      <c r="AM2" s="89"/>
    </row>
    <row r="3" spans="1:39" x14ac:dyDescent="0.25">
      <c r="A3" s="86"/>
      <c r="B3" s="92">
        <v>43738</v>
      </c>
      <c r="C3" s="92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9"/>
      <c r="R3" s="89">
        <v>9</v>
      </c>
      <c r="S3" s="89"/>
      <c r="T3" s="91" t="s">
        <v>261</v>
      </c>
      <c r="U3" s="89"/>
      <c r="V3" s="89"/>
      <c r="W3" s="90"/>
      <c r="X3" s="89"/>
      <c r="Y3" s="89"/>
      <c r="Z3" s="89"/>
      <c r="AA3" s="89"/>
      <c r="AB3" s="89"/>
      <c r="AC3" s="89"/>
      <c r="AD3" s="89"/>
      <c r="AE3" s="89"/>
      <c r="AF3" s="89"/>
      <c r="AG3" s="89"/>
      <c r="AH3" s="89"/>
      <c r="AI3" s="89"/>
      <c r="AJ3" s="91" t="s">
        <v>262</v>
      </c>
      <c r="AK3" s="91" t="s">
        <v>263</v>
      </c>
      <c r="AL3" s="89"/>
      <c r="AM3" s="89"/>
    </row>
    <row r="4" spans="1:39" x14ac:dyDescent="0.25">
      <c r="A4" s="86"/>
      <c r="B4" s="89"/>
      <c r="C4" s="89"/>
      <c r="D4" s="93"/>
      <c r="E4" s="93"/>
      <c r="F4" s="89"/>
      <c r="G4" s="93"/>
      <c r="H4" s="89"/>
      <c r="I4" s="89"/>
      <c r="J4" s="89"/>
      <c r="K4" s="89"/>
      <c r="L4" s="89"/>
      <c r="M4" s="89"/>
      <c r="N4" s="89"/>
      <c r="O4" s="89"/>
      <c r="P4" s="89"/>
      <c r="Q4" s="89"/>
      <c r="R4" s="94">
        <v>2018</v>
      </c>
      <c r="S4" s="89"/>
      <c r="T4" s="91" t="s">
        <v>264</v>
      </c>
      <c r="U4" s="89"/>
      <c r="V4" s="89"/>
      <c r="W4" s="90"/>
      <c r="X4" s="89"/>
      <c r="Y4" s="89"/>
      <c r="Z4" s="89"/>
      <c r="AA4" s="89"/>
      <c r="AB4" s="89"/>
      <c r="AC4" s="89"/>
      <c r="AD4" s="89"/>
      <c r="AE4" s="89"/>
      <c r="AF4" s="89"/>
      <c r="AG4" s="89"/>
      <c r="AH4" s="89"/>
      <c r="AI4" s="89"/>
      <c r="AJ4" s="91" t="s">
        <v>265</v>
      </c>
      <c r="AK4" s="91" t="s">
        <v>266</v>
      </c>
      <c r="AL4" s="89"/>
      <c r="AM4" s="89"/>
    </row>
    <row r="5" spans="1:39" x14ac:dyDescent="0.25">
      <c r="A5" s="86"/>
      <c r="B5" s="89"/>
      <c r="C5" s="89"/>
      <c r="D5" s="93"/>
      <c r="E5" s="93"/>
      <c r="F5" s="89"/>
      <c r="G5" s="93"/>
      <c r="H5" s="89"/>
      <c r="I5" s="89"/>
      <c r="J5" s="89"/>
      <c r="K5" s="89"/>
      <c r="L5" s="89"/>
      <c r="M5" s="89"/>
      <c r="N5" s="89"/>
      <c r="O5" s="89"/>
      <c r="P5" s="89"/>
      <c r="Q5" s="89"/>
      <c r="R5" s="94">
        <v>2019</v>
      </c>
      <c r="S5" s="89"/>
      <c r="T5" s="91" t="s">
        <v>267</v>
      </c>
      <c r="U5" s="89"/>
      <c r="V5" s="89"/>
      <c r="W5" s="90"/>
      <c r="X5" s="89"/>
      <c r="Y5" s="89"/>
      <c r="Z5" s="89"/>
      <c r="AA5" s="89"/>
      <c r="AB5" s="89"/>
      <c r="AC5" s="89"/>
      <c r="AD5" s="89"/>
      <c r="AE5" s="89"/>
      <c r="AF5" s="89"/>
      <c r="AG5" s="89"/>
      <c r="AH5" s="89"/>
      <c r="AI5" s="89"/>
      <c r="AJ5" s="91" t="s">
        <v>166</v>
      </c>
      <c r="AK5" s="91" t="s">
        <v>268</v>
      </c>
      <c r="AL5" s="89"/>
      <c r="AM5" s="89"/>
    </row>
    <row r="6" spans="1:39" x14ac:dyDescent="0.25">
      <c r="A6" s="86"/>
      <c r="B6" s="89"/>
      <c r="C6" s="89"/>
      <c r="D6" s="93"/>
      <c r="E6" s="93"/>
      <c r="F6" s="89"/>
      <c r="G6" s="93"/>
      <c r="H6" s="89"/>
      <c r="I6" s="89"/>
      <c r="J6" s="89"/>
      <c r="K6" s="89"/>
      <c r="L6" s="89"/>
      <c r="M6" s="89"/>
      <c r="N6" s="89"/>
      <c r="O6" s="89"/>
      <c r="P6" s="89"/>
      <c r="Q6" s="89"/>
      <c r="R6" s="89"/>
      <c r="S6" s="89"/>
      <c r="T6" s="89"/>
      <c r="U6" s="89"/>
      <c r="V6" s="89"/>
      <c r="W6" s="90"/>
      <c r="X6" s="89"/>
      <c r="Y6" s="89"/>
      <c r="Z6" s="89"/>
      <c r="AA6" s="89"/>
      <c r="AB6" s="89"/>
      <c r="AC6" s="89"/>
      <c r="AD6" s="89"/>
      <c r="AE6" s="89"/>
      <c r="AF6" s="89"/>
      <c r="AG6" s="89"/>
      <c r="AH6" s="89"/>
      <c r="AI6" s="89"/>
      <c r="AJ6" s="91" t="s">
        <v>269</v>
      </c>
      <c r="AK6" s="91" t="s">
        <v>270</v>
      </c>
      <c r="AL6" s="89"/>
      <c r="AM6" s="89"/>
    </row>
    <row r="7" spans="1:39" x14ac:dyDescent="0.25">
      <c r="A7" s="86"/>
      <c r="B7" s="89"/>
      <c r="C7" s="89"/>
      <c r="D7" s="93"/>
      <c r="E7" s="93"/>
      <c r="F7" s="89"/>
      <c r="G7" s="93"/>
      <c r="H7" s="89"/>
      <c r="I7" s="89"/>
      <c r="J7" s="89"/>
      <c r="K7" s="89"/>
      <c r="L7" s="89"/>
      <c r="M7" s="95" t="s">
        <v>271</v>
      </c>
      <c r="N7" s="95" t="s">
        <v>272</v>
      </c>
      <c r="O7" s="89"/>
      <c r="P7" s="89"/>
      <c r="Q7" s="89"/>
      <c r="R7" s="89"/>
      <c r="S7" s="89"/>
      <c r="T7" s="89"/>
      <c r="U7" s="89"/>
      <c r="V7" s="89"/>
      <c r="W7" s="90"/>
      <c r="X7" s="93" t="s">
        <v>273</v>
      </c>
      <c r="Y7" s="89"/>
      <c r="Z7" s="95" t="s">
        <v>274</v>
      </c>
      <c r="AA7" s="95" t="s">
        <v>275</v>
      </c>
      <c r="AB7" s="96"/>
      <c r="AC7" s="95" t="s">
        <v>275</v>
      </c>
      <c r="AD7" s="95" t="s">
        <v>276</v>
      </c>
      <c r="AE7" s="89"/>
      <c r="AF7" s="89"/>
      <c r="AG7" s="89"/>
      <c r="AH7" s="89"/>
      <c r="AI7" s="89"/>
      <c r="AJ7" s="91" t="s">
        <v>277</v>
      </c>
      <c r="AK7" s="91" t="s">
        <v>278</v>
      </c>
      <c r="AL7" s="89"/>
      <c r="AM7" s="89"/>
    </row>
    <row r="8" spans="1:39" x14ac:dyDescent="0.25">
      <c r="A8" s="86"/>
      <c r="B8" s="96"/>
      <c r="C8" s="96"/>
      <c r="D8" s="87" t="s">
        <v>279</v>
      </c>
      <c r="E8" s="87"/>
      <c r="F8" s="95" t="s">
        <v>280</v>
      </c>
      <c r="G8" s="95"/>
      <c r="H8" s="96"/>
      <c r="I8" s="95" t="s">
        <v>281</v>
      </c>
      <c r="J8" s="96"/>
      <c r="K8" s="96"/>
      <c r="L8" s="95" t="s">
        <v>271</v>
      </c>
      <c r="M8" s="95" t="s">
        <v>281</v>
      </c>
      <c r="N8" s="95" t="s">
        <v>282</v>
      </c>
      <c r="O8" s="95" t="s">
        <v>283</v>
      </c>
      <c r="P8" s="96"/>
      <c r="Q8" s="96"/>
      <c r="R8" s="96"/>
      <c r="S8" s="96"/>
      <c r="T8" s="96"/>
      <c r="U8" s="95" t="s">
        <v>284</v>
      </c>
      <c r="V8" s="95" t="s">
        <v>273</v>
      </c>
      <c r="W8" s="97"/>
      <c r="X8" s="95" t="s">
        <v>275</v>
      </c>
      <c r="Y8" s="96"/>
      <c r="Z8" s="95" t="s">
        <v>283</v>
      </c>
      <c r="AA8" s="95" t="s">
        <v>283</v>
      </c>
      <c r="AB8" s="95" t="s">
        <v>285</v>
      </c>
      <c r="AC8" s="95" t="s">
        <v>286</v>
      </c>
      <c r="AD8" s="95" t="s">
        <v>283</v>
      </c>
      <c r="AE8" s="96"/>
      <c r="AF8" s="89"/>
      <c r="AG8" s="89"/>
      <c r="AH8" s="89"/>
      <c r="AI8" s="89"/>
      <c r="AJ8" s="89"/>
      <c r="AK8" s="89"/>
      <c r="AL8" s="89"/>
      <c r="AM8" s="89"/>
    </row>
    <row r="9" spans="1:39" x14ac:dyDescent="0.25">
      <c r="A9" s="86"/>
      <c r="B9" s="96"/>
      <c r="C9" s="96"/>
      <c r="D9" s="95"/>
      <c r="E9" s="95"/>
      <c r="F9" s="95" t="s">
        <v>287</v>
      </c>
      <c r="G9" s="95" t="s">
        <v>288</v>
      </c>
      <c r="H9" s="95" t="s">
        <v>289</v>
      </c>
      <c r="I9" s="95" t="s">
        <v>290</v>
      </c>
      <c r="J9" s="95" t="s">
        <v>284</v>
      </c>
      <c r="K9" s="96"/>
      <c r="L9" s="95" t="s">
        <v>103</v>
      </c>
      <c r="M9" s="95" t="s">
        <v>290</v>
      </c>
      <c r="N9" s="95" t="s">
        <v>291</v>
      </c>
      <c r="O9" s="95" t="s">
        <v>103</v>
      </c>
      <c r="P9" s="95" t="s">
        <v>292</v>
      </c>
      <c r="Q9" s="95" t="s">
        <v>292</v>
      </c>
      <c r="R9" s="95" t="s">
        <v>293</v>
      </c>
      <c r="S9" s="95" t="s">
        <v>294</v>
      </c>
      <c r="T9" s="95" t="s">
        <v>295</v>
      </c>
      <c r="U9" s="95" t="s">
        <v>281</v>
      </c>
      <c r="V9" s="95" t="s">
        <v>296</v>
      </c>
      <c r="W9" s="98" t="s">
        <v>297</v>
      </c>
      <c r="X9" s="95" t="s">
        <v>295</v>
      </c>
      <c r="Y9" s="96"/>
      <c r="Z9" s="95" t="s">
        <v>103</v>
      </c>
      <c r="AA9" s="95" t="s">
        <v>103</v>
      </c>
      <c r="AB9" s="95" t="s">
        <v>298</v>
      </c>
      <c r="AC9" s="95" t="s">
        <v>299</v>
      </c>
      <c r="AD9" s="95" t="s">
        <v>103</v>
      </c>
      <c r="AE9" s="95" t="s">
        <v>300</v>
      </c>
      <c r="AF9" s="93"/>
      <c r="AG9" s="93"/>
      <c r="AH9" s="93"/>
      <c r="AI9" s="89"/>
      <c r="AJ9" s="89"/>
      <c r="AK9" s="89"/>
      <c r="AL9" s="89"/>
      <c r="AM9" s="89"/>
    </row>
    <row r="10" spans="1:39" x14ac:dyDescent="0.25">
      <c r="A10" s="99" t="s">
        <v>103</v>
      </c>
      <c r="B10" s="95" t="s">
        <v>301</v>
      </c>
      <c r="C10" s="95"/>
      <c r="D10" s="100" t="s">
        <v>281</v>
      </c>
      <c r="E10" s="100" t="s">
        <v>302</v>
      </c>
      <c r="F10" s="100" t="s">
        <v>297</v>
      </c>
      <c r="G10" s="100"/>
      <c r="H10" s="100"/>
      <c r="I10" s="100" t="s">
        <v>303</v>
      </c>
      <c r="J10" s="100" t="s">
        <v>304</v>
      </c>
      <c r="K10" s="100" t="s">
        <v>305</v>
      </c>
      <c r="L10" s="100" t="s">
        <v>289</v>
      </c>
      <c r="M10" s="100" t="s">
        <v>303</v>
      </c>
      <c r="N10" s="100"/>
      <c r="O10" s="101">
        <v>42551</v>
      </c>
      <c r="P10" s="100" t="s">
        <v>306</v>
      </c>
      <c r="Q10" s="100" t="s">
        <v>284</v>
      </c>
      <c r="R10" s="100" t="s">
        <v>306</v>
      </c>
      <c r="S10" s="100" t="s">
        <v>103</v>
      </c>
      <c r="T10" s="100" t="s">
        <v>103</v>
      </c>
      <c r="U10" s="100" t="s">
        <v>299</v>
      </c>
      <c r="V10" s="100" t="s">
        <v>299</v>
      </c>
      <c r="W10" s="102" t="s">
        <v>298</v>
      </c>
      <c r="X10" s="100" t="s">
        <v>299</v>
      </c>
      <c r="Y10" s="103"/>
      <c r="Z10" s="101">
        <v>43373</v>
      </c>
      <c r="AA10" s="104">
        <v>42916</v>
      </c>
      <c r="AB10" s="100" t="s">
        <v>297</v>
      </c>
      <c r="AC10" s="104">
        <v>42916</v>
      </c>
      <c r="AD10" s="104">
        <v>43738</v>
      </c>
      <c r="AE10" s="100" t="s">
        <v>307</v>
      </c>
      <c r="AF10" s="93"/>
      <c r="AG10" s="93"/>
      <c r="AH10" s="93"/>
      <c r="AI10" s="93" t="s">
        <v>262</v>
      </c>
      <c r="AJ10" s="93" t="s">
        <v>165</v>
      </c>
      <c r="AK10" s="93" t="s">
        <v>308</v>
      </c>
      <c r="AL10" s="93" t="s">
        <v>269</v>
      </c>
      <c r="AM10" s="93" t="s">
        <v>277</v>
      </c>
    </row>
    <row r="11" spans="1:39" x14ac:dyDescent="0.25">
      <c r="A11" s="99" t="s">
        <v>309</v>
      </c>
      <c r="B11" s="105"/>
      <c r="C11" s="105"/>
      <c r="D11" s="106"/>
      <c r="E11" s="93"/>
      <c r="F11" s="89"/>
      <c r="G11" s="93"/>
      <c r="H11" s="89"/>
      <c r="I11" s="94"/>
      <c r="J11" s="89"/>
      <c r="K11" s="89"/>
      <c r="L11" s="89"/>
      <c r="M11" s="89"/>
      <c r="N11" s="89"/>
      <c r="O11" s="89"/>
      <c r="P11" s="89"/>
      <c r="Q11" s="89"/>
      <c r="R11" s="89"/>
      <c r="S11" s="89"/>
      <c r="T11" s="89"/>
      <c r="U11" s="89"/>
      <c r="V11" s="89"/>
      <c r="W11" s="90"/>
      <c r="X11" s="89"/>
      <c r="Y11" s="89"/>
      <c r="Z11" s="89"/>
      <c r="AA11" s="89"/>
      <c r="AB11" s="89"/>
      <c r="AC11" s="89"/>
      <c r="AD11" s="89"/>
      <c r="AE11" s="89"/>
      <c r="AF11" s="89"/>
      <c r="AG11" s="89"/>
      <c r="AH11" s="89"/>
      <c r="AI11" s="107"/>
      <c r="AJ11" s="107"/>
      <c r="AK11" s="107"/>
      <c r="AL11" s="107"/>
      <c r="AM11" s="107"/>
    </row>
    <row r="12" spans="1:39" x14ac:dyDescent="0.25">
      <c r="A12" s="108"/>
      <c r="B12" s="108"/>
      <c r="C12" s="108"/>
      <c r="D12" s="109"/>
      <c r="E12" s="110"/>
      <c r="F12" s="111"/>
      <c r="G12" s="112"/>
      <c r="H12" s="113"/>
      <c r="I12" s="114"/>
      <c r="J12" s="113"/>
      <c r="K12" s="113"/>
      <c r="L12" s="113"/>
      <c r="M12" s="113"/>
      <c r="N12" s="113"/>
      <c r="O12" s="113"/>
      <c r="P12" s="115"/>
      <c r="Q12" s="113"/>
      <c r="R12" s="115"/>
      <c r="S12" s="115"/>
      <c r="T12" s="115"/>
      <c r="U12" s="115"/>
      <c r="V12" s="115"/>
      <c r="W12" s="116"/>
      <c r="X12" s="115"/>
      <c r="Y12" s="113"/>
      <c r="Z12" s="115"/>
      <c r="AA12" s="115"/>
      <c r="AB12" s="113"/>
      <c r="AC12" s="115"/>
      <c r="AD12" s="115"/>
      <c r="AE12" s="115"/>
      <c r="AF12" s="115"/>
      <c r="AG12" s="115"/>
      <c r="AH12" s="115"/>
      <c r="AI12" s="117"/>
      <c r="AJ12" s="117"/>
      <c r="AK12" s="117"/>
      <c r="AL12" s="117"/>
      <c r="AM12" s="117"/>
    </row>
    <row r="13" spans="1:39" x14ac:dyDescent="0.25">
      <c r="A13">
        <v>1</v>
      </c>
      <c r="B13" t="s">
        <v>310</v>
      </c>
      <c r="C13" s="118" t="s">
        <v>311</v>
      </c>
      <c r="D13" s="27">
        <v>1995</v>
      </c>
      <c r="E13" s="27">
        <v>7</v>
      </c>
      <c r="F13" s="119"/>
      <c r="G13" s="27" t="s">
        <v>312</v>
      </c>
      <c r="H13" s="27">
        <v>7</v>
      </c>
      <c r="I13">
        <f>+D13+H13</f>
        <v>2002</v>
      </c>
      <c r="L13" s="27" t="s">
        <v>313</v>
      </c>
      <c r="M13" s="27" t="s">
        <v>313</v>
      </c>
      <c r="N13" s="27"/>
      <c r="O13" s="27" t="s">
        <v>313</v>
      </c>
      <c r="P13" s="29">
        <v>4863</v>
      </c>
      <c r="Q13" s="29"/>
      <c r="R13" s="29">
        <f>+P13-P13*F13</f>
        <v>4863</v>
      </c>
      <c r="S13" s="115">
        <f t="shared" ref="S13:S21" si="0">R13/H13/12</f>
        <v>57.892857142857139</v>
      </c>
      <c r="T13" s="115">
        <f t="shared" ref="T13:T21" si="1">IF(Q13&gt;0,0,IF((OR((AF13&gt;AG13),(AH13&lt;AI13))),0,IF((AND((AH13&gt;=AI13),(AH13&lt;=AG13))),S13*((AH13-AI13)*12),IF((AND((AI13&lt;=AF13),(AG13&gt;=AF13))),((AG13-AF13)*12)*S13,IF(AH13&gt;AG13,12*S13,0)))))</f>
        <v>0</v>
      </c>
      <c r="U13" s="115">
        <f t="shared" ref="U13:U21" si="2">IF(Q13=0,0,IF((AND((AJ13&gt;=AI13),(AJ13&lt;=AH13))),((AJ13-AI13)*12)*S13,0))</f>
        <v>0</v>
      </c>
      <c r="V13" s="115">
        <f t="shared" ref="V13:V21" si="3">IF(U13&gt;0,U13,T13)</f>
        <v>0</v>
      </c>
      <c r="W13" s="120">
        <v>1</v>
      </c>
      <c r="X13" s="115">
        <f t="shared" ref="X13:X21" si="4">W13*SUM(T13:U13)</f>
        <v>0</v>
      </c>
      <c r="Y13" s="113"/>
      <c r="Z13" s="115">
        <f t="shared" ref="Z13:Z21" si="5">IF(AF13&gt;AG13,0,IF(AH13&lt;AI13,R13,IF((AND((AH13&gt;=AI13),(AH13&lt;=AG13))),(R13-V13),IF((AND((AI13&lt;=AF13),(AG13&gt;=AF13))),0,IF(AH13&gt;AG13,((AI13-AF13)*12)*S13,0)))))</f>
        <v>4863</v>
      </c>
      <c r="AA13" s="115">
        <f t="shared" ref="AA13:AA21" si="6">Z13*W13</f>
        <v>4863</v>
      </c>
      <c r="AB13" s="121">
        <v>1</v>
      </c>
      <c r="AC13" s="115">
        <f t="shared" ref="AC13:AC21" si="7">AA13*AB13</f>
        <v>4863</v>
      </c>
      <c r="AD13" s="115">
        <f t="shared" ref="AD13:AD21" si="8">IF(Q13&gt;0,0,AC13+X13*AB13)*AB13</f>
        <v>4863</v>
      </c>
      <c r="AE13" s="115">
        <f t="shared" ref="AE13:AE21" si="9">IF(Q13&gt;0,(P13-AC13)/2,IF(AF13&gt;=AI13,(((P13*W13)*AB13)-AD13)/2,((((P13*W13)*AB13)-AC13)+(((P13*W13)*AB13)-AD13))/2))</f>
        <v>0</v>
      </c>
      <c r="AF13" s="115">
        <f t="shared" ref="AF13:AF21" si="10">$D13+(($E13-1)/12)</f>
        <v>1995.5</v>
      </c>
      <c r="AG13" s="115">
        <f t="shared" ref="AG13:AG21" si="11">($R$5+1)-($R$2/12)</f>
        <v>2019.75</v>
      </c>
      <c r="AH13" s="115">
        <f t="shared" ref="AH13:AH21" si="12">$I13+(($E13-1)/12)</f>
        <v>2002.5</v>
      </c>
      <c r="AI13" s="117">
        <f t="shared" ref="AI13:AI21" si="13">$R$4+($R$3/12)</f>
        <v>2018.75</v>
      </c>
      <c r="AJ13" s="117">
        <f t="shared" ref="AJ13:AJ21" si="14">$J13+(($K13-1)/12)</f>
        <v>-8.3333333333333329E-2</v>
      </c>
      <c r="AK13" s="117">
        <f t="shared" ref="AK13:AK21" si="15">$I13+(($E13-1)/12)</f>
        <v>2002.5</v>
      </c>
      <c r="AL13" s="117">
        <f t="shared" ref="AL13:AL21" si="16">$R$4+($R$3/12)</f>
        <v>2018.75</v>
      </c>
      <c r="AM13" s="117">
        <f t="shared" ref="AM13:AM21" si="17">$J13+(($K13-1)/12)</f>
        <v>-8.3333333333333329E-2</v>
      </c>
    </row>
    <row r="14" spans="1:39" x14ac:dyDescent="0.25">
      <c r="A14">
        <v>2</v>
      </c>
      <c r="B14" t="s">
        <v>314</v>
      </c>
      <c r="C14" s="118" t="s">
        <v>311</v>
      </c>
      <c r="D14" s="27">
        <v>2000</v>
      </c>
      <c r="E14" s="27">
        <v>11</v>
      </c>
      <c r="F14" s="122"/>
      <c r="G14" s="27" t="s">
        <v>312</v>
      </c>
      <c r="H14" s="27">
        <v>7</v>
      </c>
      <c r="I14">
        <f t="shared" ref="I14:I21" si="18">+D14+H14</f>
        <v>2007</v>
      </c>
      <c r="L14" s="27" t="s">
        <v>313</v>
      </c>
      <c r="M14" s="27" t="s">
        <v>313</v>
      </c>
      <c r="N14" s="27"/>
      <c r="O14" s="27" t="s">
        <v>313</v>
      </c>
      <c r="P14" s="29">
        <v>3883</v>
      </c>
      <c r="Q14" s="29"/>
      <c r="R14" s="29">
        <f t="shared" ref="R14:R21" si="19">+P14-P14*F14</f>
        <v>3883</v>
      </c>
      <c r="S14" s="115">
        <f t="shared" si="0"/>
        <v>46.226190476190474</v>
      </c>
      <c r="T14" s="115">
        <f t="shared" si="1"/>
        <v>0</v>
      </c>
      <c r="U14" s="115">
        <f t="shared" si="2"/>
        <v>0</v>
      </c>
      <c r="V14" s="115">
        <f t="shared" si="3"/>
        <v>0</v>
      </c>
      <c r="W14" s="120">
        <v>1</v>
      </c>
      <c r="X14" s="115">
        <f t="shared" si="4"/>
        <v>0</v>
      </c>
      <c r="Y14" s="113"/>
      <c r="Z14" s="115">
        <f t="shared" si="5"/>
        <v>3883</v>
      </c>
      <c r="AA14" s="115">
        <f t="shared" si="6"/>
        <v>3883</v>
      </c>
      <c r="AB14" s="121">
        <v>1</v>
      </c>
      <c r="AC14" s="115">
        <f t="shared" si="7"/>
        <v>3883</v>
      </c>
      <c r="AD14" s="115">
        <f t="shared" si="8"/>
        <v>3883</v>
      </c>
      <c r="AE14" s="115">
        <f t="shared" si="9"/>
        <v>0</v>
      </c>
      <c r="AF14" s="115">
        <f t="shared" si="10"/>
        <v>2000.8333333333333</v>
      </c>
      <c r="AG14" s="115">
        <f t="shared" si="11"/>
        <v>2019.75</v>
      </c>
      <c r="AH14" s="115">
        <f t="shared" si="12"/>
        <v>2007.8333333333333</v>
      </c>
      <c r="AI14" s="117">
        <f t="shared" si="13"/>
        <v>2018.75</v>
      </c>
      <c r="AJ14" s="117">
        <f t="shared" si="14"/>
        <v>-8.3333333333333329E-2</v>
      </c>
      <c r="AK14" s="117">
        <f t="shared" si="15"/>
        <v>2007.8333333333333</v>
      </c>
      <c r="AL14" s="117">
        <f t="shared" si="16"/>
        <v>2018.75</v>
      </c>
      <c r="AM14" s="117">
        <f t="shared" si="17"/>
        <v>-8.3333333333333329E-2</v>
      </c>
    </row>
    <row r="15" spans="1:39" x14ac:dyDescent="0.25">
      <c r="A15">
        <v>3</v>
      </c>
      <c r="B15" t="s">
        <v>315</v>
      </c>
      <c r="C15" s="118" t="s">
        <v>311</v>
      </c>
      <c r="D15" s="27">
        <v>2001</v>
      </c>
      <c r="E15" s="27">
        <v>2</v>
      </c>
      <c r="F15" s="122"/>
      <c r="G15" s="27" t="s">
        <v>312</v>
      </c>
      <c r="H15" s="27">
        <v>7</v>
      </c>
      <c r="I15">
        <f t="shared" si="18"/>
        <v>2008</v>
      </c>
      <c r="L15" s="27" t="s">
        <v>313</v>
      </c>
      <c r="M15" s="27" t="s">
        <v>313</v>
      </c>
      <c r="N15" s="27"/>
      <c r="O15" s="27" t="s">
        <v>313</v>
      </c>
      <c r="P15" s="29">
        <v>3122</v>
      </c>
      <c r="Q15" s="29"/>
      <c r="R15" s="29">
        <f t="shared" si="19"/>
        <v>3122</v>
      </c>
      <c r="S15" s="115">
        <f t="shared" si="0"/>
        <v>37.166666666666664</v>
      </c>
      <c r="T15" s="115">
        <f t="shared" si="1"/>
        <v>0</v>
      </c>
      <c r="U15" s="115">
        <f t="shared" si="2"/>
        <v>0</v>
      </c>
      <c r="V15" s="115">
        <f t="shared" si="3"/>
        <v>0</v>
      </c>
      <c r="W15" s="120">
        <v>1</v>
      </c>
      <c r="X15" s="115">
        <f t="shared" si="4"/>
        <v>0</v>
      </c>
      <c r="Y15" s="113"/>
      <c r="Z15" s="115">
        <f t="shared" si="5"/>
        <v>3122</v>
      </c>
      <c r="AA15" s="115">
        <f t="shared" si="6"/>
        <v>3122</v>
      </c>
      <c r="AB15" s="121">
        <v>1</v>
      </c>
      <c r="AC15" s="115">
        <f t="shared" si="7"/>
        <v>3122</v>
      </c>
      <c r="AD15" s="115">
        <f t="shared" si="8"/>
        <v>3122</v>
      </c>
      <c r="AE15" s="115">
        <f t="shared" si="9"/>
        <v>0</v>
      </c>
      <c r="AF15" s="115">
        <f t="shared" si="10"/>
        <v>2001.0833333333333</v>
      </c>
      <c r="AG15" s="115">
        <f t="shared" si="11"/>
        <v>2019.75</v>
      </c>
      <c r="AH15" s="115">
        <f t="shared" si="12"/>
        <v>2008.0833333333333</v>
      </c>
      <c r="AI15" s="117">
        <f t="shared" si="13"/>
        <v>2018.75</v>
      </c>
      <c r="AJ15" s="117">
        <f t="shared" si="14"/>
        <v>-8.3333333333333329E-2</v>
      </c>
      <c r="AK15" s="117">
        <f t="shared" si="15"/>
        <v>2008.0833333333333</v>
      </c>
      <c r="AL15" s="117">
        <f t="shared" si="16"/>
        <v>2018.75</v>
      </c>
      <c r="AM15" s="117">
        <f t="shared" si="17"/>
        <v>-8.3333333333333329E-2</v>
      </c>
    </row>
    <row r="16" spans="1:39" x14ac:dyDescent="0.25">
      <c r="A16">
        <v>4</v>
      </c>
      <c r="B16" t="s">
        <v>316</v>
      </c>
      <c r="C16" s="118" t="s">
        <v>311</v>
      </c>
      <c r="D16" s="27">
        <v>2002</v>
      </c>
      <c r="E16" s="27">
        <v>3</v>
      </c>
      <c r="F16" s="122"/>
      <c r="G16" s="27" t="s">
        <v>312</v>
      </c>
      <c r="H16" s="27">
        <v>5</v>
      </c>
      <c r="I16">
        <f t="shared" si="18"/>
        <v>2007</v>
      </c>
      <c r="L16" s="27" t="s">
        <v>313</v>
      </c>
      <c r="M16" s="27" t="s">
        <v>313</v>
      </c>
      <c r="N16" s="27"/>
      <c r="O16" s="27" t="s">
        <v>313</v>
      </c>
      <c r="P16" s="29">
        <v>1188</v>
      </c>
      <c r="Q16" s="29"/>
      <c r="R16" s="29">
        <f t="shared" si="19"/>
        <v>1188</v>
      </c>
      <c r="S16" s="115">
        <f t="shared" si="0"/>
        <v>19.8</v>
      </c>
      <c r="T16" s="115">
        <f t="shared" si="1"/>
        <v>0</v>
      </c>
      <c r="U16" s="115">
        <f t="shared" si="2"/>
        <v>0</v>
      </c>
      <c r="V16" s="115">
        <f t="shared" si="3"/>
        <v>0</v>
      </c>
      <c r="W16" s="120">
        <v>1</v>
      </c>
      <c r="X16" s="115">
        <f t="shared" si="4"/>
        <v>0</v>
      </c>
      <c r="Y16" s="113"/>
      <c r="Z16" s="115">
        <f t="shared" si="5"/>
        <v>1188</v>
      </c>
      <c r="AA16" s="115">
        <f t="shared" si="6"/>
        <v>1188</v>
      </c>
      <c r="AB16" s="121">
        <v>1</v>
      </c>
      <c r="AC16" s="115">
        <f t="shared" si="7"/>
        <v>1188</v>
      </c>
      <c r="AD16" s="115">
        <f t="shared" si="8"/>
        <v>1188</v>
      </c>
      <c r="AE16" s="115">
        <f t="shared" si="9"/>
        <v>0</v>
      </c>
      <c r="AF16" s="115">
        <f t="shared" si="10"/>
        <v>2002.1666666666667</v>
      </c>
      <c r="AG16" s="115">
        <f t="shared" si="11"/>
        <v>2019.75</v>
      </c>
      <c r="AH16" s="115">
        <f t="shared" si="12"/>
        <v>2007.1666666666667</v>
      </c>
      <c r="AI16" s="117">
        <f t="shared" si="13"/>
        <v>2018.75</v>
      </c>
      <c r="AJ16" s="117">
        <f t="shared" si="14"/>
        <v>-8.3333333333333329E-2</v>
      </c>
      <c r="AK16" s="117">
        <f t="shared" si="15"/>
        <v>2007.1666666666667</v>
      </c>
      <c r="AL16" s="117">
        <f t="shared" si="16"/>
        <v>2018.75</v>
      </c>
      <c r="AM16" s="117">
        <f t="shared" si="17"/>
        <v>-8.3333333333333329E-2</v>
      </c>
    </row>
    <row r="17" spans="1:39" x14ac:dyDescent="0.25">
      <c r="A17">
        <v>5</v>
      </c>
      <c r="B17" t="s">
        <v>310</v>
      </c>
      <c r="C17" s="118" t="s">
        <v>311</v>
      </c>
      <c r="D17" s="27">
        <v>2004</v>
      </c>
      <c r="E17" s="27">
        <v>6</v>
      </c>
      <c r="F17" s="122"/>
      <c r="G17" s="27" t="s">
        <v>312</v>
      </c>
      <c r="H17" s="27">
        <v>7</v>
      </c>
      <c r="I17">
        <f t="shared" si="18"/>
        <v>2011</v>
      </c>
      <c r="L17" s="27" t="s">
        <v>313</v>
      </c>
      <c r="M17" s="27" t="s">
        <v>313</v>
      </c>
      <c r="N17" s="27"/>
      <c r="O17" s="27" t="s">
        <v>313</v>
      </c>
      <c r="P17" s="29">
        <v>2651</v>
      </c>
      <c r="Q17" s="29"/>
      <c r="R17" s="29">
        <f t="shared" si="19"/>
        <v>2651</v>
      </c>
      <c r="S17" s="115">
        <f t="shared" si="0"/>
        <v>31.55952380952381</v>
      </c>
      <c r="T17" s="115">
        <f t="shared" si="1"/>
        <v>0</v>
      </c>
      <c r="U17" s="115">
        <f t="shared" si="2"/>
        <v>0</v>
      </c>
      <c r="V17" s="115">
        <f t="shared" si="3"/>
        <v>0</v>
      </c>
      <c r="W17" s="120">
        <v>1</v>
      </c>
      <c r="X17" s="115">
        <f t="shared" si="4"/>
        <v>0</v>
      </c>
      <c r="Y17" s="113"/>
      <c r="Z17" s="115">
        <f t="shared" si="5"/>
        <v>2651</v>
      </c>
      <c r="AA17" s="115">
        <f t="shared" si="6"/>
        <v>2651</v>
      </c>
      <c r="AB17" s="121">
        <v>1</v>
      </c>
      <c r="AC17" s="115">
        <f t="shared" si="7"/>
        <v>2651</v>
      </c>
      <c r="AD17" s="115">
        <f t="shared" si="8"/>
        <v>2651</v>
      </c>
      <c r="AE17" s="115">
        <f t="shared" si="9"/>
        <v>0</v>
      </c>
      <c r="AF17" s="115">
        <f t="shared" si="10"/>
        <v>2004.4166666666667</v>
      </c>
      <c r="AG17" s="115">
        <f t="shared" si="11"/>
        <v>2019.75</v>
      </c>
      <c r="AH17" s="115">
        <f t="shared" si="12"/>
        <v>2011.4166666666667</v>
      </c>
      <c r="AI17" s="117">
        <f t="shared" si="13"/>
        <v>2018.75</v>
      </c>
      <c r="AJ17" s="117">
        <f t="shared" si="14"/>
        <v>-8.3333333333333329E-2</v>
      </c>
      <c r="AK17" s="117">
        <f t="shared" si="15"/>
        <v>2011.4166666666667</v>
      </c>
      <c r="AL17" s="117">
        <f t="shared" si="16"/>
        <v>2018.75</v>
      </c>
      <c r="AM17" s="117">
        <f t="shared" si="17"/>
        <v>-8.3333333333333329E-2</v>
      </c>
    </row>
    <row r="18" spans="1:39" x14ac:dyDescent="0.25">
      <c r="A18">
        <v>6</v>
      </c>
      <c r="B18" t="s">
        <v>317</v>
      </c>
      <c r="C18" s="118" t="s">
        <v>311</v>
      </c>
      <c r="D18" s="27">
        <v>2007</v>
      </c>
      <c r="E18" s="27">
        <v>3</v>
      </c>
      <c r="F18" s="122"/>
      <c r="G18" s="27" t="s">
        <v>312</v>
      </c>
      <c r="H18" s="27">
        <v>7</v>
      </c>
      <c r="I18">
        <f t="shared" si="18"/>
        <v>2014</v>
      </c>
      <c r="L18" s="27" t="s">
        <v>313</v>
      </c>
      <c r="M18" s="27" t="s">
        <v>313</v>
      </c>
      <c r="N18" s="27"/>
      <c r="O18" s="27" t="s">
        <v>313</v>
      </c>
      <c r="P18" s="29">
        <v>24165</v>
      </c>
      <c r="Q18" s="29"/>
      <c r="R18" s="29">
        <f t="shared" si="19"/>
        <v>24165</v>
      </c>
      <c r="S18" s="115">
        <f t="shared" si="0"/>
        <v>287.67857142857144</v>
      </c>
      <c r="T18" s="115">
        <f t="shared" si="1"/>
        <v>0</v>
      </c>
      <c r="U18" s="115">
        <f t="shared" si="2"/>
        <v>0</v>
      </c>
      <c r="V18" s="115">
        <f t="shared" si="3"/>
        <v>0</v>
      </c>
      <c r="W18" s="120">
        <v>1</v>
      </c>
      <c r="X18" s="115">
        <f t="shared" si="4"/>
        <v>0</v>
      </c>
      <c r="Y18" s="113"/>
      <c r="Z18" s="115">
        <f t="shared" si="5"/>
        <v>24165</v>
      </c>
      <c r="AA18" s="115">
        <f t="shared" si="6"/>
        <v>24165</v>
      </c>
      <c r="AB18" s="121">
        <v>1</v>
      </c>
      <c r="AC18" s="115">
        <f t="shared" si="7"/>
        <v>24165</v>
      </c>
      <c r="AD18" s="115">
        <f t="shared" si="8"/>
        <v>24165</v>
      </c>
      <c r="AE18" s="115">
        <f t="shared" si="9"/>
        <v>0</v>
      </c>
      <c r="AF18" s="115">
        <f t="shared" si="10"/>
        <v>2007.1666666666667</v>
      </c>
      <c r="AG18" s="115">
        <f t="shared" si="11"/>
        <v>2019.75</v>
      </c>
      <c r="AH18" s="115">
        <f t="shared" si="12"/>
        <v>2014.1666666666667</v>
      </c>
      <c r="AI18" s="117">
        <f t="shared" si="13"/>
        <v>2018.75</v>
      </c>
      <c r="AJ18" s="117">
        <f t="shared" si="14"/>
        <v>-8.3333333333333329E-2</v>
      </c>
      <c r="AK18" s="117">
        <f t="shared" si="15"/>
        <v>2014.1666666666667</v>
      </c>
      <c r="AL18" s="117">
        <f t="shared" si="16"/>
        <v>2018.75</v>
      </c>
      <c r="AM18" s="117">
        <f t="shared" si="17"/>
        <v>-8.3333333333333329E-2</v>
      </c>
    </row>
    <row r="19" spans="1:39" x14ac:dyDescent="0.25">
      <c r="A19">
        <v>7</v>
      </c>
      <c r="B19" t="s">
        <v>317</v>
      </c>
      <c r="C19" s="118" t="s">
        <v>311</v>
      </c>
      <c r="D19" s="27">
        <v>2006</v>
      </c>
      <c r="E19" s="27">
        <v>6</v>
      </c>
      <c r="F19" s="122"/>
      <c r="G19" s="27" t="s">
        <v>312</v>
      </c>
      <c r="H19" s="27">
        <v>3</v>
      </c>
      <c r="I19">
        <f t="shared" si="18"/>
        <v>2009</v>
      </c>
      <c r="L19" s="27" t="s">
        <v>313</v>
      </c>
      <c r="M19" s="27" t="s">
        <v>313</v>
      </c>
      <c r="N19" s="27"/>
      <c r="O19" s="27" t="s">
        <v>313</v>
      </c>
      <c r="P19" s="29">
        <v>46600</v>
      </c>
      <c r="Q19" s="29"/>
      <c r="R19" s="29">
        <f t="shared" si="19"/>
        <v>46600</v>
      </c>
      <c r="S19" s="115">
        <f t="shared" si="0"/>
        <v>1294.4444444444446</v>
      </c>
      <c r="T19" s="115">
        <f t="shared" si="1"/>
        <v>0</v>
      </c>
      <c r="U19" s="115">
        <f t="shared" si="2"/>
        <v>0</v>
      </c>
      <c r="V19" s="115">
        <f t="shared" si="3"/>
        <v>0</v>
      </c>
      <c r="W19" s="120">
        <v>1</v>
      </c>
      <c r="X19" s="115">
        <f t="shared" si="4"/>
        <v>0</v>
      </c>
      <c r="Y19" s="113"/>
      <c r="Z19" s="115">
        <f t="shared" si="5"/>
        <v>46600</v>
      </c>
      <c r="AA19" s="115">
        <f t="shared" si="6"/>
        <v>46600</v>
      </c>
      <c r="AB19" s="121">
        <v>1</v>
      </c>
      <c r="AC19" s="115">
        <f t="shared" si="7"/>
        <v>46600</v>
      </c>
      <c r="AD19" s="115">
        <f t="shared" si="8"/>
        <v>46600</v>
      </c>
      <c r="AE19" s="115">
        <f t="shared" si="9"/>
        <v>0</v>
      </c>
      <c r="AF19" s="115">
        <f t="shared" si="10"/>
        <v>2006.4166666666667</v>
      </c>
      <c r="AG19" s="115">
        <f t="shared" si="11"/>
        <v>2019.75</v>
      </c>
      <c r="AH19" s="115">
        <f t="shared" si="12"/>
        <v>2009.4166666666667</v>
      </c>
      <c r="AI19" s="117">
        <f t="shared" si="13"/>
        <v>2018.75</v>
      </c>
      <c r="AJ19" s="117">
        <f t="shared" si="14"/>
        <v>-8.3333333333333329E-2</v>
      </c>
      <c r="AK19" s="117">
        <f t="shared" si="15"/>
        <v>2009.4166666666667</v>
      </c>
      <c r="AL19" s="117">
        <f t="shared" si="16"/>
        <v>2018.75</v>
      </c>
      <c r="AM19" s="117">
        <f t="shared" si="17"/>
        <v>-8.3333333333333329E-2</v>
      </c>
    </row>
    <row r="20" spans="1:39" x14ac:dyDescent="0.25">
      <c r="A20">
        <v>8</v>
      </c>
      <c r="B20" t="s">
        <v>318</v>
      </c>
      <c r="C20" s="118" t="s">
        <v>311</v>
      </c>
      <c r="D20" s="27">
        <v>2007</v>
      </c>
      <c r="E20" s="27">
        <v>6</v>
      </c>
      <c r="F20" s="122"/>
      <c r="G20" s="27" t="s">
        <v>312</v>
      </c>
      <c r="H20" s="27">
        <v>5</v>
      </c>
      <c r="I20">
        <f t="shared" si="18"/>
        <v>2012</v>
      </c>
      <c r="L20" s="27" t="s">
        <v>313</v>
      </c>
      <c r="M20" s="27" t="s">
        <v>313</v>
      </c>
      <c r="N20" s="27"/>
      <c r="O20" s="27" t="s">
        <v>313</v>
      </c>
      <c r="P20" s="29">
        <v>2900</v>
      </c>
      <c r="Q20" s="29"/>
      <c r="R20" s="29">
        <f t="shared" si="19"/>
        <v>2900</v>
      </c>
      <c r="S20" s="115">
        <f t="shared" si="0"/>
        <v>48.333333333333336</v>
      </c>
      <c r="T20" s="115">
        <f t="shared" si="1"/>
        <v>0</v>
      </c>
      <c r="U20" s="115">
        <f t="shared" si="2"/>
        <v>0</v>
      </c>
      <c r="V20" s="115">
        <f t="shared" si="3"/>
        <v>0</v>
      </c>
      <c r="W20" s="120">
        <v>1</v>
      </c>
      <c r="X20" s="115">
        <f t="shared" si="4"/>
        <v>0</v>
      </c>
      <c r="Y20" s="113"/>
      <c r="Z20" s="115">
        <f t="shared" si="5"/>
        <v>2900</v>
      </c>
      <c r="AA20" s="115">
        <f t="shared" si="6"/>
        <v>2900</v>
      </c>
      <c r="AB20" s="121">
        <v>1</v>
      </c>
      <c r="AC20" s="115">
        <f t="shared" si="7"/>
        <v>2900</v>
      </c>
      <c r="AD20" s="115">
        <f t="shared" si="8"/>
        <v>2900</v>
      </c>
      <c r="AE20" s="115">
        <f t="shared" si="9"/>
        <v>0</v>
      </c>
      <c r="AF20" s="115">
        <f t="shared" si="10"/>
        <v>2007.4166666666667</v>
      </c>
      <c r="AG20" s="115">
        <f t="shared" si="11"/>
        <v>2019.75</v>
      </c>
      <c r="AH20" s="115">
        <f t="shared" si="12"/>
        <v>2012.4166666666667</v>
      </c>
      <c r="AI20" s="117">
        <f t="shared" si="13"/>
        <v>2018.75</v>
      </c>
      <c r="AJ20" s="117">
        <f t="shared" si="14"/>
        <v>-8.3333333333333329E-2</v>
      </c>
      <c r="AK20" s="117">
        <f t="shared" si="15"/>
        <v>2012.4166666666667</v>
      </c>
      <c r="AL20" s="117">
        <f t="shared" si="16"/>
        <v>2018.75</v>
      </c>
      <c r="AM20" s="117">
        <f t="shared" si="17"/>
        <v>-8.3333333333333329E-2</v>
      </c>
    </row>
    <row r="21" spans="1:39" x14ac:dyDescent="0.25">
      <c r="A21">
        <v>9</v>
      </c>
      <c r="B21" t="s">
        <v>319</v>
      </c>
      <c r="C21" s="118" t="s">
        <v>311</v>
      </c>
      <c r="D21" s="27">
        <v>2007</v>
      </c>
      <c r="E21" s="27">
        <v>6</v>
      </c>
      <c r="F21" s="122"/>
      <c r="G21" s="27" t="s">
        <v>312</v>
      </c>
      <c r="H21" s="27">
        <v>5</v>
      </c>
      <c r="I21">
        <f t="shared" si="18"/>
        <v>2012</v>
      </c>
      <c r="L21" s="27" t="s">
        <v>313</v>
      </c>
      <c r="M21" s="27" t="s">
        <v>313</v>
      </c>
      <c r="N21" s="27"/>
      <c r="O21" s="27" t="s">
        <v>313</v>
      </c>
      <c r="P21" s="29">
        <v>3000</v>
      </c>
      <c r="Q21" s="29"/>
      <c r="R21" s="29">
        <f t="shared" si="19"/>
        <v>3000</v>
      </c>
      <c r="S21" s="115">
        <f t="shared" si="0"/>
        <v>50</v>
      </c>
      <c r="T21" s="115">
        <f t="shared" si="1"/>
        <v>0</v>
      </c>
      <c r="U21" s="115">
        <f t="shared" si="2"/>
        <v>0</v>
      </c>
      <c r="V21" s="115">
        <f t="shared" si="3"/>
        <v>0</v>
      </c>
      <c r="W21" s="120">
        <v>1</v>
      </c>
      <c r="X21" s="115">
        <f t="shared" si="4"/>
        <v>0</v>
      </c>
      <c r="Y21" s="113"/>
      <c r="Z21" s="115">
        <f t="shared" si="5"/>
        <v>3000</v>
      </c>
      <c r="AA21" s="115">
        <f t="shared" si="6"/>
        <v>3000</v>
      </c>
      <c r="AB21" s="121">
        <v>1</v>
      </c>
      <c r="AC21" s="115">
        <f t="shared" si="7"/>
        <v>3000</v>
      </c>
      <c r="AD21" s="115">
        <f t="shared" si="8"/>
        <v>3000</v>
      </c>
      <c r="AE21" s="115">
        <f t="shared" si="9"/>
        <v>0</v>
      </c>
      <c r="AF21" s="115">
        <f t="shared" si="10"/>
        <v>2007.4166666666667</v>
      </c>
      <c r="AG21" s="115">
        <f t="shared" si="11"/>
        <v>2019.75</v>
      </c>
      <c r="AH21" s="115">
        <f t="shared" si="12"/>
        <v>2012.4166666666667</v>
      </c>
      <c r="AI21" s="117">
        <f t="shared" si="13"/>
        <v>2018.75</v>
      </c>
      <c r="AJ21" s="117">
        <f t="shared" si="14"/>
        <v>-8.3333333333333329E-2</v>
      </c>
      <c r="AK21" s="117">
        <f t="shared" si="15"/>
        <v>2012.4166666666667</v>
      </c>
      <c r="AL21" s="117">
        <f t="shared" si="16"/>
        <v>2018.75</v>
      </c>
      <c r="AM21" s="117">
        <f t="shared" si="17"/>
        <v>-8.3333333333333329E-2</v>
      </c>
    </row>
    <row r="22" spans="1:39" x14ac:dyDescent="0.25">
      <c r="A22">
        <v>100</v>
      </c>
      <c r="B22" t="s">
        <v>320</v>
      </c>
      <c r="C22" s="118" t="s">
        <v>311</v>
      </c>
      <c r="D22" s="27">
        <v>2009</v>
      </c>
      <c r="E22" s="27">
        <v>8</v>
      </c>
      <c r="F22" s="122"/>
      <c r="G22" s="27" t="s">
        <v>312</v>
      </c>
      <c r="H22" s="27">
        <v>3</v>
      </c>
      <c r="I22">
        <f>+D22+H22</f>
        <v>2012</v>
      </c>
      <c r="L22" s="27" t="s">
        <v>313</v>
      </c>
      <c r="M22" s="27" t="s">
        <v>313</v>
      </c>
      <c r="N22" s="27"/>
      <c r="O22" s="27" t="s">
        <v>313</v>
      </c>
      <c r="P22" s="29">
        <v>2363</v>
      </c>
      <c r="Q22" s="29"/>
      <c r="R22" s="29">
        <f>+P22-P22*F22</f>
        <v>2363</v>
      </c>
      <c r="S22" s="115">
        <f>R22/H22/12</f>
        <v>65.638888888888886</v>
      </c>
      <c r="T22" s="115">
        <f>IF(Q22&gt;0,0,IF((OR((AF22&gt;AG22),(AH22&lt;AI22))),0,IF((AND((AH22&gt;=AI22),(AH22&lt;=AG22))),S22*((AH22-AI22)*12),IF((AND((AI22&lt;=AF22),(AG22&gt;=AF22))),((AG22-AF22)*12)*S22,IF(AH22&gt;AG22,12*S22,0)))))</f>
        <v>0</v>
      </c>
      <c r="U22" s="115">
        <f>IF(Q22=0,0,IF((AND((AJ22&gt;=AI22),(AJ22&lt;=AH22))),((AJ22-AI22)*12)*S22,0))</f>
        <v>0</v>
      </c>
      <c r="V22" s="115">
        <f>IF(U22&gt;0,U22,T22)</f>
        <v>0</v>
      </c>
      <c r="W22" s="120">
        <v>1</v>
      </c>
      <c r="X22" s="115">
        <f>W22*SUM(T22:U22)</f>
        <v>0</v>
      </c>
      <c r="Y22" s="113"/>
      <c r="Z22" s="115">
        <f>IF(AF22&gt;AG22,0,IF(AH22&lt;AI22,R22,IF((AND((AH22&gt;=AI22),(AH22&lt;=AG22))),(R22-V22),IF((AND((AI22&lt;=AF22),(AG22&gt;=AF22))),0,IF(AH22&gt;AG22,((AI22-AF22)*12)*S22,0)))))</f>
        <v>2363</v>
      </c>
      <c r="AA22" s="115">
        <f>Z22*W22</f>
        <v>2363</v>
      </c>
      <c r="AB22" s="121">
        <v>1</v>
      </c>
      <c r="AC22" s="115">
        <f>AA22*AB22</f>
        <v>2363</v>
      </c>
      <c r="AD22" s="115">
        <f>IF(Q22&gt;0,0,AC22+X22*AB22)*AB22</f>
        <v>2363</v>
      </c>
      <c r="AE22" s="115">
        <f>IF(Q22&gt;0,(P22-AC22)/2,IF(AF22&gt;=AI22,(((P22*W22)*AB22)-AD22)/2,((((P22*W22)*AB22)-AC22)+(((P22*W22)*AB22)-AD22))/2))</f>
        <v>0</v>
      </c>
      <c r="AF22" s="115">
        <f>$D22+(($E22-1)/12)</f>
        <v>2009.5833333333333</v>
      </c>
      <c r="AG22" s="115">
        <f>($R$5+1)-($R$2/12)</f>
        <v>2019.75</v>
      </c>
      <c r="AH22" s="115">
        <f>$I22+(($E22-1)/12)</f>
        <v>2012.5833333333333</v>
      </c>
      <c r="AI22" s="117">
        <f>$R$4+($R$3/12)</f>
        <v>2018.75</v>
      </c>
      <c r="AJ22" s="117">
        <f>$J22+(($K22-1)/12)</f>
        <v>-8.3333333333333329E-2</v>
      </c>
      <c r="AK22" s="117">
        <f>$I22+(($E22-1)/12)</f>
        <v>2012.5833333333333</v>
      </c>
      <c r="AL22" s="117">
        <f>$R$4+($R$3/12)</f>
        <v>2018.75</v>
      </c>
      <c r="AM22" s="117">
        <f>$J22+(($K22-1)/12)</f>
        <v>-8.3333333333333329E-2</v>
      </c>
    </row>
    <row r="23" spans="1:39" x14ac:dyDescent="0.25">
      <c r="A23">
        <v>101</v>
      </c>
      <c r="B23" t="s">
        <v>321</v>
      </c>
      <c r="C23" s="118" t="s">
        <v>311</v>
      </c>
      <c r="D23" s="27">
        <v>2009</v>
      </c>
      <c r="E23" s="27">
        <v>11</v>
      </c>
      <c r="F23" s="122"/>
      <c r="G23" s="27" t="s">
        <v>312</v>
      </c>
      <c r="H23" s="27">
        <v>3</v>
      </c>
      <c r="I23">
        <f>+D23+H23</f>
        <v>2012</v>
      </c>
      <c r="L23" s="27" t="s">
        <v>313</v>
      </c>
      <c r="M23" s="27" t="s">
        <v>313</v>
      </c>
      <c r="N23" s="27"/>
      <c r="O23" s="27" t="s">
        <v>313</v>
      </c>
      <c r="P23" s="29">
        <v>1422</v>
      </c>
      <c r="Q23" s="29"/>
      <c r="R23" s="29">
        <f>+P23-P23*F23</f>
        <v>1422</v>
      </c>
      <c r="S23" s="115">
        <f>R23/H23/12</f>
        <v>39.5</v>
      </c>
      <c r="T23" s="115">
        <f>IF(Q23&gt;0,0,IF((OR((AF23&gt;AG23),(AH23&lt;AI23))),0,IF((AND((AH23&gt;=AI23),(AH23&lt;=AG23))),S23*((AH23-AI23)*12),IF((AND((AI23&lt;=AF23),(AG23&gt;=AF23))),((AG23-AF23)*12)*S23,IF(AH23&gt;AG23,12*S23,0)))))</f>
        <v>0</v>
      </c>
      <c r="U23" s="115">
        <f>IF(Q23=0,0,IF((AND((AJ23&gt;=AI23),(AJ23&lt;=AH23))),((AJ23-AI23)*12)*S23,0))</f>
        <v>0</v>
      </c>
      <c r="V23" s="115">
        <f>IF(U23&gt;0,U23,T23)</f>
        <v>0</v>
      </c>
      <c r="W23" s="120">
        <v>1</v>
      </c>
      <c r="X23" s="115">
        <f>W23*SUM(T23:U23)</f>
        <v>0</v>
      </c>
      <c r="Y23" s="113"/>
      <c r="Z23" s="115">
        <f>IF(AF23&gt;AG23,0,IF(AH23&lt;AI23,R23,IF((AND((AH23&gt;=AI23),(AH23&lt;=AG23))),(R23-V23),IF((AND((AI23&lt;=AF23),(AG23&gt;=AF23))),0,IF(AH23&gt;AG23,((AI23-AF23)*12)*S23,0)))))</f>
        <v>1422</v>
      </c>
      <c r="AA23" s="115">
        <f>Z23*W23</f>
        <v>1422</v>
      </c>
      <c r="AB23" s="121">
        <v>1</v>
      </c>
      <c r="AC23" s="115">
        <f>AA23*AB23</f>
        <v>1422</v>
      </c>
      <c r="AD23" s="115">
        <f>IF(Q23&gt;0,0,AC23+X23*AB23)*AB23</f>
        <v>1422</v>
      </c>
      <c r="AE23" s="115">
        <f>IF(Q23&gt;0,(P23-AC23)/2,IF(AF23&gt;=AI23,(((P23*W23)*AB23)-AD23)/2,((((P23*W23)*AB23)-AC23)+(((P23*W23)*AB23)-AD23))/2))</f>
        <v>0</v>
      </c>
      <c r="AF23" s="115">
        <f>$D23+(($E23-1)/12)</f>
        <v>2009.8333333333333</v>
      </c>
      <c r="AG23" s="115">
        <f>($R$5+1)-($R$2/12)</f>
        <v>2019.75</v>
      </c>
      <c r="AH23" s="115">
        <f>$I23+(($E23-1)/12)</f>
        <v>2012.8333333333333</v>
      </c>
      <c r="AI23" s="117">
        <f>$R$4+($R$3/12)</f>
        <v>2018.75</v>
      </c>
      <c r="AJ23" s="117">
        <f>$J23+(($K23-1)/12)</f>
        <v>-8.3333333333333329E-2</v>
      </c>
      <c r="AK23" s="117">
        <f>$I23+(($E23-1)/12)</f>
        <v>2012.8333333333333</v>
      </c>
      <c r="AL23" s="117">
        <f>$R$4+($R$3/12)</f>
        <v>2018.75</v>
      </c>
      <c r="AM23" s="117">
        <f>$J23+(($K23-1)/12)</f>
        <v>-8.3333333333333329E-2</v>
      </c>
    </row>
    <row r="24" spans="1:39" x14ac:dyDescent="0.25">
      <c r="A24">
        <v>170</v>
      </c>
      <c r="B24" t="s">
        <v>322</v>
      </c>
      <c r="C24" s="118" t="s">
        <v>311</v>
      </c>
      <c r="D24" s="27">
        <v>2012</v>
      </c>
      <c r="E24" s="27">
        <v>7</v>
      </c>
      <c r="F24" s="122"/>
      <c r="G24" s="27" t="s">
        <v>312</v>
      </c>
      <c r="H24" s="27">
        <v>3</v>
      </c>
      <c r="I24">
        <f>+D24+H24</f>
        <v>2015</v>
      </c>
      <c r="L24" s="27" t="s">
        <v>313</v>
      </c>
      <c r="M24" s="27" t="s">
        <v>313</v>
      </c>
      <c r="N24" s="27"/>
      <c r="O24" s="27" t="s">
        <v>313</v>
      </c>
      <c r="P24" s="29">
        <v>1111</v>
      </c>
      <c r="Q24" s="29"/>
      <c r="R24" s="29">
        <f>+P24-P24*F24</f>
        <v>1111</v>
      </c>
      <c r="S24" s="115">
        <f>R24/H24/12</f>
        <v>30.861111111111111</v>
      </c>
      <c r="T24" s="115">
        <f>IF(Q24&gt;0,0,IF((OR((AF24&gt;AG24),(AH24&lt;AI24))),0,IF((AND((AH24&gt;=AI24),(AH24&lt;=AG24))),S24*((AH24-AI24)*12),IF((AND((AI24&lt;=AF24),(AG24&gt;=AF24))),((AG24-AF24)*12)*S24,IF(AH24&gt;AG24,12*S24,0)))))</f>
        <v>0</v>
      </c>
      <c r="U24" s="115">
        <f>IF(Q24=0,0,IF((AND((AJ24&gt;=AI24),(AJ24&lt;=AH24))),((AJ24-AI24)*12)*S24,0))</f>
        <v>0</v>
      </c>
      <c r="V24" s="115">
        <f>IF(U24&gt;0,U24,T24)</f>
        <v>0</v>
      </c>
      <c r="W24" s="120">
        <v>1</v>
      </c>
      <c r="X24" s="115">
        <f>W24*SUM(T24:U24)</f>
        <v>0</v>
      </c>
      <c r="Y24" s="113"/>
      <c r="Z24" s="115">
        <f>IF(AF24&gt;AG24,0,IF(AH24&lt;AI24,R24,IF((AND((AH24&gt;=AI24),(AH24&lt;=AG24))),(R24-V24),IF((AND((AI24&lt;=AF24),(AG24&gt;=AF24))),0,IF(AH24&gt;AG24,((AI24-AF24)*12)*S24,0)))))</f>
        <v>1111</v>
      </c>
      <c r="AA24" s="115">
        <f>Z24*W24</f>
        <v>1111</v>
      </c>
      <c r="AB24" s="121">
        <v>1</v>
      </c>
      <c r="AC24" s="115">
        <f>AA24*AB24</f>
        <v>1111</v>
      </c>
      <c r="AD24" s="115">
        <f>IF(Q24&gt;0,0,AC24+X24*AB24)*AB24</f>
        <v>1111</v>
      </c>
      <c r="AE24" s="115">
        <f>IF(Q24&gt;0,(P24-AC24)/2,IF(AF24&gt;=AI24,(((P24*W24)*AB24)-AD24)/2,((((P24*W24)*AB24)-AC24)+(((P24*W24)*AB24)-AD24))/2))</f>
        <v>0</v>
      </c>
      <c r="AF24" s="115">
        <f>$D24+(($E24-1)/12)</f>
        <v>2012.5</v>
      </c>
      <c r="AG24" s="115">
        <f>($R$5+1)-($R$2/12)</f>
        <v>2019.75</v>
      </c>
      <c r="AH24" s="115">
        <f>$I24+(($E24-1)/12)</f>
        <v>2015.5</v>
      </c>
      <c r="AI24" s="117">
        <f>$R$4+($R$3/12)</f>
        <v>2018.75</v>
      </c>
      <c r="AJ24" s="117">
        <f>$J24+(($K24-1)/12)</f>
        <v>-8.3333333333333329E-2</v>
      </c>
      <c r="AK24" s="117">
        <f>$I24+(($E24-1)/12)</f>
        <v>2015.5</v>
      </c>
      <c r="AL24" s="117">
        <f>$R$4+($R$3/12)</f>
        <v>2018.75</v>
      </c>
      <c r="AM24" s="117">
        <f>$J24+(($K24-1)/12)</f>
        <v>-8.3333333333333329E-2</v>
      </c>
    </row>
    <row r="25" spans="1:39" x14ac:dyDescent="0.25">
      <c r="A25">
        <v>221</v>
      </c>
      <c r="B25" t="s">
        <v>323</v>
      </c>
      <c r="C25" s="118" t="s">
        <v>311</v>
      </c>
      <c r="D25" s="27">
        <v>2014</v>
      </c>
      <c r="E25" s="27">
        <v>12</v>
      </c>
      <c r="F25" s="122"/>
      <c r="G25" s="27" t="s">
        <v>312</v>
      </c>
      <c r="H25" s="27">
        <v>7</v>
      </c>
      <c r="I25">
        <f>+D25+H25</f>
        <v>2021</v>
      </c>
      <c r="L25" s="27" t="s">
        <v>313</v>
      </c>
      <c r="M25" s="27" t="s">
        <v>313</v>
      </c>
      <c r="N25" s="27"/>
      <c r="O25" s="27" t="s">
        <v>313</v>
      </c>
      <c r="P25" s="29">
        <v>3000</v>
      </c>
      <c r="Q25" s="29"/>
      <c r="R25" s="29">
        <f>+P25-P25*F25</f>
        <v>3000</v>
      </c>
      <c r="S25" s="115">
        <f>R25/H25/12</f>
        <v>35.714285714285715</v>
      </c>
      <c r="T25" s="115">
        <f>IF(Q25&gt;0,0,IF((OR((AF25&gt;AG25),(AH25&lt;AI25))),0,IF((AND((AH25&gt;=AI25),(AH25&lt;=AG25))),S25*((AH25-AI25)*12),IF((AND((AI25&lt;=AF25),(AG25&gt;=AF25))),((AG25-AF25)*12)*S25,IF(AH25&gt;AG25,12*S25,0)))))</f>
        <v>428.57142857142856</v>
      </c>
      <c r="U25" s="115">
        <f>IF(Q25=0,0,IF((AND((AJ25&gt;=AI25),(AJ25&lt;=AH25))),((AJ25-AI25)*12)*S25,0))</f>
        <v>0</v>
      </c>
      <c r="V25" s="115">
        <f>IF(U25&gt;0,U25,T25)</f>
        <v>428.57142857142856</v>
      </c>
      <c r="W25" s="120">
        <v>1</v>
      </c>
      <c r="X25" s="115">
        <f>W25*SUM(T25:U25)</f>
        <v>428.57142857142856</v>
      </c>
      <c r="Y25" s="113"/>
      <c r="Z25" s="115">
        <f>IF(AF25&gt;AG25,0,IF(AH25&lt;AI25,R25,IF((AND((AH25&gt;=AI25),(AH25&lt;=AG25))),(R25-V25),IF((AND((AI25&lt;=AF25),(AG25&gt;=AF25))),0,IF(AH25&gt;AG25,((AI25-AF25)*12)*S25,0)))))</f>
        <v>1642.8571428571104</v>
      </c>
      <c r="AA25" s="115">
        <f>Z25*W25</f>
        <v>1642.8571428571104</v>
      </c>
      <c r="AB25" s="123">
        <v>1</v>
      </c>
      <c r="AC25" s="115">
        <f>AA25*AB25</f>
        <v>1642.8571428571104</v>
      </c>
      <c r="AD25" s="115">
        <f>IF(Q25&gt;0,0,AC25+X25*AB25)*AB25</f>
        <v>2071.4285714285388</v>
      </c>
      <c r="AE25" s="115">
        <f>IF(Q25&gt;0,(P25-AC25)/2,IF(AF25&gt;=AI25,(((P25*W25)*AB25)-AD25)/2,((((P25*W25)*AB25)-AC25)+(((P25*W25)*AB25)-AD25))/2))</f>
        <v>1142.8571428571754</v>
      </c>
      <c r="AF25" s="115">
        <f>$D25+(($E25-1)/12)</f>
        <v>2014.9166666666667</v>
      </c>
      <c r="AG25" s="115">
        <f>($R$5+1)-($R$2/12)</f>
        <v>2019.75</v>
      </c>
      <c r="AH25" s="115">
        <f>$I25+(($E25-1)/12)</f>
        <v>2021.9166666666667</v>
      </c>
      <c r="AI25" s="117">
        <f>$R$4+($R$3/12)</f>
        <v>2018.75</v>
      </c>
      <c r="AJ25" s="117">
        <f>$J25+(($K25-1)/12)</f>
        <v>-8.3333333333333329E-2</v>
      </c>
      <c r="AK25" s="117">
        <f>$I25+(($E25-1)/12)</f>
        <v>2021.9166666666667</v>
      </c>
      <c r="AL25" s="117">
        <f>$R$4+($R$3/12)</f>
        <v>2018.75</v>
      </c>
      <c r="AM25" s="117">
        <f>$J25+(($K25-1)/12)</f>
        <v>-8.3333333333333329E-2</v>
      </c>
    </row>
    <row r="26" spans="1:39" x14ac:dyDescent="0.25">
      <c r="A26">
        <v>242</v>
      </c>
      <c r="B26" t="s">
        <v>324</v>
      </c>
      <c r="C26" s="118" t="s">
        <v>311</v>
      </c>
      <c r="D26" s="27">
        <v>2016</v>
      </c>
      <c r="E26" s="27">
        <v>4</v>
      </c>
      <c r="F26" s="122"/>
      <c r="G26" s="27" t="s">
        <v>312</v>
      </c>
      <c r="H26" s="27">
        <v>5</v>
      </c>
      <c r="I26">
        <f>+D26+H26</f>
        <v>2021</v>
      </c>
      <c r="L26" s="27" t="s">
        <v>313</v>
      </c>
      <c r="M26" s="27" t="s">
        <v>313</v>
      </c>
      <c r="N26" s="27"/>
      <c r="O26" s="27" t="s">
        <v>313</v>
      </c>
      <c r="P26" s="29">
        <v>1358</v>
      </c>
      <c r="Q26" s="29"/>
      <c r="R26" s="29">
        <f>+P26-P26*F26</f>
        <v>1358</v>
      </c>
      <c r="S26" s="115">
        <f>R26/H26/12</f>
        <v>22.633333333333336</v>
      </c>
      <c r="T26" s="115">
        <f>IF(Q26&gt;0,0,IF((OR((AF26&gt;AG26),(AH26&lt;AI26))),0,IF((AND((AH26&gt;=AI26),(AH26&lt;=AG26))),S26*((AH26-AI26)*12),IF((AND((AI26&lt;=AF26),(AG26&gt;=AF26))),((AG26-AF26)*12)*S26,IF(AH26&gt;AG26,12*S26,0)))))</f>
        <v>271.60000000000002</v>
      </c>
      <c r="U26" s="115">
        <f>IF(Q26=0,0,IF((AND((AJ26&gt;=AI26),(AJ26&lt;=AH26))),((AJ26-AI26)*12)*S26,0))</f>
        <v>0</v>
      </c>
      <c r="V26" s="115">
        <f>IF(U26&gt;0,U26,T26)</f>
        <v>271.60000000000002</v>
      </c>
      <c r="W26" s="120">
        <v>1</v>
      </c>
      <c r="X26" s="115">
        <f>W26*SUM(T26:U26)</f>
        <v>271.60000000000002</v>
      </c>
      <c r="Y26" s="113"/>
      <c r="Z26" s="115">
        <f>IF(AF26&gt;AG26,0,IF(AH26&lt;AI26,R26,IF((AND((AH26&gt;=AI26),(AH26&lt;=AG26))),(R26-V26),IF((AND((AI26&lt;=AF26),(AG26&gt;=AF26))),0,IF(AH26&gt;AG26,((AI26-AF26)*12)*S26,0)))))</f>
        <v>679.00000000000011</v>
      </c>
      <c r="AA26" s="115">
        <f>Z26*W26</f>
        <v>679.00000000000011</v>
      </c>
      <c r="AB26" s="123">
        <v>1</v>
      </c>
      <c r="AC26" s="115">
        <f>AA26*AB26</f>
        <v>679.00000000000011</v>
      </c>
      <c r="AD26" s="115">
        <f>IF(Q26&gt;0,0,AC26+X26*AB26)*AB26</f>
        <v>950.60000000000014</v>
      </c>
      <c r="AE26" s="115">
        <f>IF(Q26&gt;0,(P26-AC26)/2,IF(AF26&gt;=AI26,(((P26*W26)*AB26)-AD26)/2,((((P26*W26)*AB26)-AC26)+(((P26*W26)*AB26)-AD26))/2))</f>
        <v>543.19999999999982</v>
      </c>
      <c r="AF26" s="115">
        <f>$D26+(($E26-1)/12)</f>
        <v>2016.25</v>
      </c>
      <c r="AG26" s="115">
        <f>($R$5+1)-($R$2/12)</f>
        <v>2019.75</v>
      </c>
      <c r="AH26" s="115">
        <f>$I26+(($E26-1)/12)</f>
        <v>2021.25</v>
      </c>
      <c r="AI26" s="117">
        <f>$R$4+($R$3/12)</f>
        <v>2018.75</v>
      </c>
      <c r="AJ26" s="117">
        <f>$J26+(($K26-1)/12)</f>
        <v>-8.3333333333333329E-2</v>
      </c>
      <c r="AK26" s="117">
        <f>$I26+(($E26-1)/12)</f>
        <v>2021.25</v>
      </c>
      <c r="AL26" s="117">
        <f>$R$4+($R$3/12)</f>
        <v>2018.75</v>
      </c>
      <c r="AM26" s="117">
        <f>$J26+(($K26-1)/12)</f>
        <v>-8.3333333333333329E-2</v>
      </c>
    </row>
    <row r="27" spans="1:39" x14ac:dyDescent="0.25">
      <c r="A27">
        <v>244</v>
      </c>
      <c r="B27" t="s">
        <v>325</v>
      </c>
      <c r="C27" s="118" t="s">
        <v>311</v>
      </c>
      <c r="D27" s="27">
        <v>2016</v>
      </c>
      <c r="E27" s="27">
        <v>4</v>
      </c>
      <c r="F27" s="122"/>
      <c r="G27" s="27" t="s">
        <v>312</v>
      </c>
      <c r="H27" s="27">
        <v>5</v>
      </c>
      <c r="I27">
        <f t="shared" ref="I27:I29" si="20">+D27+H27</f>
        <v>2021</v>
      </c>
      <c r="L27" s="27" t="s">
        <v>313</v>
      </c>
      <c r="M27" s="27" t="s">
        <v>313</v>
      </c>
      <c r="N27" s="27"/>
      <c r="O27" s="27" t="s">
        <v>313</v>
      </c>
      <c r="P27" s="29">
        <v>11914</v>
      </c>
      <c r="Q27" s="29"/>
      <c r="R27" s="29">
        <f t="shared" ref="R27:R29" si="21">+P27-P27*F27</f>
        <v>11914</v>
      </c>
      <c r="S27" s="115">
        <f t="shared" ref="S27:S29" si="22">R27/H27/12</f>
        <v>198.56666666666669</v>
      </c>
      <c r="T27" s="115">
        <f t="shared" ref="T27:T29" si="23">IF(Q27&gt;0,0,IF((OR((AF27&gt;AG27),(AH27&lt;AI27))),0,IF((AND((AH27&gt;=AI27),(AH27&lt;=AG27))),S27*((AH27-AI27)*12),IF((AND((AI27&lt;=AF27),(AG27&gt;=AF27))),((AG27-AF27)*12)*S27,IF(AH27&gt;AG27,12*S27,0)))))</f>
        <v>2382.8000000000002</v>
      </c>
      <c r="U27" s="115">
        <f t="shared" ref="U27:U29" si="24">IF(Q27=0,0,IF((AND((AJ27&gt;=AI27),(AJ27&lt;=AH27))),((AJ27-AI27)*12)*S27,0))</f>
        <v>0</v>
      </c>
      <c r="V27" s="115">
        <f t="shared" ref="V27:V29" si="25">IF(U27&gt;0,U27,T27)</f>
        <v>2382.8000000000002</v>
      </c>
      <c r="W27" s="120">
        <v>1</v>
      </c>
      <c r="X27" s="115">
        <f t="shared" ref="X27:X29" si="26">W27*SUM(T27:U27)</f>
        <v>2382.8000000000002</v>
      </c>
      <c r="Y27" s="113"/>
      <c r="Z27" s="115">
        <f t="shared" ref="Z27:Z29" si="27">IF(AF27&gt;AG27,0,IF(AH27&lt;AI27,R27,IF((AND((AH27&gt;=AI27),(AH27&lt;=AG27))),(R27-V27),IF((AND((AI27&lt;=AF27),(AG27&gt;=AF27))),0,IF(AH27&gt;AG27,((AI27-AF27)*12)*S27,0)))))</f>
        <v>5957.0000000000009</v>
      </c>
      <c r="AA27" s="115">
        <f t="shared" ref="AA27:AA29" si="28">Z27*W27</f>
        <v>5957.0000000000009</v>
      </c>
      <c r="AB27" s="123">
        <v>1</v>
      </c>
      <c r="AC27" s="115">
        <f t="shared" ref="AC27:AC29" si="29">AA27*AB27</f>
        <v>5957.0000000000009</v>
      </c>
      <c r="AD27" s="115">
        <f t="shared" ref="AD27:AD29" si="30">IF(Q27&gt;0,0,AC27+X27*AB27)*AB27</f>
        <v>8339.8000000000011</v>
      </c>
      <c r="AE27" s="115">
        <f t="shared" ref="AE27:AE29" si="31">IF(Q27&gt;0,(P27-AC27)/2,IF(AF27&gt;=AI27,(((P27*W27)*AB27)-AD27)/2,((((P27*W27)*AB27)-AC27)+(((P27*W27)*AB27)-AD27))/2))</f>
        <v>4765.5999999999985</v>
      </c>
      <c r="AF27" s="115">
        <f t="shared" ref="AF27:AF29" si="32">$D27+(($E27-1)/12)</f>
        <v>2016.25</v>
      </c>
      <c r="AG27" s="115">
        <f t="shared" ref="AG27:AG29" si="33">($R$5+1)-($R$2/12)</f>
        <v>2019.75</v>
      </c>
      <c r="AH27" s="115">
        <f t="shared" ref="AH27:AH29" si="34">$I27+(($E27-1)/12)</f>
        <v>2021.25</v>
      </c>
      <c r="AI27" s="117">
        <f t="shared" ref="AI27:AI29" si="35">$R$4+($R$3/12)</f>
        <v>2018.75</v>
      </c>
      <c r="AJ27" s="117">
        <f t="shared" ref="AJ27:AJ29" si="36">$J27+(($K27-1)/12)</f>
        <v>-8.3333333333333329E-2</v>
      </c>
      <c r="AK27" s="117">
        <f t="shared" ref="AK27:AK29" si="37">$I27+(($E27-1)/12)</f>
        <v>2021.25</v>
      </c>
      <c r="AL27" s="117">
        <f t="shared" ref="AL27:AL29" si="38">$R$4+($R$3/12)</f>
        <v>2018.75</v>
      </c>
      <c r="AM27" s="117">
        <f t="shared" ref="AM27:AM29" si="39">$J27+(($K27-1)/12)</f>
        <v>-8.3333333333333329E-2</v>
      </c>
    </row>
    <row r="28" spans="1:39" x14ac:dyDescent="0.25">
      <c r="A28">
        <v>243</v>
      </c>
      <c r="B28" t="s">
        <v>324</v>
      </c>
      <c r="C28" s="118" t="s">
        <v>311</v>
      </c>
      <c r="D28" s="27">
        <v>2016</v>
      </c>
      <c r="E28" s="27">
        <v>6</v>
      </c>
      <c r="F28" s="122"/>
      <c r="G28" s="27" t="s">
        <v>312</v>
      </c>
      <c r="H28" s="27">
        <v>5</v>
      </c>
      <c r="I28">
        <f t="shared" si="20"/>
        <v>2021</v>
      </c>
      <c r="L28" s="27" t="s">
        <v>313</v>
      </c>
      <c r="M28" s="27" t="s">
        <v>313</v>
      </c>
      <c r="N28" s="27"/>
      <c r="O28" s="27" t="s">
        <v>313</v>
      </c>
      <c r="P28" s="29">
        <v>1990</v>
      </c>
      <c r="Q28" s="29"/>
      <c r="R28" s="29">
        <f t="shared" si="21"/>
        <v>1990</v>
      </c>
      <c r="S28" s="115">
        <f t="shared" si="22"/>
        <v>33.166666666666664</v>
      </c>
      <c r="T28" s="115">
        <f t="shared" si="23"/>
        <v>398</v>
      </c>
      <c r="U28" s="115">
        <f t="shared" si="24"/>
        <v>0</v>
      </c>
      <c r="V28" s="115">
        <f t="shared" si="25"/>
        <v>398</v>
      </c>
      <c r="W28" s="120">
        <v>1</v>
      </c>
      <c r="X28" s="115">
        <f t="shared" si="26"/>
        <v>398</v>
      </c>
      <c r="Y28" s="113"/>
      <c r="Z28" s="115">
        <f t="shared" si="27"/>
        <v>928.66666666663639</v>
      </c>
      <c r="AA28" s="115">
        <f t="shared" si="28"/>
        <v>928.66666666663639</v>
      </c>
      <c r="AB28" s="123">
        <v>1</v>
      </c>
      <c r="AC28" s="115">
        <f t="shared" si="29"/>
        <v>928.66666666663639</v>
      </c>
      <c r="AD28" s="115">
        <f t="shared" si="30"/>
        <v>1326.6666666666365</v>
      </c>
      <c r="AE28" s="115">
        <f t="shared" si="31"/>
        <v>862.3333333333635</v>
      </c>
      <c r="AF28" s="115">
        <f t="shared" si="32"/>
        <v>2016.4166666666667</v>
      </c>
      <c r="AG28" s="115">
        <f t="shared" si="33"/>
        <v>2019.75</v>
      </c>
      <c r="AH28" s="115">
        <f t="shared" si="34"/>
        <v>2021.4166666666667</v>
      </c>
      <c r="AI28" s="117">
        <f t="shared" si="35"/>
        <v>2018.75</v>
      </c>
      <c r="AJ28" s="117">
        <f t="shared" si="36"/>
        <v>-8.3333333333333329E-2</v>
      </c>
      <c r="AK28" s="117">
        <f t="shared" si="37"/>
        <v>2021.4166666666667</v>
      </c>
      <c r="AL28" s="117">
        <f t="shared" si="38"/>
        <v>2018.75</v>
      </c>
      <c r="AM28" s="117">
        <f t="shared" si="39"/>
        <v>-8.3333333333333329E-2</v>
      </c>
    </row>
    <row r="29" spans="1:39" x14ac:dyDescent="0.25">
      <c r="A29">
        <v>247</v>
      </c>
      <c r="B29" t="s">
        <v>326</v>
      </c>
      <c r="C29" s="118" t="s">
        <v>311</v>
      </c>
      <c r="D29" s="27">
        <v>2016</v>
      </c>
      <c r="E29" s="27">
        <v>6</v>
      </c>
      <c r="F29" s="122"/>
      <c r="G29" s="27" t="s">
        <v>312</v>
      </c>
      <c r="H29" s="27">
        <v>7</v>
      </c>
      <c r="I29">
        <f t="shared" si="20"/>
        <v>2023</v>
      </c>
      <c r="L29" s="27" t="s">
        <v>313</v>
      </c>
      <c r="M29" s="27" t="s">
        <v>313</v>
      </c>
      <c r="N29" s="27"/>
      <c r="O29" s="27" t="s">
        <v>313</v>
      </c>
      <c r="P29" s="29">
        <v>5732</v>
      </c>
      <c r="Q29" s="29"/>
      <c r="R29" s="29">
        <f t="shared" si="21"/>
        <v>5732</v>
      </c>
      <c r="S29" s="115">
        <f t="shared" si="22"/>
        <v>68.238095238095241</v>
      </c>
      <c r="T29" s="115">
        <f t="shared" si="23"/>
        <v>818.85714285714289</v>
      </c>
      <c r="U29" s="115">
        <f t="shared" si="24"/>
        <v>0</v>
      </c>
      <c r="V29" s="115">
        <f t="shared" si="25"/>
        <v>818.85714285714289</v>
      </c>
      <c r="W29" s="120">
        <v>1</v>
      </c>
      <c r="X29" s="115">
        <f t="shared" si="26"/>
        <v>818.85714285714289</v>
      </c>
      <c r="Y29" s="113"/>
      <c r="Z29" s="115">
        <f t="shared" si="27"/>
        <v>1910.6666666666047</v>
      </c>
      <c r="AA29" s="115">
        <f t="shared" si="28"/>
        <v>1910.6666666666047</v>
      </c>
      <c r="AB29" s="123">
        <v>1</v>
      </c>
      <c r="AC29" s="115">
        <f t="shared" si="29"/>
        <v>1910.6666666666047</v>
      </c>
      <c r="AD29" s="115">
        <f t="shared" si="30"/>
        <v>2729.5238095237473</v>
      </c>
      <c r="AE29" s="115">
        <f t="shared" si="31"/>
        <v>3411.9047619048242</v>
      </c>
      <c r="AF29" s="115">
        <f t="shared" si="32"/>
        <v>2016.4166666666667</v>
      </c>
      <c r="AG29" s="115">
        <f t="shared" si="33"/>
        <v>2019.75</v>
      </c>
      <c r="AH29" s="115">
        <f t="shared" si="34"/>
        <v>2023.4166666666667</v>
      </c>
      <c r="AI29" s="117">
        <f t="shared" si="35"/>
        <v>2018.75</v>
      </c>
      <c r="AJ29" s="117">
        <f t="shared" si="36"/>
        <v>-8.3333333333333329E-2</v>
      </c>
      <c r="AK29" s="117">
        <f t="shared" si="37"/>
        <v>2023.4166666666667</v>
      </c>
      <c r="AL29" s="117">
        <f t="shared" si="38"/>
        <v>2018.75</v>
      </c>
      <c r="AM29" s="117">
        <f t="shared" si="39"/>
        <v>-8.3333333333333329E-2</v>
      </c>
    </row>
    <row r="30" spans="1:39" x14ac:dyDescent="0.25">
      <c r="A30">
        <v>257</v>
      </c>
      <c r="B30" t="s">
        <v>327</v>
      </c>
      <c r="C30" s="118" t="s">
        <v>311</v>
      </c>
      <c r="D30" s="27">
        <v>2017</v>
      </c>
      <c r="E30" s="27">
        <v>4</v>
      </c>
      <c r="F30" s="122"/>
      <c r="G30" s="27" t="s">
        <v>312</v>
      </c>
      <c r="H30" s="27">
        <v>3</v>
      </c>
      <c r="I30">
        <f>+D30+H30</f>
        <v>2020</v>
      </c>
      <c r="L30" s="27" t="s">
        <v>313</v>
      </c>
      <c r="M30" s="27" t="s">
        <v>313</v>
      </c>
      <c r="N30" s="27"/>
      <c r="O30" s="27" t="s">
        <v>313</v>
      </c>
      <c r="P30" s="29">
        <v>3061</v>
      </c>
      <c r="Q30" s="29"/>
      <c r="R30" s="29">
        <f>+P30-P30*F30</f>
        <v>3061</v>
      </c>
      <c r="S30" s="115">
        <f>R30/H30/12</f>
        <v>85.027777777777786</v>
      </c>
      <c r="T30" s="115">
        <f>IF(Q30&gt;0,0,IF((OR((AF30&gt;AG30),(AH30&lt;AI30))),0,IF((AND((AH30&gt;=AI30),(AH30&lt;=AG30))),S30*((AH30-AI30)*12),IF((AND((AI30&lt;=AF30),(AG30&gt;=AF30))),((AG30-AF30)*12)*S30,IF(AH30&gt;AG30,12*S30,0)))))</f>
        <v>1020.3333333333335</v>
      </c>
      <c r="U30" s="115">
        <f>IF(Q30=0,0,IF((AND((AJ30&gt;=AI30),(AJ30&lt;=AH30))),((AJ30-AI30)*12)*S30,0))</f>
        <v>0</v>
      </c>
      <c r="V30" s="115">
        <f>IF(U30&gt;0,U30,T30)</f>
        <v>1020.3333333333335</v>
      </c>
      <c r="W30" s="124">
        <v>1</v>
      </c>
      <c r="X30" s="115">
        <f>W30*SUM(T30:U30)</f>
        <v>1020.3333333333335</v>
      </c>
      <c r="Y30" s="113"/>
      <c r="Z30" s="115">
        <f>IF(AF30&gt;AG30,0,IF(AH30&lt;AI30,R30,IF((AND((AH30&gt;=AI30),(AH30&lt;=AG30))),(R30-V30),IF((AND((AI30&lt;=AF30),(AG30&gt;=AF30))),0,IF(AH30&gt;AG30,((AI30-AF30)*12)*S30,0)))))</f>
        <v>1530.5000000000002</v>
      </c>
      <c r="AA30" s="115">
        <f>Z30*W30</f>
        <v>1530.5000000000002</v>
      </c>
      <c r="AB30" s="123">
        <v>1</v>
      </c>
      <c r="AC30" s="115">
        <f>AA30*AB30</f>
        <v>1530.5000000000002</v>
      </c>
      <c r="AD30" s="115">
        <f>IF(Q30&gt;0,0,AC30+X30*AB30)*AB30</f>
        <v>2550.8333333333339</v>
      </c>
      <c r="AE30" s="115">
        <f>IF(Q30&gt;0,(P30-AC30)/2,IF(AF30&gt;=AI30,(((P30*W30)*AB30)-AD30)/2,((((P30*W30)*AB30)-AC30)+(((P30*W30)*AB30)-AD30))/2))</f>
        <v>1020.3333333333329</v>
      </c>
      <c r="AF30" s="115">
        <f>$D30+(($E30-1)/12)</f>
        <v>2017.25</v>
      </c>
      <c r="AG30" s="115">
        <f>($R$5+1)-($R$2/12)</f>
        <v>2019.75</v>
      </c>
      <c r="AH30" s="115">
        <f>$I30+(($E30-1)/12)</f>
        <v>2020.25</v>
      </c>
      <c r="AI30" s="117">
        <f>$R$4+($R$3/12)</f>
        <v>2018.75</v>
      </c>
      <c r="AJ30" s="117">
        <f>$J30+(($K30-1)/12)</f>
        <v>-8.3333333333333329E-2</v>
      </c>
      <c r="AK30" s="117">
        <f>$I30+(($E30-1)/12)</f>
        <v>2020.25</v>
      </c>
      <c r="AL30" s="117">
        <f>$R$4+($R$3/12)</f>
        <v>2018.75</v>
      </c>
      <c r="AM30" s="117">
        <f>$J30+(($K30-1)/12)</f>
        <v>-8.3333333333333329E-2</v>
      </c>
    </row>
    <row r="31" spans="1:39" x14ac:dyDescent="0.25">
      <c r="A31">
        <v>258</v>
      </c>
      <c r="B31" t="s">
        <v>328</v>
      </c>
      <c r="C31" s="118" t="s">
        <v>311</v>
      </c>
      <c r="D31" s="27">
        <v>2017</v>
      </c>
      <c r="E31" s="27">
        <v>1</v>
      </c>
      <c r="F31" s="122"/>
      <c r="G31" s="27" t="s">
        <v>312</v>
      </c>
      <c r="H31" s="27">
        <v>7</v>
      </c>
      <c r="I31">
        <f t="shared" ref="I31:I37" si="40">+D31+H31</f>
        <v>2024</v>
      </c>
      <c r="L31" s="27" t="s">
        <v>313</v>
      </c>
      <c r="M31" s="27" t="s">
        <v>313</v>
      </c>
      <c r="N31" s="27"/>
      <c r="O31" s="27" t="s">
        <v>313</v>
      </c>
      <c r="P31" s="29">
        <v>4035</v>
      </c>
      <c r="Q31" s="29"/>
      <c r="R31" s="29">
        <f t="shared" ref="R31:R37" si="41">+P31-P31*F31</f>
        <v>4035</v>
      </c>
      <c r="S31" s="115">
        <f t="shared" ref="S31:S37" si="42">R31/H31/12</f>
        <v>48.035714285714285</v>
      </c>
      <c r="T31" s="115">
        <f t="shared" ref="T31:T37" si="43">IF(Q31&gt;0,0,IF((OR((AF31&gt;AG31),(AH31&lt;AI31))),0,IF((AND((AH31&gt;=AI31),(AH31&lt;=AG31))),S31*((AH31-AI31)*12),IF((AND((AI31&lt;=AF31),(AG31&gt;=AF31))),((AG31-AF31)*12)*S31,IF(AH31&gt;AG31,12*S31,0)))))</f>
        <v>576.42857142857144</v>
      </c>
      <c r="U31" s="115">
        <f t="shared" ref="U31:U37" si="44">IF(Q31=0,0,IF((AND((AJ31&gt;=AI31),(AJ31&lt;=AH31))),((AJ31-AI31)*12)*S31,0))</f>
        <v>0</v>
      </c>
      <c r="V31" s="115">
        <f t="shared" ref="V31:V37" si="45">IF(U31&gt;0,U31,T31)</f>
        <v>576.42857142857144</v>
      </c>
      <c r="W31" s="124">
        <v>1</v>
      </c>
      <c r="X31" s="115">
        <f t="shared" ref="X31:X37" si="46">W31*SUM(T31:U31)</f>
        <v>576.42857142857144</v>
      </c>
      <c r="Y31" s="113"/>
      <c r="Z31" s="115">
        <f t="shared" ref="Z31:Z37" si="47">IF(AF31&gt;AG31,0,IF(AH31&lt;AI31,R31,IF((AND((AH31&gt;=AI31),(AH31&lt;=AG31))),(R31-V31),IF((AND((AI31&lt;=AF31),(AG31&gt;=AF31))),0,IF(AH31&gt;AG31,((AI31-AF31)*12)*S31,0)))))</f>
        <v>1008.75</v>
      </c>
      <c r="AA31" s="115">
        <f t="shared" ref="AA31:AA37" si="48">Z31*W31</f>
        <v>1008.75</v>
      </c>
      <c r="AB31" s="123">
        <v>1</v>
      </c>
      <c r="AC31" s="115">
        <f t="shared" ref="AC31:AC37" si="49">AA31*AB31</f>
        <v>1008.75</v>
      </c>
      <c r="AD31" s="115">
        <f t="shared" ref="AD31:AD37" si="50">IF(Q31&gt;0,0,AC31+X31*AB31)*AB31</f>
        <v>1585.1785714285716</v>
      </c>
      <c r="AE31" s="115">
        <f t="shared" ref="AE31:AE37" si="51">IF(Q31&gt;0,(P31-AC31)/2,IF(AF31&gt;=AI31,(((P31*W31)*AB31)-AD31)/2,((((P31*W31)*AB31)-AC31)+(((P31*W31)*AB31)-AD31))/2))</f>
        <v>2738.0357142857142</v>
      </c>
      <c r="AF31" s="115">
        <f t="shared" ref="AF31:AF37" si="52">$D31+(($E31-1)/12)</f>
        <v>2017</v>
      </c>
      <c r="AG31" s="115">
        <f t="shared" ref="AG31:AG37" si="53">($R$5+1)-($R$2/12)</f>
        <v>2019.75</v>
      </c>
      <c r="AH31" s="115">
        <f t="shared" ref="AH31:AH37" si="54">$I31+(($E31-1)/12)</f>
        <v>2024</v>
      </c>
      <c r="AI31" s="117">
        <f t="shared" ref="AI31:AI37" si="55">$R$4+($R$3/12)</f>
        <v>2018.75</v>
      </c>
      <c r="AJ31" s="117">
        <f t="shared" ref="AJ31:AJ37" si="56">$J31+(($K31-1)/12)</f>
        <v>-8.3333333333333329E-2</v>
      </c>
      <c r="AK31" s="117">
        <f t="shared" ref="AK31:AK37" si="57">$I31+(($E31-1)/12)</f>
        <v>2024</v>
      </c>
      <c r="AL31" s="117">
        <f t="shared" ref="AL31:AL37" si="58">$R$4+($R$3/12)</f>
        <v>2018.75</v>
      </c>
      <c r="AM31" s="117">
        <f t="shared" ref="AM31:AM37" si="59">$J31+(($K31-1)/12)</f>
        <v>-8.3333333333333329E-2</v>
      </c>
    </row>
    <row r="32" spans="1:39" x14ac:dyDescent="0.25">
      <c r="A32">
        <v>259</v>
      </c>
      <c r="B32" t="s">
        <v>329</v>
      </c>
      <c r="C32" s="118" t="s">
        <v>311</v>
      </c>
      <c r="D32" s="27">
        <v>2017</v>
      </c>
      <c r="E32" s="27">
        <v>3</v>
      </c>
      <c r="F32" s="122"/>
      <c r="G32" s="27" t="s">
        <v>312</v>
      </c>
      <c r="H32" s="27">
        <v>7</v>
      </c>
      <c r="I32">
        <f t="shared" si="40"/>
        <v>2024</v>
      </c>
      <c r="L32" s="27" t="s">
        <v>313</v>
      </c>
      <c r="M32" s="27" t="s">
        <v>313</v>
      </c>
      <c r="N32" s="27"/>
      <c r="O32" s="27" t="s">
        <v>313</v>
      </c>
      <c r="P32" s="29">
        <v>1319</v>
      </c>
      <c r="Q32" s="29"/>
      <c r="R32" s="29">
        <f t="shared" si="41"/>
        <v>1319</v>
      </c>
      <c r="S32" s="115">
        <f t="shared" si="42"/>
        <v>15.702380952380951</v>
      </c>
      <c r="T32" s="115">
        <f t="shared" si="43"/>
        <v>188.42857142857142</v>
      </c>
      <c r="U32" s="115">
        <f t="shared" si="44"/>
        <v>0</v>
      </c>
      <c r="V32" s="115">
        <f t="shared" si="45"/>
        <v>188.42857142857142</v>
      </c>
      <c r="W32" s="124">
        <v>1</v>
      </c>
      <c r="X32" s="115">
        <f t="shared" si="46"/>
        <v>188.42857142857142</v>
      </c>
      <c r="Y32" s="113"/>
      <c r="Z32" s="115">
        <f t="shared" si="47"/>
        <v>298.34523809522381</v>
      </c>
      <c r="AA32" s="115">
        <f t="shared" si="48"/>
        <v>298.34523809522381</v>
      </c>
      <c r="AB32" s="123">
        <v>1</v>
      </c>
      <c r="AC32" s="115">
        <f t="shared" si="49"/>
        <v>298.34523809522381</v>
      </c>
      <c r="AD32" s="115">
        <f t="shared" si="50"/>
        <v>486.77380952379519</v>
      </c>
      <c r="AE32" s="115">
        <f t="shared" si="51"/>
        <v>926.44047619049047</v>
      </c>
      <c r="AF32" s="115">
        <f t="shared" si="52"/>
        <v>2017.1666666666667</v>
      </c>
      <c r="AG32" s="115">
        <f t="shared" si="53"/>
        <v>2019.75</v>
      </c>
      <c r="AH32" s="115">
        <f t="shared" si="54"/>
        <v>2024.1666666666667</v>
      </c>
      <c r="AI32" s="117">
        <f t="shared" si="55"/>
        <v>2018.75</v>
      </c>
      <c r="AJ32" s="117">
        <f t="shared" si="56"/>
        <v>-8.3333333333333329E-2</v>
      </c>
      <c r="AK32" s="117">
        <f t="shared" si="57"/>
        <v>2024.1666666666667</v>
      </c>
      <c r="AL32" s="117">
        <f t="shared" si="58"/>
        <v>2018.75</v>
      </c>
      <c r="AM32" s="117">
        <f t="shared" si="59"/>
        <v>-8.3333333333333329E-2</v>
      </c>
    </row>
    <row r="33" spans="1:39" x14ac:dyDescent="0.25">
      <c r="A33">
        <v>266</v>
      </c>
      <c r="B33" t="s">
        <v>326</v>
      </c>
      <c r="C33" s="118" t="s">
        <v>311</v>
      </c>
      <c r="D33" s="27">
        <v>2018</v>
      </c>
      <c r="E33" s="27">
        <v>1</v>
      </c>
      <c r="F33" s="122"/>
      <c r="G33" s="27" t="s">
        <v>312</v>
      </c>
      <c r="H33" s="27">
        <v>7</v>
      </c>
      <c r="I33">
        <f t="shared" si="40"/>
        <v>2025</v>
      </c>
      <c r="L33" s="27" t="s">
        <v>313</v>
      </c>
      <c r="M33" s="27" t="s">
        <v>313</v>
      </c>
      <c r="N33" s="27"/>
      <c r="O33" s="27" t="s">
        <v>313</v>
      </c>
      <c r="P33" s="29">
        <v>1509</v>
      </c>
      <c r="Q33" s="29"/>
      <c r="R33" s="29">
        <f t="shared" si="41"/>
        <v>1509</v>
      </c>
      <c r="S33" s="115">
        <f t="shared" si="42"/>
        <v>17.964285714285715</v>
      </c>
      <c r="T33" s="115">
        <f t="shared" si="43"/>
        <v>215.57142857142858</v>
      </c>
      <c r="U33" s="115">
        <f t="shared" si="44"/>
        <v>0</v>
      </c>
      <c r="V33" s="115">
        <f t="shared" si="45"/>
        <v>215.57142857142858</v>
      </c>
      <c r="W33" s="124">
        <v>1</v>
      </c>
      <c r="X33" s="115">
        <f t="shared" si="46"/>
        <v>215.57142857142858</v>
      </c>
      <c r="Y33" s="113"/>
      <c r="Z33" s="115">
        <f t="shared" si="47"/>
        <v>161.67857142857144</v>
      </c>
      <c r="AA33" s="115">
        <f t="shared" si="48"/>
        <v>161.67857142857144</v>
      </c>
      <c r="AB33" s="123">
        <v>1</v>
      </c>
      <c r="AC33" s="115">
        <f t="shared" si="49"/>
        <v>161.67857142857144</v>
      </c>
      <c r="AD33" s="115">
        <f t="shared" si="50"/>
        <v>377.25</v>
      </c>
      <c r="AE33" s="115">
        <f t="shared" si="51"/>
        <v>1239.5357142857142</v>
      </c>
      <c r="AF33" s="115">
        <f t="shared" si="52"/>
        <v>2018</v>
      </c>
      <c r="AG33" s="115">
        <f t="shared" si="53"/>
        <v>2019.75</v>
      </c>
      <c r="AH33" s="115">
        <f t="shared" si="54"/>
        <v>2025</v>
      </c>
      <c r="AI33" s="117">
        <f t="shared" si="55"/>
        <v>2018.75</v>
      </c>
      <c r="AJ33" s="117">
        <f t="shared" si="56"/>
        <v>-8.3333333333333329E-2</v>
      </c>
      <c r="AK33" s="117">
        <f t="shared" si="57"/>
        <v>2025</v>
      </c>
      <c r="AL33" s="117">
        <f t="shared" si="58"/>
        <v>2018.75</v>
      </c>
      <c r="AM33" s="117">
        <f t="shared" si="59"/>
        <v>-8.3333333333333329E-2</v>
      </c>
    </row>
    <row r="34" spans="1:39" x14ac:dyDescent="0.25">
      <c r="A34">
        <v>268</v>
      </c>
      <c r="B34" t="s">
        <v>330</v>
      </c>
      <c r="C34" s="118" t="s">
        <v>311</v>
      </c>
      <c r="D34" s="27">
        <v>2018</v>
      </c>
      <c r="E34" s="27">
        <v>2</v>
      </c>
      <c r="F34" s="122"/>
      <c r="G34" s="27" t="s">
        <v>312</v>
      </c>
      <c r="H34" s="27">
        <v>3</v>
      </c>
      <c r="I34">
        <f t="shared" si="40"/>
        <v>2021</v>
      </c>
      <c r="L34" s="27" t="s">
        <v>313</v>
      </c>
      <c r="M34" s="27" t="s">
        <v>313</v>
      </c>
      <c r="N34" s="27"/>
      <c r="O34" s="27" t="s">
        <v>313</v>
      </c>
      <c r="P34" s="29">
        <v>3795</v>
      </c>
      <c r="Q34" s="29"/>
      <c r="R34" s="29">
        <f t="shared" si="41"/>
        <v>3795</v>
      </c>
      <c r="S34" s="115">
        <f t="shared" si="42"/>
        <v>105.41666666666667</v>
      </c>
      <c r="T34" s="115">
        <f t="shared" si="43"/>
        <v>1265</v>
      </c>
      <c r="U34" s="115">
        <f t="shared" si="44"/>
        <v>0</v>
      </c>
      <c r="V34" s="115">
        <f t="shared" si="45"/>
        <v>1265</v>
      </c>
      <c r="W34" s="124">
        <v>1</v>
      </c>
      <c r="X34" s="115">
        <f t="shared" si="46"/>
        <v>1265</v>
      </c>
      <c r="Y34" s="113"/>
      <c r="Z34" s="115">
        <f t="shared" si="47"/>
        <v>843.33333333342921</v>
      </c>
      <c r="AA34" s="115">
        <f t="shared" si="48"/>
        <v>843.33333333342921</v>
      </c>
      <c r="AB34" s="123">
        <v>1</v>
      </c>
      <c r="AC34" s="115">
        <f t="shared" si="49"/>
        <v>843.33333333342921</v>
      </c>
      <c r="AD34" s="115">
        <f t="shared" si="50"/>
        <v>2108.3333333334294</v>
      </c>
      <c r="AE34" s="115">
        <f t="shared" si="51"/>
        <v>2319.1666666665706</v>
      </c>
      <c r="AF34" s="115">
        <f t="shared" si="52"/>
        <v>2018.0833333333333</v>
      </c>
      <c r="AG34" s="115">
        <f t="shared" si="53"/>
        <v>2019.75</v>
      </c>
      <c r="AH34" s="115">
        <f t="shared" si="54"/>
        <v>2021.0833333333333</v>
      </c>
      <c r="AI34" s="117">
        <f t="shared" si="55"/>
        <v>2018.75</v>
      </c>
      <c r="AJ34" s="117">
        <f t="shared" si="56"/>
        <v>-8.3333333333333329E-2</v>
      </c>
      <c r="AK34" s="117">
        <f t="shared" si="57"/>
        <v>2021.0833333333333</v>
      </c>
      <c r="AL34" s="117">
        <f t="shared" si="58"/>
        <v>2018.75</v>
      </c>
      <c r="AM34" s="117">
        <f t="shared" si="59"/>
        <v>-8.3333333333333329E-2</v>
      </c>
    </row>
    <row r="35" spans="1:39" x14ac:dyDescent="0.25">
      <c r="A35">
        <v>265</v>
      </c>
      <c r="B35" t="s">
        <v>331</v>
      </c>
      <c r="C35" s="118" t="s">
        <v>311</v>
      </c>
      <c r="D35" s="27">
        <v>2018</v>
      </c>
      <c r="E35" s="27">
        <v>3</v>
      </c>
      <c r="F35" s="122"/>
      <c r="G35" s="27" t="s">
        <v>312</v>
      </c>
      <c r="H35" s="27">
        <v>5</v>
      </c>
      <c r="I35">
        <f t="shared" si="40"/>
        <v>2023</v>
      </c>
      <c r="L35" s="27" t="s">
        <v>313</v>
      </c>
      <c r="M35" s="27" t="s">
        <v>313</v>
      </c>
      <c r="N35" s="27"/>
      <c r="O35" s="27" t="s">
        <v>313</v>
      </c>
      <c r="P35" s="29">
        <v>3907</v>
      </c>
      <c r="Q35" s="29"/>
      <c r="R35" s="29">
        <f t="shared" si="41"/>
        <v>3907</v>
      </c>
      <c r="S35" s="115">
        <f t="shared" si="42"/>
        <v>65.11666666666666</v>
      </c>
      <c r="T35" s="115">
        <f t="shared" si="43"/>
        <v>781.39999999999986</v>
      </c>
      <c r="U35" s="115">
        <f t="shared" si="44"/>
        <v>0</v>
      </c>
      <c r="V35" s="115">
        <f t="shared" si="45"/>
        <v>781.39999999999986</v>
      </c>
      <c r="W35" s="124">
        <v>1</v>
      </c>
      <c r="X35" s="115">
        <f t="shared" si="46"/>
        <v>781.39999999999986</v>
      </c>
      <c r="Y35" s="113"/>
      <c r="Z35" s="115">
        <f t="shared" si="47"/>
        <v>455.81666666660738</v>
      </c>
      <c r="AA35" s="115">
        <f t="shared" si="48"/>
        <v>455.81666666660738</v>
      </c>
      <c r="AB35" s="123">
        <v>1</v>
      </c>
      <c r="AC35" s="115">
        <f t="shared" si="49"/>
        <v>455.81666666660738</v>
      </c>
      <c r="AD35" s="115">
        <f t="shared" si="50"/>
        <v>1237.2166666666071</v>
      </c>
      <c r="AE35" s="115">
        <f t="shared" si="51"/>
        <v>3060.4833333333927</v>
      </c>
      <c r="AF35" s="115">
        <f t="shared" si="52"/>
        <v>2018.1666666666667</v>
      </c>
      <c r="AG35" s="115">
        <f t="shared" si="53"/>
        <v>2019.75</v>
      </c>
      <c r="AH35" s="115">
        <f t="shared" si="54"/>
        <v>2023.1666666666667</v>
      </c>
      <c r="AI35" s="117">
        <f t="shared" si="55"/>
        <v>2018.75</v>
      </c>
      <c r="AJ35" s="117">
        <f t="shared" si="56"/>
        <v>-8.3333333333333329E-2</v>
      </c>
      <c r="AK35" s="117">
        <f t="shared" si="57"/>
        <v>2023.1666666666667</v>
      </c>
      <c r="AL35" s="117">
        <f t="shared" si="58"/>
        <v>2018.75</v>
      </c>
      <c r="AM35" s="117">
        <f t="shared" si="59"/>
        <v>-8.3333333333333329E-2</v>
      </c>
    </row>
    <row r="36" spans="1:39" x14ac:dyDescent="0.25">
      <c r="A36">
        <v>269</v>
      </c>
      <c r="B36" t="s">
        <v>332</v>
      </c>
      <c r="C36" s="118" t="s">
        <v>311</v>
      </c>
      <c r="D36" s="27">
        <v>2018</v>
      </c>
      <c r="E36" s="27">
        <v>5</v>
      </c>
      <c r="F36" s="122"/>
      <c r="G36" s="27" t="s">
        <v>312</v>
      </c>
      <c r="H36" s="27">
        <v>3</v>
      </c>
      <c r="I36">
        <f t="shared" si="40"/>
        <v>2021</v>
      </c>
      <c r="L36" s="27" t="s">
        <v>313</v>
      </c>
      <c r="M36" s="27" t="s">
        <v>313</v>
      </c>
      <c r="N36" s="27"/>
      <c r="O36" s="27" t="s">
        <v>313</v>
      </c>
      <c r="P36" s="29">
        <v>4034</v>
      </c>
      <c r="Q36" s="29"/>
      <c r="R36" s="29">
        <f t="shared" si="41"/>
        <v>4034</v>
      </c>
      <c r="S36" s="115">
        <f t="shared" si="42"/>
        <v>112.05555555555556</v>
      </c>
      <c r="T36" s="115">
        <f t="shared" si="43"/>
        <v>1344.6666666666667</v>
      </c>
      <c r="U36" s="115">
        <f t="shared" si="44"/>
        <v>0</v>
      </c>
      <c r="V36" s="115">
        <f t="shared" si="45"/>
        <v>1344.6666666666667</v>
      </c>
      <c r="W36" s="124">
        <v>1</v>
      </c>
      <c r="X36" s="115">
        <f t="shared" si="46"/>
        <v>1344.6666666666667</v>
      </c>
      <c r="Y36" s="113"/>
      <c r="Z36" s="115">
        <f t="shared" si="47"/>
        <v>560.27777777787969</v>
      </c>
      <c r="AA36" s="115">
        <f t="shared" si="48"/>
        <v>560.27777777787969</v>
      </c>
      <c r="AB36" s="123">
        <v>1</v>
      </c>
      <c r="AC36" s="115">
        <f t="shared" si="49"/>
        <v>560.27777777787969</v>
      </c>
      <c r="AD36" s="115">
        <f t="shared" si="50"/>
        <v>1904.9444444445464</v>
      </c>
      <c r="AE36" s="115">
        <f t="shared" si="51"/>
        <v>2801.3888888887868</v>
      </c>
      <c r="AF36" s="115">
        <f t="shared" si="52"/>
        <v>2018.3333333333333</v>
      </c>
      <c r="AG36" s="115">
        <f t="shared" si="53"/>
        <v>2019.75</v>
      </c>
      <c r="AH36" s="115">
        <f t="shared" si="54"/>
        <v>2021.3333333333333</v>
      </c>
      <c r="AI36" s="117">
        <f t="shared" si="55"/>
        <v>2018.75</v>
      </c>
      <c r="AJ36" s="117">
        <f t="shared" si="56"/>
        <v>-8.3333333333333329E-2</v>
      </c>
      <c r="AK36" s="117">
        <f t="shared" si="57"/>
        <v>2021.3333333333333</v>
      </c>
      <c r="AL36" s="117">
        <f t="shared" si="58"/>
        <v>2018.75</v>
      </c>
      <c r="AM36" s="117">
        <f t="shared" si="59"/>
        <v>-8.3333333333333329E-2</v>
      </c>
    </row>
    <row r="37" spans="1:39" x14ac:dyDescent="0.25">
      <c r="A37">
        <v>277</v>
      </c>
      <c r="B37" t="s">
        <v>326</v>
      </c>
      <c r="C37" s="118" t="s">
        <v>311</v>
      </c>
      <c r="D37" s="27">
        <v>2018</v>
      </c>
      <c r="E37" s="27">
        <v>12</v>
      </c>
      <c r="F37" s="122"/>
      <c r="G37" s="27" t="s">
        <v>312</v>
      </c>
      <c r="H37" s="27">
        <v>7</v>
      </c>
      <c r="I37">
        <f t="shared" si="40"/>
        <v>2025</v>
      </c>
      <c r="L37" s="27" t="s">
        <v>313</v>
      </c>
      <c r="M37" s="27" t="s">
        <v>313</v>
      </c>
      <c r="N37" s="27"/>
      <c r="O37" s="27" t="s">
        <v>313</v>
      </c>
      <c r="P37" s="125">
        <v>1283</v>
      </c>
      <c r="Q37" s="125"/>
      <c r="R37" s="125">
        <f t="shared" si="41"/>
        <v>1283</v>
      </c>
      <c r="S37" s="126">
        <f t="shared" si="42"/>
        <v>15.273809523809524</v>
      </c>
      <c r="T37" s="126">
        <f t="shared" si="43"/>
        <v>152.73809523808134</v>
      </c>
      <c r="U37" s="126">
        <f t="shared" si="44"/>
        <v>0</v>
      </c>
      <c r="V37" s="126">
        <f t="shared" si="45"/>
        <v>152.73809523808134</v>
      </c>
      <c r="W37" s="127">
        <v>1</v>
      </c>
      <c r="X37" s="126">
        <f t="shared" si="46"/>
        <v>152.73809523808134</v>
      </c>
      <c r="Y37" s="128"/>
      <c r="Z37" s="126">
        <f t="shared" si="47"/>
        <v>0</v>
      </c>
      <c r="AA37" s="126">
        <f t="shared" si="48"/>
        <v>0</v>
      </c>
      <c r="AB37" s="129">
        <v>1</v>
      </c>
      <c r="AC37" s="126">
        <f t="shared" si="49"/>
        <v>0</v>
      </c>
      <c r="AD37" s="126">
        <f t="shared" si="50"/>
        <v>152.73809523808134</v>
      </c>
      <c r="AE37" s="126">
        <f t="shared" si="51"/>
        <v>565.13095238095934</v>
      </c>
      <c r="AF37" s="115">
        <f t="shared" si="52"/>
        <v>2018.9166666666667</v>
      </c>
      <c r="AG37" s="115">
        <f t="shared" si="53"/>
        <v>2019.75</v>
      </c>
      <c r="AH37" s="115">
        <f t="shared" si="54"/>
        <v>2025.9166666666667</v>
      </c>
      <c r="AI37" s="117">
        <f t="shared" si="55"/>
        <v>2018.75</v>
      </c>
      <c r="AJ37" s="117">
        <f t="shared" si="56"/>
        <v>-8.3333333333333329E-2</v>
      </c>
      <c r="AK37" s="117">
        <f t="shared" si="57"/>
        <v>2025.9166666666667</v>
      </c>
      <c r="AL37" s="117">
        <f t="shared" si="58"/>
        <v>2018.75</v>
      </c>
      <c r="AM37" s="117">
        <f t="shared" si="59"/>
        <v>-8.3333333333333329E-2</v>
      </c>
    </row>
    <row r="38" spans="1:39" x14ac:dyDescent="0.25">
      <c r="D38" s="27"/>
      <c r="E38" s="27"/>
      <c r="F38" s="122"/>
      <c r="H38" s="27"/>
      <c r="P38" s="29">
        <f>SUM(P13:P37)</f>
        <v>144205</v>
      </c>
      <c r="Q38" s="29">
        <f t="shared" ref="Q38:Y38" si="60">SUM(Q13:Q30)</f>
        <v>0</v>
      </c>
      <c r="R38" s="29">
        <f t="shared" ref="R38:T38" si="61">SUM(R13:R37)</f>
        <v>144205</v>
      </c>
      <c r="S38" s="29">
        <f t="shared" si="61"/>
        <v>2832.0134920634923</v>
      </c>
      <c r="T38" s="29">
        <f t="shared" si="61"/>
        <v>9844.3952380952251</v>
      </c>
      <c r="U38" s="29">
        <f t="shared" si="60"/>
        <v>0</v>
      </c>
      <c r="V38" s="29">
        <f t="shared" si="60"/>
        <v>5320.161904761906</v>
      </c>
      <c r="W38" s="130">
        <f t="shared" si="60"/>
        <v>18</v>
      </c>
      <c r="X38" s="29">
        <f t="shared" ref="X38" si="62">SUM(X13:X37)</f>
        <v>9844.3952380952251</v>
      </c>
      <c r="Y38" s="29">
        <f t="shared" si="60"/>
        <v>0</v>
      </c>
      <c r="Z38" s="29">
        <f t="shared" ref="Z38:AE38" si="63">SUM(Z13:Z37)</f>
        <v>113244.89206349207</v>
      </c>
      <c r="AA38" s="29">
        <f t="shared" si="63"/>
        <v>113244.89206349207</v>
      </c>
      <c r="AB38" s="29">
        <f t="shared" si="63"/>
        <v>25</v>
      </c>
      <c r="AC38" s="29">
        <f t="shared" si="63"/>
        <v>113244.89206349207</v>
      </c>
      <c r="AD38" s="29">
        <f t="shared" si="63"/>
        <v>123089.28730158728</v>
      </c>
      <c r="AE38" s="29">
        <f t="shared" si="63"/>
        <v>25396.410317460319</v>
      </c>
      <c r="AF38" s="115"/>
      <c r="AG38" s="115"/>
      <c r="AH38" s="115"/>
      <c r="AI38" s="117"/>
      <c r="AJ38" s="117"/>
      <c r="AK38" s="117"/>
      <c r="AL38" s="117"/>
      <c r="AM38" s="117"/>
    </row>
    <row r="39" spans="1:39" x14ac:dyDescent="0.25">
      <c r="D39" s="27"/>
      <c r="E39" s="27"/>
      <c r="F39" s="122"/>
      <c r="H39" s="27"/>
      <c r="P39" s="29"/>
      <c r="Q39" s="29"/>
      <c r="R39" s="29"/>
      <c r="S39" s="115"/>
      <c r="T39" s="115"/>
      <c r="U39" s="115"/>
      <c r="V39" s="115"/>
      <c r="W39" s="116"/>
      <c r="X39" s="115"/>
      <c r="Y39" s="113"/>
      <c r="Z39" s="115"/>
      <c r="AA39" s="115"/>
      <c r="AB39" s="113"/>
      <c r="AC39" s="115"/>
      <c r="AD39" s="115"/>
      <c r="AE39" s="115"/>
      <c r="AF39" s="115"/>
      <c r="AG39" s="115"/>
      <c r="AH39" s="115"/>
      <c r="AI39" s="117"/>
      <c r="AJ39" s="117"/>
      <c r="AK39" s="117"/>
      <c r="AL39" s="117"/>
      <c r="AM39" s="117"/>
    </row>
    <row r="40" spans="1:39" x14ac:dyDescent="0.25">
      <c r="A40">
        <v>18</v>
      </c>
      <c r="B40" t="s">
        <v>333</v>
      </c>
      <c r="C40" t="s">
        <v>311</v>
      </c>
      <c r="D40" s="27">
        <v>1994</v>
      </c>
      <c r="E40" s="27">
        <v>11</v>
      </c>
      <c r="F40" s="122"/>
      <c r="G40" s="27" t="s">
        <v>312</v>
      </c>
      <c r="H40" s="27">
        <v>10</v>
      </c>
      <c r="I40">
        <f t="shared" ref="I40:I84" si="64">+D40+H40</f>
        <v>2004</v>
      </c>
      <c r="L40" s="27" t="s">
        <v>313</v>
      </c>
      <c r="M40" s="27" t="s">
        <v>313</v>
      </c>
      <c r="N40" s="27" t="s">
        <v>313</v>
      </c>
      <c r="O40" s="27" t="s">
        <v>313</v>
      </c>
      <c r="P40" s="29">
        <v>6783</v>
      </c>
      <c r="Q40" s="29"/>
      <c r="R40" s="29">
        <f t="shared" ref="R40:R84" si="65">+P40-P40*F40</f>
        <v>6783</v>
      </c>
      <c r="S40" s="115">
        <f t="shared" ref="S40:S84" si="66">R40/H40/12</f>
        <v>56.524999999999999</v>
      </c>
      <c r="T40" s="115">
        <f t="shared" ref="T40:T79" si="67">IF(Q40&gt;0,0,IF((OR((AF40&gt;AG40),(AH40&lt;AI40))),0,IF((AND((AH40&gt;=AI40),(AH40&lt;=AG40))),S40*((AH40-AI40)*12),IF((AND((AI40&lt;=AF40),(AG40&gt;=AF40))),((AG40-AF40)*12)*S40,IF(AH40&gt;AG40,12*S40,0)))))</f>
        <v>0</v>
      </c>
      <c r="U40" s="115">
        <f t="shared" ref="U40:U84" si="68">IF(Q40=0,0,IF((AND((AJ40&gt;=AI40),(AJ40&lt;=AH40))),((AJ40-AI40)*12)*S40,0))</f>
        <v>0</v>
      </c>
      <c r="V40" s="115">
        <f t="shared" ref="V40:V84" si="69">IF(U40&gt;0,U40,T40)</f>
        <v>0</v>
      </c>
      <c r="W40" s="124">
        <v>1</v>
      </c>
      <c r="X40" s="115">
        <f t="shared" ref="X40:X84" si="70">W40*SUM(T40:U40)</f>
        <v>0</v>
      </c>
      <c r="Y40" s="113"/>
      <c r="Z40" s="115">
        <f t="shared" ref="Z40:Z84" si="71">IF(AF40&gt;AG40,0,IF(AH40&lt;AI40,R40,IF((AND((AH40&gt;=AI40),(AH40&lt;=AG40))),(R40-V40),IF((AND((AI40&lt;=AF40),(AG40&gt;=AF40))),0,IF(AH40&gt;AG40,((AI40-AF40)*12)*S40,0)))))</f>
        <v>6783</v>
      </c>
      <c r="AA40" s="115">
        <f t="shared" ref="AA40:AA84" si="72">Z40*W40</f>
        <v>6783</v>
      </c>
      <c r="AB40" s="121">
        <v>1</v>
      </c>
      <c r="AC40" s="115">
        <f t="shared" ref="AC40:AC84" si="73">AA40*AB40</f>
        <v>6783</v>
      </c>
      <c r="AD40" s="115">
        <f t="shared" ref="AD40:AD84" si="74">IF(Q40&gt;0,0,AC40+X40*AB40)*AB40</f>
        <v>6783</v>
      </c>
      <c r="AE40" s="115">
        <f t="shared" ref="AE40:AE79" si="75">IF(Q40&gt;0,(P40-AC40)/2,IF(AF40&gt;=AI40,(((P40*W40)*AB40)-AD40)/2,((((P40*W40)*AB40)-AC40)+(((P40*W40)*AB40)-AD40))/2))</f>
        <v>0</v>
      </c>
      <c r="AF40" s="115">
        <f t="shared" ref="AF40:AF84" si="76">$D40+(($E40-1)/12)</f>
        <v>1994.8333333333333</v>
      </c>
      <c r="AG40" s="115">
        <f t="shared" ref="AG40:AG84" si="77">($R$5+1)-($R$2/12)</f>
        <v>2019.75</v>
      </c>
      <c r="AH40" s="115">
        <f t="shared" ref="AH40:AH84" si="78">$I40+(($E40-1)/12)</f>
        <v>2004.8333333333333</v>
      </c>
      <c r="AI40" s="117">
        <f t="shared" ref="AI40:AI84" si="79">$R$4+($R$3/12)</f>
        <v>2018.75</v>
      </c>
      <c r="AJ40" s="117">
        <f t="shared" ref="AJ40:AJ84" si="80">$J40+(($K40-1)/12)</f>
        <v>-8.3333333333333329E-2</v>
      </c>
      <c r="AK40" s="117">
        <f t="shared" ref="AK40:AK84" si="81">$I40+(($E40-1)/12)</f>
        <v>2004.8333333333333</v>
      </c>
      <c r="AL40" s="117">
        <f t="shared" ref="AL40:AL84" si="82">$R$4+($R$3/12)</f>
        <v>2018.75</v>
      </c>
      <c r="AM40" s="117">
        <f t="shared" ref="AM40:AM84" si="83">$J40+(($K40-1)/12)</f>
        <v>-8.3333333333333329E-2</v>
      </c>
    </row>
    <row r="41" spans="1:39" x14ac:dyDescent="0.25">
      <c r="A41">
        <v>22</v>
      </c>
      <c r="B41" t="s">
        <v>334</v>
      </c>
      <c r="C41" t="s">
        <v>311</v>
      </c>
      <c r="D41" s="27">
        <v>1996</v>
      </c>
      <c r="E41" s="27">
        <v>10</v>
      </c>
      <c r="F41" s="122"/>
      <c r="G41" s="27" t="s">
        <v>312</v>
      </c>
      <c r="H41" s="27">
        <v>7</v>
      </c>
      <c r="I41">
        <f t="shared" si="64"/>
        <v>2003</v>
      </c>
      <c r="L41" s="27" t="s">
        <v>313</v>
      </c>
      <c r="M41" s="27" t="s">
        <v>313</v>
      </c>
      <c r="N41" s="27" t="s">
        <v>313</v>
      </c>
      <c r="O41" s="27" t="s">
        <v>313</v>
      </c>
      <c r="P41" s="29">
        <v>5140</v>
      </c>
      <c r="Q41" s="29"/>
      <c r="R41" s="29">
        <f t="shared" si="65"/>
        <v>5140</v>
      </c>
      <c r="S41" s="115">
        <f t="shared" si="66"/>
        <v>61.190476190476197</v>
      </c>
      <c r="T41" s="115">
        <f t="shared" si="67"/>
        <v>0</v>
      </c>
      <c r="U41" s="115">
        <f t="shared" si="68"/>
        <v>0</v>
      </c>
      <c r="V41" s="115">
        <f t="shared" si="69"/>
        <v>0</v>
      </c>
      <c r="W41" s="124">
        <v>1</v>
      </c>
      <c r="X41" s="115">
        <f t="shared" si="70"/>
        <v>0</v>
      </c>
      <c r="Y41" s="113"/>
      <c r="Z41" s="115">
        <f t="shared" si="71"/>
        <v>5140</v>
      </c>
      <c r="AA41" s="115">
        <f t="shared" si="72"/>
        <v>5140</v>
      </c>
      <c r="AB41" s="121">
        <v>1</v>
      </c>
      <c r="AC41" s="115">
        <f t="shared" si="73"/>
        <v>5140</v>
      </c>
      <c r="AD41" s="115">
        <f t="shared" si="74"/>
        <v>5140</v>
      </c>
      <c r="AE41" s="115">
        <f t="shared" si="75"/>
        <v>0</v>
      </c>
      <c r="AF41" s="115">
        <f t="shared" si="76"/>
        <v>1996.75</v>
      </c>
      <c r="AG41" s="115">
        <f t="shared" si="77"/>
        <v>2019.75</v>
      </c>
      <c r="AH41" s="115">
        <f t="shared" si="78"/>
        <v>2003.75</v>
      </c>
      <c r="AI41" s="117">
        <f t="shared" si="79"/>
        <v>2018.75</v>
      </c>
      <c r="AJ41" s="117">
        <f t="shared" si="80"/>
        <v>-8.3333333333333329E-2</v>
      </c>
      <c r="AK41" s="117">
        <f t="shared" si="81"/>
        <v>2003.75</v>
      </c>
      <c r="AL41" s="117">
        <f t="shared" si="82"/>
        <v>2018.75</v>
      </c>
      <c r="AM41" s="117">
        <f t="shared" si="83"/>
        <v>-8.3333333333333329E-2</v>
      </c>
    </row>
    <row r="42" spans="1:39" x14ac:dyDescent="0.25">
      <c r="A42">
        <v>28</v>
      </c>
      <c r="B42" t="s">
        <v>335</v>
      </c>
      <c r="C42" t="s">
        <v>311</v>
      </c>
      <c r="D42" s="27">
        <v>1999</v>
      </c>
      <c r="E42" s="27">
        <v>1</v>
      </c>
      <c r="F42" s="122"/>
      <c r="G42" s="27" t="s">
        <v>312</v>
      </c>
      <c r="H42" s="27">
        <v>10</v>
      </c>
      <c r="I42">
        <f t="shared" si="64"/>
        <v>2009</v>
      </c>
      <c r="L42" s="27" t="s">
        <v>313</v>
      </c>
      <c r="M42" s="27" t="s">
        <v>313</v>
      </c>
      <c r="N42" s="27" t="s">
        <v>313</v>
      </c>
      <c r="O42" s="27" t="s">
        <v>313</v>
      </c>
      <c r="P42" s="29">
        <v>1518</v>
      </c>
      <c r="Q42" s="29"/>
      <c r="R42" s="29">
        <f t="shared" si="65"/>
        <v>1518</v>
      </c>
      <c r="S42" s="115">
        <f t="shared" si="66"/>
        <v>12.65</v>
      </c>
      <c r="T42" s="115">
        <f t="shared" si="67"/>
        <v>0</v>
      </c>
      <c r="U42" s="115">
        <f t="shared" si="68"/>
        <v>0</v>
      </c>
      <c r="V42" s="115">
        <f t="shared" si="69"/>
        <v>0</v>
      </c>
      <c r="W42" s="124">
        <v>1</v>
      </c>
      <c r="X42" s="115">
        <f t="shared" si="70"/>
        <v>0</v>
      </c>
      <c r="Y42" s="113"/>
      <c r="Z42" s="115">
        <f t="shared" si="71"/>
        <v>1518</v>
      </c>
      <c r="AA42" s="115">
        <f t="shared" si="72"/>
        <v>1518</v>
      </c>
      <c r="AB42" s="121">
        <v>1</v>
      </c>
      <c r="AC42" s="115">
        <f t="shared" si="73"/>
        <v>1518</v>
      </c>
      <c r="AD42" s="115">
        <f t="shared" si="74"/>
        <v>1518</v>
      </c>
      <c r="AE42" s="115">
        <f t="shared" si="75"/>
        <v>0</v>
      </c>
      <c r="AF42" s="115">
        <f t="shared" si="76"/>
        <v>1999</v>
      </c>
      <c r="AG42" s="115">
        <f t="shared" si="77"/>
        <v>2019.75</v>
      </c>
      <c r="AH42" s="115">
        <f t="shared" si="78"/>
        <v>2009</v>
      </c>
      <c r="AI42" s="117">
        <f t="shared" si="79"/>
        <v>2018.75</v>
      </c>
      <c r="AJ42" s="117">
        <f t="shared" si="80"/>
        <v>-8.3333333333333329E-2</v>
      </c>
      <c r="AK42" s="117">
        <f t="shared" si="81"/>
        <v>2009</v>
      </c>
      <c r="AL42" s="117">
        <f t="shared" si="82"/>
        <v>2018.75</v>
      </c>
      <c r="AM42" s="117">
        <f t="shared" si="83"/>
        <v>-8.3333333333333329E-2</v>
      </c>
    </row>
    <row r="43" spans="1:39" x14ac:dyDescent="0.25">
      <c r="A43">
        <v>29</v>
      </c>
      <c r="B43" t="s">
        <v>336</v>
      </c>
      <c r="C43" t="s">
        <v>311</v>
      </c>
      <c r="D43" s="27">
        <v>1999</v>
      </c>
      <c r="E43" s="27">
        <v>5</v>
      </c>
      <c r="F43" s="122"/>
      <c r="G43" s="27" t="s">
        <v>312</v>
      </c>
      <c r="H43" s="27">
        <v>10</v>
      </c>
      <c r="I43">
        <f t="shared" si="64"/>
        <v>2009</v>
      </c>
      <c r="L43" s="27" t="s">
        <v>313</v>
      </c>
      <c r="M43" s="27" t="s">
        <v>313</v>
      </c>
      <c r="N43" s="27" t="s">
        <v>313</v>
      </c>
      <c r="O43" s="27" t="s">
        <v>313</v>
      </c>
      <c r="P43" s="29">
        <v>2288</v>
      </c>
      <c r="Q43" s="29"/>
      <c r="R43" s="29">
        <f t="shared" si="65"/>
        <v>2288</v>
      </c>
      <c r="S43" s="115">
        <f t="shared" si="66"/>
        <v>19.066666666666666</v>
      </c>
      <c r="T43" s="115">
        <f t="shared" si="67"/>
        <v>0</v>
      </c>
      <c r="U43" s="115">
        <f t="shared" si="68"/>
        <v>0</v>
      </c>
      <c r="V43" s="115">
        <f t="shared" si="69"/>
        <v>0</v>
      </c>
      <c r="W43" s="124">
        <v>1</v>
      </c>
      <c r="X43" s="115">
        <f t="shared" si="70"/>
        <v>0</v>
      </c>
      <c r="Y43" s="113"/>
      <c r="Z43" s="115">
        <f t="shared" si="71"/>
        <v>2288</v>
      </c>
      <c r="AA43" s="115">
        <f t="shared" si="72"/>
        <v>2288</v>
      </c>
      <c r="AB43" s="121">
        <v>1</v>
      </c>
      <c r="AC43" s="115">
        <f t="shared" si="73"/>
        <v>2288</v>
      </c>
      <c r="AD43" s="115">
        <f t="shared" si="74"/>
        <v>2288</v>
      </c>
      <c r="AE43" s="115">
        <f t="shared" si="75"/>
        <v>0</v>
      </c>
      <c r="AF43" s="115">
        <f t="shared" si="76"/>
        <v>1999.3333333333333</v>
      </c>
      <c r="AG43" s="115">
        <f t="shared" si="77"/>
        <v>2019.75</v>
      </c>
      <c r="AH43" s="115">
        <f t="shared" si="78"/>
        <v>2009.3333333333333</v>
      </c>
      <c r="AI43" s="117">
        <f t="shared" si="79"/>
        <v>2018.75</v>
      </c>
      <c r="AJ43" s="117">
        <f t="shared" si="80"/>
        <v>-8.3333333333333329E-2</v>
      </c>
      <c r="AK43" s="117">
        <f t="shared" si="81"/>
        <v>2009.3333333333333</v>
      </c>
      <c r="AL43" s="117">
        <f t="shared" si="82"/>
        <v>2018.75</v>
      </c>
      <c r="AM43" s="117">
        <f t="shared" si="83"/>
        <v>-8.3333333333333329E-2</v>
      </c>
    </row>
    <row r="44" spans="1:39" x14ac:dyDescent="0.25">
      <c r="A44">
        <v>31</v>
      </c>
      <c r="B44" t="s">
        <v>337</v>
      </c>
      <c r="C44" t="s">
        <v>311</v>
      </c>
      <c r="D44" s="27">
        <v>1999</v>
      </c>
      <c r="E44" s="27">
        <v>11</v>
      </c>
      <c r="F44" s="122"/>
      <c r="G44" s="27" t="s">
        <v>312</v>
      </c>
      <c r="H44" s="27">
        <v>10</v>
      </c>
      <c r="I44">
        <f t="shared" si="64"/>
        <v>2009</v>
      </c>
      <c r="L44" s="27" t="s">
        <v>313</v>
      </c>
      <c r="M44" s="27" t="s">
        <v>313</v>
      </c>
      <c r="N44" s="27" t="s">
        <v>313</v>
      </c>
      <c r="O44" s="27" t="s">
        <v>313</v>
      </c>
      <c r="P44" s="29">
        <v>2252</v>
      </c>
      <c r="Q44" s="29"/>
      <c r="R44" s="29">
        <f t="shared" si="65"/>
        <v>2252</v>
      </c>
      <c r="S44" s="115">
        <f t="shared" si="66"/>
        <v>18.766666666666666</v>
      </c>
      <c r="T44" s="115">
        <f t="shared" si="67"/>
        <v>0</v>
      </c>
      <c r="U44" s="115">
        <f t="shared" si="68"/>
        <v>0</v>
      </c>
      <c r="V44" s="115">
        <f t="shared" si="69"/>
        <v>0</v>
      </c>
      <c r="W44" s="124">
        <v>1</v>
      </c>
      <c r="X44" s="115">
        <f t="shared" si="70"/>
        <v>0</v>
      </c>
      <c r="Y44" s="113"/>
      <c r="Z44" s="115">
        <f t="shared" si="71"/>
        <v>2252</v>
      </c>
      <c r="AA44" s="115">
        <f t="shared" si="72"/>
        <v>2252</v>
      </c>
      <c r="AB44" s="121">
        <v>1</v>
      </c>
      <c r="AC44" s="115">
        <f t="shared" si="73"/>
        <v>2252</v>
      </c>
      <c r="AD44" s="115">
        <f t="shared" si="74"/>
        <v>2252</v>
      </c>
      <c r="AE44" s="115">
        <f t="shared" si="75"/>
        <v>0</v>
      </c>
      <c r="AF44" s="115">
        <f t="shared" si="76"/>
        <v>1999.8333333333333</v>
      </c>
      <c r="AG44" s="115">
        <f t="shared" si="77"/>
        <v>2019.75</v>
      </c>
      <c r="AH44" s="115">
        <f t="shared" si="78"/>
        <v>2009.8333333333333</v>
      </c>
      <c r="AI44" s="117">
        <f t="shared" si="79"/>
        <v>2018.75</v>
      </c>
      <c r="AJ44" s="117">
        <f t="shared" si="80"/>
        <v>-8.3333333333333329E-2</v>
      </c>
      <c r="AK44" s="117">
        <f t="shared" si="81"/>
        <v>2009.8333333333333</v>
      </c>
      <c r="AL44" s="117">
        <f t="shared" si="82"/>
        <v>2018.75</v>
      </c>
      <c r="AM44" s="117">
        <f t="shared" si="83"/>
        <v>-8.3333333333333329E-2</v>
      </c>
    </row>
    <row r="45" spans="1:39" x14ac:dyDescent="0.25">
      <c r="A45">
        <v>32</v>
      </c>
      <c r="B45" t="s">
        <v>337</v>
      </c>
      <c r="C45" t="s">
        <v>311</v>
      </c>
      <c r="D45" s="27">
        <v>1999</v>
      </c>
      <c r="E45" s="27">
        <v>11</v>
      </c>
      <c r="F45" s="122"/>
      <c r="G45" s="27" t="s">
        <v>312</v>
      </c>
      <c r="H45" s="27">
        <v>10</v>
      </c>
      <c r="I45">
        <f t="shared" si="64"/>
        <v>2009</v>
      </c>
      <c r="L45" s="27" t="s">
        <v>313</v>
      </c>
      <c r="M45" s="27" t="s">
        <v>313</v>
      </c>
      <c r="N45" s="27" t="s">
        <v>313</v>
      </c>
      <c r="O45" s="27" t="s">
        <v>313</v>
      </c>
      <c r="P45" s="29">
        <v>2254</v>
      </c>
      <c r="Q45" s="29"/>
      <c r="R45" s="29">
        <f t="shared" si="65"/>
        <v>2254</v>
      </c>
      <c r="S45" s="115">
        <f t="shared" si="66"/>
        <v>18.783333333333335</v>
      </c>
      <c r="T45" s="115">
        <f t="shared" si="67"/>
        <v>0</v>
      </c>
      <c r="U45" s="115">
        <f t="shared" si="68"/>
        <v>0</v>
      </c>
      <c r="V45" s="115">
        <f t="shared" si="69"/>
        <v>0</v>
      </c>
      <c r="W45" s="124">
        <v>1</v>
      </c>
      <c r="X45" s="115">
        <f t="shared" si="70"/>
        <v>0</v>
      </c>
      <c r="Y45" s="113"/>
      <c r="Z45" s="115">
        <f t="shared" si="71"/>
        <v>2254</v>
      </c>
      <c r="AA45" s="115">
        <f t="shared" si="72"/>
        <v>2254</v>
      </c>
      <c r="AB45" s="121">
        <v>1</v>
      </c>
      <c r="AC45" s="115">
        <f t="shared" si="73"/>
        <v>2254</v>
      </c>
      <c r="AD45" s="115">
        <f t="shared" si="74"/>
        <v>2254</v>
      </c>
      <c r="AE45" s="115">
        <f t="shared" si="75"/>
        <v>0</v>
      </c>
      <c r="AF45" s="115">
        <f t="shared" si="76"/>
        <v>1999.8333333333333</v>
      </c>
      <c r="AG45" s="115">
        <f t="shared" si="77"/>
        <v>2019.75</v>
      </c>
      <c r="AH45" s="115">
        <f t="shared" si="78"/>
        <v>2009.8333333333333</v>
      </c>
      <c r="AI45" s="117">
        <f t="shared" si="79"/>
        <v>2018.75</v>
      </c>
      <c r="AJ45" s="117">
        <f t="shared" si="80"/>
        <v>-8.3333333333333329E-2</v>
      </c>
      <c r="AK45" s="117">
        <f t="shared" si="81"/>
        <v>2009.8333333333333</v>
      </c>
      <c r="AL45" s="117">
        <f t="shared" si="82"/>
        <v>2018.75</v>
      </c>
      <c r="AM45" s="117">
        <f t="shared" si="83"/>
        <v>-8.3333333333333329E-2</v>
      </c>
    </row>
    <row r="46" spans="1:39" x14ac:dyDescent="0.25">
      <c r="A46">
        <v>33</v>
      </c>
      <c r="B46" t="s">
        <v>338</v>
      </c>
      <c r="C46" t="s">
        <v>311</v>
      </c>
      <c r="D46" s="27">
        <v>2000</v>
      </c>
      <c r="E46" s="27">
        <v>3</v>
      </c>
      <c r="F46" s="122"/>
      <c r="G46" s="27" t="s">
        <v>312</v>
      </c>
      <c r="H46" s="27">
        <v>7</v>
      </c>
      <c r="I46">
        <f t="shared" si="64"/>
        <v>2007</v>
      </c>
      <c r="L46" s="27" t="s">
        <v>313</v>
      </c>
      <c r="M46" s="27" t="s">
        <v>313</v>
      </c>
      <c r="N46" s="27" t="s">
        <v>313</v>
      </c>
      <c r="O46" s="27" t="s">
        <v>313</v>
      </c>
      <c r="P46" s="29">
        <v>6000</v>
      </c>
      <c r="Q46" s="29"/>
      <c r="R46" s="29">
        <f t="shared" si="65"/>
        <v>6000</v>
      </c>
      <c r="S46" s="115">
        <f t="shared" si="66"/>
        <v>71.428571428571431</v>
      </c>
      <c r="T46" s="115">
        <f t="shared" si="67"/>
        <v>0</v>
      </c>
      <c r="U46" s="115">
        <f t="shared" si="68"/>
        <v>0</v>
      </c>
      <c r="V46" s="115">
        <f t="shared" si="69"/>
        <v>0</v>
      </c>
      <c r="W46" s="124">
        <v>1</v>
      </c>
      <c r="X46" s="115">
        <f t="shared" si="70"/>
        <v>0</v>
      </c>
      <c r="Y46" s="113"/>
      <c r="Z46" s="115">
        <f t="shared" si="71"/>
        <v>6000</v>
      </c>
      <c r="AA46" s="115">
        <f t="shared" si="72"/>
        <v>6000</v>
      </c>
      <c r="AB46" s="121">
        <v>1</v>
      </c>
      <c r="AC46" s="115">
        <f t="shared" si="73"/>
        <v>6000</v>
      </c>
      <c r="AD46" s="115">
        <f t="shared" si="74"/>
        <v>6000</v>
      </c>
      <c r="AE46" s="115">
        <f t="shared" si="75"/>
        <v>0</v>
      </c>
      <c r="AF46" s="115">
        <f t="shared" si="76"/>
        <v>2000.1666666666667</v>
      </c>
      <c r="AG46" s="115">
        <f t="shared" si="77"/>
        <v>2019.75</v>
      </c>
      <c r="AH46" s="115">
        <f t="shared" si="78"/>
        <v>2007.1666666666667</v>
      </c>
      <c r="AI46" s="117">
        <f t="shared" si="79"/>
        <v>2018.75</v>
      </c>
      <c r="AJ46" s="117">
        <f t="shared" si="80"/>
        <v>-8.3333333333333329E-2</v>
      </c>
      <c r="AK46" s="117">
        <f t="shared" si="81"/>
        <v>2007.1666666666667</v>
      </c>
      <c r="AL46" s="117">
        <f t="shared" si="82"/>
        <v>2018.75</v>
      </c>
      <c r="AM46" s="117">
        <f t="shared" si="83"/>
        <v>-8.3333333333333329E-2</v>
      </c>
    </row>
    <row r="47" spans="1:39" x14ac:dyDescent="0.25">
      <c r="A47">
        <v>38</v>
      </c>
      <c r="B47" t="s">
        <v>339</v>
      </c>
      <c r="C47" t="s">
        <v>311</v>
      </c>
      <c r="D47" s="27">
        <v>2000</v>
      </c>
      <c r="E47" s="27">
        <v>8</v>
      </c>
      <c r="F47" s="122"/>
      <c r="G47" s="27" t="s">
        <v>312</v>
      </c>
      <c r="H47" s="27">
        <v>7</v>
      </c>
      <c r="I47">
        <f t="shared" si="64"/>
        <v>2007</v>
      </c>
      <c r="L47" s="27" t="s">
        <v>313</v>
      </c>
      <c r="M47" s="27" t="s">
        <v>313</v>
      </c>
      <c r="N47" s="27" t="s">
        <v>313</v>
      </c>
      <c r="O47" s="27" t="s">
        <v>313</v>
      </c>
      <c r="P47" s="29">
        <v>2136</v>
      </c>
      <c r="Q47" s="29"/>
      <c r="R47" s="29">
        <f t="shared" si="65"/>
        <v>2136</v>
      </c>
      <c r="S47" s="115">
        <f t="shared" si="66"/>
        <v>25.428571428571431</v>
      </c>
      <c r="T47" s="115">
        <f t="shared" si="67"/>
        <v>0</v>
      </c>
      <c r="U47" s="115">
        <f t="shared" si="68"/>
        <v>0</v>
      </c>
      <c r="V47" s="115">
        <f t="shared" si="69"/>
        <v>0</v>
      </c>
      <c r="W47" s="124">
        <v>1</v>
      </c>
      <c r="X47" s="115">
        <f t="shared" si="70"/>
        <v>0</v>
      </c>
      <c r="Y47" s="113"/>
      <c r="Z47" s="115">
        <f t="shared" si="71"/>
        <v>2136</v>
      </c>
      <c r="AA47" s="115">
        <f t="shared" si="72"/>
        <v>2136</v>
      </c>
      <c r="AB47" s="121">
        <v>1</v>
      </c>
      <c r="AC47" s="115">
        <f t="shared" si="73"/>
        <v>2136</v>
      </c>
      <c r="AD47" s="115">
        <f t="shared" si="74"/>
        <v>2136</v>
      </c>
      <c r="AE47" s="115">
        <f t="shared" si="75"/>
        <v>0</v>
      </c>
      <c r="AF47" s="115">
        <f t="shared" si="76"/>
        <v>2000.5833333333333</v>
      </c>
      <c r="AG47" s="115">
        <f t="shared" si="77"/>
        <v>2019.75</v>
      </c>
      <c r="AH47" s="115">
        <f t="shared" si="78"/>
        <v>2007.5833333333333</v>
      </c>
      <c r="AI47" s="117">
        <f t="shared" si="79"/>
        <v>2018.75</v>
      </c>
      <c r="AJ47" s="117">
        <f t="shared" si="80"/>
        <v>-8.3333333333333329E-2</v>
      </c>
      <c r="AK47" s="117">
        <f t="shared" si="81"/>
        <v>2007.5833333333333</v>
      </c>
      <c r="AL47" s="117">
        <f t="shared" si="82"/>
        <v>2018.75</v>
      </c>
      <c r="AM47" s="117">
        <f t="shared" si="83"/>
        <v>-8.3333333333333329E-2</v>
      </c>
    </row>
    <row r="48" spans="1:39" x14ac:dyDescent="0.25">
      <c r="A48">
        <v>39</v>
      </c>
      <c r="B48" t="s">
        <v>340</v>
      </c>
      <c r="C48" t="s">
        <v>311</v>
      </c>
      <c r="D48" s="27">
        <v>2000</v>
      </c>
      <c r="E48" s="27">
        <v>9</v>
      </c>
      <c r="F48" s="122"/>
      <c r="G48" s="27" t="s">
        <v>312</v>
      </c>
      <c r="H48" s="27">
        <v>7</v>
      </c>
      <c r="I48">
        <f t="shared" si="64"/>
        <v>2007</v>
      </c>
      <c r="L48" s="27" t="s">
        <v>313</v>
      </c>
      <c r="M48" s="27" t="s">
        <v>313</v>
      </c>
      <c r="N48" s="27" t="s">
        <v>313</v>
      </c>
      <c r="O48" s="27" t="s">
        <v>313</v>
      </c>
      <c r="P48" s="29">
        <v>2948</v>
      </c>
      <c r="Q48" s="29"/>
      <c r="R48" s="29">
        <f t="shared" si="65"/>
        <v>2948</v>
      </c>
      <c r="S48" s="115">
        <f t="shared" si="66"/>
        <v>35.095238095238095</v>
      </c>
      <c r="T48" s="115">
        <f t="shared" si="67"/>
        <v>0</v>
      </c>
      <c r="U48" s="115">
        <f t="shared" si="68"/>
        <v>0</v>
      </c>
      <c r="V48" s="115">
        <f t="shared" si="69"/>
        <v>0</v>
      </c>
      <c r="W48" s="124">
        <v>1</v>
      </c>
      <c r="X48" s="115">
        <f t="shared" si="70"/>
        <v>0</v>
      </c>
      <c r="Y48" s="113"/>
      <c r="Z48" s="115">
        <f t="shared" si="71"/>
        <v>2948</v>
      </c>
      <c r="AA48" s="115">
        <f t="shared" si="72"/>
        <v>2948</v>
      </c>
      <c r="AB48" s="121">
        <v>1</v>
      </c>
      <c r="AC48" s="115">
        <f t="shared" si="73"/>
        <v>2948</v>
      </c>
      <c r="AD48" s="115">
        <f t="shared" si="74"/>
        <v>2948</v>
      </c>
      <c r="AE48" s="115">
        <f t="shared" si="75"/>
        <v>0</v>
      </c>
      <c r="AF48" s="115">
        <f t="shared" si="76"/>
        <v>2000.6666666666667</v>
      </c>
      <c r="AG48" s="115">
        <f t="shared" si="77"/>
        <v>2019.75</v>
      </c>
      <c r="AH48" s="115">
        <f t="shared" si="78"/>
        <v>2007.6666666666667</v>
      </c>
      <c r="AI48" s="117">
        <f t="shared" si="79"/>
        <v>2018.75</v>
      </c>
      <c r="AJ48" s="117">
        <f t="shared" si="80"/>
        <v>-8.3333333333333329E-2</v>
      </c>
      <c r="AK48" s="117">
        <f t="shared" si="81"/>
        <v>2007.6666666666667</v>
      </c>
      <c r="AL48" s="117">
        <f t="shared" si="82"/>
        <v>2018.75</v>
      </c>
      <c r="AM48" s="117">
        <f t="shared" si="83"/>
        <v>-8.3333333333333329E-2</v>
      </c>
    </row>
    <row r="49" spans="1:39" x14ac:dyDescent="0.25">
      <c r="A49">
        <v>40</v>
      </c>
      <c r="B49" t="s">
        <v>341</v>
      </c>
      <c r="C49" t="s">
        <v>311</v>
      </c>
      <c r="D49" s="27">
        <v>2000</v>
      </c>
      <c r="E49" s="27">
        <v>9</v>
      </c>
      <c r="F49" s="122"/>
      <c r="G49" s="27" t="s">
        <v>312</v>
      </c>
      <c r="H49" s="27">
        <v>7</v>
      </c>
      <c r="I49">
        <f t="shared" si="64"/>
        <v>2007</v>
      </c>
      <c r="L49" s="27" t="s">
        <v>313</v>
      </c>
      <c r="M49" s="27" t="s">
        <v>313</v>
      </c>
      <c r="N49" s="27" t="s">
        <v>313</v>
      </c>
      <c r="O49" s="27" t="s">
        <v>313</v>
      </c>
      <c r="P49" s="29">
        <v>3500</v>
      </c>
      <c r="Q49" s="29"/>
      <c r="R49" s="29">
        <f t="shared" si="65"/>
        <v>3500</v>
      </c>
      <c r="S49" s="115">
        <f t="shared" si="66"/>
        <v>41.666666666666664</v>
      </c>
      <c r="T49" s="115">
        <f t="shared" si="67"/>
        <v>0</v>
      </c>
      <c r="U49" s="115">
        <f t="shared" si="68"/>
        <v>0</v>
      </c>
      <c r="V49" s="115">
        <f t="shared" si="69"/>
        <v>0</v>
      </c>
      <c r="W49" s="124">
        <v>1</v>
      </c>
      <c r="X49" s="115">
        <f t="shared" si="70"/>
        <v>0</v>
      </c>
      <c r="Y49" s="113"/>
      <c r="Z49" s="115">
        <f t="shared" si="71"/>
        <v>3500</v>
      </c>
      <c r="AA49" s="115">
        <f t="shared" si="72"/>
        <v>3500</v>
      </c>
      <c r="AB49" s="121">
        <v>1</v>
      </c>
      <c r="AC49" s="115">
        <f t="shared" si="73"/>
        <v>3500</v>
      </c>
      <c r="AD49" s="115">
        <f t="shared" si="74"/>
        <v>3500</v>
      </c>
      <c r="AE49" s="115">
        <f t="shared" si="75"/>
        <v>0</v>
      </c>
      <c r="AF49" s="115">
        <f t="shared" si="76"/>
        <v>2000.6666666666667</v>
      </c>
      <c r="AG49" s="115">
        <f t="shared" si="77"/>
        <v>2019.75</v>
      </c>
      <c r="AH49" s="115">
        <f t="shared" si="78"/>
        <v>2007.6666666666667</v>
      </c>
      <c r="AI49" s="117">
        <f t="shared" si="79"/>
        <v>2018.75</v>
      </c>
      <c r="AJ49" s="117">
        <f t="shared" si="80"/>
        <v>-8.3333333333333329E-2</v>
      </c>
      <c r="AK49" s="117">
        <f t="shared" si="81"/>
        <v>2007.6666666666667</v>
      </c>
      <c r="AL49" s="117">
        <f t="shared" si="82"/>
        <v>2018.75</v>
      </c>
      <c r="AM49" s="117">
        <f t="shared" si="83"/>
        <v>-8.3333333333333329E-2</v>
      </c>
    </row>
    <row r="50" spans="1:39" x14ac:dyDescent="0.25">
      <c r="A50">
        <v>41</v>
      </c>
      <c r="B50" t="s">
        <v>342</v>
      </c>
      <c r="C50" t="s">
        <v>311</v>
      </c>
      <c r="D50" s="27">
        <v>2000</v>
      </c>
      <c r="E50" s="27">
        <v>10</v>
      </c>
      <c r="F50" s="122"/>
      <c r="G50" s="27" t="s">
        <v>312</v>
      </c>
      <c r="H50" s="27">
        <v>7</v>
      </c>
      <c r="I50">
        <f t="shared" si="64"/>
        <v>2007</v>
      </c>
      <c r="L50" s="27" t="s">
        <v>313</v>
      </c>
      <c r="M50" s="27" t="s">
        <v>313</v>
      </c>
      <c r="N50" s="27" t="s">
        <v>313</v>
      </c>
      <c r="O50" s="27" t="s">
        <v>313</v>
      </c>
      <c r="P50" s="29">
        <v>2553</v>
      </c>
      <c r="Q50" s="29"/>
      <c r="R50" s="29">
        <f t="shared" si="65"/>
        <v>2553</v>
      </c>
      <c r="S50" s="115">
        <f t="shared" si="66"/>
        <v>30.392857142857142</v>
      </c>
      <c r="T50" s="115">
        <f t="shared" si="67"/>
        <v>0</v>
      </c>
      <c r="U50" s="115">
        <f t="shared" si="68"/>
        <v>0</v>
      </c>
      <c r="V50" s="115">
        <f t="shared" si="69"/>
        <v>0</v>
      </c>
      <c r="W50" s="124">
        <v>1</v>
      </c>
      <c r="X50" s="115">
        <f t="shared" si="70"/>
        <v>0</v>
      </c>
      <c r="Y50" s="113"/>
      <c r="Z50" s="115">
        <f t="shared" si="71"/>
        <v>2553</v>
      </c>
      <c r="AA50" s="115">
        <f t="shared" si="72"/>
        <v>2553</v>
      </c>
      <c r="AB50" s="121">
        <v>1</v>
      </c>
      <c r="AC50" s="115">
        <f t="shared" si="73"/>
        <v>2553</v>
      </c>
      <c r="AD50" s="115">
        <f t="shared" si="74"/>
        <v>2553</v>
      </c>
      <c r="AE50" s="115">
        <f t="shared" si="75"/>
        <v>0</v>
      </c>
      <c r="AF50" s="115">
        <f t="shared" si="76"/>
        <v>2000.75</v>
      </c>
      <c r="AG50" s="115">
        <f t="shared" si="77"/>
        <v>2019.75</v>
      </c>
      <c r="AH50" s="115">
        <f t="shared" si="78"/>
        <v>2007.75</v>
      </c>
      <c r="AI50" s="117">
        <f t="shared" si="79"/>
        <v>2018.75</v>
      </c>
      <c r="AJ50" s="117">
        <f t="shared" si="80"/>
        <v>-8.3333333333333329E-2</v>
      </c>
      <c r="AK50" s="117">
        <f t="shared" si="81"/>
        <v>2007.75</v>
      </c>
      <c r="AL50" s="117">
        <f t="shared" si="82"/>
        <v>2018.75</v>
      </c>
      <c r="AM50" s="117">
        <f t="shared" si="83"/>
        <v>-8.3333333333333329E-2</v>
      </c>
    </row>
    <row r="51" spans="1:39" x14ac:dyDescent="0.25">
      <c r="A51">
        <v>42</v>
      </c>
      <c r="B51" t="s">
        <v>343</v>
      </c>
      <c r="C51" t="s">
        <v>311</v>
      </c>
      <c r="D51" s="27">
        <v>2000</v>
      </c>
      <c r="E51" s="27">
        <v>10</v>
      </c>
      <c r="F51" s="122"/>
      <c r="G51" s="27" t="s">
        <v>312</v>
      </c>
      <c r="H51" s="27">
        <v>7</v>
      </c>
      <c r="I51">
        <f t="shared" si="64"/>
        <v>2007</v>
      </c>
      <c r="L51" s="27" t="s">
        <v>313</v>
      </c>
      <c r="M51" s="27" t="s">
        <v>313</v>
      </c>
      <c r="N51" s="27" t="s">
        <v>313</v>
      </c>
      <c r="O51" s="27" t="s">
        <v>313</v>
      </c>
      <c r="P51" s="29">
        <v>6473</v>
      </c>
      <c r="Q51" s="29"/>
      <c r="R51" s="29">
        <f t="shared" si="65"/>
        <v>6473</v>
      </c>
      <c r="S51" s="115">
        <f t="shared" si="66"/>
        <v>77.05952380952381</v>
      </c>
      <c r="T51" s="115">
        <f t="shared" si="67"/>
        <v>0</v>
      </c>
      <c r="U51" s="115">
        <f t="shared" si="68"/>
        <v>0</v>
      </c>
      <c r="V51" s="115">
        <f t="shared" si="69"/>
        <v>0</v>
      </c>
      <c r="W51" s="124">
        <v>1</v>
      </c>
      <c r="X51" s="115">
        <f t="shared" si="70"/>
        <v>0</v>
      </c>
      <c r="Y51" s="113"/>
      <c r="Z51" s="115">
        <f t="shared" si="71"/>
        <v>6473</v>
      </c>
      <c r="AA51" s="115">
        <f t="shared" si="72"/>
        <v>6473</v>
      </c>
      <c r="AB51" s="121">
        <v>1</v>
      </c>
      <c r="AC51" s="115">
        <f t="shared" si="73"/>
        <v>6473</v>
      </c>
      <c r="AD51" s="115">
        <f t="shared" si="74"/>
        <v>6473</v>
      </c>
      <c r="AE51" s="115">
        <f t="shared" si="75"/>
        <v>0</v>
      </c>
      <c r="AF51" s="115">
        <f t="shared" si="76"/>
        <v>2000.75</v>
      </c>
      <c r="AG51" s="115">
        <f t="shared" si="77"/>
        <v>2019.75</v>
      </c>
      <c r="AH51" s="115">
        <f t="shared" si="78"/>
        <v>2007.75</v>
      </c>
      <c r="AI51" s="117">
        <f t="shared" si="79"/>
        <v>2018.75</v>
      </c>
      <c r="AJ51" s="117">
        <f t="shared" si="80"/>
        <v>-8.3333333333333329E-2</v>
      </c>
      <c r="AK51" s="117">
        <f t="shared" si="81"/>
        <v>2007.75</v>
      </c>
      <c r="AL51" s="117">
        <f t="shared" si="82"/>
        <v>2018.75</v>
      </c>
      <c r="AM51" s="117">
        <f t="shared" si="83"/>
        <v>-8.3333333333333329E-2</v>
      </c>
    </row>
    <row r="52" spans="1:39" x14ac:dyDescent="0.25">
      <c r="A52">
        <v>44</v>
      </c>
      <c r="B52" t="s">
        <v>344</v>
      </c>
      <c r="C52" t="s">
        <v>311</v>
      </c>
      <c r="D52" s="27">
        <v>2001</v>
      </c>
      <c r="E52" s="27">
        <v>2</v>
      </c>
      <c r="F52" s="122"/>
      <c r="G52" s="27" t="s">
        <v>312</v>
      </c>
      <c r="H52" s="27">
        <v>10</v>
      </c>
      <c r="I52">
        <f t="shared" si="64"/>
        <v>2011</v>
      </c>
      <c r="L52" s="27" t="s">
        <v>313</v>
      </c>
      <c r="M52" s="27" t="s">
        <v>313</v>
      </c>
      <c r="N52" s="27" t="s">
        <v>313</v>
      </c>
      <c r="O52" s="27" t="s">
        <v>313</v>
      </c>
      <c r="P52" s="29">
        <v>11145</v>
      </c>
      <c r="Q52" s="29"/>
      <c r="R52" s="29">
        <f t="shared" si="65"/>
        <v>11145</v>
      </c>
      <c r="S52" s="115">
        <f t="shared" si="66"/>
        <v>92.875</v>
      </c>
      <c r="T52" s="115">
        <f t="shared" si="67"/>
        <v>0</v>
      </c>
      <c r="U52" s="115">
        <f t="shared" si="68"/>
        <v>0</v>
      </c>
      <c r="V52" s="115">
        <f t="shared" si="69"/>
        <v>0</v>
      </c>
      <c r="W52" s="124">
        <v>1</v>
      </c>
      <c r="X52" s="115">
        <f t="shared" si="70"/>
        <v>0</v>
      </c>
      <c r="Y52" s="113"/>
      <c r="Z52" s="115">
        <f t="shared" si="71"/>
        <v>11145</v>
      </c>
      <c r="AA52" s="115">
        <f t="shared" si="72"/>
        <v>11145</v>
      </c>
      <c r="AB52" s="121">
        <v>1</v>
      </c>
      <c r="AC52" s="115">
        <f t="shared" si="73"/>
        <v>11145</v>
      </c>
      <c r="AD52" s="115">
        <f t="shared" si="74"/>
        <v>11145</v>
      </c>
      <c r="AE52" s="115">
        <f t="shared" si="75"/>
        <v>0</v>
      </c>
      <c r="AF52" s="115">
        <f t="shared" si="76"/>
        <v>2001.0833333333333</v>
      </c>
      <c r="AG52" s="115">
        <f t="shared" si="77"/>
        <v>2019.75</v>
      </c>
      <c r="AH52" s="115">
        <f t="shared" si="78"/>
        <v>2011.0833333333333</v>
      </c>
      <c r="AI52" s="117">
        <f t="shared" si="79"/>
        <v>2018.75</v>
      </c>
      <c r="AJ52" s="117">
        <f t="shared" si="80"/>
        <v>-8.3333333333333329E-2</v>
      </c>
      <c r="AK52" s="117">
        <f t="shared" si="81"/>
        <v>2011.0833333333333</v>
      </c>
      <c r="AL52" s="117">
        <f t="shared" si="82"/>
        <v>2018.75</v>
      </c>
      <c r="AM52" s="117">
        <f t="shared" si="83"/>
        <v>-8.3333333333333329E-2</v>
      </c>
    </row>
    <row r="53" spans="1:39" x14ac:dyDescent="0.25">
      <c r="A53">
        <v>45</v>
      </c>
      <c r="B53" t="s">
        <v>345</v>
      </c>
      <c r="C53" t="s">
        <v>311</v>
      </c>
      <c r="D53" s="27">
        <v>2001</v>
      </c>
      <c r="E53" s="27">
        <v>2</v>
      </c>
      <c r="F53" s="122"/>
      <c r="G53" s="27" t="s">
        <v>312</v>
      </c>
      <c r="H53" s="27">
        <v>10</v>
      </c>
      <c r="I53">
        <f t="shared" si="64"/>
        <v>2011</v>
      </c>
      <c r="L53" s="27" t="s">
        <v>313</v>
      </c>
      <c r="M53" s="27" t="s">
        <v>313</v>
      </c>
      <c r="N53" s="27" t="s">
        <v>313</v>
      </c>
      <c r="O53" s="27" t="s">
        <v>313</v>
      </c>
      <c r="P53" s="29">
        <v>3500</v>
      </c>
      <c r="Q53" s="29"/>
      <c r="R53" s="29">
        <f t="shared" si="65"/>
        <v>3500</v>
      </c>
      <c r="S53" s="115">
        <f t="shared" si="66"/>
        <v>29.166666666666668</v>
      </c>
      <c r="T53" s="115">
        <f t="shared" si="67"/>
        <v>0</v>
      </c>
      <c r="U53" s="115">
        <f t="shared" si="68"/>
        <v>0</v>
      </c>
      <c r="V53" s="115">
        <f t="shared" si="69"/>
        <v>0</v>
      </c>
      <c r="W53" s="124">
        <v>1</v>
      </c>
      <c r="X53" s="115">
        <f t="shared" si="70"/>
        <v>0</v>
      </c>
      <c r="Y53" s="113"/>
      <c r="Z53" s="115">
        <f t="shared" si="71"/>
        <v>3500</v>
      </c>
      <c r="AA53" s="115">
        <f t="shared" si="72"/>
        <v>3500</v>
      </c>
      <c r="AB53" s="121">
        <v>1</v>
      </c>
      <c r="AC53" s="115">
        <f t="shared" si="73"/>
        <v>3500</v>
      </c>
      <c r="AD53" s="115">
        <f t="shared" si="74"/>
        <v>3500</v>
      </c>
      <c r="AE53" s="115">
        <f t="shared" si="75"/>
        <v>0</v>
      </c>
      <c r="AF53" s="115">
        <f t="shared" si="76"/>
        <v>2001.0833333333333</v>
      </c>
      <c r="AG53" s="115">
        <f t="shared" si="77"/>
        <v>2019.75</v>
      </c>
      <c r="AH53" s="115">
        <f t="shared" si="78"/>
        <v>2011.0833333333333</v>
      </c>
      <c r="AI53" s="117">
        <f t="shared" si="79"/>
        <v>2018.75</v>
      </c>
      <c r="AJ53" s="117">
        <f t="shared" si="80"/>
        <v>-8.3333333333333329E-2</v>
      </c>
      <c r="AK53" s="117">
        <f t="shared" si="81"/>
        <v>2011.0833333333333</v>
      </c>
      <c r="AL53" s="117">
        <f t="shared" si="82"/>
        <v>2018.75</v>
      </c>
      <c r="AM53" s="117">
        <f t="shared" si="83"/>
        <v>-8.3333333333333329E-2</v>
      </c>
    </row>
    <row r="54" spans="1:39" x14ac:dyDescent="0.25">
      <c r="A54">
        <v>46</v>
      </c>
      <c r="B54" t="s">
        <v>346</v>
      </c>
      <c r="C54" t="s">
        <v>311</v>
      </c>
      <c r="D54" s="27">
        <v>2001</v>
      </c>
      <c r="E54" s="27">
        <v>11</v>
      </c>
      <c r="F54" s="122"/>
      <c r="G54" s="27" t="s">
        <v>312</v>
      </c>
      <c r="H54" s="27">
        <v>10</v>
      </c>
      <c r="I54">
        <f t="shared" si="64"/>
        <v>2011</v>
      </c>
      <c r="L54" s="27" t="s">
        <v>313</v>
      </c>
      <c r="M54" s="27" t="s">
        <v>313</v>
      </c>
      <c r="N54" s="27" t="s">
        <v>313</v>
      </c>
      <c r="O54" s="27" t="s">
        <v>313</v>
      </c>
      <c r="P54" s="29">
        <v>3000</v>
      </c>
      <c r="Q54" s="29"/>
      <c r="R54" s="29">
        <f t="shared" si="65"/>
        <v>3000</v>
      </c>
      <c r="S54" s="115">
        <f t="shared" si="66"/>
        <v>25</v>
      </c>
      <c r="T54" s="115">
        <f t="shared" si="67"/>
        <v>0</v>
      </c>
      <c r="U54" s="115">
        <f t="shared" si="68"/>
        <v>0</v>
      </c>
      <c r="V54" s="115">
        <f t="shared" si="69"/>
        <v>0</v>
      </c>
      <c r="W54" s="124">
        <v>1</v>
      </c>
      <c r="X54" s="115">
        <f t="shared" si="70"/>
        <v>0</v>
      </c>
      <c r="Y54" s="113"/>
      <c r="Z54" s="115">
        <f t="shared" si="71"/>
        <v>3000</v>
      </c>
      <c r="AA54" s="115">
        <f t="shared" si="72"/>
        <v>3000</v>
      </c>
      <c r="AB54" s="121">
        <v>1</v>
      </c>
      <c r="AC54" s="115">
        <f t="shared" si="73"/>
        <v>3000</v>
      </c>
      <c r="AD54" s="115">
        <f t="shared" si="74"/>
        <v>3000</v>
      </c>
      <c r="AE54" s="115">
        <f t="shared" si="75"/>
        <v>0</v>
      </c>
      <c r="AF54" s="115">
        <f t="shared" si="76"/>
        <v>2001.8333333333333</v>
      </c>
      <c r="AG54" s="115">
        <f t="shared" si="77"/>
        <v>2019.75</v>
      </c>
      <c r="AH54" s="115">
        <f t="shared" si="78"/>
        <v>2011.8333333333333</v>
      </c>
      <c r="AI54" s="117">
        <f t="shared" si="79"/>
        <v>2018.75</v>
      </c>
      <c r="AJ54" s="117">
        <f t="shared" si="80"/>
        <v>-8.3333333333333329E-2</v>
      </c>
      <c r="AK54" s="117">
        <f t="shared" si="81"/>
        <v>2011.8333333333333</v>
      </c>
      <c r="AL54" s="117">
        <f t="shared" si="82"/>
        <v>2018.75</v>
      </c>
      <c r="AM54" s="117">
        <f t="shared" si="83"/>
        <v>-8.3333333333333329E-2</v>
      </c>
    </row>
    <row r="55" spans="1:39" x14ac:dyDescent="0.25">
      <c r="A55">
        <v>47</v>
      </c>
      <c r="B55" t="s">
        <v>347</v>
      </c>
      <c r="C55" t="s">
        <v>311</v>
      </c>
      <c r="D55" s="27">
        <v>2001</v>
      </c>
      <c r="E55" s="27">
        <v>11</v>
      </c>
      <c r="F55" s="122"/>
      <c r="G55" s="27" t="s">
        <v>312</v>
      </c>
      <c r="H55" s="27">
        <v>10</v>
      </c>
      <c r="I55">
        <f t="shared" si="64"/>
        <v>2011</v>
      </c>
      <c r="L55" s="27" t="s">
        <v>313</v>
      </c>
      <c r="M55" s="27" t="s">
        <v>313</v>
      </c>
      <c r="N55" s="27" t="s">
        <v>313</v>
      </c>
      <c r="O55" s="27" t="s">
        <v>313</v>
      </c>
      <c r="P55" s="29">
        <v>1298</v>
      </c>
      <c r="Q55" s="29"/>
      <c r="R55" s="29">
        <f t="shared" si="65"/>
        <v>1298</v>
      </c>
      <c r="S55" s="115">
        <f t="shared" si="66"/>
        <v>10.816666666666668</v>
      </c>
      <c r="T55" s="115">
        <f t="shared" si="67"/>
        <v>0</v>
      </c>
      <c r="U55" s="115">
        <f t="shared" si="68"/>
        <v>0</v>
      </c>
      <c r="V55" s="115">
        <f t="shared" si="69"/>
        <v>0</v>
      </c>
      <c r="W55" s="124">
        <v>1</v>
      </c>
      <c r="X55" s="115">
        <f t="shared" si="70"/>
        <v>0</v>
      </c>
      <c r="Y55" s="113"/>
      <c r="Z55" s="115">
        <f t="shared" si="71"/>
        <v>1298</v>
      </c>
      <c r="AA55" s="115">
        <f t="shared" si="72"/>
        <v>1298</v>
      </c>
      <c r="AB55" s="121">
        <v>1</v>
      </c>
      <c r="AC55" s="115">
        <f t="shared" si="73"/>
        <v>1298</v>
      </c>
      <c r="AD55" s="115">
        <f t="shared" si="74"/>
        <v>1298</v>
      </c>
      <c r="AE55" s="115">
        <f t="shared" si="75"/>
        <v>0</v>
      </c>
      <c r="AF55" s="115">
        <f t="shared" si="76"/>
        <v>2001.8333333333333</v>
      </c>
      <c r="AG55" s="115">
        <f t="shared" si="77"/>
        <v>2019.75</v>
      </c>
      <c r="AH55" s="115">
        <f t="shared" si="78"/>
        <v>2011.8333333333333</v>
      </c>
      <c r="AI55" s="117">
        <f t="shared" si="79"/>
        <v>2018.75</v>
      </c>
      <c r="AJ55" s="117">
        <f t="shared" si="80"/>
        <v>-8.3333333333333329E-2</v>
      </c>
      <c r="AK55" s="117">
        <f t="shared" si="81"/>
        <v>2011.8333333333333</v>
      </c>
      <c r="AL55" s="117">
        <f t="shared" si="82"/>
        <v>2018.75</v>
      </c>
      <c r="AM55" s="117">
        <f t="shared" si="83"/>
        <v>-8.3333333333333329E-2</v>
      </c>
    </row>
    <row r="56" spans="1:39" x14ac:dyDescent="0.25">
      <c r="A56">
        <v>48</v>
      </c>
      <c r="B56" t="s">
        <v>348</v>
      </c>
      <c r="C56" t="s">
        <v>311</v>
      </c>
      <c r="D56" s="27">
        <v>2002</v>
      </c>
      <c r="E56" s="27">
        <v>2</v>
      </c>
      <c r="F56" s="122"/>
      <c r="G56" s="27" t="s">
        <v>312</v>
      </c>
      <c r="H56" s="27">
        <v>5</v>
      </c>
      <c r="I56">
        <f t="shared" si="64"/>
        <v>2007</v>
      </c>
      <c r="L56" s="27" t="s">
        <v>313</v>
      </c>
      <c r="M56" s="27" t="s">
        <v>313</v>
      </c>
      <c r="N56" s="27" t="s">
        <v>313</v>
      </c>
      <c r="O56" s="27" t="s">
        <v>313</v>
      </c>
      <c r="P56" s="29">
        <v>1840</v>
      </c>
      <c r="Q56" s="29"/>
      <c r="R56" s="29">
        <f t="shared" si="65"/>
        <v>1840</v>
      </c>
      <c r="S56" s="115">
        <f t="shared" si="66"/>
        <v>30.666666666666668</v>
      </c>
      <c r="T56" s="115">
        <f t="shared" si="67"/>
        <v>0</v>
      </c>
      <c r="U56" s="115">
        <f t="shared" si="68"/>
        <v>0</v>
      </c>
      <c r="V56" s="115">
        <f t="shared" si="69"/>
        <v>0</v>
      </c>
      <c r="W56" s="124">
        <v>1</v>
      </c>
      <c r="X56" s="115">
        <f t="shared" si="70"/>
        <v>0</v>
      </c>
      <c r="Y56" s="113"/>
      <c r="Z56" s="115">
        <f t="shared" si="71"/>
        <v>1840</v>
      </c>
      <c r="AA56" s="115">
        <f t="shared" si="72"/>
        <v>1840</v>
      </c>
      <c r="AB56" s="121">
        <v>1</v>
      </c>
      <c r="AC56" s="115">
        <f t="shared" si="73"/>
        <v>1840</v>
      </c>
      <c r="AD56" s="115">
        <f t="shared" si="74"/>
        <v>1840</v>
      </c>
      <c r="AE56" s="115">
        <f t="shared" si="75"/>
        <v>0</v>
      </c>
      <c r="AF56" s="115">
        <f t="shared" si="76"/>
        <v>2002.0833333333333</v>
      </c>
      <c r="AG56" s="115">
        <f t="shared" si="77"/>
        <v>2019.75</v>
      </c>
      <c r="AH56" s="115">
        <f t="shared" si="78"/>
        <v>2007.0833333333333</v>
      </c>
      <c r="AI56" s="117">
        <f t="shared" si="79"/>
        <v>2018.75</v>
      </c>
      <c r="AJ56" s="117">
        <f t="shared" si="80"/>
        <v>-8.3333333333333329E-2</v>
      </c>
      <c r="AK56" s="117">
        <f t="shared" si="81"/>
        <v>2007.0833333333333</v>
      </c>
      <c r="AL56" s="117">
        <f t="shared" si="82"/>
        <v>2018.75</v>
      </c>
      <c r="AM56" s="117">
        <f t="shared" si="83"/>
        <v>-8.3333333333333329E-2</v>
      </c>
    </row>
    <row r="57" spans="1:39" x14ac:dyDescent="0.25">
      <c r="A57">
        <v>49</v>
      </c>
      <c r="B57" t="s">
        <v>349</v>
      </c>
      <c r="C57" t="s">
        <v>311</v>
      </c>
      <c r="D57" s="27">
        <v>2002</v>
      </c>
      <c r="E57" s="27">
        <v>7</v>
      </c>
      <c r="F57" s="122"/>
      <c r="G57" s="27" t="s">
        <v>312</v>
      </c>
      <c r="H57" s="27">
        <v>5</v>
      </c>
      <c r="I57">
        <f t="shared" si="64"/>
        <v>2007</v>
      </c>
      <c r="L57" s="27" t="s">
        <v>313</v>
      </c>
      <c r="M57" s="27" t="s">
        <v>313</v>
      </c>
      <c r="N57" s="27" t="s">
        <v>313</v>
      </c>
      <c r="O57" s="27" t="s">
        <v>313</v>
      </c>
      <c r="P57" s="29">
        <v>2848</v>
      </c>
      <c r="Q57" s="29"/>
      <c r="R57" s="29">
        <f t="shared" si="65"/>
        <v>2848</v>
      </c>
      <c r="S57" s="115">
        <f t="shared" si="66"/>
        <v>47.466666666666669</v>
      </c>
      <c r="T57" s="115">
        <f t="shared" si="67"/>
        <v>0</v>
      </c>
      <c r="U57" s="115">
        <f t="shared" si="68"/>
        <v>0</v>
      </c>
      <c r="V57" s="115">
        <f t="shared" si="69"/>
        <v>0</v>
      </c>
      <c r="W57" s="124">
        <v>1</v>
      </c>
      <c r="X57" s="115">
        <f t="shared" si="70"/>
        <v>0</v>
      </c>
      <c r="Y57" s="113"/>
      <c r="Z57" s="115">
        <f t="shared" si="71"/>
        <v>2848</v>
      </c>
      <c r="AA57" s="115">
        <f t="shared" si="72"/>
        <v>2848</v>
      </c>
      <c r="AB57" s="121">
        <v>1</v>
      </c>
      <c r="AC57" s="115">
        <f t="shared" si="73"/>
        <v>2848</v>
      </c>
      <c r="AD57" s="115">
        <f t="shared" si="74"/>
        <v>2848</v>
      </c>
      <c r="AE57" s="115">
        <f t="shared" si="75"/>
        <v>0</v>
      </c>
      <c r="AF57" s="115">
        <f t="shared" si="76"/>
        <v>2002.5</v>
      </c>
      <c r="AG57" s="115">
        <f t="shared" si="77"/>
        <v>2019.75</v>
      </c>
      <c r="AH57" s="115">
        <f t="shared" si="78"/>
        <v>2007.5</v>
      </c>
      <c r="AI57" s="117">
        <f t="shared" si="79"/>
        <v>2018.75</v>
      </c>
      <c r="AJ57" s="117">
        <f t="shared" si="80"/>
        <v>-8.3333333333333329E-2</v>
      </c>
      <c r="AK57" s="117">
        <f t="shared" si="81"/>
        <v>2007.5</v>
      </c>
      <c r="AL57" s="117">
        <f t="shared" si="82"/>
        <v>2018.75</v>
      </c>
      <c r="AM57" s="117">
        <f t="shared" si="83"/>
        <v>-8.3333333333333329E-2</v>
      </c>
    </row>
    <row r="58" spans="1:39" x14ac:dyDescent="0.25">
      <c r="A58">
        <v>50</v>
      </c>
      <c r="B58" t="s">
        <v>350</v>
      </c>
      <c r="C58" t="s">
        <v>311</v>
      </c>
      <c r="D58" s="27">
        <v>2002</v>
      </c>
      <c r="E58" s="27">
        <v>7</v>
      </c>
      <c r="F58" s="122"/>
      <c r="G58" s="27" t="s">
        <v>312</v>
      </c>
      <c r="H58" s="27">
        <v>5</v>
      </c>
      <c r="I58">
        <f t="shared" si="64"/>
        <v>2007</v>
      </c>
      <c r="L58" s="27" t="s">
        <v>313</v>
      </c>
      <c r="M58" s="27" t="s">
        <v>313</v>
      </c>
      <c r="N58" s="27" t="s">
        <v>313</v>
      </c>
      <c r="O58" s="27" t="s">
        <v>313</v>
      </c>
      <c r="P58" s="29">
        <v>1513</v>
      </c>
      <c r="Q58" s="29"/>
      <c r="R58" s="29">
        <f t="shared" si="65"/>
        <v>1513</v>
      </c>
      <c r="S58" s="115">
        <f t="shared" si="66"/>
        <v>25.216666666666669</v>
      </c>
      <c r="T58" s="115">
        <f t="shared" si="67"/>
        <v>0</v>
      </c>
      <c r="U58" s="115">
        <f t="shared" si="68"/>
        <v>0</v>
      </c>
      <c r="V58" s="115">
        <f t="shared" si="69"/>
        <v>0</v>
      </c>
      <c r="W58" s="124">
        <v>1</v>
      </c>
      <c r="X58" s="115">
        <f t="shared" si="70"/>
        <v>0</v>
      </c>
      <c r="Y58" s="113"/>
      <c r="Z58" s="115">
        <f t="shared" si="71"/>
        <v>1513</v>
      </c>
      <c r="AA58" s="115">
        <f t="shared" si="72"/>
        <v>1513</v>
      </c>
      <c r="AB58" s="121">
        <v>1</v>
      </c>
      <c r="AC58" s="115">
        <f t="shared" si="73"/>
        <v>1513</v>
      </c>
      <c r="AD58" s="115">
        <f t="shared" si="74"/>
        <v>1513</v>
      </c>
      <c r="AE58" s="115">
        <f t="shared" si="75"/>
        <v>0</v>
      </c>
      <c r="AF58" s="115">
        <f t="shared" si="76"/>
        <v>2002.5</v>
      </c>
      <c r="AG58" s="115">
        <f t="shared" si="77"/>
        <v>2019.75</v>
      </c>
      <c r="AH58" s="115">
        <f t="shared" si="78"/>
        <v>2007.5</v>
      </c>
      <c r="AI58" s="117">
        <f t="shared" si="79"/>
        <v>2018.75</v>
      </c>
      <c r="AJ58" s="117">
        <f t="shared" si="80"/>
        <v>-8.3333333333333329E-2</v>
      </c>
      <c r="AK58" s="117">
        <f t="shared" si="81"/>
        <v>2007.5</v>
      </c>
      <c r="AL58" s="117">
        <f t="shared" si="82"/>
        <v>2018.75</v>
      </c>
      <c r="AM58" s="117">
        <f t="shared" si="83"/>
        <v>-8.3333333333333329E-2</v>
      </c>
    </row>
    <row r="59" spans="1:39" x14ac:dyDescent="0.25">
      <c r="A59">
        <v>51</v>
      </c>
      <c r="B59" t="s">
        <v>351</v>
      </c>
      <c r="C59" t="s">
        <v>311</v>
      </c>
      <c r="D59" s="27">
        <v>2002</v>
      </c>
      <c r="E59" s="27">
        <v>9</v>
      </c>
      <c r="F59" s="122"/>
      <c r="G59" s="27" t="s">
        <v>312</v>
      </c>
      <c r="H59" s="27">
        <v>5</v>
      </c>
      <c r="I59">
        <f t="shared" si="64"/>
        <v>2007</v>
      </c>
      <c r="L59" s="27" t="s">
        <v>313</v>
      </c>
      <c r="M59" s="27" t="s">
        <v>313</v>
      </c>
      <c r="N59" s="27" t="s">
        <v>313</v>
      </c>
      <c r="O59" s="27" t="s">
        <v>313</v>
      </c>
      <c r="P59" s="29">
        <v>13982</v>
      </c>
      <c r="Q59" s="29"/>
      <c r="R59" s="29">
        <f t="shared" si="65"/>
        <v>13982</v>
      </c>
      <c r="S59" s="115">
        <f t="shared" si="66"/>
        <v>233.03333333333333</v>
      </c>
      <c r="T59" s="115">
        <f t="shared" si="67"/>
        <v>0</v>
      </c>
      <c r="U59" s="115">
        <f t="shared" si="68"/>
        <v>0</v>
      </c>
      <c r="V59" s="115">
        <f t="shared" si="69"/>
        <v>0</v>
      </c>
      <c r="W59" s="124">
        <v>1</v>
      </c>
      <c r="X59" s="115">
        <f t="shared" si="70"/>
        <v>0</v>
      </c>
      <c r="Y59" s="113"/>
      <c r="Z59" s="115">
        <f t="shared" si="71"/>
        <v>13982</v>
      </c>
      <c r="AA59" s="115">
        <f t="shared" si="72"/>
        <v>13982</v>
      </c>
      <c r="AB59" s="121">
        <v>1</v>
      </c>
      <c r="AC59" s="115">
        <f t="shared" si="73"/>
        <v>13982</v>
      </c>
      <c r="AD59" s="115">
        <f t="shared" si="74"/>
        <v>13982</v>
      </c>
      <c r="AE59" s="115">
        <f t="shared" si="75"/>
        <v>0</v>
      </c>
      <c r="AF59" s="115">
        <f t="shared" si="76"/>
        <v>2002.6666666666667</v>
      </c>
      <c r="AG59" s="115">
        <f t="shared" si="77"/>
        <v>2019.75</v>
      </c>
      <c r="AH59" s="115">
        <f t="shared" si="78"/>
        <v>2007.6666666666667</v>
      </c>
      <c r="AI59" s="117">
        <f t="shared" si="79"/>
        <v>2018.75</v>
      </c>
      <c r="AJ59" s="117">
        <f t="shared" si="80"/>
        <v>-8.3333333333333329E-2</v>
      </c>
      <c r="AK59" s="117">
        <f t="shared" si="81"/>
        <v>2007.6666666666667</v>
      </c>
      <c r="AL59" s="117">
        <f t="shared" si="82"/>
        <v>2018.75</v>
      </c>
      <c r="AM59" s="117">
        <f t="shared" si="83"/>
        <v>-8.3333333333333329E-2</v>
      </c>
    </row>
    <row r="60" spans="1:39" x14ac:dyDescent="0.25">
      <c r="A60">
        <v>52</v>
      </c>
      <c r="B60" t="s">
        <v>352</v>
      </c>
      <c r="C60" t="s">
        <v>311</v>
      </c>
      <c r="D60" s="27">
        <v>2003</v>
      </c>
      <c r="E60" s="27">
        <v>8</v>
      </c>
      <c r="F60" s="122"/>
      <c r="G60" s="27" t="s">
        <v>312</v>
      </c>
      <c r="H60" s="27">
        <v>10</v>
      </c>
      <c r="I60">
        <f t="shared" si="64"/>
        <v>2013</v>
      </c>
      <c r="L60" s="27" t="s">
        <v>313</v>
      </c>
      <c r="M60" s="27" t="s">
        <v>313</v>
      </c>
      <c r="N60" s="27" t="s">
        <v>313</v>
      </c>
      <c r="O60" s="27" t="s">
        <v>313</v>
      </c>
      <c r="P60" s="29">
        <v>21498</v>
      </c>
      <c r="Q60" s="29"/>
      <c r="R60" s="29">
        <f t="shared" si="65"/>
        <v>21498</v>
      </c>
      <c r="S60" s="115">
        <f t="shared" si="66"/>
        <v>179.15</v>
      </c>
      <c r="T60" s="115">
        <f t="shared" si="67"/>
        <v>0</v>
      </c>
      <c r="U60" s="115">
        <f t="shared" si="68"/>
        <v>0</v>
      </c>
      <c r="V60" s="115">
        <f t="shared" si="69"/>
        <v>0</v>
      </c>
      <c r="W60" s="124">
        <v>1</v>
      </c>
      <c r="X60" s="115">
        <f t="shared" si="70"/>
        <v>0</v>
      </c>
      <c r="Y60" s="113"/>
      <c r="Z60" s="115">
        <f t="shared" si="71"/>
        <v>21498</v>
      </c>
      <c r="AA60" s="115">
        <f t="shared" si="72"/>
        <v>21498</v>
      </c>
      <c r="AB60" s="123">
        <v>1</v>
      </c>
      <c r="AC60" s="115">
        <f t="shared" si="73"/>
        <v>21498</v>
      </c>
      <c r="AD60" s="115">
        <f t="shared" si="74"/>
        <v>21498</v>
      </c>
      <c r="AE60" s="115">
        <f t="shared" si="75"/>
        <v>0</v>
      </c>
      <c r="AF60" s="115">
        <f t="shared" si="76"/>
        <v>2003.5833333333333</v>
      </c>
      <c r="AG60" s="115">
        <f t="shared" si="77"/>
        <v>2019.75</v>
      </c>
      <c r="AH60" s="115">
        <f t="shared" si="78"/>
        <v>2013.5833333333333</v>
      </c>
      <c r="AI60" s="117">
        <f t="shared" si="79"/>
        <v>2018.75</v>
      </c>
      <c r="AJ60" s="117">
        <f t="shared" si="80"/>
        <v>-8.3333333333333329E-2</v>
      </c>
      <c r="AK60" s="117">
        <f t="shared" si="81"/>
        <v>2013.5833333333333</v>
      </c>
      <c r="AL60" s="117">
        <f t="shared" si="82"/>
        <v>2018.75</v>
      </c>
      <c r="AM60" s="117">
        <f t="shared" si="83"/>
        <v>-8.3333333333333329E-2</v>
      </c>
    </row>
    <row r="61" spans="1:39" x14ac:dyDescent="0.25">
      <c r="A61">
        <v>54</v>
      </c>
      <c r="B61" t="s">
        <v>334</v>
      </c>
      <c r="C61" t="s">
        <v>311</v>
      </c>
      <c r="D61" s="27">
        <v>1996</v>
      </c>
      <c r="E61" s="27">
        <v>11</v>
      </c>
      <c r="F61" s="122"/>
      <c r="G61" s="27" t="s">
        <v>312</v>
      </c>
      <c r="H61" s="27">
        <v>7</v>
      </c>
      <c r="I61">
        <f t="shared" si="64"/>
        <v>2003</v>
      </c>
      <c r="L61" s="27" t="s">
        <v>313</v>
      </c>
      <c r="M61" s="27" t="s">
        <v>313</v>
      </c>
      <c r="N61" s="27" t="s">
        <v>313</v>
      </c>
      <c r="O61" s="27" t="s">
        <v>313</v>
      </c>
      <c r="P61" s="29">
        <v>5140</v>
      </c>
      <c r="Q61" s="29"/>
      <c r="R61" s="29">
        <f t="shared" si="65"/>
        <v>5140</v>
      </c>
      <c r="S61" s="115">
        <f t="shared" si="66"/>
        <v>61.190476190476197</v>
      </c>
      <c r="T61" s="115">
        <f t="shared" si="67"/>
        <v>0</v>
      </c>
      <c r="U61" s="115">
        <f t="shared" si="68"/>
        <v>0</v>
      </c>
      <c r="V61" s="115">
        <f t="shared" si="69"/>
        <v>0</v>
      </c>
      <c r="W61" s="124">
        <v>1</v>
      </c>
      <c r="X61" s="115">
        <f t="shared" si="70"/>
        <v>0</v>
      </c>
      <c r="Y61" s="113"/>
      <c r="Z61" s="115">
        <f t="shared" si="71"/>
        <v>5140</v>
      </c>
      <c r="AA61" s="115">
        <f t="shared" si="72"/>
        <v>5140</v>
      </c>
      <c r="AB61" s="121">
        <v>1</v>
      </c>
      <c r="AC61" s="115">
        <f t="shared" si="73"/>
        <v>5140</v>
      </c>
      <c r="AD61" s="115">
        <f t="shared" si="74"/>
        <v>5140</v>
      </c>
      <c r="AE61" s="115">
        <f t="shared" si="75"/>
        <v>0</v>
      </c>
      <c r="AF61" s="115">
        <f t="shared" si="76"/>
        <v>1996.8333333333333</v>
      </c>
      <c r="AG61" s="115">
        <f t="shared" si="77"/>
        <v>2019.75</v>
      </c>
      <c r="AH61" s="115">
        <f t="shared" si="78"/>
        <v>2003.8333333333333</v>
      </c>
      <c r="AI61" s="117">
        <f t="shared" si="79"/>
        <v>2018.75</v>
      </c>
      <c r="AJ61" s="117">
        <f t="shared" si="80"/>
        <v>-8.3333333333333329E-2</v>
      </c>
      <c r="AK61" s="117">
        <f t="shared" si="81"/>
        <v>2003.8333333333333</v>
      </c>
      <c r="AL61" s="117">
        <f t="shared" si="82"/>
        <v>2018.75</v>
      </c>
      <c r="AM61" s="117">
        <f t="shared" si="83"/>
        <v>-8.3333333333333329E-2</v>
      </c>
    </row>
    <row r="62" spans="1:39" x14ac:dyDescent="0.25">
      <c r="A62">
        <v>79</v>
      </c>
      <c r="B62" t="s">
        <v>353</v>
      </c>
      <c r="C62" t="s">
        <v>311</v>
      </c>
      <c r="D62" s="27">
        <v>2009</v>
      </c>
      <c r="E62" s="27">
        <v>10</v>
      </c>
      <c r="F62" s="122"/>
      <c r="G62" s="27" t="s">
        <v>312</v>
      </c>
      <c r="H62" s="27">
        <v>7</v>
      </c>
      <c r="I62">
        <f t="shared" si="64"/>
        <v>2016</v>
      </c>
      <c r="L62" s="27" t="s">
        <v>313</v>
      </c>
      <c r="M62" s="27" t="s">
        <v>313</v>
      </c>
      <c r="N62" s="27" t="s">
        <v>313</v>
      </c>
      <c r="O62" s="27" t="s">
        <v>313</v>
      </c>
      <c r="P62" s="29">
        <v>3172</v>
      </c>
      <c r="Q62" s="29"/>
      <c r="R62" s="29">
        <f t="shared" si="65"/>
        <v>3172</v>
      </c>
      <c r="S62" s="115">
        <f t="shared" si="66"/>
        <v>37.761904761904766</v>
      </c>
      <c r="T62" s="115">
        <f t="shared" si="67"/>
        <v>0</v>
      </c>
      <c r="U62" s="115">
        <f t="shared" si="68"/>
        <v>0</v>
      </c>
      <c r="V62" s="115">
        <f t="shared" si="69"/>
        <v>0</v>
      </c>
      <c r="W62" s="124">
        <v>1</v>
      </c>
      <c r="X62" s="115">
        <f t="shared" si="70"/>
        <v>0</v>
      </c>
      <c r="Y62" s="113"/>
      <c r="Z62" s="115">
        <f t="shared" si="71"/>
        <v>3172</v>
      </c>
      <c r="AA62" s="115">
        <f t="shared" si="72"/>
        <v>3172</v>
      </c>
      <c r="AB62" s="121">
        <v>1</v>
      </c>
      <c r="AC62" s="115">
        <f t="shared" si="73"/>
        <v>3172</v>
      </c>
      <c r="AD62" s="115">
        <f t="shared" si="74"/>
        <v>3172</v>
      </c>
      <c r="AE62" s="115">
        <f t="shared" si="75"/>
        <v>0</v>
      </c>
      <c r="AF62" s="115">
        <f t="shared" si="76"/>
        <v>2009.75</v>
      </c>
      <c r="AG62" s="115">
        <f t="shared" si="77"/>
        <v>2019.75</v>
      </c>
      <c r="AH62" s="115">
        <f t="shared" si="78"/>
        <v>2016.75</v>
      </c>
      <c r="AI62" s="117">
        <f t="shared" si="79"/>
        <v>2018.75</v>
      </c>
      <c r="AJ62" s="117">
        <f t="shared" si="80"/>
        <v>-8.3333333333333329E-2</v>
      </c>
      <c r="AK62" s="117">
        <f t="shared" si="81"/>
        <v>2016.75</v>
      </c>
      <c r="AL62" s="117">
        <f t="shared" si="82"/>
        <v>2018.75</v>
      </c>
      <c r="AM62" s="117">
        <f t="shared" si="83"/>
        <v>-8.3333333333333329E-2</v>
      </c>
    </row>
    <row r="63" spans="1:39" x14ac:dyDescent="0.25">
      <c r="A63">
        <v>80</v>
      </c>
      <c r="B63" t="s">
        <v>354</v>
      </c>
      <c r="C63" t="s">
        <v>311</v>
      </c>
      <c r="D63" s="27">
        <v>2009</v>
      </c>
      <c r="E63" s="27">
        <v>11</v>
      </c>
      <c r="F63" s="122"/>
      <c r="G63" s="27" t="s">
        <v>312</v>
      </c>
      <c r="H63" s="27">
        <v>7</v>
      </c>
      <c r="I63">
        <f t="shared" si="64"/>
        <v>2016</v>
      </c>
      <c r="L63" s="27" t="s">
        <v>313</v>
      </c>
      <c r="M63" s="27" t="s">
        <v>313</v>
      </c>
      <c r="N63" s="27" t="s">
        <v>313</v>
      </c>
      <c r="O63" s="27" t="s">
        <v>313</v>
      </c>
      <c r="P63" s="29">
        <v>4758</v>
      </c>
      <c r="Q63" s="29"/>
      <c r="R63" s="29">
        <f t="shared" si="65"/>
        <v>4758</v>
      </c>
      <c r="S63" s="115">
        <f t="shared" si="66"/>
        <v>56.642857142857139</v>
      </c>
      <c r="T63" s="115">
        <f t="shared" si="67"/>
        <v>0</v>
      </c>
      <c r="U63" s="115">
        <f t="shared" si="68"/>
        <v>0</v>
      </c>
      <c r="V63" s="115">
        <f t="shared" si="69"/>
        <v>0</v>
      </c>
      <c r="W63" s="124">
        <v>1</v>
      </c>
      <c r="X63" s="115">
        <f t="shared" si="70"/>
        <v>0</v>
      </c>
      <c r="Y63" s="113"/>
      <c r="Z63" s="115">
        <f t="shared" si="71"/>
        <v>4758</v>
      </c>
      <c r="AA63" s="115">
        <f t="shared" si="72"/>
        <v>4758</v>
      </c>
      <c r="AB63" s="121">
        <v>1</v>
      </c>
      <c r="AC63" s="115">
        <f t="shared" si="73"/>
        <v>4758</v>
      </c>
      <c r="AD63" s="115">
        <f t="shared" si="74"/>
        <v>4758</v>
      </c>
      <c r="AE63" s="115">
        <f t="shared" si="75"/>
        <v>0</v>
      </c>
      <c r="AF63" s="115">
        <f t="shared" si="76"/>
        <v>2009.8333333333333</v>
      </c>
      <c r="AG63" s="115">
        <f t="shared" si="77"/>
        <v>2019.75</v>
      </c>
      <c r="AH63" s="115">
        <f t="shared" si="78"/>
        <v>2016.8333333333333</v>
      </c>
      <c r="AI63" s="117">
        <f t="shared" si="79"/>
        <v>2018.75</v>
      </c>
      <c r="AJ63" s="117">
        <f t="shared" si="80"/>
        <v>-8.3333333333333329E-2</v>
      </c>
      <c r="AK63" s="117">
        <f t="shared" si="81"/>
        <v>2016.8333333333333</v>
      </c>
      <c r="AL63" s="117">
        <f t="shared" si="82"/>
        <v>2018.75</v>
      </c>
      <c r="AM63" s="117">
        <f t="shared" si="83"/>
        <v>-8.3333333333333329E-2</v>
      </c>
    </row>
    <row r="64" spans="1:39" x14ac:dyDescent="0.25">
      <c r="A64">
        <v>95</v>
      </c>
      <c r="B64" t="s">
        <v>355</v>
      </c>
      <c r="C64" t="s">
        <v>311</v>
      </c>
      <c r="D64" s="27">
        <v>2009</v>
      </c>
      <c r="E64" s="27">
        <v>5</v>
      </c>
      <c r="F64" s="122"/>
      <c r="G64" s="27" t="s">
        <v>312</v>
      </c>
      <c r="H64" s="27">
        <v>7</v>
      </c>
      <c r="I64">
        <f t="shared" si="64"/>
        <v>2016</v>
      </c>
      <c r="L64" s="27" t="s">
        <v>313</v>
      </c>
      <c r="M64" s="27" t="s">
        <v>313</v>
      </c>
      <c r="N64" s="27" t="s">
        <v>313</v>
      </c>
      <c r="O64" s="27" t="s">
        <v>313</v>
      </c>
      <c r="P64" s="29">
        <v>3900</v>
      </c>
      <c r="Q64" s="29"/>
      <c r="R64" s="29">
        <f t="shared" si="65"/>
        <v>3900</v>
      </c>
      <c r="S64" s="115">
        <f t="shared" si="66"/>
        <v>46.428571428571423</v>
      </c>
      <c r="T64" s="115">
        <f t="shared" si="67"/>
        <v>0</v>
      </c>
      <c r="U64" s="115">
        <f t="shared" si="68"/>
        <v>0</v>
      </c>
      <c r="V64" s="115">
        <f t="shared" si="69"/>
        <v>0</v>
      </c>
      <c r="W64" s="124">
        <v>1</v>
      </c>
      <c r="X64" s="115">
        <f t="shared" si="70"/>
        <v>0</v>
      </c>
      <c r="Y64" s="113"/>
      <c r="Z64" s="115">
        <f t="shared" si="71"/>
        <v>3900</v>
      </c>
      <c r="AA64" s="115">
        <f t="shared" si="72"/>
        <v>3900</v>
      </c>
      <c r="AB64" s="121">
        <v>1</v>
      </c>
      <c r="AC64" s="115">
        <f t="shared" si="73"/>
        <v>3900</v>
      </c>
      <c r="AD64" s="115">
        <f t="shared" si="74"/>
        <v>3900</v>
      </c>
      <c r="AE64" s="115">
        <f t="shared" si="75"/>
        <v>0</v>
      </c>
      <c r="AF64" s="115">
        <f t="shared" si="76"/>
        <v>2009.3333333333333</v>
      </c>
      <c r="AG64" s="115">
        <f t="shared" si="77"/>
        <v>2019.75</v>
      </c>
      <c r="AH64" s="115">
        <f t="shared" si="78"/>
        <v>2016.3333333333333</v>
      </c>
      <c r="AI64" s="117">
        <f t="shared" si="79"/>
        <v>2018.75</v>
      </c>
      <c r="AJ64" s="117">
        <f t="shared" si="80"/>
        <v>-8.3333333333333329E-2</v>
      </c>
      <c r="AK64" s="117">
        <f t="shared" si="81"/>
        <v>2016.3333333333333</v>
      </c>
      <c r="AL64" s="117">
        <f t="shared" si="82"/>
        <v>2018.75</v>
      </c>
      <c r="AM64" s="117">
        <f t="shared" si="83"/>
        <v>-8.3333333333333329E-2</v>
      </c>
    </row>
    <row r="65" spans="1:39" x14ac:dyDescent="0.25">
      <c r="A65">
        <v>98</v>
      </c>
      <c r="B65" t="s">
        <v>356</v>
      </c>
      <c r="C65" t="s">
        <v>311</v>
      </c>
      <c r="D65" s="27">
        <v>2009</v>
      </c>
      <c r="E65" s="27">
        <v>7</v>
      </c>
      <c r="F65" s="122"/>
      <c r="G65" s="27" t="s">
        <v>312</v>
      </c>
      <c r="H65" s="27">
        <v>7</v>
      </c>
      <c r="I65">
        <f t="shared" si="64"/>
        <v>2016</v>
      </c>
      <c r="L65" s="27" t="s">
        <v>313</v>
      </c>
      <c r="M65" s="27" t="s">
        <v>313</v>
      </c>
      <c r="N65" s="27" t="s">
        <v>313</v>
      </c>
      <c r="O65" s="27" t="s">
        <v>313</v>
      </c>
      <c r="P65" s="29">
        <v>6023</v>
      </c>
      <c r="Q65" s="29"/>
      <c r="R65" s="29">
        <f t="shared" si="65"/>
        <v>6023</v>
      </c>
      <c r="S65" s="115">
        <f t="shared" si="66"/>
        <v>71.702380952380949</v>
      </c>
      <c r="T65" s="115">
        <f t="shared" si="67"/>
        <v>0</v>
      </c>
      <c r="U65" s="115">
        <f t="shared" si="68"/>
        <v>0</v>
      </c>
      <c r="V65" s="115">
        <f t="shared" si="69"/>
        <v>0</v>
      </c>
      <c r="W65" s="124">
        <v>1</v>
      </c>
      <c r="X65" s="115">
        <f t="shared" si="70"/>
        <v>0</v>
      </c>
      <c r="Y65" s="113"/>
      <c r="Z65" s="115">
        <f t="shared" si="71"/>
        <v>6023</v>
      </c>
      <c r="AA65" s="115">
        <f t="shared" si="72"/>
        <v>6023</v>
      </c>
      <c r="AB65" s="121">
        <v>1</v>
      </c>
      <c r="AC65" s="115">
        <f t="shared" si="73"/>
        <v>6023</v>
      </c>
      <c r="AD65" s="115">
        <f t="shared" si="74"/>
        <v>6023</v>
      </c>
      <c r="AE65" s="115">
        <f t="shared" si="75"/>
        <v>0</v>
      </c>
      <c r="AF65" s="115">
        <f t="shared" si="76"/>
        <v>2009.5</v>
      </c>
      <c r="AG65" s="115">
        <f t="shared" si="77"/>
        <v>2019.75</v>
      </c>
      <c r="AH65" s="115">
        <f t="shared" si="78"/>
        <v>2016.5</v>
      </c>
      <c r="AI65" s="117">
        <f t="shared" si="79"/>
        <v>2018.75</v>
      </c>
      <c r="AJ65" s="117">
        <f t="shared" si="80"/>
        <v>-8.3333333333333329E-2</v>
      </c>
      <c r="AK65" s="117">
        <f t="shared" si="81"/>
        <v>2016.5</v>
      </c>
      <c r="AL65" s="117">
        <f t="shared" si="82"/>
        <v>2018.75</v>
      </c>
      <c r="AM65" s="117">
        <f t="shared" si="83"/>
        <v>-8.3333333333333329E-2</v>
      </c>
    </row>
    <row r="66" spans="1:39" x14ac:dyDescent="0.25">
      <c r="A66">
        <v>104</v>
      </c>
      <c r="B66" t="s">
        <v>357</v>
      </c>
      <c r="C66" t="s">
        <v>311</v>
      </c>
      <c r="D66" s="27">
        <v>2010</v>
      </c>
      <c r="E66" s="27">
        <v>1</v>
      </c>
      <c r="F66" s="122"/>
      <c r="G66" s="27" t="s">
        <v>312</v>
      </c>
      <c r="H66" s="27">
        <v>7</v>
      </c>
      <c r="I66">
        <f t="shared" si="64"/>
        <v>2017</v>
      </c>
      <c r="L66" s="27" t="s">
        <v>313</v>
      </c>
      <c r="M66" s="27" t="s">
        <v>313</v>
      </c>
      <c r="N66" s="27" t="s">
        <v>313</v>
      </c>
      <c r="O66" s="27" t="s">
        <v>313</v>
      </c>
      <c r="P66" s="29">
        <v>3172</v>
      </c>
      <c r="Q66" s="29"/>
      <c r="R66" s="29">
        <f t="shared" si="65"/>
        <v>3172</v>
      </c>
      <c r="S66" s="115">
        <f t="shared" si="66"/>
        <v>37.761904761904766</v>
      </c>
      <c r="T66" s="115">
        <f t="shared" si="67"/>
        <v>0</v>
      </c>
      <c r="U66" s="115">
        <f t="shared" si="68"/>
        <v>0</v>
      </c>
      <c r="V66" s="115">
        <f t="shared" si="69"/>
        <v>0</v>
      </c>
      <c r="W66" s="124">
        <v>1</v>
      </c>
      <c r="X66" s="115">
        <f t="shared" si="70"/>
        <v>0</v>
      </c>
      <c r="Y66" s="113"/>
      <c r="Z66" s="115">
        <f t="shared" si="71"/>
        <v>3172</v>
      </c>
      <c r="AA66" s="115">
        <f t="shared" si="72"/>
        <v>3172</v>
      </c>
      <c r="AB66" s="121">
        <v>1</v>
      </c>
      <c r="AC66" s="115">
        <f t="shared" si="73"/>
        <v>3172</v>
      </c>
      <c r="AD66" s="115">
        <f t="shared" si="74"/>
        <v>3172</v>
      </c>
      <c r="AE66" s="115">
        <f t="shared" si="75"/>
        <v>0</v>
      </c>
      <c r="AF66" s="115">
        <f t="shared" si="76"/>
        <v>2010</v>
      </c>
      <c r="AG66" s="115">
        <f t="shared" si="77"/>
        <v>2019.75</v>
      </c>
      <c r="AH66" s="115">
        <f t="shared" si="78"/>
        <v>2017</v>
      </c>
      <c r="AI66" s="117">
        <f t="shared" si="79"/>
        <v>2018.75</v>
      </c>
      <c r="AJ66" s="117">
        <f t="shared" si="80"/>
        <v>-8.3333333333333329E-2</v>
      </c>
      <c r="AK66" s="117">
        <f t="shared" si="81"/>
        <v>2017</v>
      </c>
      <c r="AL66" s="117">
        <f t="shared" si="82"/>
        <v>2018.75</v>
      </c>
      <c r="AM66" s="117">
        <f t="shared" si="83"/>
        <v>-8.3333333333333329E-2</v>
      </c>
    </row>
    <row r="67" spans="1:39" x14ac:dyDescent="0.25">
      <c r="A67">
        <v>105</v>
      </c>
      <c r="B67" t="s">
        <v>358</v>
      </c>
      <c r="C67" t="s">
        <v>311</v>
      </c>
      <c r="D67" s="27">
        <v>2010</v>
      </c>
      <c r="E67" s="27">
        <v>1</v>
      </c>
      <c r="F67" s="122"/>
      <c r="G67" s="27" t="s">
        <v>312</v>
      </c>
      <c r="H67" s="27">
        <v>7</v>
      </c>
      <c r="I67">
        <f t="shared" si="64"/>
        <v>2017</v>
      </c>
      <c r="L67" s="27" t="s">
        <v>313</v>
      </c>
      <c r="M67" s="27" t="s">
        <v>313</v>
      </c>
      <c r="N67" s="27" t="s">
        <v>313</v>
      </c>
      <c r="O67" s="27" t="s">
        <v>313</v>
      </c>
      <c r="P67" s="29">
        <v>4758</v>
      </c>
      <c r="Q67" s="29"/>
      <c r="R67" s="29">
        <f t="shared" si="65"/>
        <v>4758</v>
      </c>
      <c r="S67" s="115">
        <f t="shared" si="66"/>
        <v>56.642857142857139</v>
      </c>
      <c r="T67" s="115">
        <f t="shared" si="67"/>
        <v>0</v>
      </c>
      <c r="U67" s="115">
        <f t="shared" si="68"/>
        <v>0</v>
      </c>
      <c r="V67" s="115">
        <f t="shared" si="69"/>
        <v>0</v>
      </c>
      <c r="W67" s="124">
        <v>1</v>
      </c>
      <c r="X67" s="115">
        <f t="shared" si="70"/>
        <v>0</v>
      </c>
      <c r="Y67" s="113"/>
      <c r="Z67" s="115">
        <f t="shared" si="71"/>
        <v>4758</v>
      </c>
      <c r="AA67" s="115">
        <f t="shared" si="72"/>
        <v>4758</v>
      </c>
      <c r="AB67" s="121">
        <v>1</v>
      </c>
      <c r="AC67" s="115">
        <f t="shared" si="73"/>
        <v>4758</v>
      </c>
      <c r="AD67" s="115">
        <f t="shared" si="74"/>
        <v>4758</v>
      </c>
      <c r="AE67" s="115">
        <f t="shared" si="75"/>
        <v>0</v>
      </c>
      <c r="AF67" s="115">
        <f t="shared" si="76"/>
        <v>2010</v>
      </c>
      <c r="AG67" s="115">
        <f t="shared" si="77"/>
        <v>2019.75</v>
      </c>
      <c r="AH67" s="115">
        <f t="shared" si="78"/>
        <v>2017</v>
      </c>
      <c r="AI67" s="117">
        <f t="shared" si="79"/>
        <v>2018.75</v>
      </c>
      <c r="AJ67" s="117">
        <f t="shared" si="80"/>
        <v>-8.3333333333333329E-2</v>
      </c>
      <c r="AK67" s="117">
        <f t="shared" si="81"/>
        <v>2017</v>
      </c>
      <c r="AL67" s="117">
        <f t="shared" si="82"/>
        <v>2018.75</v>
      </c>
      <c r="AM67" s="117">
        <f t="shared" si="83"/>
        <v>-8.3333333333333329E-2</v>
      </c>
    </row>
    <row r="68" spans="1:39" x14ac:dyDescent="0.25">
      <c r="A68">
        <v>120</v>
      </c>
      <c r="B68" t="s">
        <v>359</v>
      </c>
      <c r="C68" t="s">
        <v>311</v>
      </c>
      <c r="D68" s="27">
        <v>2011</v>
      </c>
      <c r="E68" s="27">
        <v>6</v>
      </c>
      <c r="F68" s="122"/>
      <c r="G68" s="27" t="s">
        <v>312</v>
      </c>
      <c r="H68" s="27">
        <v>7</v>
      </c>
      <c r="I68">
        <f t="shared" si="64"/>
        <v>2018</v>
      </c>
      <c r="L68" s="27" t="s">
        <v>313</v>
      </c>
      <c r="M68" s="27" t="s">
        <v>313</v>
      </c>
      <c r="N68" s="27" t="s">
        <v>313</v>
      </c>
      <c r="O68" s="27" t="s">
        <v>313</v>
      </c>
      <c r="P68" s="29">
        <v>1595</v>
      </c>
      <c r="Q68" s="29"/>
      <c r="R68" s="29">
        <f t="shared" si="65"/>
        <v>1595</v>
      </c>
      <c r="S68" s="115">
        <f t="shared" si="66"/>
        <v>18.988095238095237</v>
      </c>
      <c r="T68" s="115">
        <f t="shared" si="67"/>
        <v>0</v>
      </c>
      <c r="U68" s="115">
        <f t="shared" si="68"/>
        <v>0</v>
      </c>
      <c r="V68" s="115">
        <f t="shared" si="69"/>
        <v>0</v>
      </c>
      <c r="W68" s="124">
        <v>1</v>
      </c>
      <c r="X68" s="115">
        <f t="shared" si="70"/>
        <v>0</v>
      </c>
      <c r="Y68" s="113"/>
      <c r="Z68" s="115">
        <f t="shared" si="71"/>
        <v>1595</v>
      </c>
      <c r="AA68" s="115">
        <f t="shared" si="72"/>
        <v>1595</v>
      </c>
      <c r="AB68" s="121">
        <v>1</v>
      </c>
      <c r="AC68" s="115">
        <f t="shared" si="73"/>
        <v>1595</v>
      </c>
      <c r="AD68" s="115">
        <f t="shared" si="74"/>
        <v>1595</v>
      </c>
      <c r="AE68" s="115">
        <f t="shared" si="75"/>
        <v>0</v>
      </c>
      <c r="AF68" s="115">
        <f t="shared" si="76"/>
        <v>2011.4166666666667</v>
      </c>
      <c r="AG68" s="115">
        <f t="shared" si="77"/>
        <v>2019.75</v>
      </c>
      <c r="AH68" s="115">
        <f t="shared" si="78"/>
        <v>2018.4166666666667</v>
      </c>
      <c r="AI68" s="117">
        <f t="shared" si="79"/>
        <v>2018.75</v>
      </c>
      <c r="AJ68" s="117">
        <f t="shared" si="80"/>
        <v>-8.3333333333333329E-2</v>
      </c>
      <c r="AK68" s="117">
        <f t="shared" si="81"/>
        <v>2018.4166666666667</v>
      </c>
      <c r="AL68" s="117">
        <f t="shared" si="82"/>
        <v>2018.75</v>
      </c>
      <c r="AM68" s="117">
        <f t="shared" si="83"/>
        <v>-8.3333333333333329E-2</v>
      </c>
    </row>
    <row r="69" spans="1:39" x14ac:dyDescent="0.25">
      <c r="A69">
        <v>121</v>
      </c>
      <c r="B69" t="s">
        <v>359</v>
      </c>
      <c r="C69" t="s">
        <v>311</v>
      </c>
      <c r="D69" s="27">
        <v>2011</v>
      </c>
      <c r="E69" s="27">
        <v>7</v>
      </c>
      <c r="F69" s="122"/>
      <c r="G69" s="27" t="s">
        <v>312</v>
      </c>
      <c r="H69" s="27">
        <v>7</v>
      </c>
      <c r="I69">
        <f t="shared" si="64"/>
        <v>2018</v>
      </c>
      <c r="L69" s="27" t="s">
        <v>313</v>
      </c>
      <c r="M69" s="27" t="s">
        <v>313</v>
      </c>
      <c r="N69" s="27" t="s">
        <v>313</v>
      </c>
      <c r="O69" s="27" t="s">
        <v>313</v>
      </c>
      <c r="P69" s="29">
        <v>705</v>
      </c>
      <c r="Q69" s="29"/>
      <c r="R69" s="29">
        <f t="shared" si="65"/>
        <v>705</v>
      </c>
      <c r="S69" s="115">
        <f t="shared" si="66"/>
        <v>8.3928571428571423</v>
      </c>
      <c r="T69" s="115">
        <f t="shared" si="67"/>
        <v>0</v>
      </c>
      <c r="U69" s="115">
        <f t="shared" si="68"/>
        <v>0</v>
      </c>
      <c r="V69" s="115">
        <f t="shared" si="69"/>
        <v>0</v>
      </c>
      <c r="W69" s="124">
        <v>1</v>
      </c>
      <c r="X69" s="115">
        <f t="shared" si="70"/>
        <v>0</v>
      </c>
      <c r="Y69" s="113"/>
      <c r="Z69" s="115">
        <f t="shared" si="71"/>
        <v>705</v>
      </c>
      <c r="AA69" s="115">
        <f t="shared" si="72"/>
        <v>705</v>
      </c>
      <c r="AB69" s="121">
        <v>1</v>
      </c>
      <c r="AC69" s="115">
        <f t="shared" si="73"/>
        <v>705</v>
      </c>
      <c r="AD69" s="115">
        <f t="shared" si="74"/>
        <v>705</v>
      </c>
      <c r="AE69" s="115">
        <f t="shared" si="75"/>
        <v>0</v>
      </c>
      <c r="AF69" s="115">
        <f t="shared" si="76"/>
        <v>2011.5</v>
      </c>
      <c r="AG69" s="115">
        <f t="shared" si="77"/>
        <v>2019.75</v>
      </c>
      <c r="AH69" s="115">
        <f t="shared" si="78"/>
        <v>2018.5</v>
      </c>
      <c r="AI69" s="117">
        <f t="shared" si="79"/>
        <v>2018.75</v>
      </c>
      <c r="AJ69" s="117">
        <f t="shared" si="80"/>
        <v>-8.3333333333333329E-2</v>
      </c>
      <c r="AK69" s="117">
        <f t="shared" si="81"/>
        <v>2018.5</v>
      </c>
      <c r="AL69" s="117">
        <f t="shared" si="82"/>
        <v>2018.75</v>
      </c>
      <c r="AM69" s="117">
        <f t="shared" si="83"/>
        <v>-8.3333333333333329E-2</v>
      </c>
    </row>
    <row r="70" spans="1:39" x14ac:dyDescent="0.25">
      <c r="A70">
        <v>122</v>
      </c>
      <c r="B70" t="s">
        <v>360</v>
      </c>
      <c r="C70" t="s">
        <v>311</v>
      </c>
      <c r="D70" s="27">
        <v>2011</v>
      </c>
      <c r="E70" s="27">
        <v>8</v>
      </c>
      <c r="F70" s="122"/>
      <c r="G70" s="27" t="s">
        <v>312</v>
      </c>
      <c r="H70" s="27">
        <v>7</v>
      </c>
      <c r="I70">
        <f t="shared" si="64"/>
        <v>2018</v>
      </c>
      <c r="L70" s="27" t="s">
        <v>313</v>
      </c>
      <c r="M70" s="27" t="s">
        <v>313</v>
      </c>
      <c r="N70" s="27" t="s">
        <v>313</v>
      </c>
      <c r="O70" s="27" t="s">
        <v>313</v>
      </c>
      <c r="P70" s="29">
        <v>9209</v>
      </c>
      <c r="Q70" s="29"/>
      <c r="R70" s="29">
        <f t="shared" si="65"/>
        <v>9209</v>
      </c>
      <c r="S70" s="115">
        <f t="shared" si="66"/>
        <v>109.63095238095239</v>
      </c>
      <c r="T70" s="115">
        <f t="shared" si="67"/>
        <v>0</v>
      </c>
      <c r="U70" s="115">
        <f t="shared" si="68"/>
        <v>0</v>
      </c>
      <c r="V70" s="115">
        <f t="shared" si="69"/>
        <v>0</v>
      </c>
      <c r="W70" s="124">
        <v>1</v>
      </c>
      <c r="X70" s="115">
        <f t="shared" si="70"/>
        <v>0</v>
      </c>
      <c r="Y70" s="113"/>
      <c r="Z70" s="115">
        <f t="shared" si="71"/>
        <v>9209</v>
      </c>
      <c r="AA70" s="115">
        <f t="shared" si="72"/>
        <v>9209</v>
      </c>
      <c r="AB70" s="121">
        <v>1</v>
      </c>
      <c r="AC70" s="115">
        <f t="shared" si="73"/>
        <v>9209</v>
      </c>
      <c r="AD70" s="115">
        <f t="shared" si="74"/>
        <v>9209</v>
      </c>
      <c r="AE70" s="115">
        <f t="shared" si="75"/>
        <v>0</v>
      </c>
      <c r="AF70" s="115">
        <f t="shared" si="76"/>
        <v>2011.5833333333333</v>
      </c>
      <c r="AG70" s="115">
        <f t="shared" si="77"/>
        <v>2019.75</v>
      </c>
      <c r="AH70" s="115">
        <f t="shared" si="78"/>
        <v>2018.5833333333333</v>
      </c>
      <c r="AI70" s="117">
        <f t="shared" si="79"/>
        <v>2018.75</v>
      </c>
      <c r="AJ70" s="117">
        <f t="shared" si="80"/>
        <v>-8.3333333333333329E-2</v>
      </c>
      <c r="AK70" s="117">
        <f t="shared" si="81"/>
        <v>2018.5833333333333</v>
      </c>
      <c r="AL70" s="117">
        <f t="shared" si="82"/>
        <v>2018.75</v>
      </c>
      <c r="AM70" s="117">
        <f t="shared" si="83"/>
        <v>-8.3333333333333329E-2</v>
      </c>
    </row>
    <row r="71" spans="1:39" x14ac:dyDescent="0.25">
      <c r="A71">
        <v>133</v>
      </c>
      <c r="B71" t="s">
        <v>361</v>
      </c>
      <c r="C71" t="s">
        <v>311</v>
      </c>
      <c r="D71" s="27">
        <v>2011</v>
      </c>
      <c r="E71" s="27">
        <v>2</v>
      </c>
      <c r="F71" s="122"/>
      <c r="G71" s="27" t="s">
        <v>312</v>
      </c>
      <c r="H71" s="27">
        <v>5</v>
      </c>
      <c r="I71">
        <f t="shared" si="64"/>
        <v>2016</v>
      </c>
      <c r="L71" s="27" t="s">
        <v>313</v>
      </c>
      <c r="M71" s="27" t="s">
        <v>313</v>
      </c>
      <c r="N71" s="27" t="s">
        <v>313</v>
      </c>
      <c r="O71" s="27" t="s">
        <v>313</v>
      </c>
      <c r="P71" s="29">
        <v>3546</v>
      </c>
      <c r="Q71" s="29"/>
      <c r="R71" s="29">
        <f t="shared" si="65"/>
        <v>3546</v>
      </c>
      <c r="S71" s="115">
        <f t="shared" si="66"/>
        <v>59.1</v>
      </c>
      <c r="T71" s="115">
        <f t="shared" si="67"/>
        <v>0</v>
      </c>
      <c r="U71" s="115">
        <f t="shared" si="68"/>
        <v>0</v>
      </c>
      <c r="V71" s="115">
        <f t="shared" si="69"/>
        <v>0</v>
      </c>
      <c r="W71" s="124">
        <v>1</v>
      </c>
      <c r="X71" s="115">
        <f t="shared" si="70"/>
        <v>0</v>
      </c>
      <c r="Y71" s="113"/>
      <c r="Z71" s="115">
        <f t="shared" si="71"/>
        <v>3546</v>
      </c>
      <c r="AA71" s="115">
        <f t="shared" si="72"/>
        <v>3546</v>
      </c>
      <c r="AB71" s="121">
        <v>1</v>
      </c>
      <c r="AC71" s="115">
        <f t="shared" si="73"/>
        <v>3546</v>
      </c>
      <c r="AD71" s="115">
        <f t="shared" si="74"/>
        <v>3546</v>
      </c>
      <c r="AE71" s="115">
        <f t="shared" si="75"/>
        <v>0</v>
      </c>
      <c r="AF71" s="115">
        <f t="shared" si="76"/>
        <v>2011.0833333333333</v>
      </c>
      <c r="AG71" s="115">
        <f t="shared" si="77"/>
        <v>2019.75</v>
      </c>
      <c r="AH71" s="115">
        <f t="shared" si="78"/>
        <v>2016.0833333333333</v>
      </c>
      <c r="AI71" s="117">
        <f t="shared" si="79"/>
        <v>2018.75</v>
      </c>
      <c r="AJ71" s="117">
        <f t="shared" si="80"/>
        <v>-8.3333333333333329E-2</v>
      </c>
      <c r="AK71" s="117">
        <f t="shared" si="81"/>
        <v>2016.0833333333333</v>
      </c>
      <c r="AL71" s="117">
        <f t="shared" si="82"/>
        <v>2018.75</v>
      </c>
      <c r="AM71" s="117">
        <f t="shared" si="83"/>
        <v>-8.3333333333333329E-2</v>
      </c>
    </row>
    <row r="72" spans="1:39" x14ac:dyDescent="0.25">
      <c r="A72">
        <v>150</v>
      </c>
      <c r="B72" t="s">
        <v>362</v>
      </c>
      <c r="C72" t="s">
        <v>311</v>
      </c>
      <c r="D72" s="27">
        <v>2012</v>
      </c>
      <c r="E72" s="27">
        <v>10</v>
      </c>
      <c r="F72" s="122"/>
      <c r="G72" s="27" t="s">
        <v>312</v>
      </c>
      <c r="H72" s="27">
        <v>5</v>
      </c>
      <c r="I72">
        <f t="shared" si="64"/>
        <v>2017</v>
      </c>
      <c r="L72" s="27" t="s">
        <v>313</v>
      </c>
      <c r="M72" s="27" t="s">
        <v>313</v>
      </c>
      <c r="N72" s="27" t="s">
        <v>313</v>
      </c>
      <c r="O72" s="27" t="s">
        <v>313</v>
      </c>
      <c r="P72" s="29">
        <v>18017</v>
      </c>
      <c r="Q72" s="29"/>
      <c r="R72" s="29">
        <f t="shared" si="65"/>
        <v>18017</v>
      </c>
      <c r="S72" s="115">
        <f t="shared" si="66"/>
        <v>300.28333333333336</v>
      </c>
      <c r="T72" s="115">
        <f t="shared" si="67"/>
        <v>0</v>
      </c>
      <c r="U72" s="115">
        <f t="shared" si="68"/>
        <v>0</v>
      </c>
      <c r="V72" s="115">
        <f t="shared" si="69"/>
        <v>0</v>
      </c>
      <c r="W72" s="124">
        <v>1</v>
      </c>
      <c r="X72" s="115">
        <f t="shared" si="70"/>
        <v>0</v>
      </c>
      <c r="Y72" s="113"/>
      <c r="Z72" s="115">
        <f t="shared" si="71"/>
        <v>18017</v>
      </c>
      <c r="AA72" s="115">
        <f t="shared" si="72"/>
        <v>18017</v>
      </c>
      <c r="AB72" s="121">
        <v>1</v>
      </c>
      <c r="AC72" s="115">
        <f t="shared" si="73"/>
        <v>18017</v>
      </c>
      <c r="AD72" s="115">
        <f t="shared" si="74"/>
        <v>18017</v>
      </c>
      <c r="AE72" s="115">
        <f t="shared" si="75"/>
        <v>0</v>
      </c>
      <c r="AF72" s="115">
        <f t="shared" si="76"/>
        <v>2012.75</v>
      </c>
      <c r="AG72" s="115">
        <f t="shared" si="77"/>
        <v>2019.75</v>
      </c>
      <c r="AH72" s="115">
        <f t="shared" si="78"/>
        <v>2017.75</v>
      </c>
      <c r="AI72" s="117">
        <f t="shared" si="79"/>
        <v>2018.75</v>
      </c>
      <c r="AJ72" s="117">
        <f t="shared" si="80"/>
        <v>-8.3333333333333329E-2</v>
      </c>
      <c r="AK72" s="117">
        <f t="shared" si="81"/>
        <v>2017.75</v>
      </c>
      <c r="AL72" s="117">
        <f t="shared" si="82"/>
        <v>2018.75</v>
      </c>
      <c r="AM72" s="117">
        <f t="shared" si="83"/>
        <v>-8.3333333333333329E-2</v>
      </c>
    </row>
    <row r="73" spans="1:39" x14ac:dyDescent="0.25">
      <c r="A73">
        <v>164</v>
      </c>
      <c r="B73" t="s">
        <v>363</v>
      </c>
      <c r="C73" t="s">
        <v>311</v>
      </c>
      <c r="D73" s="27">
        <v>2012</v>
      </c>
      <c r="E73" s="27">
        <v>10</v>
      </c>
      <c r="F73" s="122"/>
      <c r="G73" s="27" t="s">
        <v>312</v>
      </c>
      <c r="H73" s="27">
        <v>7</v>
      </c>
      <c r="I73">
        <f t="shared" si="64"/>
        <v>2019</v>
      </c>
      <c r="L73" s="27" t="s">
        <v>313</v>
      </c>
      <c r="M73" s="27" t="s">
        <v>313</v>
      </c>
      <c r="N73" s="27" t="s">
        <v>313</v>
      </c>
      <c r="O73" s="27" t="s">
        <v>313</v>
      </c>
      <c r="P73" s="29">
        <v>8128</v>
      </c>
      <c r="Q73" s="29"/>
      <c r="R73" s="29">
        <f t="shared" si="65"/>
        <v>8128</v>
      </c>
      <c r="S73" s="115">
        <f t="shared" si="66"/>
        <v>96.761904761904759</v>
      </c>
      <c r="T73" s="115">
        <f t="shared" si="67"/>
        <v>1161.1428571428571</v>
      </c>
      <c r="U73" s="115">
        <f t="shared" si="68"/>
        <v>0</v>
      </c>
      <c r="V73" s="115">
        <f t="shared" si="69"/>
        <v>1161.1428571428571</v>
      </c>
      <c r="W73" s="124">
        <v>1</v>
      </c>
      <c r="X73" s="115">
        <f t="shared" si="70"/>
        <v>1161.1428571428571</v>
      </c>
      <c r="Y73" s="113"/>
      <c r="Z73" s="115">
        <f t="shared" si="71"/>
        <v>6966.8571428571431</v>
      </c>
      <c r="AA73" s="115">
        <f t="shared" si="72"/>
        <v>6966.8571428571431</v>
      </c>
      <c r="AB73" s="121">
        <v>1</v>
      </c>
      <c r="AC73" s="115">
        <f t="shared" si="73"/>
        <v>6966.8571428571431</v>
      </c>
      <c r="AD73" s="115">
        <f t="shared" si="74"/>
        <v>8128</v>
      </c>
      <c r="AE73" s="115">
        <f t="shared" si="75"/>
        <v>580.57142857142844</v>
      </c>
      <c r="AF73" s="115">
        <f t="shared" si="76"/>
        <v>2012.75</v>
      </c>
      <c r="AG73" s="115">
        <f t="shared" si="77"/>
        <v>2019.75</v>
      </c>
      <c r="AH73" s="115">
        <f t="shared" si="78"/>
        <v>2019.75</v>
      </c>
      <c r="AI73" s="117">
        <f t="shared" si="79"/>
        <v>2018.75</v>
      </c>
      <c r="AJ73" s="117">
        <f t="shared" si="80"/>
        <v>-8.3333333333333329E-2</v>
      </c>
      <c r="AK73" s="117">
        <f t="shared" si="81"/>
        <v>2019.75</v>
      </c>
      <c r="AL73" s="117">
        <f t="shared" si="82"/>
        <v>2018.75</v>
      </c>
      <c r="AM73" s="117">
        <f t="shared" si="83"/>
        <v>-8.3333333333333329E-2</v>
      </c>
    </row>
    <row r="74" spans="1:39" x14ac:dyDescent="0.25">
      <c r="A74">
        <v>167</v>
      </c>
      <c r="B74" t="s">
        <v>364</v>
      </c>
      <c r="C74" t="s">
        <v>311</v>
      </c>
      <c r="D74" s="27">
        <v>2012</v>
      </c>
      <c r="E74" s="27">
        <v>2</v>
      </c>
      <c r="F74" s="122"/>
      <c r="G74" s="27" t="s">
        <v>312</v>
      </c>
      <c r="H74" s="27">
        <v>7</v>
      </c>
      <c r="I74">
        <f t="shared" si="64"/>
        <v>2019</v>
      </c>
      <c r="L74" s="27" t="s">
        <v>313</v>
      </c>
      <c r="M74" s="27" t="s">
        <v>313</v>
      </c>
      <c r="N74" s="27" t="s">
        <v>313</v>
      </c>
      <c r="O74" s="27" t="s">
        <v>313</v>
      </c>
      <c r="P74" s="29">
        <v>10545</v>
      </c>
      <c r="Q74" s="29"/>
      <c r="R74" s="29">
        <f t="shared" si="65"/>
        <v>10545</v>
      </c>
      <c r="S74" s="115">
        <f t="shared" si="66"/>
        <v>125.53571428571428</v>
      </c>
      <c r="T74" s="115">
        <f t="shared" si="67"/>
        <v>502.14285714274291</v>
      </c>
      <c r="U74" s="115">
        <f t="shared" si="68"/>
        <v>0</v>
      </c>
      <c r="V74" s="115">
        <f t="shared" si="69"/>
        <v>502.14285714274291</v>
      </c>
      <c r="W74" s="124">
        <v>1</v>
      </c>
      <c r="X74" s="115">
        <f t="shared" si="70"/>
        <v>502.14285714274291</v>
      </c>
      <c r="Y74" s="113"/>
      <c r="Z74" s="115">
        <f t="shared" si="71"/>
        <v>10042.857142857258</v>
      </c>
      <c r="AA74" s="115">
        <f t="shared" si="72"/>
        <v>10042.857142857258</v>
      </c>
      <c r="AB74" s="121">
        <v>1</v>
      </c>
      <c r="AC74" s="115">
        <f t="shared" si="73"/>
        <v>10042.857142857258</v>
      </c>
      <c r="AD74" s="115">
        <f t="shared" si="74"/>
        <v>10545</v>
      </c>
      <c r="AE74" s="115">
        <f t="shared" si="75"/>
        <v>251.07142857137114</v>
      </c>
      <c r="AF74" s="115">
        <f t="shared" si="76"/>
        <v>2012.0833333333333</v>
      </c>
      <c r="AG74" s="115">
        <f t="shared" si="77"/>
        <v>2019.75</v>
      </c>
      <c r="AH74" s="115">
        <f t="shared" si="78"/>
        <v>2019.0833333333333</v>
      </c>
      <c r="AI74" s="117">
        <f t="shared" si="79"/>
        <v>2018.75</v>
      </c>
      <c r="AJ74" s="117">
        <f t="shared" si="80"/>
        <v>-8.3333333333333329E-2</v>
      </c>
      <c r="AK74" s="117">
        <f t="shared" si="81"/>
        <v>2019.0833333333333</v>
      </c>
      <c r="AL74" s="117">
        <f t="shared" si="82"/>
        <v>2018.75</v>
      </c>
      <c r="AM74" s="117">
        <f t="shared" si="83"/>
        <v>-8.3333333333333329E-2</v>
      </c>
    </row>
    <row r="75" spans="1:39" x14ac:dyDescent="0.25">
      <c r="A75">
        <v>171</v>
      </c>
      <c r="B75" t="s">
        <v>365</v>
      </c>
      <c r="C75" t="s">
        <v>311</v>
      </c>
      <c r="D75" s="27">
        <v>2012</v>
      </c>
      <c r="E75" s="27">
        <v>5</v>
      </c>
      <c r="F75" s="122"/>
      <c r="G75" s="27" t="s">
        <v>312</v>
      </c>
      <c r="H75" s="27">
        <v>7</v>
      </c>
      <c r="I75">
        <f t="shared" si="64"/>
        <v>2019</v>
      </c>
      <c r="L75" s="27" t="s">
        <v>313</v>
      </c>
      <c r="M75" s="27" t="s">
        <v>313</v>
      </c>
      <c r="N75" s="27" t="s">
        <v>313</v>
      </c>
      <c r="O75" s="27" t="s">
        <v>313</v>
      </c>
      <c r="P75" s="29">
        <v>1000</v>
      </c>
      <c r="Q75" s="29"/>
      <c r="R75" s="29">
        <f t="shared" si="65"/>
        <v>1000</v>
      </c>
      <c r="S75" s="115">
        <f t="shared" si="66"/>
        <v>11.904761904761905</v>
      </c>
      <c r="T75" s="115">
        <f t="shared" si="67"/>
        <v>83.333333333322514</v>
      </c>
      <c r="U75" s="115">
        <f t="shared" si="68"/>
        <v>0</v>
      </c>
      <c r="V75" s="115">
        <f t="shared" si="69"/>
        <v>83.333333333322514</v>
      </c>
      <c r="W75" s="124">
        <v>1</v>
      </c>
      <c r="X75" s="115">
        <f t="shared" si="70"/>
        <v>83.333333333322514</v>
      </c>
      <c r="Y75" s="113"/>
      <c r="Z75" s="115">
        <f t="shared" si="71"/>
        <v>916.66666666667743</v>
      </c>
      <c r="AA75" s="115">
        <f t="shared" si="72"/>
        <v>916.66666666667743</v>
      </c>
      <c r="AB75" s="121">
        <v>1</v>
      </c>
      <c r="AC75" s="115">
        <f t="shared" si="73"/>
        <v>916.66666666667743</v>
      </c>
      <c r="AD75" s="115">
        <f t="shared" si="74"/>
        <v>1000</v>
      </c>
      <c r="AE75" s="115">
        <f t="shared" si="75"/>
        <v>41.666666666661285</v>
      </c>
      <c r="AF75" s="115">
        <f t="shared" si="76"/>
        <v>2012.3333333333333</v>
      </c>
      <c r="AG75" s="115">
        <f t="shared" si="77"/>
        <v>2019.75</v>
      </c>
      <c r="AH75" s="115">
        <f t="shared" si="78"/>
        <v>2019.3333333333333</v>
      </c>
      <c r="AI75" s="117">
        <f t="shared" si="79"/>
        <v>2018.75</v>
      </c>
      <c r="AJ75" s="117">
        <f t="shared" si="80"/>
        <v>-8.3333333333333329E-2</v>
      </c>
      <c r="AK75" s="117">
        <f t="shared" si="81"/>
        <v>2019.3333333333333</v>
      </c>
      <c r="AL75" s="117">
        <f t="shared" si="82"/>
        <v>2018.75</v>
      </c>
      <c r="AM75" s="117">
        <f t="shared" si="83"/>
        <v>-8.3333333333333329E-2</v>
      </c>
    </row>
    <row r="76" spans="1:39" x14ac:dyDescent="0.25">
      <c r="A76">
        <v>173</v>
      </c>
      <c r="B76" t="s">
        <v>366</v>
      </c>
      <c r="C76" t="s">
        <v>311</v>
      </c>
      <c r="D76" s="27">
        <v>2013</v>
      </c>
      <c r="E76" s="27">
        <v>2</v>
      </c>
      <c r="F76" s="122"/>
      <c r="G76" s="27" t="s">
        <v>312</v>
      </c>
      <c r="H76" s="27">
        <v>7</v>
      </c>
      <c r="I76">
        <f t="shared" si="64"/>
        <v>2020</v>
      </c>
      <c r="L76" s="27" t="s">
        <v>313</v>
      </c>
      <c r="M76" s="27" t="s">
        <v>313</v>
      </c>
      <c r="N76" s="27" t="s">
        <v>313</v>
      </c>
      <c r="O76" s="27" t="s">
        <v>313</v>
      </c>
      <c r="P76" s="29">
        <v>6092.2</v>
      </c>
      <c r="Q76" s="29"/>
      <c r="R76" s="29">
        <f t="shared" si="65"/>
        <v>6092.2</v>
      </c>
      <c r="S76" s="115">
        <f t="shared" si="66"/>
        <v>72.526190476190479</v>
      </c>
      <c r="T76" s="115">
        <f t="shared" si="67"/>
        <v>870.31428571428569</v>
      </c>
      <c r="U76" s="115">
        <f t="shared" si="68"/>
        <v>0</v>
      </c>
      <c r="V76" s="115">
        <f t="shared" si="69"/>
        <v>870.31428571428569</v>
      </c>
      <c r="W76" s="124">
        <v>1</v>
      </c>
      <c r="X76" s="115">
        <f t="shared" si="70"/>
        <v>870.31428571428569</v>
      </c>
      <c r="Y76" s="113"/>
      <c r="Z76" s="115">
        <f t="shared" si="71"/>
        <v>4931.7809523810183</v>
      </c>
      <c r="AA76" s="115">
        <f t="shared" si="72"/>
        <v>4931.7809523810183</v>
      </c>
      <c r="AB76" s="121">
        <v>1</v>
      </c>
      <c r="AC76" s="115">
        <f t="shared" si="73"/>
        <v>4931.7809523810183</v>
      </c>
      <c r="AD76" s="115">
        <f t="shared" si="74"/>
        <v>5802.095238095304</v>
      </c>
      <c r="AE76" s="115">
        <f t="shared" si="75"/>
        <v>725.26190476183865</v>
      </c>
      <c r="AF76" s="115">
        <f t="shared" si="76"/>
        <v>2013.0833333333333</v>
      </c>
      <c r="AG76" s="115">
        <f t="shared" si="77"/>
        <v>2019.75</v>
      </c>
      <c r="AH76" s="115">
        <f t="shared" si="78"/>
        <v>2020.0833333333333</v>
      </c>
      <c r="AI76" s="117">
        <f t="shared" si="79"/>
        <v>2018.75</v>
      </c>
      <c r="AJ76" s="117">
        <f t="shared" si="80"/>
        <v>-8.3333333333333329E-2</v>
      </c>
      <c r="AK76" s="117">
        <f t="shared" si="81"/>
        <v>2020.0833333333333</v>
      </c>
      <c r="AL76" s="117">
        <f t="shared" si="82"/>
        <v>2018.75</v>
      </c>
      <c r="AM76" s="117">
        <f t="shared" si="83"/>
        <v>-8.3333333333333329E-2</v>
      </c>
    </row>
    <row r="77" spans="1:39" x14ac:dyDescent="0.25">
      <c r="A77">
        <v>178</v>
      </c>
      <c r="B77" t="s">
        <v>367</v>
      </c>
      <c r="C77" t="s">
        <v>311</v>
      </c>
      <c r="D77" s="27">
        <v>2013</v>
      </c>
      <c r="E77" s="27">
        <v>7</v>
      </c>
      <c r="F77" s="122"/>
      <c r="G77" s="27" t="s">
        <v>312</v>
      </c>
      <c r="H77" s="27">
        <v>10</v>
      </c>
      <c r="I77">
        <f t="shared" si="64"/>
        <v>2023</v>
      </c>
      <c r="L77" s="27" t="s">
        <v>313</v>
      </c>
      <c r="M77" s="27" t="s">
        <v>313</v>
      </c>
      <c r="N77" s="27" t="s">
        <v>313</v>
      </c>
      <c r="O77" s="27" t="s">
        <v>313</v>
      </c>
      <c r="P77" s="29">
        <v>11059.5</v>
      </c>
      <c r="Q77" s="29"/>
      <c r="R77" s="29">
        <f t="shared" si="65"/>
        <v>11059.5</v>
      </c>
      <c r="S77" s="115">
        <f t="shared" si="66"/>
        <v>92.162500000000009</v>
      </c>
      <c r="T77" s="115">
        <f t="shared" si="67"/>
        <v>1105.95</v>
      </c>
      <c r="U77" s="115">
        <f t="shared" si="68"/>
        <v>0</v>
      </c>
      <c r="V77" s="115">
        <f t="shared" si="69"/>
        <v>1105.95</v>
      </c>
      <c r="W77" s="124">
        <v>1</v>
      </c>
      <c r="X77" s="115">
        <f t="shared" si="70"/>
        <v>1105.95</v>
      </c>
      <c r="Y77" s="113"/>
      <c r="Z77" s="115">
        <f t="shared" si="71"/>
        <v>5806.2375000000002</v>
      </c>
      <c r="AA77" s="115">
        <f t="shared" si="72"/>
        <v>5806.2375000000002</v>
      </c>
      <c r="AB77" s="121">
        <v>1</v>
      </c>
      <c r="AC77" s="115">
        <f t="shared" si="73"/>
        <v>5806.2375000000002</v>
      </c>
      <c r="AD77" s="115">
        <f t="shared" si="74"/>
        <v>6912.1875</v>
      </c>
      <c r="AE77" s="115">
        <f t="shared" si="75"/>
        <v>4700.2875000000004</v>
      </c>
      <c r="AF77" s="115">
        <f t="shared" si="76"/>
        <v>2013.5</v>
      </c>
      <c r="AG77" s="115">
        <f t="shared" si="77"/>
        <v>2019.75</v>
      </c>
      <c r="AH77" s="115">
        <f t="shared" si="78"/>
        <v>2023.5</v>
      </c>
      <c r="AI77" s="117">
        <f t="shared" si="79"/>
        <v>2018.75</v>
      </c>
      <c r="AJ77" s="117">
        <f t="shared" si="80"/>
        <v>-8.3333333333333329E-2</v>
      </c>
      <c r="AK77" s="117">
        <f t="shared" si="81"/>
        <v>2023.5</v>
      </c>
      <c r="AL77" s="117">
        <f t="shared" si="82"/>
        <v>2018.75</v>
      </c>
      <c r="AM77" s="117">
        <f t="shared" si="83"/>
        <v>-8.3333333333333329E-2</v>
      </c>
    </row>
    <row r="78" spans="1:39" x14ac:dyDescent="0.25">
      <c r="A78">
        <v>231</v>
      </c>
      <c r="B78" t="s">
        <v>368</v>
      </c>
      <c r="C78" t="s">
        <v>311</v>
      </c>
      <c r="D78" s="27">
        <v>2015</v>
      </c>
      <c r="E78" s="27">
        <v>7</v>
      </c>
      <c r="F78" s="122"/>
      <c r="G78" s="27" t="s">
        <v>312</v>
      </c>
      <c r="H78" s="27">
        <v>7</v>
      </c>
      <c r="I78">
        <f t="shared" si="64"/>
        <v>2022</v>
      </c>
      <c r="L78" s="27" t="s">
        <v>313</v>
      </c>
      <c r="M78" s="27" t="s">
        <v>313</v>
      </c>
      <c r="N78" s="27" t="s">
        <v>313</v>
      </c>
      <c r="O78" s="27" t="s">
        <v>313</v>
      </c>
      <c r="P78" s="29">
        <v>21505</v>
      </c>
      <c r="Q78" s="29"/>
      <c r="R78" s="29">
        <f t="shared" si="65"/>
        <v>21505</v>
      </c>
      <c r="S78" s="115">
        <f t="shared" si="66"/>
        <v>256.01190476190476</v>
      </c>
      <c r="T78" s="115">
        <f t="shared" si="67"/>
        <v>3072.1428571428569</v>
      </c>
      <c r="U78" s="115">
        <f t="shared" si="68"/>
        <v>0</v>
      </c>
      <c r="V78" s="115">
        <f t="shared" si="69"/>
        <v>3072.1428571428569</v>
      </c>
      <c r="W78" s="124">
        <v>1</v>
      </c>
      <c r="X78" s="115">
        <f t="shared" si="70"/>
        <v>3072.1428571428569</v>
      </c>
      <c r="Y78" s="113"/>
      <c r="Z78" s="115">
        <f t="shared" si="71"/>
        <v>9984.4642857142862</v>
      </c>
      <c r="AA78" s="115">
        <f t="shared" si="72"/>
        <v>9984.4642857142862</v>
      </c>
      <c r="AB78" s="123">
        <v>1</v>
      </c>
      <c r="AC78" s="115">
        <f t="shared" si="73"/>
        <v>9984.4642857142862</v>
      </c>
      <c r="AD78" s="115">
        <f t="shared" si="74"/>
        <v>13056.607142857143</v>
      </c>
      <c r="AE78" s="115">
        <f t="shared" si="75"/>
        <v>9984.4642857142862</v>
      </c>
      <c r="AF78" s="115">
        <f t="shared" si="76"/>
        <v>2015.5</v>
      </c>
      <c r="AG78" s="115">
        <f t="shared" si="77"/>
        <v>2019.75</v>
      </c>
      <c r="AH78" s="115">
        <f t="shared" si="78"/>
        <v>2022.5</v>
      </c>
      <c r="AI78" s="117">
        <f t="shared" si="79"/>
        <v>2018.75</v>
      </c>
      <c r="AJ78" s="117">
        <f t="shared" si="80"/>
        <v>-8.3333333333333329E-2</v>
      </c>
      <c r="AK78" s="117">
        <f t="shared" si="81"/>
        <v>2022.5</v>
      </c>
      <c r="AL78" s="117">
        <f t="shared" si="82"/>
        <v>2018.75</v>
      </c>
      <c r="AM78" s="117">
        <f t="shared" si="83"/>
        <v>-8.3333333333333329E-2</v>
      </c>
    </row>
    <row r="79" spans="1:39" x14ac:dyDescent="0.25">
      <c r="A79">
        <v>246</v>
      </c>
      <c r="B79" t="s">
        <v>369</v>
      </c>
      <c r="C79" t="s">
        <v>311</v>
      </c>
      <c r="D79" s="27">
        <v>2016</v>
      </c>
      <c r="E79" s="27">
        <v>11</v>
      </c>
      <c r="F79" s="122"/>
      <c r="G79" s="27" t="s">
        <v>312</v>
      </c>
      <c r="H79" s="27">
        <v>7</v>
      </c>
      <c r="I79">
        <f t="shared" si="64"/>
        <v>2023</v>
      </c>
      <c r="L79" s="27" t="s">
        <v>313</v>
      </c>
      <c r="M79" s="27" t="s">
        <v>313</v>
      </c>
      <c r="N79" s="27" t="s">
        <v>313</v>
      </c>
      <c r="O79" s="27" t="s">
        <v>313</v>
      </c>
      <c r="P79" s="29">
        <v>3144</v>
      </c>
      <c r="Q79" s="29"/>
      <c r="R79" s="29">
        <f t="shared" si="65"/>
        <v>3144</v>
      </c>
      <c r="S79" s="115">
        <f t="shared" si="66"/>
        <v>37.428571428571431</v>
      </c>
      <c r="T79" s="115">
        <f t="shared" si="67"/>
        <v>449.14285714285717</v>
      </c>
      <c r="U79" s="115">
        <f t="shared" si="68"/>
        <v>0</v>
      </c>
      <c r="V79" s="115">
        <f t="shared" si="69"/>
        <v>449.14285714285717</v>
      </c>
      <c r="W79" s="124">
        <v>1</v>
      </c>
      <c r="X79" s="115">
        <f t="shared" si="70"/>
        <v>449.14285714285717</v>
      </c>
      <c r="Y79" s="113"/>
      <c r="Z79" s="115">
        <f t="shared" si="71"/>
        <v>860.857142857177</v>
      </c>
      <c r="AA79" s="115">
        <f t="shared" si="72"/>
        <v>860.857142857177</v>
      </c>
      <c r="AB79" s="123">
        <v>1</v>
      </c>
      <c r="AC79" s="115">
        <f t="shared" si="73"/>
        <v>860.857142857177</v>
      </c>
      <c r="AD79" s="115">
        <f t="shared" si="74"/>
        <v>1310.0000000000341</v>
      </c>
      <c r="AE79" s="115">
        <f t="shared" si="75"/>
        <v>2058.5714285713948</v>
      </c>
      <c r="AF79" s="115">
        <f t="shared" si="76"/>
        <v>2016.8333333333333</v>
      </c>
      <c r="AG79" s="115">
        <f t="shared" si="77"/>
        <v>2019.75</v>
      </c>
      <c r="AH79" s="115">
        <f t="shared" si="78"/>
        <v>2023.8333333333333</v>
      </c>
      <c r="AI79" s="117">
        <f t="shared" si="79"/>
        <v>2018.75</v>
      </c>
      <c r="AJ79" s="117">
        <f t="shared" si="80"/>
        <v>-8.3333333333333329E-2</v>
      </c>
      <c r="AK79" s="117">
        <f t="shared" si="81"/>
        <v>2023.8333333333333</v>
      </c>
      <c r="AL79" s="117">
        <f t="shared" si="82"/>
        <v>2018.75</v>
      </c>
      <c r="AM79" s="117">
        <f t="shared" si="83"/>
        <v>-8.3333333333333329E-2</v>
      </c>
    </row>
    <row r="80" spans="1:39" x14ac:dyDescent="0.25">
      <c r="A80">
        <v>251</v>
      </c>
      <c r="B80" t="s">
        <v>370</v>
      </c>
      <c r="C80" t="s">
        <v>311</v>
      </c>
      <c r="D80" s="27">
        <v>2016</v>
      </c>
      <c r="E80" s="27">
        <v>2</v>
      </c>
      <c r="F80" s="122"/>
      <c r="G80" s="27" t="s">
        <v>312</v>
      </c>
      <c r="H80" s="27">
        <v>5</v>
      </c>
      <c r="I80">
        <f t="shared" si="64"/>
        <v>2021</v>
      </c>
      <c r="L80" s="27" t="s">
        <v>313</v>
      </c>
      <c r="M80" s="27" t="s">
        <v>313</v>
      </c>
      <c r="N80" s="27" t="s">
        <v>313</v>
      </c>
      <c r="O80" s="27" t="s">
        <v>313</v>
      </c>
      <c r="P80" s="29">
        <v>19046</v>
      </c>
      <c r="Q80" s="29"/>
      <c r="R80" s="29">
        <f t="shared" si="65"/>
        <v>19046</v>
      </c>
      <c r="S80" s="115">
        <f t="shared" si="66"/>
        <v>317.43333333333334</v>
      </c>
      <c r="T80" s="115">
        <f>+P80/5</f>
        <v>3809.2</v>
      </c>
      <c r="U80" s="115">
        <f t="shared" si="68"/>
        <v>0</v>
      </c>
      <c r="V80" s="115">
        <f t="shared" si="69"/>
        <v>3809.2</v>
      </c>
      <c r="W80" s="124">
        <v>1</v>
      </c>
      <c r="X80" s="115">
        <f t="shared" si="70"/>
        <v>3809.2</v>
      </c>
      <c r="Y80" s="113"/>
      <c r="Z80" s="115">
        <f t="shared" si="71"/>
        <v>10157.866666666956</v>
      </c>
      <c r="AA80" s="115">
        <f t="shared" si="72"/>
        <v>10157.866666666956</v>
      </c>
      <c r="AB80" s="123">
        <v>1</v>
      </c>
      <c r="AC80" s="115">
        <f t="shared" si="73"/>
        <v>10157.866666666956</v>
      </c>
      <c r="AD80" s="115">
        <f t="shared" si="74"/>
        <v>13967.066666666957</v>
      </c>
      <c r="AE80" s="115">
        <f>IF(Q80&gt;0,(P80-AC80)/2,IF(AF80&gt;=AI80,(((P80*W80)*AB80)-AD80)/2,((((P80*W80)*AB80)-AC80)+(((P80*W80)*AB80)-AD80))/2))</f>
        <v>6983.5333333330436</v>
      </c>
      <c r="AF80" s="115">
        <f t="shared" si="76"/>
        <v>2016.0833333333333</v>
      </c>
      <c r="AG80" s="115">
        <f t="shared" si="77"/>
        <v>2019.75</v>
      </c>
      <c r="AH80" s="115">
        <f t="shared" si="78"/>
        <v>2021.0833333333333</v>
      </c>
      <c r="AI80" s="117">
        <f t="shared" si="79"/>
        <v>2018.75</v>
      </c>
      <c r="AJ80" s="117">
        <f t="shared" si="80"/>
        <v>-8.3333333333333329E-2</v>
      </c>
      <c r="AK80" s="117">
        <f t="shared" si="81"/>
        <v>2021.0833333333333</v>
      </c>
      <c r="AL80" s="117">
        <f t="shared" si="82"/>
        <v>2018.75</v>
      </c>
      <c r="AM80" s="117">
        <f t="shared" si="83"/>
        <v>-8.3333333333333329E-2</v>
      </c>
    </row>
    <row r="81" spans="1:39" x14ac:dyDescent="0.25">
      <c r="A81">
        <v>252</v>
      </c>
      <c r="B81" t="s">
        <v>371</v>
      </c>
      <c r="C81" t="s">
        <v>311</v>
      </c>
      <c r="D81" s="27">
        <v>2016</v>
      </c>
      <c r="E81" s="27">
        <v>5</v>
      </c>
      <c r="F81" s="122"/>
      <c r="G81" s="27" t="s">
        <v>312</v>
      </c>
      <c r="H81" s="27">
        <v>5</v>
      </c>
      <c r="I81">
        <f t="shared" si="64"/>
        <v>2021</v>
      </c>
      <c r="L81" s="27" t="s">
        <v>313</v>
      </c>
      <c r="M81" s="27" t="s">
        <v>313</v>
      </c>
      <c r="N81" s="27" t="s">
        <v>313</v>
      </c>
      <c r="O81" s="27" t="s">
        <v>313</v>
      </c>
      <c r="P81" s="29">
        <v>20054</v>
      </c>
      <c r="Q81" s="29"/>
      <c r="R81" s="29">
        <f t="shared" si="65"/>
        <v>20054</v>
      </c>
      <c r="S81" s="115">
        <f t="shared" si="66"/>
        <v>334.23333333333335</v>
      </c>
      <c r="T81" s="115">
        <f>IF(Q81&gt;0,0,IF((OR((AF81&gt;AG81),(AH81&lt;AI81))),0,IF((AND((AH81&gt;=AI81),(AH81&lt;=AG81))),S81*((AH81-AI81)*12),IF((AND((AI81&lt;=AF81),(AG81&gt;=AF81))),((AG81-AF81)*12)*S81,IF(AH81&gt;AG81,12*S81,0)))))</f>
        <v>4010.8</v>
      </c>
      <c r="U81" s="115">
        <f t="shared" si="68"/>
        <v>0</v>
      </c>
      <c r="V81" s="115">
        <f t="shared" si="69"/>
        <v>4010.8</v>
      </c>
      <c r="W81" s="124">
        <v>1</v>
      </c>
      <c r="X81" s="115">
        <f t="shared" si="70"/>
        <v>4010.8</v>
      </c>
      <c r="Y81" s="113"/>
      <c r="Z81" s="115">
        <f t="shared" si="71"/>
        <v>9692.7666666669702</v>
      </c>
      <c r="AA81" s="115">
        <f t="shared" si="72"/>
        <v>9692.7666666669702</v>
      </c>
      <c r="AB81" s="123">
        <v>1</v>
      </c>
      <c r="AC81" s="115">
        <f t="shared" si="73"/>
        <v>9692.7666666669702</v>
      </c>
      <c r="AD81" s="115">
        <f t="shared" si="74"/>
        <v>13703.566666666971</v>
      </c>
      <c r="AE81" s="115">
        <f>IF(Q81&gt;0,(P81-AC81)/2,IF(AF81&gt;=AI81,(((P81*W81)*AB81)-AD81)/2,((((P81*W81)*AB81)-AC81)+(((P81*W81)*AB81)-AD81))/2))</f>
        <v>8355.8333333330302</v>
      </c>
      <c r="AF81" s="115">
        <f t="shared" si="76"/>
        <v>2016.3333333333333</v>
      </c>
      <c r="AG81" s="115">
        <f t="shared" si="77"/>
        <v>2019.75</v>
      </c>
      <c r="AH81" s="115">
        <f t="shared" si="78"/>
        <v>2021.3333333333333</v>
      </c>
      <c r="AI81" s="117">
        <f t="shared" si="79"/>
        <v>2018.75</v>
      </c>
      <c r="AJ81" s="117">
        <f t="shared" si="80"/>
        <v>-8.3333333333333329E-2</v>
      </c>
      <c r="AK81" s="117">
        <f t="shared" si="81"/>
        <v>2021.3333333333333</v>
      </c>
      <c r="AL81" s="117">
        <f t="shared" si="82"/>
        <v>2018.75</v>
      </c>
      <c r="AM81" s="117">
        <f t="shared" si="83"/>
        <v>-8.3333333333333329E-2</v>
      </c>
    </row>
    <row r="82" spans="1:39" x14ac:dyDescent="0.25">
      <c r="A82">
        <v>253</v>
      </c>
      <c r="B82" t="s">
        <v>372</v>
      </c>
      <c r="C82" t="s">
        <v>311</v>
      </c>
      <c r="D82" s="27">
        <v>2017</v>
      </c>
      <c r="E82" s="27">
        <v>1</v>
      </c>
      <c r="F82" s="122"/>
      <c r="G82" s="27" t="s">
        <v>312</v>
      </c>
      <c r="H82" s="27">
        <v>7</v>
      </c>
      <c r="I82">
        <f t="shared" si="64"/>
        <v>2024</v>
      </c>
      <c r="L82" s="27" t="s">
        <v>313</v>
      </c>
      <c r="M82" s="27" t="s">
        <v>313</v>
      </c>
      <c r="N82" s="27" t="s">
        <v>313</v>
      </c>
      <c r="O82" s="27" t="s">
        <v>313</v>
      </c>
      <c r="P82" s="29">
        <v>4103</v>
      </c>
      <c r="Q82" s="29"/>
      <c r="R82" s="29">
        <f t="shared" si="65"/>
        <v>4103</v>
      </c>
      <c r="S82" s="115">
        <f t="shared" si="66"/>
        <v>48.845238095238095</v>
      </c>
      <c r="T82" s="115">
        <f>IF(Q82&gt;0,0,IF((OR((AF82&gt;AG82),(AH82&lt;AI82))),0,IF((AND((AH82&gt;=AI82),(AH82&lt;=AG82))),S82*((AH82-AI82)*12),IF((AND((AI82&lt;=AF82),(AG82&gt;=AF82))),((AG82-AF82)*12)*S82,IF(AH82&gt;AG82,12*S82,0)))))</f>
        <v>586.14285714285711</v>
      </c>
      <c r="U82" s="115">
        <f t="shared" si="68"/>
        <v>0</v>
      </c>
      <c r="V82" s="115">
        <f t="shared" si="69"/>
        <v>586.14285714285711</v>
      </c>
      <c r="W82" s="124">
        <v>1</v>
      </c>
      <c r="X82" s="115">
        <f t="shared" si="70"/>
        <v>586.14285714285711</v>
      </c>
      <c r="Y82" s="113"/>
      <c r="Z82" s="115">
        <f t="shared" si="71"/>
        <v>1025.75</v>
      </c>
      <c r="AA82" s="115">
        <f t="shared" si="72"/>
        <v>1025.75</v>
      </c>
      <c r="AB82" s="123">
        <v>1</v>
      </c>
      <c r="AC82" s="115">
        <f t="shared" si="73"/>
        <v>1025.75</v>
      </c>
      <c r="AD82" s="115">
        <f t="shared" si="74"/>
        <v>1611.8928571428571</v>
      </c>
      <c r="AE82" s="115">
        <f t="shared" ref="AE82:AE84" si="84">IF(Q82&gt;0,(P82-AC82)/2,IF(AF82&gt;=AI82,(((P82*W82)*AB82)-AD82)/2,((((P82*W82)*AB82)-AC82)+(((P82*W82)*AB82)-AD82))/2))</f>
        <v>2784.1785714285716</v>
      </c>
      <c r="AF82" s="115">
        <f t="shared" si="76"/>
        <v>2017</v>
      </c>
      <c r="AG82" s="115">
        <f t="shared" si="77"/>
        <v>2019.75</v>
      </c>
      <c r="AH82" s="115">
        <f t="shared" si="78"/>
        <v>2024</v>
      </c>
      <c r="AI82" s="117">
        <f t="shared" si="79"/>
        <v>2018.75</v>
      </c>
      <c r="AJ82" s="117">
        <f t="shared" si="80"/>
        <v>-8.3333333333333329E-2</v>
      </c>
      <c r="AK82" s="117">
        <f t="shared" si="81"/>
        <v>2024</v>
      </c>
      <c r="AL82" s="117">
        <f t="shared" si="82"/>
        <v>2018.75</v>
      </c>
      <c r="AM82" s="117">
        <f t="shared" si="83"/>
        <v>-8.3333333333333329E-2</v>
      </c>
    </row>
    <row r="83" spans="1:39" x14ac:dyDescent="0.25">
      <c r="A83">
        <v>267</v>
      </c>
      <c r="B83" t="s">
        <v>373</v>
      </c>
      <c r="C83" t="s">
        <v>311</v>
      </c>
      <c r="D83" s="27">
        <v>2018</v>
      </c>
      <c r="E83" s="27">
        <v>4</v>
      </c>
      <c r="F83" s="122"/>
      <c r="G83" s="27" t="s">
        <v>312</v>
      </c>
      <c r="H83" s="27">
        <v>5</v>
      </c>
      <c r="I83">
        <f t="shared" si="64"/>
        <v>2023</v>
      </c>
      <c r="L83" s="27" t="s">
        <v>313</v>
      </c>
      <c r="M83" s="27" t="s">
        <v>313</v>
      </c>
      <c r="N83" s="27" t="s">
        <v>313</v>
      </c>
      <c r="O83" s="27" t="s">
        <v>313</v>
      </c>
      <c r="P83" s="29">
        <v>9068</v>
      </c>
      <c r="Q83" s="29"/>
      <c r="R83" s="29">
        <f t="shared" si="65"/>
        <v>9068</v>
      </c>
      <c r="S83" s="115">
        <f t="shared" si="66"/>
        <v>151.13333333333333</v>
      </c>
      <c r="T83" s="115">
        <f t="shared" ref="T83:T84" si="85">IF(Q83&gt;0,0,IF((OR((AF83&gt;AG83),(AH83&lt;AI83))),0,IF((AND((AH83&gt;=AI83),(AH83&lt;=AG83))),S83*((AH83-AI83)*12),IF((AND((AI83&lt;=AF83),(AG83&gt;=AF83))),((AG83-AF83)*12)*S83,IF(AH83&gt;AG83,12*S83,0)))))</f>
        <v>1813.6</v>
      </c>
      <c r="U83" s="115">
        <f t="shared" si="68"/>
        <v>0</v>
      </c>
      <c r="V83" s="115">
        <f t="shared" si="69"/>
        <v>1813.6</v>
      </c>
      <c r="W83" s="124">
        <v>1</v>
      </c>
      <c r="X83" s="115">
        <f t="shared" si="70"/>
        <v>1813.6</v>
      </c>
      <c r="Y83" s="113"/>
      <c r="Z83" s="115">
        <f t="shared" si="71"/>
        <v>906.8</v>
      </c>
      <c r="AA83" s="115">
        <f t="shared" si="72"/>
        <v>906.8</v>
      </c>
      <c r="AB83" s="123">
        <v>1</v>
      </c>
      <c r="AC83" s="115">
        <f t="shared" si="73"/>
        <v>906.8</v>
      </c>
      <c r="AD83" s="115">
        <f t="shared" si="74"/>
        <v>2720.3999999999996</v>
      </c>
      <c r="AE83" s="115">
        <f t="shared" si="84"/>
        <v>7254.4</v>
      </c>
      <c r="AF83" s="115">
        <f t="shared" si="76"/>
        <v>2018.25</v>
      </c>
      <c r="AG83" s="115">
        <f t="shared" si="77"/>
        <v>2019.75</v>
      </c>
      <c r="AH83" s="115">
        <f t="shared" si="78"/>
        <v>2023.25</v>
      </c>
      <c r="AI83" s="117">
        <f t="shared" si="79"/>
        <v>2018.75</v>
      </c>
      <c r="AJ83" s="117">
        <f t="shared" si="80"/>
        <v>-8.3333333333333329E-2</v>
      </c>
      <c r="AK83" s="117">
        <f t="shared" si="81"/>
        <v>2023.25</v>
      </c>
      <c r="AL83" s="117">
        <f t="shared" si="82"/>
        <v>2018.75</v>
      </c>
      <c r="AM83" s="117">
        <f t="shared" si="83"/>
        <v>-8.3333333333333329E-2</v>
      </c>
    </row>
    <row r="84" spans="1:39" x14ac:dyDescent="0.25">
      <c r="A84">
        <v>270</v>
      </c>
      <c r="B84" t="s">
        <v>373</v>
      </c>
      <c r="C84" t="s">
        <v>311</v>
      </c>
      <c r="D84" s="27">
        <v>2018</v>
      </c>
      <c r="E84" s="27">
        <v>7</v>
      </c>
      <c r="F84" s="122"/>
      <c r="G84" s="27" t="s">
        <v>312</v>
      </c>
      <c r="H84" s="27">
        <v>5</v>
      </c>
      <c r="I84">
        <f t="shared" si="64"/>
        <v>2023</v>
      </c>
      <c r="L84" s="27" t="s">
        <v>313</v>
      </c>
      <c r="M84" s="27" t="s">
        <v>313</v>
      </c>
      <c r="N84" s="27" t="s">
        <v>313</v>
      </c>
      <c r="O84" s="27" t="s">
        <v>313</v>
      </c>
      <c r="P84" s="125">
        <v>5239</v>
      </c>
      <c r="Q84" s="125"/>
      <c r="R84" s="125">
        <f t="shared" si="65"/>
        <v>5239</v>
      </c>
      <c r="S84" s="126">
        <f t="shared" si="66"/>
        <v>87.316666666666663</v>
      </c>
      <c r="T84" s="126">
        <f t="shared" si="85"/>
        <v>1047.8</v>
      </c>
      <c r="U84" s="115">
        <f t="shared" si="68"/>
        <v>0</v>
      </c>
      <c r="V84" s="115">
        <f t="shared" si="69"/>
        <v>1047.8</v>
      </c>
      <c r="W84" s="124">
        <v>1</v>
      </c>
      <c r="X84" s="115">
        <f t="shared" si="70"/>
        <v>1047.8</v>
      </c>
      <c r="Y84" s="113"/>
      <c r="Z84" s="126">
        <f t="shared" si="71"/>
        <v>261.95</v>
      </c>
      <c r="AA84" s="126">
        <f t="shared" si="72"/>
        <v>261.95</v>
      </c>
      <c r="AB84" s="129">
        <v>1</v>
      </c>
      <c r="AC84" s="126">
        <f t="shared" si="73"/>
        <v>261.95</v>
      </c>
      <c r="AD84" s="126">
        <f t="shared" si="74"/>
        <v>1309.75</v>
      </c>
      <c r="AE84" s="126">
        <f t="shared" si="84"/>
        <v>4453.1499999999996</v>
      </c>
      <c r="AF84" s="115">
        <f t="shared" si="76"/>
        <v>2018.5</v>
      </c>
      <c r="AG84" s="115">
        <f t="shared" si="77"/>
        <v>2019.75</v>
      </c>
      <c r="AH84" s="115">
        <f t="shared" si="78"/>
        <v>2023.5</v>
      </c>
      <c r="AI84" s="117">
        <f t="shared" si="79"/>
        <v>2018.75</v>
      </c>
      <c r="AJ84" s="117">
        <f t="shared" si="80"/>
        <v>-8.3333333333333329E-2</v>
      </c>
      <c r="AK84" s="117">
        <f t="shared" si="81"/>
        <v>2023.5</v>
      </c>
      <c r="AL84" s="117">
        <f t="shared" si="82"/>
        <v>2018.75</v>
      </c>
      <c r="AM84" s="117">
        <f t="shared" si="83"/>
        <v>-8.3333333333333329E-2</v>
      </c>
    </row>
    <row r="85" spans="1:39" x14ac:dyDescent="0.25">
      <c r="D85" s="27"/>
      <c r="E85" s="27"/>
      <c r="F85" s="122"/>
      <c r="G85" s="27"/>
      <c r="H85" s="27"/>
      <c r="P85" s="29">
        <f>SUM(P40:P84)</f>
        <v>287447.7</v>
      </c>
      <c r="Q85" s="29">
        <f>SUM(Q40:Q82)</f>
        <v>0</v>
      </c>
      <c r="R85" s="29">
        <f t="shared" ref="R85:T85" si="86">SUM(R40:R84)</f>
        <v>287447.7</v>
      </c>
      <c r="S85" s="29">
        <f t="shared" si="86"/>
        <v>3637.2648809523803</v>
      </c>
      <c r="T85" s="29">
        <f t="shared" si="86"/>
        <v>18511.711904761778</v>
      </c>
      <c r="U85" s="115">
        <f>SUM(U40:U82)</f>
        <v>0</v>
      </c>
      <c r="V85" s="115">
        <f>SUM(V40:V82)</f>
        <v>15650.311904761778</v>
      </c>
      <c r="W85" s="116">
        <f>SUM(W40:W82)</f>
        <v>43</v>
      </c>
      <c r="X85" s="29">
        <f t="shared" ref="X85" si="87">SUM(X40:X84)</f>
        <v>18511.711904761778</v>
      </c>
      <c r="Y85" s="113">
        <f>SUM(Y40:Y82)</f>
        <v>0</v>
      </c>
      <c r="Z85" s="29">
        <f t="shared" ref="Z85:AE85" si="88">SUM(Z40:Z84)</f>
        <v>230018.8541666675</v>
      </c>
      <c r="AA85" s="29">
        <f t="shared" si="88"/>
        <v>230018.8541666675</v>
      </c>
      <c r="AB85" s="29">
        <f t="shared" si="88"/>
        <v>45</v>
      </c>
      <c r="AC85" s="29">
        <f t="shared" si="88"/>
        <v>230018.8541666675</v>
      </c>
      <c r="AD85" s="29">
        <f t="shared" si="88"/>
        <v>248530.56607142926</v>
      </c>
      <c r="AE85" s="29">
        <f t="shared" si="88"/>
        <v>48172.989880951631</v>
      </c>
      <c r="AF85" s="115"/>
      <c r="AG85" s="115"/>
      <c r="AH85" s="115"/>
      <c r="AI85" s="117"/>
      <c r="AJ85" s="117"/>
      <c r="AK85" s="117"/>
      <c r="AL85" s="117"/>
      <c r="AM85" s="117"/>
    </row>
    <row r="86" spans="1:39" x14ac:dyDescent="0.25">
      <c r="D86" s="27"/>
      <c r="E86" s="27"/>
      <c r="F86" s="122"/>
      <c r="G86" s="27"/>
      <c r="H86" s="27"/>
      <c r="P86" s="29"/>
      <c r="Q86" s="29"/>
      <c r="R86" s="29"/>
      <c r="S86" s="115"/>
      <c r="T86" s="115"/>
      <c r="U86" s="115"/>
      <c r="V86" s="115"/>
      <c r="W86" s="116"/>
      <c r="X86" s="115"/>
      <c r="Y86" s="113"/>
      <c r="Z86" s="115"/>
      <c r="AA86" s="115"/>
      <c r="AB86" s="113"/>
      <c r="AC86" s="115"/>
      <c r="AD86" s="115"/>
      <c r="AE86" s="115"/>
      <c r="AF86" s="115"/>
      <c r="AG86" s="115"/>
      <c r="AH86" s="115"/>
      <c r="AI86" s="117"/>
      <c r="AJ86" s="117"/>
      <c r="AK86" s="117"/>
      <c r="AL86" s="117"/>
      <c r="AM86" s="117"/>
    </row>
    <row r="87" spans="1:39" x14ac:dyDescent="0.25">
      <c r="D87" s="27"/>
      <c r="E87" s="27"/>
      <c r="F87" s="122"/>
      <c r="G87" s="27"/>
      <c r="H87" s="27"/>
      <c r="P87" s="29"/>
      <c r="Q87" s="29"/>
      <c r="R87" s="29"/>
      <c r="S87" s="115"/>
      <c r="T87" s="115"/>
      <c r="U87" s="115"/>
      <c r="V87" s="115"/>
      <c r="W87" s="116"/>
      <c r="X87" s="115"/>
      <c r="Y87" s="113"/>
      <c r="Z87" s="115"/>
      <c r="AA87" s="115"/>
      <c r="AB87" s="113"/>
      <c r="AC87" s="115"/>
      <c r="AD87" s="115"/>
      <c r="AE87" s="115"/>
      <c r="AF87" s="115"/>
      <c r="AG87" s="115"/>
      <c r="AH87" s="115"/>
      <c r="AI87" s="117"/>
      <c r="AJ87" s="117"/>
      <c r="AK87" s="117"/>
      <c r="AL87" s="117"/>
      <c r="AM87" s="117"/>
    </row>
    <row r="88" spans="1:39" x14ac:dyDescent="0.25">
      <c r="A88">
        <v>10</v>
      </c>
      <c r="B88" t="s">
        <v>374</v>
      </c>
      <c r="C88" t="s">
        <v>375</v>
      </c>
      <c r="D88" s="27">
        <v>1989</v>
      </c>
      <c r="E88" s="27">
        <v>10</v>
      </c>
      <c r="F88" s="122"/>
      <c r="G88" s="27" t="s">
        <v>312</v>
      </c>
      <c r="H88" s="27">
        <v>20</v>
      </c>
      <c r="I88">
        <f t="shared" ref="I88:I151" si="89">+D88+H88</f>
        <v>2009</v>
      </c>
      <c r="L88">
        <v>10</v>
      </c>
      <c r="M88">
        <f>+D88+L88</f>
        <v>1999</v>
      </c>
      <c r="N88" s="27" t="s">
        <v>313</v>
      </c>
      <c r="O88" s="29">
        <f>+R88</f>
        <v>67500</v>
      </c>
      <c r="P88" s="29">
        <v>67500</v>
      </c>
      <c r="Q88" s="29"/>
      <c r="R88" s="29">
        <f t="shared" ref="R88:R151" si="90">+P88-P88*F88</f>
        <v>67500</v>
      </c>
      <c r="S88" s="115">
        <f t="shared" ref="S88:S151" si="91">R88/H88/12</f>
        <v>281.25</v>
      </c>
      <c r="T88" s="115">
        <f>IF(Q88&gt;0,0,IF((OR((AF88&gt;AG88),(AH88&lt;AI88))),0,IF((AND((AH88&gt;=AI88),(AH88&lt;=AG88))),S88*((AH88-AI88)*12),IF((AND((AI88&lt;=AF88),(AG88&gt;=AF88))),((AG88-AF88)*12)*S88,IF(AH88&gt;AG88,12*S88,0)))))</f>
        <v>0</v>
      </c>
      <c r="U88" s="115">
        <f t="shared" ref="U88:U151" si="92">IF(Q88=0,0,IF((AND((AJ88&gt;=AI88),(AJ88&lt;=AH88))),((AJ88-AI88)*12)*S88,0))</f>
        <v>0</v>
      </c>
      <c r="V88" s="115">
        <f t="shared" ref="V88:V151" si="93">IF(U88&gt;0,U88,T88)</f>
        <v>0</v>
      </c>
      <c r="W88" s="124">
        <v>1</v>
      </c>
      <c r="X88" s="115">
        <f t="shared" ref="X88:X151" si="94">W88*SUM(T88:U88)</f>
        <v>0</v>
      </c>
      <c r="Y88" s="113"/>
      <c r="Z88" s="115">
        <f>IF(AF88&gt;AG88,0,IF(AH88&lt;AI88,R88,IF((AND((AH88&gt;=AI88),(AH88&lt;=AG88))),(R88-V88),IF((AND((AI88&lt;=AF88),(AG88&gt;=AF88))),0,IF(AH88&gt;AG88,((AI88-AF88)*12)*S88,0)))))</f>
        <v>67500</v>
      </c>
      <c r="AA88" s="115">
        <f t="shared" ref="AA88:AA151" si="95">Z88*W88</f>
        <v>67500</v>
      </c>
      <c r="AB88" s="121">
        <v>1</v>
      </c>
      <c r="AC88" s="115">
        <f t="shared" ref="AC88:AC151" si="96">AA88*AB88</f>
        <v>67500</v>
      </c>
      <c r="AD88" s="115">
        <f t="shared" ref="AD88:AD151" si="97">IF(Q88&gt;0,0,AC88+X88*AB88)*AB88</f>
        <v>67500</v>
      </c>
      <c r="AE88" s="115">
        <f t="shared" ref="AE88:AE151" si="98">IF(Q88&gt;0,(P88-AC88)/2,IF(AF88&gt;=AI88,(((P88*W88)*AB88)-AD88)/2,((((P88*W88)*AB88)-AC88)+(((P88*W88)*AB88)-AD88))/2))</f>
        <v>0</v>
      </c>
      <c r="AF88" s="115">
        <f t="shared" ref="AF88:AF151" si="99">$D88+(($E88-1)/12)</f>
        <v>1989.75</v>
      </c>
      <c r="AG88" s="115">
        <f t="shared" ref="AG88:AG151" si="100">($R$5+1)-($R$2/12)</f>
        <v>2019.75</v>
      </c>
      <c r="AH88" s="115">
        <f t="shared" ref="AH88:AH151" si="101">$I88+(($E88-1)/12)</f>
        <v>2009.75</v>
      </c>
      <c r="AI88" s="117">
        <f t="shared" ref="AI88:AI151" si="102">$R$4+($R$3/12)</f>
        <v>2018.75</v>
      </c>
      <c r="AJ88" s="117">
        <f t="shared" ref="AJ88:AJ151" si="103">$J88+(($K88-1)/12)</f>
        <v>-8.3333333333333329E-2</v>
      </c>
      <c r="AK88" s="117">
        <f t="shared" ref="AK88:AK151" si="104">$I88+(($E88-1)/12)</f>
        <v>2009.75</v>
      </c>
      <c r="AL88" s="117">
        <f t="shared" ref="AL88:AL151" si="105">$R$4+($R$3/12)</f>
        <v>2018.75</v>
      </c>
      <c r="AM88" s="117">
        <f t="shared" ref="AM88:AM151" si="106">$J88+(($K88-1)/12)</f>
        <v>-8.3333333333333329E-2</v>
      </c>
    </row>
    <row r="89" spans="1:39" x14ac:dyDescent="0.25">
      <c r="A89">
        <v>11</v>
      </c>
      <c r="B89" t="s">
        <v>376</v>
      </c>
      <c r="C89" t="s">
        <v>375</v>
      </c>
      <c r="D89" s="27">
        <v>1989</v>
      </c>
      <c r="E89" s="27">
        <v>10</v>
      </c>
      <c r="F89" s="122"/>
      <c r="G89" s="27" t="s">
        <v>312</v>
      </c>
      <c r="H89" s="27">
        <v>20</v>
      </c>
      <c r="I89">
        <f t="shared" si="89"/>
        <v>2009</v>
      </c>
      <c r="L89">
        <v>10</v>
      </c>
      <c r="M89">
        <f>+D89+L89</f>
        <v>1999</v>
      </c>
      <c r="N89" s="27" t="s">
        <v>313</v>
      </c>
      <c r="O89" s="29">
        <f>+R89</f>
        <v>67500</v>
      </c>
      <c r="P89" s="29">
        <v>67500</v>
      </c>
      <c r="Q89" s="29"/>
      <c r="R89" s="29">
        <f t="shared" si="90"/>
        <v>67500</v>
      </c>
      <c r="S89" s="115">
        <f t="shared" si="91"/>
        <v>281.25</v>
      </c>
      <c r="T89" s="115">
        <f>IF(Q89&gt;0,0,IF((OR((AF89&gt;AG89),(AH89&lt;AI89))),0,IF((AND((AH89&gt;=AI89),(AH89&lt;=AG89))),S89*((AH89-AI89)*12),IF((AND((AI89&lt;=AF89),(AG89&gt;=AF89))),((AG89-AF89)*12)*S89,IF(AH89&gt;AG89,12*S89,0)))))</f>
        <v>0</v>
      </c>
      <c r="U89" s="115">
        <f t="shared" si="92"/>
        <v>0</v>
      </c>
      <c r="V89" s="115">
        <f t="shared" si="93"/>
        <v>0</v>
      </c>
      <c r="W89" s="124">
        <v>1</v>
      </c>
      <c r="X89" s="115">
        <f t="shared" si="94"/>
        <v>0</v>
      </c>
      <c r="Y89" s="113"/>
      <c r="Z89" s="115">
        <f>IF(AF89&gt;AG89,0,IF(AH89&lt;AI89,R89,IF((AND((AH89&gt;=AI89),(AH89&lt;=AG89))),(R89-V89),IF((AND((AI89&lt;=AF89),(AG89&gt;=AF89))),0,IF(AH89&gt;AG89,((AI89-AF89)*12)*S89,0)))))</f>
        <v>67500</v>
      </c>
      <c r="AA89" s="115">
        <f t="shared" si="95"/>
        <v>67500</v>
      </c>
      <c r="AB89" s="121">
        <v>1</v>
      </c>
      <c r="AC89" s="115">
        <f t="shared" si="96"/>
        <v>67500</v>
      </c>
      <c r="AD89" s="115">
        <f t="shared" si="97"/>
        <v>67500</v>
      </c>
      <c r="AE89" s="115">
        <f t="shared" si="98"/>
        <v>0</v>
      </c>
      <c r="AF89" s="115">
        <f t="shared" si="99"/>
        <v>1989.75</v>
      </c>
      <c r="AG89" s="115">
        <f t="shared" si="100"/>
        <v>2019.75</v>
      </c>
      <c r="AH89" s="115">
        <f t="shared" si="101"/>
        <v>2009.75</v>
      </c>
      <c r="AI89" s="117">
        <f t="shared" si="102"/>
        <v>2018.75</v>
      </c>
      <c r="AJ89" s="117">
        <f t="shared" si="103"/>
        <v>-8.3333333333333329E-2</v>
      </c>
      <c r="AK89" s="117">
        <f t="shared" si="104"/>
        <v>2009.75</v>
      </c>
      <c r="AL89" s="117">
        <f t="shared" si="105"/>
        <v>2018.75</v>
      </c>
      <c r="AM89" s="117">
        <f t="shared" si="106"/>
        <v>-8.3333333333333329E-2</v>
      </c>
    </row>
    <row r="90" spans="1:39" x14ac:dyDescent="0.25">
      <c r="A90">
        <v>15</v>
      </c>
      <c r="B90" t="s">
        <v>377</v>
      </c>
      <c r="C90" t="s">
        <v>375</v>
      </c>
      <c r="D90" s="27">
        <v>1989</v>
      </c>
      <c r="E90" s="27">
        <v>10</v>
      </c>
      <c r="F90" s="122"/>
      <c r="G90" s="27" t="s">
        <v>312</v>
      </c>
      <c r="H90" s="27">
        <v>20</v>
      </c>
      <c r="I90">
        <f t="shared" si="89"/>
        <v>2009</v>
      </c>
      <c r="L90">
        <v>10</v>
      </c>
      <c r="M90">
        <f>+D90+L90</f>
        <v>1999</v>
      </c>
      <c r="N90" s="27" t="s">
        <v>313</v>
      </c>
      <c r="O90" s="29">
        <f>+R90</f>
        <v>131110</v>
      </c>
      <c r="P90" s="29">
        <v>131110</v>
      </c>
      <c r="Q90" s="29"/>
      <c r="R90" s="29">
        <f t="shared" si="90"/>
        <v>131110</v>
      </c>
      <c r="S90" s="115">
        <f t="shared" si="91"/>
        <v>546.29166666666663</v>
      </c>
      <c r="T90" s="115">
        <f>IF(Q90&gt;0,0,IF((OR((AF90&gt;AG90),(AH90&lt;AI90))),0,IF((AND((AH90&gt;=AI90),(AH90&lt;=AG90))),S90*((AH90-AI90)*12),IF((AND((AI90&lt;=AF90),(AG90&gt;=AF90))),((AG90-AF90)*12)*S90,IF(AH90&gt;AG90,12*S90,0)))))</f>
        <v>0</v>
      </c>
      <c r="U90" s="115">
        <f t="shared" si="92"/>
        <v>0</v>
      </c>
      <c r="V90" s="115">
        <f t="shared" si="93"/>
        <v>0</v>
      </c>
      <c r="W90" s="124">
        <v>1</v>
      </c>
      <c r="X90" s="115">
        <f t="shared" si="94"/>
        <v>0</v>
      </c>
      <c r="Y90" s="113"/>
      <c r="Z90" s="115">
        <f>IF(AF90&gt;AG90,0,IF(AH90&lt;AI90,R90,IF((AND((AH90&gt;=AI90),(AH90&lt;=AG90))),(R90-V90),IF((AND((AI90&lt;=AF90),(AG90&gt;=AF90))),0,IF(AH90&gt;AG90,((AI90-AF90)*12)*S90,0)))))</f>
        <v>131110</v>
      </c>
      <c r="AA90" s="115">
        <f t="shared" si="95"/>
        <v>131110</v>
      </c>
      <c r="AB90" s="121">
        <v>1</v>
      </c>
      <c r="AC90" s="115">
        <f t="shared" si="96"/>
        <v>131110</v>
      </c>
      <c r="AD90" s="115">
        <f t="shared" si="97"/>
        <v>131110</v>
      </c>
      <c r="AE90" s="115">
        <f t="shared" si="98"/>
        <v>0</v>
      </c>
      <c r="AF90" s="115">
        <f t="shared" si="99"/>
        <v>1989.75</v>
      </c>
      <c r="AG90" s="115">
        <f t="shared" si="100"/>
        <v>2019.75</v>
      </c>
      <c r="AH90" s="115">
        <f t="shared" si="101"/>
        <v>2009.75</v>
      </c>
      <c r="AI90" s="117">
        <f t="shared" si="102"/>
        <v>2018.75</v>
      </c>
      <c r="AJ90" s="117">
        <f t="shared" si="103"/>
        <v>-8.3333333333333329E-2</v>
      </c>
      <c r="AK90" s="117">
        <f t="shared" si="104"/>
        <v>2009.75</v>
      </c>
      <c r="AL90" s="117">
        <f t="shared" si="105"/>
        <v>2018.75</v>
      </c>
      <c r="AM90" s="117">
        <f t="shared" si="106"/>
        <v>-8.3333333333333329E-2</v>
      </c>
    </row>
    <row r="91" spans="1:39" x14ac:dyDescent="0.25">
      <c r="A91">
        <v>16</v>
      </c>
      <c r="B91" t="s">
        <v>378</v>
      </c>
      <c r="C91" t="s">
        <v>375</v>
      </c>
      <c r="D91" s="27">
        <v>1994</v>
      </c>
      <c r="E91" s="27">
        <v>4</v>
      </c>
      <c r="F91" s="122"/>
      <c r="G91" s="27" t="s">
        <v>312</v>
      </c>
      <c r="H91" s="27">
        <v>20</v>
      </c>
      <c r="I91">
        <f t="shared" si="89"/>
        <v>2014</v>
      </c>
      <c r="L91">
        <v>10</v>
      </c>
      <c r="M91">
        <f>+D91+L91</f>
        <v>2004</v>
      </c>
      <c r="N91" s="27" t="s">
        <v>313</v>
      </c>
      <c r="O91" s="29">
        <f>+R91</f>
        <v>113974</v>
      </c>
      <c r="P91" s="29">
        <v>113974</v>
      </c>
      <c r="Q91" s="29"/>
      <c r="R91" s="29">
        <f t="shared" si="90"/>
        <v>113974</v>
      </c>
      <c r="S91" s="115">
        <f t="shared" si="91"/>
        <v>474.89166666666665</v>
      </c>
      <c r="T91" s="115">
        <f>IF(Q91&gt;0,0,IF((OR((AF91&gt;AG91),(AH91&lt;AI91))),0,IF((AND((AH91&gt;=AI91),(AH91&lt;=AG91))),S91*((AH91-AI91)*12),IF((AND((AI91&lt;=AF91),(AG91&gt;=AF91))),((AG91-AF91)*12)*S91,IF(AH91&gt;AG91,12*S91,0)))))</f>
        <v>0</v>
      </c>
      <c r="U91" s="115">
        <f t="shared" si="92"/>
        <v>0</v>
      </c>
      <c r="V91" s="115">
        <f t="shared" si="93"/>
        <v>0</v>
      </c>
      <c r="W91" s="124">
        <v>1</v>
      </c>
      <c r="X91" s="115">
        <f t="shared" si="94"/>
        <v>0</v>
      </c>
      <c r="Y91" s="113"/>
      <c r="Z91" s="115">
        <f>IF(AF91&gt;AG91,0,IF(AH91&lt;AI91,R91,IF((AND((AH91&gt;=AI91),(AH91&lt;=AG91))),(R91-V91),IF((AND((AI91&lt;=AF91),(AG91&gt;=AF91))),0,IF(AH91&gt;AG91,((AI91-AF91)*12)*S91,0)))))</f>
        <v>113974</v>
      </c>
      <c r="AA91" s="115">
        <f t="shared" si="95"/>
        <v>113974</v>
      </c>
      <c r="AB91" s="121">
        <v>1</v>
      </c>
      <c r="AC91" s="115">
        <f t="shared" si="96"/>
        <v>113974</v>
      </c>
      <c r="AD91" s="115">
        <f t="shared" si="97"/>
        <v>113974</v>
      </c>
      <c r="AE91" s="115">
        <f t="shared" si="98"/>
        <v>0</v>
      </c>
      <c r="AF91" s="115">
        <f t="shared" si="99"/>
        <v>1994.25</v>
      </c>
      <c r="AG91" s="115">
        <f t="shared" si="100"/>
        <v>2019.75</v>
      </c>
      <c r="AH91" s="115">
        <f t="shared" si="101"/>
        <v>2014.25</v>
      </c>
      <c r="AI91" s="117">
        <f t="shared" si="102"/>
        <v>2018.75</v>
      </c>
      <c r="AJ91" s="117">
        <f t="shared" si="103"/>
        <v>-8.3333333333333329E-2</v>
      </c>
      <c r="AK91" s="117">
        <f t="shared" si="104"/>
        <v>2014.25</v>
      </c>
      <c r="AL91" s="117">
        <f t="shared" si="105"/>
        <v>2018.75</v>
      </c>
      <c r="AM91" s="117">
        <f t="shared" si="106"/>
        <v>-8.3333333333333329E-2</v>
      </c>
    </row>
    <row r="92" spans="1:39" ht="15.75" x14ac:dyDescent="0.25">
      <c r="A92">
        <v>17</v>
      </c>
      <c r="B92" s="131" t="s">
        <v>379</v>
      </c>
      <c r="C92" t="s">
        <v>375</v>
      </c>
      <c r="D92" s="27">
        <v>1994</v>
      </c>
      <c r="E92" s="27">
        <v>10</v>
      </c>
      <c r="F92" s="122"/>
      <c r="G92" s="27" t="s">
        <v>312</v>
      </c>
      <c r="H92" s="27">
        <v>10</v>
      </c>
      <c r="I92">
        <f t="shared" si="89"/>
        <v>2004</v>
      </c>
      <c r="L92" s="27" t="s">
        <v>313</v>
      </c>
      <c r="M92" s="27" t="s">
        <v>313</v>
      </c>
      <c r="N92" s="27" t="s">
        <v>313</v>
      </c>
      <c r="O92" s="27" t="s">
        <v>313</v>
      </c>
      <c r="P92" s="29">
        <v>1440</v>
      </c>
      <c r="Q92" s="29"/>
      <c r="R92" s="29">
        <f t="shared" si="90"/>
        <v>1440</v>
      </c>
      <c r="S92" s="115">
        <f t="shared" si="91"/>
        <v>12</v>
      </c>
      <c r="T92" s="115">
        <f>IF(Q92&gt;0,0,IF((OR((AF92&gt;AG92),(AH92&lt;AI92))),0,IF((AND((AH92&gt;=AI92),(AH92&lt;=AG92))),S92*((AH92-AI92)*12),IF((AND((AI92&lt;=AF92),(AG92&gt;=AF92))),((AG92-AF92)*12)*S92,IF(AH92&gt;AG92,12*S92,0)))))</f>
        <v>0</v>
      </c>
      <c r="U92" s="115">
        <f t="shared" si="92"/>
        <v>0</v>
      </c>
      <c r="V92" s="115">
        <f t="shared" si="93"/>
        <v>0</v>
      </c>
      <c r="W92" s="124">
        <v>1</v>
      </c>
      <c r="X92" s="115">
        <f t="shared" si="94"/>
        <v>0</v>
      </c>
      <c r="Y92" s="113"/>
      <c r="Z92" s="115">
        <f>IF(AF92&gt;AG92,0,IF(AH92&lt;AI92,R92,IF((AND((AH92&gt;=AI92),(AH92&lt;=AG92))),(R92-V92),IF((AND((AI92&lt;=AF92),(AG92&gt;=AF92))),0,IF(AH92&gt;AG92,((AI92-AF92)*12)*S92,0)))))</f>
        <v>1440</v>
      </c>
      <c r="AA92" s="115">
        <f t="shared" si="95"/>
        <v>1440</v>
      </c>
      <c r="AB92" s="121">
        <v>1</v>
      </c>
      <c r="AC92" s="115">
        <f t="shared" si="96"/>
        <v>1440</v>
      </c>
      <c r="AD92" s="115">
        <f t="shared" si="97"/>
        <v>1440</v>
      </c>
      <c r="AE92" s="115">
        <f t="shared" si="98"/>
        <v>0</v>
      </c>
      <c r="AF92" s="115">
        <f t="shared" si="99"/>
        <v>1994.75</v>
      </c>
      <c r="AG92" s="115">
        <f t="shared" si="100"/>
        <v>2019.75</v>
      </c>
      <c r="AH92" s="115">
        <f t="shared" si="101"/>
        <v>2004.75</v>
      </c>
      <c r="AI92" s="117">
        <f t="shared" si="102"/>
        <v>2018.75</v>
      </c>
      <c r="AJ92" s="117">
        <f t="shared" si="103"/>
        <v>-8.3333333333333329E-2</v>
      </c>
      <c r="AK92" s="117">
        <f t="shared" si="104"/>
        <v>2004.75</v>
      </c>
      <c r="AL92" s="117">
        <f t="shared" si="105"/>
        <v>2018.75</v>
      </c>
      <c r="AM92" s="117">
        <f t="shared" si="106"/>
        <v>-8.3333333333333329E-2</v>
      </c>
    </row>
    <row r="93" spans="1:39" x14ac:dyDescent="0.25">
      <c r="A93">
        <v>23</v>
      </c>
      <c r="B93" t="s">
        <v>380</v>
      </c>
      <c r="C93" t="s">
        <v>375</v>
      </c>
      <c r="D93" s="27">
        <v>1997</v>
      </c>
      <c r="E93" s="27">
        <v>9</v>
      </c>
      <c r="F93" s="122"/>
      <c r="G93" s="27" t="s">
        <v>312</v>
      </c>
      <c r="H93" s="27">
        <v>20</v>
      </c>
      <c r="I93">
        <f t="shared" si="89"/>
        <v>2017</v>
      </c>
      <c r="L93">
        <v>10</v>
      </c>
      <c r="M93">
        <f>+D93+L93</f>
        <v>2007</v>
      </c>
      <c r="N93" s="27" t="s">
        <v>313</v>
      </c>
      <c r="O93" s="29">
        <f>+R93</f>
        <v>150000</v>
      </c>
      <c r="P93" s="29">
        <v>150000</v>
      </c>
      <c r="Q93" s="29"/>
      <c r="R93" s="29">
        <f t="shared" si="90"/>
        <v>150000</v>
      </c>
      <c r="S93" s="115">
        <f t="shared" si="91"/>
        <v>625</v>
      </c>
      <c r="T93" s="115">
        <v>0</v>
      </c>
      <c r="U93" s="115">
        <f t="shared" si="92"/>
        <v>0</v>
      </c>
      <c r="V93" s="115">
        <f t="shared" si="93"/>
        <v>0</v>
      </c>
      <c r="W93" s="124">
        <v>1</v>
      </c>
      <c r="X93" s="115">
        <f t="shared" si="94"/>
        <v>0</v>
      </c>
      <c r="Y93" s="113"/>
      <c r="Z93" s="115">
        <v>150000</v>
      </c>
      <c r="AA93" s="115">
        <f t="shared" si="95"/>
        <v>150000</v>
      </c>
      <c r="AB93" s="121">
        <v>1</v>
      </c>
      <c r="AC93" s="115">
        <f t="shared" si="96"/>
        <v>150000</v>
      </c>
      <c r="AD93" s="115">
        <f t="shared" si="97"/>
        <v>150000</v>
      </c>
      <c r="AE93" s="115">
        <f t="shared" si="98"/>
        <v>0</v>
      </c>
      <c r="AF93" s="115">
        <f t="shared" si="99"/>
        <v>1997.6666666666667</v>
      </c>
      <c r="AG93" s="115">
        <f t="shared" si="100"/>
        <v>2019.75</v>
      </c>
      <c r="AH93" s="115">
        <f t="shared" si="101"/>
        <v>2017.6666666666667</v>
      </c>
      <c r="AI93" s="117">
        <f t="shared" si="102"/>
        <v>2018.75</v>
      </c>
      <c r="AJ93" s="117">
        <f t="shared" si="103"/>
        <v>-8.3333333333333329E-2</v>
      </c>
      <c r="AK93" s="117">
        <f t="shared" si="104"/>
        <v>2017.6666666666667</v>
      </c>
      <c r="AL93" s="117">
        <f t="shared" si="105"/>
        <v>2018.75</v>
      </c>
      <c r="AM93" s="117">
        <f t="shared" si="106"/>
        <v>-8.3333333333333329E-2</v>
      </c>
    </row>
    <row r="94" spans="1:39" x14ac:dyDescent="0.25">
      <c r="A94">
        <v>24</v>
      </c>
      <c r="B94" t="s">
        <v>381</v>
      </c>
      <c r="C94" t="s">
        <v>375</v>
      </c>
      <c r="D94" s="27">
        <v>1997</v>
      </c>
      <c r="E94" s="27">
        <v>9</v>
      </c>
      <c r="F94" s="122"/>
      <c r="G94" s="27" t="s">
        <v>312</v>
      </c>
      <c r="H94" s="27">
        <v>7</v>
      </c>
      <c r="I94">
        <f t="shared" si="89"/>
        <v>2004</v>
      </c>
      <c r="L94" s="27" t="s">
        <v>313</v>
      </c>
      <c r="M94" s="27" t="s">
        <v>313</v>
      </c>
      <c r="N94" s="27" t="s">
        <v>313</v>
      </c>
      <c r="O94" s="27" t="s">
        <v>313</v>
      </c>
      <c r="P94" s="29">
        <v>21689</v>
      </c>
      <c r="Q94" s="29"/>
      <c r="R94" s="29">
        <f t="shared" si="90"/>
        <v>21689</v>
      </c>
      <c r="S94" s="115">
        <f t="shared" si="91"/>
        <v>258.20238095238096</v>
      </c>
      <c r="T94" s="115">
        <f>IF(Q94&gt;0,0,IF((OR((AF94&gt;AG94),(AH94&lt;AI94))),0,IF((AND((AH94&gt;=AI94),(AH94&lt;=AG94))),S94*((AH94-AI94)*12),IF((AND((AI94&lt;=AF94),(AG94&gt;=AF94))),((AG94-AF94)*12)*S94,IF(AH94&gt;AG94,12*S94,0)))))</f>
        <v>0</v>
      </c>
      <c r="U94" s="115">
        <f t="shared" si="92"/>
        <v>0</v>
      </c>
      <c r="V94" s="115">
        <f t="shared" si="93"/>
        <v>0</v>
      </c>
      <c r="W94" s="124">
        <v>1</v>
      </c>
      <c r="X94" s="115">
        <f t="shared" si="94"/>
        <v>0</v>
      </c>
      <c r="Y94" s="113"/>
      <c r="Z94" s="115">
        <f>IF(AF94&gt;AG94,0,IF(AH94&lt;AI94,R94,IF((AND((AH94&gt;=AI94),(AH94&lt;=AG94))),(R94-V94),IF((AND((AI94&lt;=AF94),(AG94&gt;=AF94))),0,IF(AH94&gt;AG94,((AI94-AF94)*12)*S94,0)))))</f>
        <v>21689</v>
      </c>
      <c r="AA94" s="115">
        <f t="shared" si="95"/>
        <v>21689</v>
      </c>
      <c r="AB94" s="121">
        <v>1</v>
      </c>
      <c r="AC94" s="115">
        <f t="shared" si="96"/>
        <v>21689</v>
      </c>
      <c r="AD94" s="115">
        <f t="shared" si="97"/>
        <v>21689</v>
      </c>
      <c r="AE94" s="115">
        <f t="shared" si="98"/>
        <v>0</v>
      </c>
      <c r="AF94" s="115">
        <f t="shared" si="99"/>
        <v>1997.6666666666667</v>
      </c>
      <c r="AG94" s="115">
        <f t="shared" si="100"/>
        <v>2019.75</v>
      </c>
      <c r="AH94" s="115">
        <f t="shared" si="101"/>
        <v>2004.6666666666667</v>
      </c>
      <c r="AI94" s="117">
        <f t="shared" si="102"/>
        <v>2018.75</v>
      </c>
      <c r="AJ94" s="117">
        <f t="shared" si="103"/>
        <v>-8.3333333333333329E-2</v>
      </c>
      <c r="AK94" s="117">
        <f t="shared" si="104"/>
        <v>2004.6666666666667</v>
      </c>
      <c r="AL94" s="117">
        <f t="shared" si="105"/>
        <v>2018.75</v>
      </c>
      <c r="AM94" s="117">
        <f t="shared" si="106"/>
        <v>-8.3333333333333329E-2</v>
      </c>
    </row>
    <row r="95" spans="1:39" x14ac:dyDescent="0.25">
      <c r="A95">
        <v>25</v>
      </c>
      <c r="B95" t="s">
        <v>381</v>
      </c>
      <c r="C95" t="s">
        <v>375</v>
      </c>
      <c r="D95" s="27">
        <v>1998</v>
      </c>
      <c r="E95" s="27">
        <v>3</v>
      </c>
      <c r="F95" s="122"/>
      <c r="G95" s="27" t="s">
        <v>312</v>
      </c>
      <c r="H95" s="27">
        <v>7</v>
      </c>
      <c r="I95">
        <f t="shared" si="89"/>
        <v>2005</v>
      </c>
      <c r="L95" s="27" t="s">
        <v>313</v>
      </c>
      <c r="M95" s="27" t="s">
        <v>313</v>
      </c>
      <c r="N95" s="27" t="s">
        <v>313</v>
      </c>
      <c r="O95" s="27" t="s">
        <v>313</v>
      </c>
      <c r="P95" s="29">
        <v>10066</v>
      </c>
      <c r="Q95" s="29"/>
      <c r="R95" s="29">
        <f t="shared" si="90"/>
        <v>10066</v>
      </c>
      <c r="S95" s="115">
        <f t="shared" si="91"/>
        <v>119.83333333333333</v>
      </c>
      <c r="T95" s="115">
        <f>IF(Q95&gt;0,0,IF((OR((AF95&gt;AG95),(AH95&lt;AI95))),0,IF((AND((AH95&gt;=AI95),(AH95&lt;=AG95))),S95*((AH95-AI95)*12),IF((AND((AI95&lt;=AF95),(AG95&gt;=AF95))),((AG95-AF95)*12)*S95,IF(AH95&gt;AG95,12*S95,0)))))</f>
        <v>0</v>
      </c>
      <c r="U95" s="115">
        <f t="shared" si="92"/>
        <v>0</v>
      </c>
      <c r="V95" s="115">
        <f t="shared" si="93"/>
        <v>0</v>
      </c>
      <c r="W95" s="124">
        <v>1</v>
      </c>
      <c r="X95" s="115">
        <f t="shared" si="94"/>
        <v>0</v>
      </c>
      <c r="Y95" s="113"/>
      <c r="Z95" s="115">
        <f>IF(AF95&gt;AG95,0,IF(AH95&lt;AI95,R95,IF((AND((AH95&gt;=AI95),(AH95&lt;=AG95))),(R95-V95),IF((AND((AI95&lt;=AF95),(AG95&gt;=AF95))),0,IF(AH95&gt;AG95,((AI95-AF95)*12)*S95,0)))))</f>
        <v>10066</v>
      </c>
      <c r="AA95" s="115">
        <f t="shared" si="95"/>
        <v>10066</v>
      </c>
      <c r="AB95" s="121">
        <v>1</v>
      </c>
      <c r="AC95" s="115">
        <f t="shared" si="96"/>
        <v>10066</v>
      </c>
      <c r="AD95" s="115">
        <f t="shared" si="97"/>
        <v>10066</v>
      </c>
      <c r="AE95" s="115">
        <f t="shared" si="98"/>
        <v>0</v>
      </c>
      <c r="AF95" s="115">
        <f t="shared" si="99"/>
        <v>1998.1666666666667</v>
      </c>
      <c r="AG95" s="115">
        <f t="shared" si="100"/>
        <v>2019.75</v>
      </c>
      <c r="AH95" s="115">
        <f t="shared" si="101"/>
        <v>2005.1666666666667</v>
      </c>
      <c r="AI95" s="117">
        <f t="shared" si="102"/>
        <v>2018.75</v>
      </c>
      <c r="AJ95" s="117">
        <f t="shared" si="103"/>
        <v>-8.3333333333333329E-2</v>
      </c>
      <c r="AK95" s="117">
        <f t="shared" si="104"/>
        <v>2005.1666666666667</v>
      </c>
      <c r="AL95" s="117">
        <f t="shared" si="105"/>
        <v>2018.75</v>
      </c>
      <c r="AM95" s="117">
        <f t="shared" si="106"/>
        <v>-8.3333333333333329E-2</v>
      </c>
    </row>
    <row r="96" spans="1:39" x14ac:dyDescent="0.25">
      <c r="A96">
        <v>26</v>
      </c>
      <c r="B96" t="s">
        <v>382</v>
      </c>
      <c r="C96" t="s">
        <v>375</v>
      </c>
      <c r="D96" s="27">
        <v>1998</v>
      </c>
      <c r="E96" s="27">
        <v>4</v>
      </c>
      <c r="F96" s="122"/>
      <c r="G96" s="27" t="s">
        <v>312</v>
      </c>
      <c r="H96" s="27">
        <v>20</v>
      </c>
      <c r="I96">
        <f t="shared" si="89"/>
        <v>2018</v>
      </c>
      <c r="L96">
        <v>10</v>
      </c>
      <c r="M96">
        <f>+D96+L96</f>
        <v>2008</v>
      </c>
      <c r="N96" s="27" t="s">
        <v>313</v>
      </c>
      <c r="O96" s="29">
        <f>+R96</f>
        <v>50000</v>
      </c>
      <c r="P96" s="29">
        <v>50000</v>
      </c>
      <c r="Q96" s="29"/>
      <c r="R96" s="29">
        <f>+P96-P96*F96</f>
        <v>50000</v>
      </c>
      <c r="S96" s="115">
        <f>R96/H96/12</f>
        <v>208.33333333333334</v>
      </c>
      <c r="T96" s="115">
        <v>0</v>
      </c>
      <c r="U96" s="115">
        <f t="shared" si="92"/>
        <v>0</v>
      </c>
      <c r="V96" s="115">
        <f t="shared" si="93"/>
        <v>0</v>
      </c>
      <c r="W96" s="124">
        <v>1</v>
      </c>
      <c r="X96" s="115">
        <f t="shared" si="94"/>
        <v>0</v>
      </c>
      <c r="Y96" s="113"/>
      <c r="Z96" s="115">
        <v>50000</v>
      </c>
      <c r="AA96" s="115">
        <f t="shared" si="95"/>
        <v>50000</v>
      </c>
      <c r="AB96" s="121">
        <v>1</v>
      </c>
      <c r="AC96" s="115">
        <f t="shared" si="96"/>
        <v>50000</v>
      </c>
      <c r="AD96" s="115">
        <f t="shared" si="97"/>
        <v>50000</v>
      </c>
      <c r="AE96" s="115">
        <f t="shared" si="98"/>
        <v>0</v>
      </c>
      <c r="AF96" s="115">
        <f t="shared" si="99"/>
        <v>1998.25</v>
      </c>
      <c r="AG96" s="115">
        <f t="shared" si="100"/>
        <v>2019.75</v>
      </c>
      <c r="AH96" s="115">
        <f t="shared" si="101"/>
        <v>2018.25</v>
      </c>
      <c r="AI96" s="117">
        <f t="shared" si="102"/>
        <v>2018.75</v>
      </c>
      <c r="AJ96" s="117">
        <f t="shared" si="103"/>
        <v>-8.3333333333333329E-2</v>
      </c>
      <c r="AK96" s="117">
        <f t="shared" si="104"/>
        <v>2018.25</v>
      </c>
      <c r="AL96" s="117">
        <f t="shared" si="105"/>
        <v>2018.75</v>
      </c>
      <c r="AM96" s="117">
        <f t="shared" si="106"/>
        <v>-8.3333333333333329E-2</v>
      </c>
    </row>
    <row r="97" spans="1:39" x14ac:dyDescent="0.25">
      <c r="A97">
        <v>27</v>
      </c>
      <c r="B97" t="s">
        <v>381</v>
      </c>
      <c r="C97" t="s">
        <v>375</v>
      </c>
      <c r="D97" s="27">
        <v>1998</v>
      </c>
      <c r="E97" s="27">
        <v>9</v>
      </c>
      <c r="F97" s="122"/>
      <c r="G97" s="27" t="s">
        <v>312</v>
      </c>
      <c r="H97" s="27">
        <v>7</v>
      </c>
      <c r="I97">
        <f t="shared" si="89"/>
        <v>2005</v>
      </c>
      <c r="L97" s="27" t="s">
        <v>313</v>
      </c>
      <c r="M97" s="27" t="s">
        <v>313</v>
      </c>
      <c r="N97" s="27" t="s">
        <v>313</v>
      </c>
      <c r="O97" s="27" t="s">
        <v>313</v>
      </c>
      <c r="P97" s="29">
        <v>6087</v>
      </c>
      <c r="Q97" s="29"/>
      <c r="R97" s="29">
        <f t="shared" si="90"/>
        <v>6087</v>
      </c>
      <c r="S97" s="115">
        <f t="shared" si="91"/>
        <v>72.464285714285708</v>
      </c>
      <c r="T97" s="115">
        <f t="shared" ref="T97:T134" si="107">IF(Q97&gt;0,0,IF((OR((AF97&gt;AG97),(AH97&lt;AI97))),0,IF((AND((AH97&gt;=AI97),(AH97&lt;=AG97))),S97*((AH97-AI97)*12),IF((AND((AI97&lt;=AF97),(AG97&gt;=AF97))),((AG97-AF97)*12)*S97,IF(AH97&gt;AG97,12*S97,0)))))</f>
        <v>0</v>
      </c>
      <c r="U97" s="115">
        <f t="shared" si="92"/>
        <v>0</v>
      </c>
      <c r="V97" s="115">
        <f t="shared" si="93"/>
        <v>0</v>
      </c>
      <c r="W97" s="124">
        <v>1</v>
      </c>
      <c r="X97" s="115">
        <f t="shared" si="94"/>
        <v>0</v>
      </c>
      <c r="Y97" s="113"/>
      <c r="Z97" s="115">
        <f t="shared" ref="Z97:Z160" si="108">IF(AF97&gt;AG97,0,IF(AH97&lt;AI97,R97,IF((AND((AH97&gt;=AI97),(AH97&lt;=AG97))),(R97-V97),IF((AND((AI97&lt;=AF97),(AG97&gt;=AF97))),0,IF(AH97&gt;AG97,((AI97-AF97)*12)*S97,0)))))</f>
        <v>6087</v>
      </c>
      <c r="AA97" s="115">
        <f t="shared" si="95"/>
        <v>6087</v>
      </c>
      <c r="AB97" s="121">
        <v>1</v>
      </c>
      <c r="AC97" s="115">
        <f t="shared" si="96"/>
        <v>6087</v>
      </c>
      <c r="AD97" s="115">
        <f t="shared" si="97"/>
        <v>6087</v>
      </c>
      <c r="AE97" s="115">
        <f t="shared" si="98"/>
        <v>0</v>
      </c>
      <c r="AF97" s="115">
        <f t="shared" si="99"/>
        <v>1998.6666666666667</v>
      </c>
      <c r="AG97" s="115">
        <f t="shared" si="100"/>
        <v>2019.75</v>
      </c>
      <c r="AH97" s="115">
        <f t="shared" si="101"/>
        <v>2005.6666666666667</v>
      </c>
      <c r="AI97" s="117">
        <f t="shared" si="102"/>
        <v>2018.75</v>
      </c>
      <c r="AJ97" s="117">
        <f t="shared" si="103"/>
        <v>-8.3333333333333329E-2</v>
      </c>
      <c r="AK97" s="117">
        <f t="shared" si="104"/>
        <v>2005.6666666666667</v>
      </c>
      <c r="AL97" s="117">
        <f t="shared" si="105"/>
        <v>2018.75</v>
      </c>
      <c r="AM97" s="117">
        <f t="shared" si="106"/>
        <v>-8.3333333333333329E-2</v>
      </c>
    </row>
    <row r="98" spans="1:39" x14ac:dyDescent="0.25">
      <c r="A98">
        <v>30</v>
      </c>
      <c r="B98" t="s">
        <v>383</v>
      </c>
      <c r="C98" t="s">
        <v>375</v>
      </c>
      <c r="D98" s="27">
        <v>1999</v>
      </c>
      <c r="E98" s="27">
        <v>8</v>
      </c>
      <c r="F98" s="122"/>
      <c r="G98" s="27" t="s">
        <v>312</v>
      </c>
      <c r="H98" s="27">
        <v>10</v>
      </c>
      <c r="I98">
        <f t="shared" si="89"/>
        <v>2009</v>
      </c>
      <c r="L98" s="27" t="s">
        <v>313</v>
      </c>
      <c r="M98" s="27" t="s">
        <v>313</v>
      </c>
      <c r="N98" s="27" t="s">
        <v>313</v>
      </c>
      <c r="O98" s="27" t="s">
        <v>313</v>
      </c>
      <c r="P98" s="29">
        <v>10000</v>
      </c>
      <c r="Q98" s="29"/>
      <c r="R98" s="29">
        <f t="shared" si="90"/>
        <v>10000</v>
      </c>
      <c r="S98" s="115">
        <f t="shared" si="91"/>
        <v>83.333333333333329</v>
      </c>
      <c r="T98" s="115">
        <f t="shared" si="107"/>
        <v>0</v>
      </c>
      <c r="U98" s="115">
        <f t="shared" si="92"/>
        <v>0</v>
      </c>
      <c r="V98" s="115">
        <f t="shared" si="93"/>
        <v>0</v>
      </c>
      <c r="W98" s="124">
        <v>1</v>
      </c>
      <c r="X98" s="115">
        <f t="shared" si="94"/>
        <v>0</v>
      </c>
      <c r="Y98" s="113"/>
      <c r="Z98" s="115">
        <f t="shared" si="108"/>
        <v>10000</v>
      </c>
      <c r="AA98" s="115">
        <f t="shared" si="95"/>
        <v>10000</v>
      </c>
      <c r="AB98" s="121">
        <v>1</v>
      </c>
      <c r="AC98" s="115">
        <f t="shared" si="96"/>
        <v>10000</v>
      </c>
      <c r="AD98" s="115">
        <f t="shared" si="97"/>
        <v>10000</v>
      </c>
      <c r="AE98" s="115">
        <f t="shared" si="98"/>
        <v>0</v>
      </c>
      <c r="AF98" s="115">
        <f t="shared" si="99"/>
        <v>1999.5833333333333</v>
      </c>
      <c r="AG98" s="115">
        <f t="shared" si="100"/>
        <v>2019.75</v>
      </c>
      <c r="AH98" s="115">
        <f t="shared" si="101"/>
        <v>2009.5833333333333</v>
      </c>
      <c r="AI98" s="117">
        <f t="shared" si="102"/>
        <v>2018.75</v>
      </c>
      <c r="AJ98" s="117">
        <f t="shared" si="103"/>
        <v>-8.3333333333333329E-2</v>
      </c>
      <c r="AK98" s="117">
        <f t="shared" si="104"/>
        <v>2009.5833333333333</v>
      </c>
      <c r="AL98" s="117">
        <f t="shared" si="105"/>
        <v>2018.75</v>
      </c>
      <c r="AM98" s="117">
        <f t="shared" si="106"/>
        <v>-8.3333333333333329E-2</v>
      </c>
    </row>
    <row r="99" spans="1:39" x14ac:dyDescent="0.25">
      <c r="A99">
        <v>34</v>
      </c>
      <c r="B99" t="s">
        <v>384</v>
      </c>
      <c r="C99" t="s">
        <v>375</v>
      </c>
      <c r="D99" s="27">
        <v>2000</v>
      </c>
      <c r="E99" s="27">
        <v>5</v>
      </c>
      <c r="F99" s="122"/>
      <c r="G99" s="27" t="s">
        <v>312</v>
      </c>
      <c r="H99" s="27">
        <v>7</v>
      </c>
      <c r="I99">
        <f t="shared" si="89"/>
        <v>2007</v>
      </c>
      <c r="L99" s="27" t="s">
        <v>313</v>
      </c>
      <c r="M99" s="27" t="s">
        <v>313</v>
      </c>
      <c r="N99" s="27" t="s">
        <v>313</v>
      </c>
      <c r="O99" s="27" t="s">
        <v>313</v>
      </c>
      <c r="P99" s="29">
        <v>1904</v>
      </c>
      <c r="Q99" s="29"/>
      <c r="R99" s="29">
        <f t="shared" si="90"/>
        <v>1904</v>
      </c>
      <c r="S99" s="115">
        <f t="shared" si="91"/>
        <v>22.666666666666668</v>
      </c>
      <c r="T99" s="115">
        <f t="shared" si="107"/>
        <v>0</v>
      </c>
      <c r="U99" s="115">
        <f t="shared" si="92"/>
        <v>0</v>
      </c>
      <c r="V99" s="115">
        <f t="shared" si="93"/>
        <v>0</v>
      </c>
      <c r="W99" s="124">
        <v>1</v>
      </c>
      <c r="X99" s="115">
        <f t="shared" si="94"/>
        <v>0</v>
      </c>
      <c r="Y99" s="113"/>
      <c r="Z99" s="115">
        <f t="shared" si="108"/>
        <v>1904</v>
      </c>
      <c r="AA99" s="115">
        <f t="shared" si="95"/>
        <v>1904</v>
      </c>
      <c r="AB99" s="121">
        <v>1</v>
      </c>
      <c r="AC99" s="115">
        <f t="shared" si="96"/>
        <v>1904</v>
      </c>
      <c r="AD99" s="115">
        <f t="shared" si="97"/>
        <v>1904</v>
      </c>
      <c r="AE99" s="115">
        <f t="shared" si="98"/>
        <v>0</v>
      </c>
      <c r="AF99" s="115">
        <f t="shared" si="99"/>
        <v>2000.3333333333333</v>
      </c>
      <c r="AG99" s="115">
        <f t="shared" si="100"/>
        <v>2019.75</v>
      </c>
      <c r="AH99" s="115">
        <f t="shared" si="101"/>
        <v>2007.3333333333333</v>
      </c>
      <c r="AI99" s="117">
        <f t="shared" si="102"/>
        <v>2018.75</v>
      </c>
      <c r="AJ99" s="117">
        <f t="shared" si="103"/>
        <v>-8.3333333333333329E-2</v>
      </c>
      <c r="AK99" s="117">
        <f t="shared" si="104"/>
        <v>2007.3333333333333</v>
      </c>
      <c r="AL99" s="117">
        <f t="shared" si="105"/>
        <v>2018.75</v>
      </c>
      <c r="AM99" s="117">
        <f t="shared" si="106"/>
        <v>-8.3333333333333329E-2</v>
      </c>
    </row>
    <row r="100" spans="1:39" x14ac:dyDescent="0.25">
      <c r="A100">
        <v>35</v>
      </c>
      <c r="B100" t="s">
        <v>385</v>
      </c>
      <c r="C100" t="s">
        <v>375</v>
      </c>
      <c r="D100" s="27">
        <v>2000</v>
      </c>
      <c r="E100" s="27">
        <v>6</v>
      </c>
      <c r="F100" s="122"/>
      <c r="G100" s="27" t="s">
        <v>312</v>
      </c>
      <c r="H100" s="27">
        <v>7</v>
      </c>
      <c r="I100">
        <f t="shared" si="89"/>
        <v>2007</v>
      </c>
      <c r="L100" s="27" t="s">
        <v>313</v>
      </c>
      <c r="M100" s="27" t="s">
        <v>313</v>
      </c>
      <c r="N100" s="27" t="s">
        <v>313</v>
      </c>
      <c r="O100" s="27" t="s">
        <v>313</v>
      </c>
      <c r="P100" s="29">
        <v>2891</v>
      </c>
      <c r="Q100" s="29"/>
      <c r="R100" s="29">
        <f t="shared" si="90"/>
        <v>2891</v>
      </c>
      <c r="S100" s="115">
        <f t="shared" si="91"/>
        <v>34.416666666666664</v>
      </c>
      <c r="T100" s="115">
        <f t="shared" si="107"/>
        <v>0</v>
      </c>
      <c r="U100" s="115">
        <f t="shared" si="92"/>
        <v>0</v>
      </c>
      <c r="V100" s="115">
        <f t="shared" si="93"/>
        <v>0</v>
      </c>
      <c r="W100" s="124">
        <v>1</v>
      </c>
      <c r="X100" s="115">
        <f t="shared" si="94"/>
        <v>0</v>
      </c>
      <c r="Y100" s="113"/>
      <c r="Z100" s="115">
        <f t="shared" si="108"/>
        <v>2891</v>
      </c>
      <c r="AA100" s="115">
        <f t="shared" si="95"/>
        <v>2891</v>
      </c>
      <c r="AB100" s="121">
        <v>1</v>
      </c>
      <c r="AC100" s="115">
        <f t="shared" si="96"/>
        <v>2891</v>
      </c>
      <c r="AD100" s="115">
        <f t="shared" si="97"/>
        <v>2891</v>
      </c>
      <c r="AE100" s="115">
        <f t="shared" si="98"/>
        <v>0</v>
      </c>
      <c r="AF100" s="115">
        <f t="shared" si="99"/>
        <v>2000.4166666666667</v>
      </c>
      <c r="AG100" s="115">
        <f t="shared" si="100"/>
        <v>2019.75</v>
      </c>
      <c r="AH100" s="115">
        <f t="shared" si="101"/>
        <v>2007.4166666666667</v>
      </c>
      <c r="AI100" s="117">
        <f t="shared" si="102"/>
        <v>2018.75</v>
      </c>
      <c r="AJ100" s="117">
        <f t="shared" si="103"/>
        <v>-8.3333333333333329E-2</v>
      </c>
      <c r="AK100" s="117">
        <f t="shared" si="104"/>
        <v>2007.4166666666667</v>
      </c>
      <c r="AL100" s="117">
        <f t="shared" si="105"/>
        <v>2018.75</v>
      </c>
      <c r="AM100" s="117">
        <f t="shared" si="106"/>
        <v>-8.3333333333333329E-2</v>
      </c>
    </row>
    <row r="101" spans="1:39" x14ac:dyDescent="0.25">
      <c r="A101">
        <v>36</v>
      </c>
      <c r="B101" t="s">
        <v>386</v>
      </c>
      <c r="C101" t="s">
        <v>375</v>
      </c>
      <c r="D101" s="27">
        <v>2000</v>
      </c>
      <c r="E101" s="27">
        <v>6</v>
      </c>
      <c r="F101" s="122"/>
      <c r="G101" s="27" t="s">
        <v>312</v>
      </c>
      <c r="H101" s="27">
        <v>7</v>
      </c>
      <c r="I101">
        <f t="shared" si="89"/>
        <v>2007</v>
      </c>
      <c r="L101" s="27" t="s">
        <v>313</v>
      </c>
      <c r="M101" s="27" t="s">
        <v>313</v>
      </c>
      <c r="N101" s="27" t="s">
        <v>313</v>
      </c>
      <c r="O101" s="27" t="s">
        <v>313</v>
      </c>
      <c r="P101" s="29">
        <v>23835</v>
      </c>
      <c r="Q101" s="29"/>
      <c r="R101" s="29">
        <f t="shared" si="90"/>
        <v>23835</v>
      </c>
      <c r="S101" s="115">
        <f t="shared" si="91"/>
        <v>283.75</v>
      </c>
      <c r="T101" s="115">
        <f t="shared" si="107"/>
        <v>0</v>
      </c>
      <c r="U101" s="115">
        <f t="shared" si="92"/>
        <v>0</v>
      </c>
      <c r="V101" s="115">
        <f t="shared" si="93"/>
        <v>0</v>
      </c>
      <c r="W101" s="124">
        <v>1</v>
      </c>
      <c r="X101" s="115">
        <f t="shared" si="94"/>
        <v>0</v>
      </c>
      <c r="Y101" s="113"/>
      <c r="Z101" s="115">
        <f t="shared" si="108"/>
        <v>23835</v>
      </c>
      <c r="AA101" s="115">
        <f t="shared" si="95"/>
        <v>23835</v>
      </c>
      <c r="AB101" s="121">
        <v>1</v>
      </c>
      <c r="AC101" s="115">
        <f t="shared" si="96"/>
        <v>23835</v>
      </c>
      <c r="AD101" s="115">
        <f t="shared" si="97"/>
        <v>23835</v>
      </c>
      <c r="AE101" s="115">
        <f t="shared" si="98"/>
        <v>0</v>
      </c>
      <c r="AF101" s="115">
        <f t="shared" si="99"/>
        <v>2000.4166666666667</v>
      </c>
      <c r="AG101" s="115">
        <f t="shared" si="100"/>
        <v>2019.75</v>
      </c>
      <c r="AH101" s="115">
        <f t="shared" si="101"/>
        <v>2007.4166666666667</v>
      </c>
      <c r="AI101" s="117">
        <f t="shared" si="102"/>
        <v>2018.75</v>
      </c>
      <c r="AJ101" s="117">
        <f t="shared" si="103"/>
        <v>-8.3333333333333329E-2</v>
      </c>
      <c r="AK101" s="117">
        <f t="shared" si="104"/>
        <v>2007.4166666666667</v>
      </c>
      <c r="AL101" s="117">
        <f t="shared" si="105"/>
        <v>2018.75</v>
      </c>
      <c r="AM101" s="117">
        <f t="shared" si="106"/>
        <v>-8.3333333333333329E-2</v>
      </c>
    </row>
    <row r="102" spans="1:39" x14ac:dyDescent="0.25">
      <c r="A102">
        <v>37</v>
      </c>
      <c r="B102" t="s">
        <v>387</v>
      </c>
      <c r="C102" t="s">
        <v>375</v>
      </c>
      <c r="D102" s="27">
        <v>2000</v>
      </c>
      <c r="E102" s="27">
        <v>6</v>
      </c>
      <c r="F102" s="122"/>
      <c r="G102" s="27" t="s">
        <v>312</v>
      </c>
      <c r="H102" s="27">
        <v>7</v>
      </c>
      <c r="I102">
        <f t="shared" si="89"/>
        <v>2007</v>
      </c>
      <c r="L102" s="27" t="s">
        <v>313</v>
      </c>
      <c r="M102" s="27" t="s">
        <v>313</v>
      </c>
      <c r="N102" s="27" t="s">
        <v>313</v>
      </c>
      <c r="O102" s="27" t="s">
        <v>313</v>
      </c>
      <c r="P102" s="29">
        <v>12903</v>
      </c>
      <c r="Q102" s="29"/>
      <c r="R102" s="29">
        <f t="shared" si="90"/>
        <v>12903</v>
      </c>
      <c r="S102" s="115">
        <f t="shared" si="91"/>
        <v>153.60714285714286</v>
      </c>
      <c r="T102" s="115">
        <f t="shared" si="107"/>
        <v>0</v>
      </c>
      <c r="U102" s="115">
        <f t="shared" si="92"/>
        <v>0</v>
      </c>
      <c r="V102" s="115">
        <f t="shared" si="93"/>
        <v>0</v>
      </c>
      <c r="W102" s="124">
        <v>1</v>
      </c>
      <c r="X102" s="115">
        <f t="shared" si="94"/>
        <v>0</v>
      </c>
      <c r="Y102" s="113"/>
      <c r="Z102" s="115">
        <f t="shared" si="108"/>
        <v>12903</v>
      </c>
      <c r="AA102" s="115">
        <f t="shared" si="95"/>
        <v>12903</v>
      </c>
      <c r="AB102" s="121">
        <v>1</v>
      </c>
      <c r="AC102" s="115">
        <f t="shared" si="96"/>
        <v>12903</v>
      </c>
      <c r="AD102" s="115">
        <f t="shared" si="97"/>
        <v>12903</v>
      </c>
      <c r="AE102" s="115">
        <f t="shared" si="98"/>
        <v>0</v>
      </c>
      <c r="AF102" s="115">
        <f t="shared" si="99"/>
        <v>2000.4166666666667</v>
      </c>
      <c r="AG102" s="115">
        <f t="shared" si="100"/>
        <v>2019.75</v>
      </c>
      <c r="AH102" s="115">
        <f t="shared" si="101"/>
        <v>2007.4166666666667</v>
      </c>
      <c r="AI102" s="117">
        <f t="shared" si="102"/>
        <v>2018.75</v>
      </c>
      <c r="AJ102" s="117">
        <f t="shared" si="103"/>
        <v>-8.3333333333333329E-2</v>
      </c>
      <c r="AK102" s="117">
        <f t="shared" si="104"/>
        <v>2007.4166666666667</v>
      </c>
      <c r="AL102" s="117">
        <f t="shared" si="105"/>
        <v>2018.75</v>
      </c>
      <c r="AM102" s="117">
        <f t="shared" si="106"/>
        <v>-8.3333333333333329E-2</v>
      </c>
    </row>
    <row r="103" spans="1:39" x14ac:dyDescent="0.25">
      <c r="A103">
        <v>43</v>
      </c>
      <c r="B103" t="s">
        <v>388</v>
      </c>
      <c r="C103" t="s">
        <v>375</v>
      </c>
      <c r="D103" s="27">
        <v>2000</v>
      </c>
      <c r="E103" s="27">
        <v>11</v>
      </c>
      <c r="F103" s="122"/>
      <c r="G103" s="27" t="s">
        <v>312</v>
      </c>
      <c r="H103" s="27">
        <v>10</v>
      </c>
      <c r="I103">
        <f t="shared" si="89"/>
        <v>2010</v>
      </c>
      <c r="L103" s="27" t="s">
        <v>313</v>
      </c>
      <c r="M103" s="27" t="s">
        <v>313</v>
      </c>
      <c r="N103" s="27" t="s">
        <v>313</v>
      </c>
      <c r="O103" s="27" t="s">
        <v>313</v>
      </c>
      <c r="P103" s="29">
        <v>115000</v>
      </c>
      <c r="Q103" s="29"/>
      <c r="R103" s="29">
        <f t="shared" si="90"/>
        <v>115000</v>
      </c>
      <c r="S103" s="115">
        <f t="shared" si="91"/>
        <v>958.33333333333337</v>
      </c>
      <c r="T103" s="115">
        <f t="shared" si="107"/>
        <v>0</v>
      </c>
      <c r="U103" s="115">
        <f t="shared" si="92"/>
        <v>0</v>
      </c>
      <c r="V103" s="115">
        <f t="shared" si="93"/>
        <v>0</v>
      </c>
      <c r="W103" s="124">
        <v>1</v>
      </c>
      <c r="X103" s="115">
        <f t="shared" si="94"/>
        <v>0</v>
      </c>
      <c r="Y103" s="113"/>
      <c r="Z103" s="115">
        <f t="shared" si="108"/>
        <v>115000</v>
      </c>
      <c r="AA103" s="115">
        <f t="shared" si="95"/>
        <v>115000</v>
      </c>
      <c r="AB103" s="121">
        <v>1</v>
      </c>
      <c r="AC103" s="115">
        <f t="shared" si="96"/>
        <v>115000</v>
      </c>
      <c r="AD103" s="115">
        <f t="shared" si="97"/>
        <v>115000</v>
      </c>
      <c r="AE103" s="115">
        <f t="shared" si="98"/>
        <v>0</v>
      </c>
      <c r="AF103" s="115">
        <f t="shared" si="99"/>
        <v>2000.8333333333333</v>
      </c>
      <c r="AG103" s="115">
        <f t="shared" si="100"/>
        <v>2019.75</v>
      </c>
      <c r="AH103" s="115">
        <f t="shared" si="101"/>
        <v>2010.8333333333333</v>
      </c>
      <c r="AI103" s="117">
        <f t="shared" si="102"/>
        <v>2018.75</v>
      </c>
      <c r="AJ103" s="117">
        <f t="shared" si="103"/>
        <v>-8.3333333333333329E-2</v>
      </c>
      <c r="AK103" s="117">
        <f t="shared" si="104"/>
        <v>2010.8333333333333</v>
      </c>
      <c r="AL103" s="117">
        <f t="shared" si="105"/>
        <v>2018.75</v>
      </c>
      <c r="AM103" s="117">
        <f t="shared" si="106"/>
        <v>-8.3333333333333329E-2</v>
      </c>
    </row>
    <row r="104" spans="1:39" x14ac:dyDescent="0.25">
      <c r="A104">
        <v>55</v>
      </c>
      <c r="B104" t="s">
        <v>389</v>
      </c>
      <c r="C104" t="s">
        <v>375</v>
      </c>
      <c r="D104" s="27">
        <v>2004</v>
      </c>
      <c r="E104" s="27">
        <v>6</v>
      </c>
      <c r="F104" s="122"/>
      <c r="G104" s="27" t="s">
        <v>312</v>
      </c>
      <c r="H104" s="27">
        <v>5</v>
      </c>
      <c r="I104">
        <f t="shared" si="89"/>
        <v>2009</v>
      </c>
      <c r="L104" s="27" t="s">
        <v>313</v>
      </c>
      <c r="M104" s="27" t="s">
        <v>313</v>
      </c>
      <c r="N104" s="27" t="s">
        <v>313</v>
      </c>
      <c r="O104" s="27" t="s">
        <v>313</v>
      </c>
      <c r="P104" s="29">
        <v>1720</v>
      </c>
      <c r="Q104" s="29"/>
      <c r="R104" s="29">
        <f t="shared" si="90"/>
        <v>1720</v>
      </c>
      <c r="S104" s="115">
        <f t="shared" si="91"/>
        <v>28.666666666666668</v>
      </c>
      <c r="T104" s="115">
        <f t="shared" si="107"/>
        <v>0</v>
      </c>
      <c r="U104" s="115">
        <f t="shared" si="92"/>
        <v>0</v>
      </c>
      <c r="V104" s="115">
        <f t="shared" si="93"/>
        <v>0</v>
      </c>
      <c r="W104" s="124">
        <v>1</v>
      </c>
      <c r="X104" s="115">
        <f t="shared" si="94"/>
        <v>0</v>
      </c>
      <c r="Y104" s="113"/>
      <c r="Z104" s="115">
        <f t="shared" si="108"/>
        <v>1720</v>
      </c>
      <c r="AA104" s="115">
        <f t="shared" si="95"/>
        <v>1720</v>
      </c>
      <c r="AB104" s="121">
        <v>1</v>
      </c>
      <c r="AC104" s="115">
        <f t="shared" si="96"/>
        <v>1720</v>
      </c>
      <c r="AD104" s="115">
        <f t="shared" si="97"/>
        <v>1720</v>
      </c>
      <c r="AE104" s="115">
        <f t="shared" si="98"/>
        <v>0</v>
      </c>
      <c r="AF104" s="115">
        <f t="shared" si="99"/>
        <v>2004.4166666666667</v>
      </c>
      <c r="AG104" s="115">
        <f t="shared" si="100"/>
        <v>2019.75</v>
      </c>
      <c r="AH104" s="115">
        <f t="shared" si="101"/>
        <v>2009.4166666666667</v>
      </c>
      <c r="AI104" s="117">
        <f t="shared" si="102"/>
        <v>2018.75</v>
      </c>
      <c r="AJ104" s="117">
        <f t="shared" si="103"/>
        <v>-8.3333333333333329E-2</v>
      </c>
      <c r="AK104" s="117">
        <f t="shared" si="104"/>
        <v>2009.4166666666667</v>
      </c>
      <c r="AL104" s="117">
        <f t="shared" si="105"/>
        <v>2018.75</v>
      </c>
      <c r="AM104" s="117">
        <f t="shared" si="106"/>
        <v>-8.3333333333333329E-2</v>
      </c>
    </row>
    <row r="105" spans="1:39" x14ac:dyDescent="0.25">
      <c r="A105">
        <v>57</v>
      </c>
      <c r="B105" t="s">
        <v>390</v>
      </c>
      <c r="C105" t="s">
        <v>375</v>
      </c>
      <c r="D105" s="27">
        <v>2008</v>
      </c>
      <c r="E105" s="27">
        <v>6</v>
      </c>
      <c r="F105" s="122"/>
      <c r="G105" s="27" t="s">
        <v>312</v>
      </c>
      <c r="H105" s="27">
        <v>7</v>
      </c>
      <c r="I105">
        <f t="shared" si="89"/>
        <v>2015</v>
      </c>
      <c r="L105" s="27" t="s">
        <v>313</v>
      </c>
      <c r="M105" s="27" t="s">
        <v>313</v>
      </c>
      <c r="N105" s="27" t="s">
        <v>313</v>
      </c>
      <c r="O105" s="27" t="s">
        <v>313</v>
      </c>
      <c r="P105" s="29">
        <v>10000</v>
      </c>
      <c r="Q105" s="29"/>
      <c r="R105" s="29">
        <f t="shared" si="90"/>
        <v>10000</v>
      </c>
      <c r="S105" s="115">
        <f t="shared" si="91"/>
        <v>119.04761904761905</v>
      </c>
      <c r="T105" s="115">
        <f t="shared" si="107"/>
        <v>0</v>
      </c>
      <c r="U105" s="115">
        <f t="shared" si="92"/>
        <v>0</v>
      </c>
      <c r="V105" s="115">
        <f t="shared" si="93"/>
        <v>0</v>
      </c>
      <c r="W105" s="124">
        <v>1</v>
      </c>
      <c r="X105" s="115">
        <f t="shared" si="94"/>
        <v>0</v>
      </c>
      <c r="Y105" s="113"/>
      <c r="Z105" s="115">
        <f t="shared" si="108"/>
        <v>10000</v>
      </c>
      <c r="AA105" s="115">
        <f t="shared" si="95"/>
        <v>10000</v>
      </c>
      <c r="AB105" s="121">
        <v>1</v>
      </c>
      <c r="AC105" s="115">
        <f t="shared" si="96"/>
        <v>10000</v>
      </c>
      <c r="AD105" s="115">
        <f t="shared" si="97"/>
        <v>10000</v>
      </c>
      <c r="AE105" s="115">
        <f t="shared" si="98"/>
        <v>0</v>
      </c>
      <c r="AF105" s="115">
        <f t="shared" si="99"/>
        <v>2008.4166666666667</v>
      </c>
      <c r="AG105" s="115">
        <f t="shared" si="100"/>
        <v>2019.75</v>
      </c>
      <c r="AH105" s="115">
        <f t="shared" si="101"/>
        <v>2015.4166666666667</v>
      </c>
      <c r="AI105" s="117">
        <f t="shared" si="102"/>
        <v>2018.75</v>
      </c>
      <c r="AJ105" s="117">
        <f t="shared" si="103"/>
        <v>-8.3333333333333329E-2</v>
      </c>
      <c r="AK105" s="117">
        <f t="shared" si="104"/>
        <v>2015.4166666666667</v>
      </c>
      <c r="AL105" s="117">
        <f t="shared" si="105"/>
        <v>2018.75</v>
      </c>
      <c r="AM105" s="117">
        <f t="shared" si="106"/>
        <v>-8.3333333333333329E-2</v>
      </c>
    </row>
    <row r="106" spans="1:39" x14ac:dyDescent="0.25">
      <c r="A106">
        <v>58</v>
      </c>
      <c r="B106" t="s">
        <v>391</v>
      </c>
      <c r="C106" t="s">
        <v>375</v>
      </c>
      <c r="D106" s="27">
        <v>2008</v>
      </c>
      <c r="E106" s="27">
        <v>12</v>
      </c>
      <c r="F106" s="122"/>
      <c r="G106" s="27" t="s">
        <v>312</v>
      </c>
      <c r="H106" s="27">
        <v>7</v>
      </c>
      <c r="I106">
        <f t="shared" si="89"/>
        <v>2015</v>
      </c>
      <c r="L106" s="27" t="s">
        <v>313</v>
      </c>
      <c r="M106" s="27" t="s">
        <v>313</v>
      </c>
      <c r="N106" s="27" t="s">
        <v>313</v>
      </c>
      <c r="O106" s="27" t="s">
        <v>313</v>
      </c>
      <c r="P106" s="29">
        <v>10000</v>
      </c>
      <c r="Q106" s="29"/>
      <c r="R106" s="29">
        <f t="shared" si="90"/>
        <v>10000</v>
      </c>
      <c r="S106" s="115">
        <f t="shared" si="91"/>
        <v>119.04761904761905</v>
      </c>
      <c r="T106" s="115">
        <f t="shared" si="107"/>
        <v>0</v>
      </c>
      <c r="U106" s="115">
        <f t="shared" si="92"/>
        <v>0</v>
      </c>
      <c r="V106" s="115">
        <f t="shared" si="93"/>
        <v>0</v>
      </c>
      <c r="W106" s="124">
        <v>1</v>
      </c>
      <c r="X106" s="115">
        <f t="shared" si="94"/>
        <v>0</v>
      </c>
      <c r="Y106" s="113"/>
      <c r="Z106" s="115">
        <f t="shared" si="108"/>
        <v>10000</v>
      </c>
      <c r="AA106" s="115">
        <f t="shared" si="95"/>
        <v>10000</v>
      </c>
      <c r="AB106" s="121">
        <v>1</v>
      </c>
      <c r="AC106" s="115">
        <f t="shared" si="96"/>
        <v>10000</v>
      </c>
      <c r="AD106" s="115">
        <f t="shared" si="97"/>
        <v>10000</v>
      </c>
      <c r="AE106" s="115">
        <f t="shared" si="98"/>
        <v>0</v>
      </c>
      <c r="AF106" s="115">
        <f t="shared" si="99"/>
        <v>2008.9166666666667</v>
      </c>
      <c r="AG106" s="115">
        <f t="shared" si="100"/>
        <v>2019.75</v>
      </c>
      <c r="AH106" s="115">
        <f t="shared" si="101"/>
        <v>2015.9166666666667</v>
      </c>
      <c r="AI106" s="117">
        <f t="shared" si="102"/>
        <v>2018.75</v>
      </c>
      <c r="AJ106" s="117">
        <f t="shared" si="103"/>
        <v>-8.3333333333333329E-2</v>
      </c>
      <c r="AK106" s="117">
        <f t="shared" si="104"/>
        <v>2015.9166666666667</v>
      </c>
      <c r="AL106" s="117">
        <f t="shared" si="105"/>
        <v>2018.75</v>
      </c>
      <c r="AM106" s="117">
        <f t="shared" si="106"/>
        <v>-8.3333333333333329E-2</v>
      </c>
    </row>
    <row r="107" spans="1:39" x14ac:dyDescent="0.25">
      <c r="A107">
        <v>59</v>
      </c>
      <c r="B107" t="s">
        <v>392</v>
      </c>
      <c r="C107" t="s">
        <v>375</v>
      </c>
      <c r="D107" s="27">
        <v>2008</v>
      </c>
      <c r="E107" s="27">
        <v>12</v>
      </c>
      <c r="F107" s="122"/>
      <c r="G107" s="27" t="s">
        <v>312</v>
      </c>
      <c r="H107" s="27">
        <v>7</v>
      </c>
      <c r="I107">
        <f t="shared" si="89"/>
        <v>2015</v>
      </c>
      <c r="L107" s="27" t="s">
        <v>313</v>
      </c>
      <c r="M107" s="27" t="s">
        <v>313</v>
      </c>
      <c r="N107" s="27" t="s">
        <v>313</v>
      </c>
      <c r="O107" s="27" t="s">
        <v>313</v>
      </c>
      <c r="P107" s="29">
        <v>27193</v>
      </c>
      <c r="Q107" s="29"/>
      <c r="R107" s="29">
        <f t="shared" si="90"/>
        <v>27193</v>
      </c>
      <c r="S107" s="115">
        <f t="shared" si="91"/>
        <v>323.72619047619048</v>
      </c>
      <c r="T107" s="115">
        <f t="shared" si="107"/>
        <v>0</v>
      </c>
      <c r="U107" s="115">
        <f t="shared" si="92"/>
        <v>0</v>
      </c>
      <c r="V107" s="115">
        <f t="shared" si="93"/>
        <v>0</v>
      </c>
      <c r="W107" s="124">
        <v>1</v>
      </c>
      <c r="X107" s="115">
        <f t="shared" si="94"/>
        <v>0</v>
      </c>
      <c r="Y107" s="113"/>
      <c r="Z107" s="115">
        <f t="shared" si="108"/>
        <v>27193</v>
      </c>
      <c r="AA107" s="115">
        <f t="shared" si="95"/>
        <v>27193</v>
      </c>
      <c r="AB107" s="121">
        <v>1</v>
      </c>
      <c r="AC107" s="115">
        <f t="shared" si="96"/>
        <v>27193</v>
      </c>
      <c r="AD107" s="115">
        <f t="shared" si="97"/>
        <v>27193</v>
      </c>
      <c r="AE107" s="115">
        <f t="shared" si="98"/>
        <v>0</v>
      </c>
      <c r="AF107" s="115">
        <f t="shared" si="99"/>
        <v>2008.9166666666667</v>
      </c>
      <c r="AG107" s="115">
        <f t="shared" si="100"/>
        <v>2019.75</v>
      </c>
      <c r="AH107" s="115">
        <f t="shared" si="101"/>
        <v>2015.9166666666667</v>
      </c>
      <c r="AI107" s="117">
        <f t="shared" si="102"/>
        <v>2018.75</v>
      </c>
      <c r="AJ107" s="117">
        <f t="shared" si="103"/>
        <v>-8.3333333333333329E-2</v>
      </c>
      <c r="AK107" s="117">
        <f t="shared" si="104"/>
        <v>2015.9166666666667</v>
      </c>
      <c r="AL107" s="117">
        <f t="shared" si="105"/>
        <v>2018.75</v>
      </c>
      <c r="AM107" s="117">
        <f t="shared" si="106"/>
        <v>-8.3333333333333329E-2</v>
      </c>
    </row>
    <row r="108" spans="1:39" x14ac:dyDescent="0.25">
      <c r="A108">
        <v>60</v>
      </c>
      <c r="B108" t="s">
        <v>393</v>
      </c>
      <c r="C108" t="s">
        <v>375</v>
      </c>
      <c r="D108" s="27">
        <v>2008</v>
      </c>
      <c r="E108" s="27">
        <v>7</v>
      </c>
      <c r="F108" s="122"/>
      <c r="G108" s="27" t="s">
        <v>312</v>
      </c>
      <c r="H108" s="27">
        <v>7</v>
      </c>
      <c r="I108">
        <f t="shared" si="89"/>
        <v>2015</v>
      </c>
      <c r="L108" s="27" t="s">
        <v>313</v>
      </c>
      <c r="M108" s="27" t="s">
        <v>313</v>
      </c>
      <c r="N108" s="27" t="s">
        <v>313</v>
      </c>
      <c r="O108" s="27" t="s">
        <v>313</v>
      </c>
      <c r="P108" s="29">
        <v>31325</v>
      </c>
      <c r="Q108" s="29"/>
      <c r="R108" s="29">
        <f t="shared" si="90"/>
        <v>31325</v>
      </c>
      <c r="S108" s="115">
        <f t="shared" si="91"/>
        <v>372.91666666666669</v>
      </c>
      <c r="T108" s="115">
        <f t="shared" si="107"/>
        <v>0</v>
      </c>
      <c r="U108" s="115">
        <f t="shared" si="92"/>
        <v>0</v>
      </c>
      <c r="V108" s="115">
        <f t="shared" si="93"/>
        <v>0</v>
      </c>
      <c r="W108" s="124">
        <v>1</v>
      </c>
      <c r="X108" s="115">
        <f t="shared" si="94"/>
        <v>0</v>
      </c>
      <c r="Y108" s="113"/>
      <c r="Z108" s="115">
        <f t="shared" si="108"/>
        <v>31325</v>
      </c>
      <c r="AA108" s="115">
        <f t="shared" si="95"/>
        <v>31325</v>
      </c>
      <c r="AB108" s="121">
        <v>1</v>
      </c>
      <c r="AC108" s="115">
        <f t="shared" si="96"/>
        <v>31325</v>
      </c>
      <c r="AD108" s="115">
        <f t="shared" si="97"/>
        <v>31325</v>
      </c>
      <c r="AE108" s="115">
        <f t="shared" si="98"/>
        <v>0</v>
      </c>
      <c r="AF108" s="115">
        <f t="shared" si="99"/>
        <v>2008.5</v>
      </c>
      <c r="AG108" s="115">
        <f t="shared" si="100"/>
        <v>2019.75</v>
      </c>
      <c r="AH108" s="115">
        <f t="shared" si="101"/>
        <v>2015.5</v>
      </c>
      <c r="AI108" s="117">
        <f t="shared" si="102"/>
        <v>2018.75</v>
      </c>
      <c r="AJ108" s="117">
        <f t="shared" si="103"/>
        <v>-8.3333333333333329E-2</v>
      </c>
      <c r="AK108" s="117">
        <f t="shared" si="104"/>
        <v>2015.5</v>
      </c>
      <c r="AL108" s="117">
        <f t="shared" si="105"/>
        <v>2018.75</v>
      </c>
      <c r="AM108" s="117">
        <f t="shared" si="106"/>
        <v>-8.3333333333333329E-2</v>
      </c>
    </row>
    <row r="109" spans="1:39" x14ac:dyDescent="0.25">
      <c r="A109">
        <v>61</v>
      </c>
      <c r="B109" t="s">
        <v>394</v>
      </c>
      <c r="C109" t="s">
        <v>375</v>
      </c>
      <c r="D109" s="27">
        <v>2008</v>
      </c>
      <c r="E109" s="27">
        <v>10</v>
      </c>
      <c r="F109" s="122"/>
      <c r="G109" s="27" t="s">
        <v>312</v>
      </c>
      <c r="H109" s="27">
        <v>7</v>
      </c>
      <c r="I109">
        <f t="shared" si="89"/>
        <v>2015</v>
      </c>
      <c r="L109" s="27" t="s">
        <v>313</v>
      </c>
      <c r="M109" s="27" t="s">
        <v>313</v>
      </c>
      <c r="N109" s="27" t="s">
        <v>313</v>
      </c>
      <c r="O109" s="27" t="s">
        <v>313</v>
      </c>
      <c r="P109" s="29">
        <v>4290</v>
      </c>
      <c r="Q109" s="29"/>
      <c r="R109" s="29">
        <f t="shared" si="90"/>
        <v>4290</v>
      </c>
      <c r="S109" s="115">
        <f t="shared" si="91"/>
        <v>51.071428571428577</v>
      </c>
      <c r="T109" s="115">
        <f t="shared" si="107"/>
        <v>0</v>
      </c>
      <c r="U109" s="115">
        <f t="shared" si="92"/>
        <v>0</v>
      </c>
      <c r="V109" s="115">
        <f t="shared" si="93"/>
        <v>0</v>
      </c>
      <c r="W109" s="124">
        <v>1</v>
      </c>
      <c r="X109" s="115">
        <f t="shared" si="94"/>
        <v>0</v>
      </c>
      <c r="Y109" s="113"/>
      <c r="Z109" s="115">
        <f t="shared" si="108"/>
        <v>4290</v>
      </c>
      <c r="AA109" s="115">
        <f t="shared" si="95"/>
        <v>4290</v>
      </c>
      <c r="AB109" s="121">
        <v>1</v>
      </c>
      <c r="AC109" s="115">
        <f t="shared" si="96"/>
        <v>4290</v>
      </c>
      <c r="AD109" s="115">
        <f t="shared" si="97"/>
        <v>4290</v>
      </c>
      <c r="AE109" s="115">
        <f t="shared" si="98"/>
        <v>0</v>
      </c>
      <c r="AF109" s="115">
        <f t="shared" si="99"/>
        <v>2008.75</v>
      </c>
      <c r="AG109" s="115">
        <f t="shared" si="100"/>
        <v>2019.75</v>
      </c>
      <c r="AH109" s="115">
        <f t="shared" si="101"/>
        <v>2015.75</v>
      </c>
      <c r="AI109" s="117">
        <f t="shared" si="102"/>
        <v>2018.75</v>
      </c>
      <c r="AJ109" s="117">
        <f t="shared" si="103"/>
        <v>-8.3333333333333329E-2</v>
      </c>
      <c r="AK109" s="117">
        <f t="shared" si="104"/>
        <v>2015.75</v>
      </c>
      <c r="AL109" s="117">
        <f t="shared" si="105"/>
        <v>2018.75</v>
      </c>
      <c r="AM109" s="117">
        <f t="shared" si="106"/>
        <v>-8.3333333333333329E-2</v>
      </c>
    </row>
    <row r="110" spans="1:39" x14ac:dyDescent="0.25">
      <c r="A110">
        <v>62</v>
      </c>
      <c r="B110" t="s">
        <v>395</v>
      </c>
      <c r="C110" t="s">
        <v>375</v>
      </c>
      <c r="D110" s="27">
        <v>2008</v>
      </c>
      <c r="E110" s="27">
        <v>5</v>
      </c>
      <c r="F110" s="122"/>
      <c r="G110" s="27" t="s">
        <v>312</v>
      </c>
      <c r="H110" s="27">
        <v>7</v>
      </c>
      <c r="I110">
        <f t="shared" si="89"/>
        <v>2015</v>
      </c>
      <c r="L110" s="27" t="s">
        <v>313</v>
      </c>
      <c r="M110" s="27" t="s">
        <v>313</v>
      </c>
      <c r="N110" s="27" t="s">
        <v>313</v>
      </c>
      <c r="O110" s="27" t="s">
        <v>313</v>
      </c>
      <c r="P110" s="29">
        <v>6492</v>
      </c>
      <c r="Q110" s="29"/>
      <c r="R110" s="29">
        <f t="shared" si="90"/>
        <v>6492</v>
      </c>
      <c r="S110" s="115">
        <f t="shared" si="91"/>
        <v>77.285714285714292</v>
      </c>
      <c r="T110" s="115">
        <f t="shared" si="107"/>
        <v>0</v>
      </c>
      <c r="U110" s="115">
        <f t="shared" si="92"/>
        <v>0</v>
      </c>
      <c r="V110" s="115">
        <f t="shared" si="93"/>
        <v>0</v>
      </c>
      <c r="W110" s="124">
        <v>1</v>
      </c>
      <c r="X110" s="115">
        <f t="shared" si="94"/>
        <v>0</v>
      </c>
      <c r="Y110" s="113"/>
      <c r="Z110" s="115">
        <f t="shared" si="108"/>
        <v>6492</v>
      </c>
      <c r="AA110" s="115">
        <f t="shared" si="95"/>
        <v>6492</v>
      </c>
      <c r="AB110" s="121">
        <v>1</v>
      </c>
      <c r="AC110" s="115">
        <f t="shared" si="96"/>
        <v>6492</v>
      </c>
      <c r="AD110" s="115">
        <f t="shared" si="97"/>
        <v>6492</v>
      </c>
      <c r="AE110" s="115">
        <f t="shared" si="98"/>
        <v>0</v>
      </c>
      <c r="AF110" s="115">
        <f t="shared" si="99"/>
        <v>2008.3333333333333</v>
      </c>
      <c r="AG110" s="115">
        <f t="shared" si="100"/>
        <v>2019.75</v>
      </c>
      <c r="AH110" s="115">
        <f t="shared" si="101"/>
        <v>2015.3333333333333</v>
      </c>
      <c r="AI110" s="117">
        <f t="shared" si="102"/>
        <v>2018.75</v>
      </c>
      <c r="AJ110" s="117">
        <f t="shared" si="103"/>
        <v>-8.3333333333333329E-2</v>
      </c>
      <c r="AK110" s="117">
        <f t="shared" si="104"/>
        <v>2015.3333333333333</v>
      </c>
      <c r="AL110" s="117">
        <f t="shared" si="105"/>
        <v>2018.75</v>
      </c>
      <c r="AM110" s="117">
        <f t="shared" si="106"/>
        <v>-8.3333333333333329E-2</v>
      </c>
    </row>
    <row r="111" spans="1:39" x14ac:dyDescent="0.25">
      <c r="A111">
        <v>74</v>
      </c>
      <c r="B111" t="s">
        <v>396</v>
      </c>
      <c r="C111" t="s">
        <v>375</v>
      </c>
      <c r="D111" s="27">
        <v>2009</v>
      </c>
      <c r="E111" s="27">
        <v>6</v>
      </c>
      <c r="F111" s="122"/>
      <c r="G111" s="27" t="s">
        <v>312</v>
      </c>
      <c r="H111" s="27">
        <v>7</v>
      </c>
      <c r="I111">
        <f t="shared" si="89"/>
        <v>2016</v>
      </c>
      <c r="L111" s="27" t="s">
        <v>313</v>
      </c>
      <c r="M111" s="27" t="s">
        <v>313</v>
      </c>
      <c r="N111" s="27" t="s">
        <v>313</v>
      </c>
      <c r="O111" s="27" t="s">
        <v>313</v>
      </c>
      <c r="P111" s="29">
        <v>1079</v>
      </c>
      <c r="Q111" s="29"/>
      <c r="R111" s="29">
        <f t="shared" si="90"/>
        <v>1079</v>
      </c>
      <c r="S111" s="115">
        <f t="shared" si="91"/>
        <v>12.845238095238095</v>
      </c>
      <c r="T111" s="115">
        <f t="shared" si="107"/>
        <v>0</v>
      </c>
      <c r="U111" s="115">
        <f t="shared" si="92"/>
        <v>0</v>
      </c>
      <c r="V111" s="115">
        <f t="shared" si="93"/>
        <v>0</v>
      </c>
      <c r="W111" s="124">
        <v>1</v>
      </c>
      <c r="X111" s="115">
        <f t="shared" si="94"/>
        <v>0</v>
      </c>
      <c r="Y111" s="113"/>
      <c r="Z111" s="115">
        <f t="shared" si="108"/>
        <v>1079</v>
      </c>
      <c r="AA111" s="115">
        <f t="shared" si="95"/>
        <v>1079</v>
      </c>
      <c r="AB111" s="121">
        <v>1</v>
      </c>
      <c r="AC111" s="115">
        <f t="shared" si="96"/>
        <v>1079</v>
      </c>
      <c r="AD111" s="115">
        <f t="shared" si="97"/>
        <v>1079</v>
      </c>
      <c r="AE111" s="115">
        <f t="shared" si="98"/>
        <v>0</v>
      </c>
      <c r="AF111" s="115">
        <f t="shared" si="99"/>
        <v>2009.4166666666667</v>
      </c>
      <c r="AG111" s="115">
        <f t="shared" si="100"/>
        <v>2019.75</v>
      </c>
      <c r="AH111" s="115">
        <f t="shared" si="101"/>
        <v>2016.4166666666667</v>
      </c>
      <c r="AI111" s="117">
        <f t="shared" si="102"/>
        <v>2018.75</v>
      </c>
      <c r="AJ111" s="117">
        <f t="shared" si="103"/>
        <v>-8.3333333333333329E-2</v>
      </c>
      <c r="AK111" s="117">
        <f t="shared" si="104"/>
        <v>2016.4166666666667</v>
      </c>
      <c r="AL111" s="117">
        <f t="shared" si="105"/>
        <v>2018.75</v>
      </c>
      <c r="AM111" s="117">
        <f t="shared" si="106"/>
        <v>-8.3333333333333329E-2</v>
      </c>
    </row>
    <row r="112" spans="1:39" x14ac:dyDescent="0.25">
      <c r="A112">
        <v>75</v>
      </c>
      <c r="B112" t="s">
        <v>397</v>
      </c>
      <c r="C112" t="s">
        <v>375</v>
      </c>
      <c r="D112" s="27">
        <v>2009</v>
      </c>
      <c r="E112" s="27">
        <v>8</v>
      </c>
      <c r="F112" s="122"/>
      <c r="G112" s="27" t="s">
        <v>312</v>
      </c>
      <c r="H112" s="27">
        <v>7</v>
      </c>
      <c r="I112">
        <f t="shared" si="89"/>
        <v>2016</v>
      </c>
      <c r="L112" s="27" t="s">
        <v>313</v>
      </c>
      <c r="M112" s="27" t="s">
        <v>313</v>
      </c>
      <c r="N112" s="27" t="s">
        <v>313</v>
      </c>
      <c r="O112" s="27" t="s">
        <v>313</v>
      </c>
      <c r="P112" s="29">
        <v>7419</v>
      </c>
      <c r="Q112" s="29"/>
      <c r="R112" s="29">
        <f t="shared" si="90"/>
        <v>7419</v>
      </c>
      <c r="S112" s="115">
        <f t="shared" si="91"/>
        <v>88.321428571428569</v>
      </c>
      <c r="T112" s="115">
        <f t="shared" si="107"/>
        <v>0</v>
      </c>
      <c r="U112" s="115">
        <f t="shared" si="92"/>
        <v>0</v>
      </c>
      <c r="V112" s="115">
        <f t="shared" si="93"/>
        <v>0</v>
      </c>
      <c r="W112" s="124">
        <v>1</v>
      </c>
      <c r="X112" s="115">
        <f t="shared" si="94"/>
        <v>0</v>
      </c>
      <c r="Y112" s="113"/>
      <c r="Z112" s="115">
        <f t="shared" si="108"/>
        <v>7419</v>
      </c>
      <c r="AA112" s="115">
        <f t="shared" si="95"/>
        <v>7419</v>
      </c>
      <c r="AB112" s="121">
        <v>1</v>
      </c>
      <c r="AC112" s="115">
        <f t="shared" si="96"/>
        <v>7419</v>
      </c>
      <c r="AD112" s="115">
        <f t="shared" si="97"/>
        <v>7419</v>
      </c>
      <c r="AE112" s="115">
        <f t="shared" si="98"/>
        <v>0</v>
      </c>
      <c r="AF112" s="115">
        <f t="shared" si="99"/>
        <v>2009.5833333333333</v>
      </c>
      <c r="AG112" s="115">
        <f t="shared" si="100"/>
        <v>2019.75</v>
      </c>
      <c r="AH112" s="115">
        <f t="shared" si="101"/>
        <v>2016.5833333333333</v>
      </c>
      <c r="AI112" s="117">
        <f t="shared" si="102"/>
        <v>2018.75</v>
      </c>
      <c r="AJ112" s="117">
        <f t="shared" si="103"/>
        <v>-8.3333333333333329E-2</v>
      </c>
      <c r="AK112" s="117">
        <f t="shared" si="104"/>
        <v>2016.5833333333333</v>
      </c>
      <c r="AL112" s="117">
        <f t="shared" si="105"/>
        <v>2018.75</v>
      </c>
      <c r="AM112" s="117">
        <f t="shared" si="106"/>
        <v>-8.3333333333333329E-2</v>
      </c>
    </row>
    <row r="113" spans="1:39" x14ac:dyDescent="0.25">
      <c r="A113">
        <v>76</v>
      </c>
      <c r="B113" t="s">
        <v>398</v>
      </c>
      <c r="C113" t="s">
        <v>375</v>
      </c>
      <c r="D113" s="27">
        <v>2009</v>
      </c>
      <c r="E113" s="27">
        <v>9</v>
      </c>
      <c r="F113" s="122"/>
      <c r="G113" s="27" t="s">
        <v>312</v>
      </c>
      <c r="H113" s="27">
        <v>7</v>
      </c>
      <c r="I113">
        <f t="shared" si="89"/>
        <v>2016</v>
      </c>
      <c r="L113" s="27" t="s">
        <v>313</v>
      </c>
      <c r="M113" s="27" t="s">
        <v>313</v>
      </c>
      <c r="N113" s="27" t="s">
        <v>313</v>
      </c>
      <c r="O113" s="27" t="s">
        <v>313</v>
      </c>
      <c r="P113" s="29">
        <v>1419</v>
      </c>
      <c r="Q113" s="29"/>
      <c r="R113" s="29">
        <f t="shared" si="90"/>
        <v>1419</v>
      </c>
      <c r="S113" s="115">
        <f t="shared" si="91"/>
        <v>16.892857142857142</v>
      </c>
      <c r="T113" s="115">
        <f t="shared" si="107"/>
        <v>0</v>
      </c>
      <c r="U113" s="115">
        <f t="shared" si="92"/>
        <v>0</v>
      </c>
      <c r="V113" s="115">
        <f t="shared" si="93"/>
        <v>0</v>
      </c>
      <c r="W113" s="124">
        <v>1</v>
      </c>
      <c r="X113" s="115">
        <f t="shared" si="94"/>
        <v>0</v>
      </c>
      <c r="Y113" s="113"/>
      <c r="Z113" s="115">
        <f t="shared" si="108"/>
        <v>1419</v>
      </c>
      <c r="AA113" s="115">
        <f t="shared" si="95"/>
        <v>1419</v>
      </c>
      <c r="AB113" s="121">
        <v>1</v>
      </c>
      <c r="AC113" s="115">
        <f t="shared" si="96"/>
        <v>1419</v>
      </c>
      <c r="AD113" s="115">
        <f t="shared" si="97"/>
        <v>1419</v>
      </c>
      <c r="AE113" s="115">
        <f t="shared" si="98"/>
        <v>0</v>
      </c>
      <c r="AF113" s="115">
        <f t="shared" si="99"/>
        <v>2009.6666666666667</v>
      </c>
      <c r="AG113" s="115">
        <f t="shared" si="100"/>
        <v>2019.75</v>
      </c>
      <c r="AH113" s="115">
        <f t="shared" si="101"/>
        <v>2016.6666666666667</v>
      </c>
      <c r="AI113" s="117">
        <f t="shared" si="102"/>
        <v>2018.75</v>
      </c>
      <c r="AJ113" s="117">
        <f t="shared" si="103"/>
        <v>-8.3333333333333329E-2</v>
      </c>
      <c r="AK113" s="117">
        <f t="shared" si="104"/>
        <v>2016.6666666666667</v>
      </c>
      <c r="AL113" s="117">
        <f t="shared" si="105"/>
        <v>2018.75</v>
      </c>
      <c r="AM113" s="117">
        <f t="shared" si="106"/>
        <v>-8.3333333333333329E-2</v>
      </c>
    </row>
    <row r="114" spans="1:39" x14ac:dyDescent="0.25">
      <c r="A114">
        <v>77</v>
      </c>
      <c r="B114" t="s">
        <v>399</v>
      </c>
      <c r="C114" t="s">
        <v>375</v>
      </c>
      <c r="D114" s="27">
        <v>2009</v>
      </c>
      <c r="E114" s="27">
        <v>8</v>
      </c>
      <c r="F114" s="122"/>
      <c r="G114" s="27" t="s">
        <v>312</v>
      </c>
      <c r="H114" s="27">
        <v>7</v>
      </c>
      <c r="I114">
        <f t="shared" si="89"/>
        <v>2016</v>
      </c>
      <c r="L114" s="27" t="s">
        <v>313</v>
      </c>
      <c r="M114" s="27" t="s">
        <v>313</v>
      </c>
      <c r="N114" s="27" t="s">
        <v>313</v>
      </c>
      <c r="O114" s="27" t="s">
        <v>313</v>
      </c>
      <c r="P114" s="29">
        <v>2040</v>
      </c>
      <c r="Q114" s="29"/>
      <c r="R114" s="29">
        <f t="shared" si="90"/>
        <v>2040</v>
      </c>
      <c r="S114" s="115">
        <f t="shared" si="91"/>
        <v>24.285714285714288</v>
      </c>
      <c r="T114" s="115">
        <f t="shared" si="107"/>
        <v>0</v>
      </c>
      <c r="U114" s="115">
        <f t="shared" si="92"/>
        <v>0</v>
      </c>
      <c r="V114" s="115">
        <f t="shared" si="93"/>
        <v>0</v>
      </c>
      <c r="W114" s="124">
        <v>1</v>
      </c>
      <c r="X114" s="115">
        <f t="shared" si="94"/>
        <v>0</v>
      </c>
      <c r="Y114" s="113"/>
      <c r="Z114" s="115">
        <f t="shared" si="108"/>
        <v>2040</v>
      </c>
      <c r="AA114" s="115">
        <f t="shared" si="95"/>
        <v>2040</v>
      </c>
      <c r="AB114" s="121">
        <v>1</v>
      </c>
      <c r="AC114" s="115">
        <f t="shared" si="96"/>
        <v>2040</v>
      </c>
      <c r="AD114" s="115">
        <f t="shared" si="97"/>
        <v>2040</v>
      </c>
      <c r="AE114" s="115">
        <f t="shared" si="98"/>
        <v>0</v>
      </c>
      <c r="AF114" s="115">
        <f t="shared" si="99"/>
        <v>2009.5833333333333</v>
      </c>
      <c r="AG114" s="115">
        <f t="shared" si="100"/>
        <v>2019.75</v>
      </c>
      <c r="AH114" s="115">
        <f t="shared" si="101"/>
        <v>2016.5833333333333</v>
      </c>
      <c r="AI114" s="117">
        <f t="shared" si="102"/>
        <v>2018.75</v>
      </c>
      <c r="AJ114" s="117">
        <f t="shared" si="103"/>
        <v>-8.3333333333333329E-2</v>
      </c>
      <c r="AK114" s="117">
        <f t="shared" si="104"/>
        <v>2016.5833333333333</v>
      </c>
      <c r="AL114" s="117">
        <f t="shared" si="105"/>
        <v>2018.75</v>
      </c>
      <c r="AM114" s="117">
        <f t="shared" si="106"/>
        <v>-8.3333333333333329E-2</v>
      </c>
    </row>
    <row r="115" spans="1:39" x14ac:dyDescent="0.25">
      <c r="A115">
        <v>81</v>
      </c>
      <c r="B115" t="s">
        <v>400</v>
      </c>
      <c r="C115" t="s">
        <v>375</v>
      </c>
      <c r="D115" s="27">
        <v>2009</v>
      </c>
      <c r="E115" s="27">
        <v>11</v>
      </c>
      <c r="F115" s="122"/>
      <c r="G115" s="27" t="s">
        <v>312</v>
      </c>
      <c r="H115" s="27">
        <v>7</v>
      </c>
      <c r="I115">
        <f t="shared" si="89"/>
        <v>2016</v>
      </c>
      <c r="L115" s="27" t="s">
        <v>313</v>
      </c>
      <c r="M115" s="27" t="s">
        <v>313</v>
      </c>
      <c r="N115" s="27" t="s">
        <v>313</v>
      </c>
      <c r="O115" s="27" t="s">
        <v>313</v>
      </c>
      <c r="P115" s="29">
        <v>343</v>
      </c>
      <c r="Q115" s="29"/>
      <c r="R115" s="29">
        <f t="shared" si="90"/>
        <v>343</v>
      </c>
      <c r="S115" s="115">
        <f t="shared" si="91"/>
        <v>4.083333333333333</v>
      </c>
      <c r="T115" s="115">
        <f t="shared" si="107"/>
        <v>0</v>
      </c>
      <c r="U115" s="115">
        <f t="shared" si="92"/>
        <v>0</v>
      </c>
      <c r="V115" s="115">
        <f t="shared" si="93"/>
        <v>0</v>
      </c>
      <c r="W115" s="124">
        <v>1</v>
      </c>
      <c r="X115" s="115">
        <f t="shared" si="94"/>
        <v>0</v>
      </c>
      <c r="Y115" s="113"/>
      <c r="Z115" s="115">
        <f t="shared" si="108"/>
        <v>343</v>
      </c>
      <c r="AA115" s="115">
        <f t="shared" si="95"/>
        <v>343</v>
      </c>
      <c r="AB115" s="121">
        <v>1</v>
      </c>
      <c r="AC115" s="115">
        <f t="shared" si="96"/>
        <v>343</v>
      </c>
      <c r="AD115" s="115">
        <f t="shared" si="97"/>
        <v>343</v>
      </c>
      <c r="AE115" s="115">
        <f t="shared" si="98"/>
        <v>0</v>
      </c>
      <c r="AF115" s="115">
        <f t="shared" si="99"/>
        <v>2009.8333333333333</v>
      </c>
      <c r="AG115" s="115">
        <f t="shared" si="100"/>
        <v>2019.75</v>
      </c>
      <c r="AH115" s="115">
        <f t="shared" si="101"/>
        <v>2016.8333333333333</v>
      </c>
      <c r="AI115" s="117">
        <f t="shared" si="102"/>
        <v>2018.75</v>
      </c>
      <c r="AJ115" s="117">
        <f t="shared" si="103"/>
        <v>-8.3333333333333329E-2</v>
      </c>
      <c r="AK115" s="117">
        <f t="shared" si="104"/>
        <v>2016.8333333333333</v>
      </c>
      <c r="AL115" s="117">
        <f t="shared" si="105"/>
        <v>2018.75</v>
      </c>
      <c r="AM115" s="117">
        <f t="shared" si="106"/>
        <v>-8.3333333333333329E-2</v>
      </c>
    </row>
    <row r="116" spans="1:39" x14ac:dyDescent="0.25">
      <c r="A116">
        <v>82</v>
      </c>
      <c r="B116" t="s">
        <v>401</v>
      </c>
      <c r="C116" t="s">
        <v>375</v>
      </c>
      <c r="D116" s="27">
        <v>2009</v>
      </c>
      <c r="E116" s="27">
        <v>11</v>
      </c>
      <c r="F116" s="122"/>
      <c r="G116" s="27" t="s">
        <v>312</v>
      </c>
      <c r="H116" s="27">
        <v>5</v>
      </c>
      <c r="I116">
        <f t="shared" si="89"/>
        <v>2014</v>
      </c>
      <c r="L116" s="27" t="s">
        <v>313</v>
      </c>
      <c r="M116" s="27" t="s">
        <v>313</v>
      </c>
      <c r="N116" s="27" t="s">
        <v>313</v>
      </c>
      <c r="O116" s="27" t="s">
        <v>313</v>
      </c>
      <c r="P116" s="29">
        <v>410</v>
      </c>
      <c r="Q116" s="29"/>
      <c r="R116" s="29">
        <f t="shared" si="90"/>
        <v>410</v>
      </c>
      <c r="S116" s="115">
        <f t="shared" si="91"/>
        <v>6.833333333333333</v>
      </c>
      <c r="T116" s="115">
        <f t="shared" si="107"/>
        <v>0</v>
      </c>
      <c r="U116" s="115">
        <f t="shared" si="92"/>
        <v>0</v>
      </c>
      <c r="V116" s="115">
        <f t="shared" si="93"/>
        <v>0</v>
      </c>
      <c r="W116" s="124">
        <v>1</v>
      </c>
      <c r="X116" s="115">
        <f t="shared" si="94"/>
        <v>0</v>
      </c>
      <c r="Y116" s="113"/>
      <c r="Z116" s="115">
        <f t="shared" si="108"/>
        <v>410</v>
      </c>
      <c r="AA116" s="115">
        <f t="shared" si="95"/>
        <v>410</v>
      </c>
      <c r="AB116" s="121">
        <v>1</v>
      </c>
      <c r="AC116" s="115">
        <f t="shared" si="96"/>
        <v>410</v>
      </c>
      <c r="AD116" s="115">
        <f t="shared" si="97"/>
        <v>410</v>
      </c>
      <c r="AE116" s="115">
        <f t="shared" si="98"/>
        <v>0</v>
      </c>
      <c r="AF116" s="115">
        <f t="shared" si="99"/>
        <v>2009.8333333333333</v>
      </c>
      <c r="AG116" s="115">
        <f t="shared" si="100"/>
        <v>2019.75</v>
      </c>
      <c r="AH116" s="115">
        <f t="shared" si="101"/>
        <v>2014.8333333333333</v>
      </c>
      <c r="AI116" s="117">
        <f t="shared" si="102"/>
        <v>2018.75</v>
      </c>
      <c r="AJ116" s="117">
        <f t="shared" si="103"/>
        <v>-8.3333333333333329E-2</v>
      </c>
      <c r="AK116" s="117">
        <f t="shared" si="104"/>
        <v>2014.8333333333333</v>
      </c>
      <c r="AL116" s="117">
        <f t="shared" si="105"/>
        <v>2018.75</v>
      </c>
      <c r="AM116" s="117">
        <f t="shared" si="106"/>
        <v>-8.3333333333333329E-2</v>
      </c>
    </row>
    <row r="117" spans="1:39" x14ac:dyDescent="0.25">
      <c r="A117">
        <v>83</v>
      </c>
      <c r="B117" t="s">
        <v>402</v>
      </c>
      <c r="C117" t="s">
        <v>375</v>
      </c>
      <c r="D117" s="27">
        <v>2009</v>
      </c>
      <c r="E117" s="27">
        <v>11</v>
      </c>
      <c r="F117" s="122"/>
      <c r="G117" s="27" t="s">
        <v>312</v>
      </c>
      <c r="H117" s="27">
        <v>5</v>
      </c>
      <c r="I117">
        <f t="shared" si="89"/>
        <v>2014</v>
      </c>
      <c r="L117" s="27" t="s">
        <v>313</v>
      </c>
      <c r="M117" s="27" t="s">
        <v>313</v>
      </c>
      <c r="N117" s="27" t="s">
        <v>313</v>
      </c>
      <c r="O117" s="27" t="s">
        <v>313</v>
      </c>
      <c r="P117" s="29">
        <v>1153</v>
      </c>
      <c r="Q117" s="29"/>
      <c r="R117" s="29">
        <f t="shared" si="90"/>
        <v>1153</v>
      </c>
      <c r="S117" s="115">
        <f t="shared" si="91"/>
        <v>19.216666666666665</v>
      </c>
      <c r="T117" s="115">
        <f t="shared" si="107"/>
        <v>0</v>
      </c>
      <c r="U117" s="115">
        <f t="shared" si="92"/>
        <v>0</v>
      </c>
      <c r="V117" s="115">
        <f t="shared" si="93"/>
        <v>0</v>
      </c>
      <c r="W117" s="124">
        <v>1</v>
      </c>
      <c r="X117" s="115">
        <f t="shared" si="94"/>
        <v>0</v>
      </c>
      <c r="Y117" s="113"/>
      <c r="Z117" s="115">
        <f t="shared" si="108"/>
        <v>1153</v>
      </c>
      <c r="AA117" s="115">
        <f t="shared" si="95"/>
        <v>1153</v>
      </c>
      <c r="AB117" s="121">
        <v>1</v>
      </c>
      <c r="AC117" s="115">
        <f t="shared" si="96"/>
        <v>1153</v>
      </c>
      <c r="AD117" s="115">
        <f t="shared" si="97"/>
        <v>1153</v>
      </c>
      <c r="AE117" s="115">
        <f t="shared" si="98"/>
        <v>0</v>
      </c>
      <c r="AF117" s="115">
        <f t="shared" si="99"/>
        <v>2009.8333333333333</v>
      </c>
      <c r="AG117" s="115">
        <f t="shared" si="100"/>
        <v>2019.75</v>
      </c>
      <c r="AH117" s="115">
        <f t="shared" si="101"/>
        <v>2014.8333333333333</v>
      </c>
      <c r="AI117" s="117">
        <f t="shared" si="102"/>
        <v>2018.75</v>
      </c>
      <c r="AJ117" s="117">
        <f t="shared" si="103"/>
        <v>-8.3333333333333329E-2</v>
      </c>
      <c r="AK117" s="117">
        <f t="shared" si="104"/>
        <v>2014.8333333333333</v>
      </c>
      <c r="AL117" s="117">
        <f t="shared" si="105"/>
        <v>2018.75</v>
      </c>
      <c r="AM117" s="117">
        <f t="shared" si="106"/>
        <v>-8.3333333333333329E-2</v>
      </c>
    </row>
    <row r="118" spans="1:39" x14ac:dyDescent="0.25">
      <c r="A118">
        <v>84</v>
      </c>
      <c r="B118" t="s">
        <v>403</v>
      </c>
      <c r="C118" t="s">
        <v>375</v>
      </c>
      <c r="D118" s="27">
        <v>2009</v>
      </c>
      <c r="E118" s="27">
        <v>11</v>
      </c>
      <c r="F118" s="122"/>
      <c r="G118" s="27" t="s">
        <v>312</v>
      </c>
      <c r="H118" s="27">
        <v>7</v>
      </c>
      <c r="I118">
        <f t="shared" si="89"/>
        <v>2016</v>
      </c>
      <c r="L118" s="27" t="s">
        <v>313</v>
      </c>
      <c r="M118" s="27" t="s">
        <v>313</v>
      </c>
      <c r="N118" s="27" t="s">
        <v>313</v>
      </c>
      <c r="O118" s="27" t="s">
        <v>313</v>
      </c>
      <c r="P118" s="29">
        <v>702</v>
      </c>
      <c r="Q118" s="29"/>
      <c r="R118" s="29">
        <f t="shared" si="90"/>
        <v>702</v>
      </c>
      <c r="S118" s="115">
        <f t="shared" si="91"/>
        <v>8.3571428571428577</v>
      </c>
      <c r="T118" s="115">
        <f t="shared" si="107"/>
        <v>0</v>
      </c>
      <c r="U118" s="115">
        <f t="shared" si="92"/>
        <v>0</v>
      </c>
      <c r="V118" s="115">
        <f t="shared" si="93"/>
        <v>0</v>
      </c>
      <c r="W118" s="124">
        <v>1</v>
      </c>
      <c r="X118" s="115">
        <f t="shared" si="94"/>
        <v>0</v>
      </c>
      <c r="Y118" s="113"/>
      <c r="Z118" s="115">
        <f t="shared" si="108"/>
        <v>702</v>
      </c>
      <c r="AA118" s="115">
        <f t="shared" si="95"/>
        <v>702</v>
      </c>
      <c r="AB118" s="121">
        <v>1</v>
      </c>
      <c r="AC118" s="115">
        <f t="shared" si="96"/>
        <v>702</v>
      </c>
      <c r="AD118" s="115">
        <f t="shared" si="97"/>
        <v>702</v>
      </c>
      <c r="AE118" s="115">
        <f t="shared" si="98"/>
        <v>0</v>
      </c>
      <c r="AF118" s="115">
        <f t="shared" si="99"/>
        <v>2009.8333333333333</v>
      </c>
      <c r="AG118" s="115">
        <f t="shared" si="100"/>
        <v>2019.75</v>
      </c>
      <c r="AH118" s="115">
        <f t="shared" si="101"/>
        <v>2016.8333333333333</v>
      </c>
      <c r="AI118" s="117">
        <f t="shared" si="102"/>
        <v>2018.75</v>
      </c>
      <c r="AJ118" s="117">
        <f t="shared" si="103"/>
        <v>-8.3333333333333329E-2</v>
      </c>
      <c r="AK118" s="117">
        <f t="shared" si="104"/>
        <v>2016.8333333333333</v>
      </c>
      <c r="AL118" s="117">
        <f t="shared" si="105"/>
        <v>2018.75</v>
      </c>
      <c r="AM118" s="117">
        <f t="shared" si="106"/>
        <v>-8.3333333333333329E-2</v>
      </c>
    </row>
    <row r="119" spans="1:39" x14ac:dyDescent="0.25">
      <c r="A119">
        <v>85</v>
      </c>
      <c r="B119" t="s">
        <v>404</v>
      </c>
      <c r="C119" t="s">
        <v>375</v>
      </c>
      <c r="D119" s="27">
        <v>2009</v>
      </c>
      <c r="E119" s="27">
        <v>12</v>
      </c>
      <c r="F119" s="122"/>
      <c r="G119" s="27" t="s">
        <v>312</v>
      </c>
      <c r="H119" s="27">
        <v>10</v>
      </c>
      <c r="I119">
        <f t="shared" si="89"/>
        <v>2019</v>
      </c>
      <c r="L119" s="27" t="s">
        <v>313</v>
      </c>
      <c r="M119" s="27" t="s">
        <v>313</v>
      </c>
      <c r="N119" s="27" t="s">
        <v>313</v>
      </c>
      <c r="O119" s="27" t="s">
        <v>313</v>
      </c>
      <c r="P119" s="29">
        <v>11111</v>
      </c>
      <c r="Q119" s="29"/>
      <c r="R119" s="29">
        <f t="shared" si="90"/>
        <v>11111</v>
      </c>
      <c r="S119" s="115">
        <f t="shared" si="91"/>
        <v>92.591666666666654</v>
      </c>
      <c r="T119" s="115">
        <f t="shared" si="107"/>
        <v>1111.0999999999999</v>
      </c>
      <c r="U119" s="115">
        <f t="shared" si="92"/>
        <v>0</v>
      </c>
      <c r="V119" s="115">
        <f t="shared" si="93"/>
        <v>1111.0999999999999</v>
      </c>
      <c r="W119" s="124">
        <v>1</v>
      </c>
      <c r="X119" s="115">
        <f t="shared" si="94"/>
        <v>1111.0999999999999</v>
      </c>
      <c r="Y119" s="113"/>
      <c r="Z119" s="115">
        <f t="shared" si="108"/>
        <v>9814.7166666665817</v>
      </c>
      <c r="AA119" s="115">
        <f t="shared" si="95"/>
        <v>9814.7166666665817</v>
      </c>
      <c r="AB119" s="121">
        <v>1</v>
      </c>
      <c r="AC119" s="115">
        <f t="shared" si="96"/>
        <v>9814.7166666665817</v>
      </c>
      <c r="AD119" s="115">
        <f t="shared" si="97"/>
        <v>10925.816666666582</v>
      </c>
      <c r="AE119" s="115">
        <f t="shared" si="98"/>
        <v>740.73333333341816</v>
      </c>
      <c r="AF119" s="115">
        <f t="shared" si="99"/>
        <v>2009.9166666666667</v>
      </c>
      <c r="AG119" s="115">
        <f t="shared" si="100"/>
        <v>2019.75</v>
      </c>
      <c r="AH119" s="115">
        <f t="shared" si="101"/>
        <v>2019.9166666666667</v>
      </c>
      <c r="AI119" s="117">
        <f t="shared" si="102"/>
        <v>2018.75</v>
      </c>
      <c r="AJ119" s="117">
        <f t="shared" si="103"/>
        <v>-8.3333333333333329E-2</v>
      </c>
      <c r="AK119" s="117">
        <f t="shared" si="104"/>
        <v>2019.9166666666667</v>
      </c>
      <c r="AL119" s="117">
        <f t="shared" si="105"/>
        <v>2018.75</v>
      </c>
      <c r="AM119" s="117">
        <f t="shared" si="106"/>
        <v>-8.3333333333333329E-2</v>
      </c>
    </row>
    <row r="120" spans="1:39" x14ac:dyDescent="0.25">
      <c r="A120">
        <v>86</v>
      </c>
      <c r="B120" t="s">
        <v>400</v>
      </c>
      <c r="C120" t="s">
        <v>375</v>
      </c>
      <c r="D120" s="27">
        <v>2009</v>
      </c>
      <c r="E120" s="27">
        <v>12</v>
      </c>
      <c r="F120" s="122"/>
      <c r="G120" s="27" t="s">
        <v>312</v>
      </c>
      <c r="H120" s="27">
        <v>7</v>
      </c>
      <c r="I120">
        <f t="shared" si="89"/>
        <v>2016</v>
      </c>
      <c r="L120" s="27" t="s">
        <v>313</v>
      </c>
      <c r="M120" s="27" t="s">
        <v>313</v>
      </c>
      <c r="N120" s="27" t="s">
        <v>313</v>
      </c>
      <c r="O120" s="27" t="s">
        <v>313</v>
      </c>
      <c r="P120" s="29">
        <v>332</v>
      </c>
      <c r="Q120" s="29"/>
      <c r="R120" s="29">
        <f t="shared" si="90"/>
        <v>332</v>
      </c>
      <c r="S120" s="115">
        <f t="shared" si="91"/>
        <v>3.9523809523809526</v>
      </c>
      <c r="T120" s="115">
        <f t="shared" si="107"/>
        <v>0</v>
      </c>
      <c r="U120" s="115">
        <f t="shared" si="92"/>
        <v>0</v>
      </c>
      <c r="V120" s="115">
        <f t="shared" si="93"/>
        <v>0</v>
      </c>
      <c r="W120" s="124">
        <v>1</v>
      </c>
      <c r="X120" s="115">
        <f t="shared" si="94"/>
        <v>0</v>
      </c>
      <c r="Y120" s="113"/>
      <c r="Z120" s="115">
        <f t="shared" si="108"/>
        <v>332</v>
      </c>
      <c r="AA120" s="115">
        <f t="shared" si="95"/>
        <v>332</v>
      </c>
      <c r="AB120" s="121">
        <v>1</v>
      </c>
      <c r="AC120" s="115">
        <f t="shared" si="96"/>
        <v>332</v>
      </c>
      <c r="AD120" s="115">
        <f t="shared" si="97"/>
        <v>332</v>
      </c>
      <c r="AE120" s="115">
        <f t="shared" si="98"/>
        <v>0</v>
      </c>
      <c r="AF120" s="115">
        <f t="shared" si="99"/>
        <v>2009.9166666666667</v>
      </c>
      <c r="AG120" s="115">
        <f t="shared" si="100"/>
        <v>2019.75</v>
      </c>
      <c r="AH120" s="115">
        <f t="shared" si="101"/>
        <v>2016.9166666666667</v>
      </c>
      <c r="AI120" s="117">
        <f t="shared" si="102"/>
        <v>2018.75</v>
      </c>
      <c r="AJ120" s="117">
        <f t="shared" si="103"/>
        <v>-8.3333333333333329E-2</v>
      </c>
      <c r="AK120" s="117">
        <f t="shared" si="104"/>
        <v>2016.9166666666667</v>
      </c>
      <c r="AL120" s="117">
        <f t="shared" si="105"/>
        <v>2018.75</v>
      </c>
      <c r="AM120" s="117">
        <f t="shared" si="106"/>
        <v>-8.3333333333333329E-2</v>
      </c>
    </row>
    <row r="121" spans="1:39" x14ac:dyDescent="0.25">
      <c r="A121">
        <v>87</v>
      </c>
      <c r="B121" t="s">
        <v>405</v>
      </c>
      <c r="C121" t="s">
        <v>375</v>
      </c>
      <c r="D121" s="27">
        <v>2009</v>
      </c>
      <c r="E121" s="27">
        <v>12</v>
      </c>
      <c r="F121" s="122"/>
      <c r="G121" s="27" t="s">
        <v>312</v>
      </c>
      <c r="H121" s="27">
        <v>7</v>
      </c>
      <c r="I121">
        <f t="shared" si="89"/>
        <v>2016</v>
      </c>
      <c r="L121" s="27" t="s">
        <v>313</v>
      </c>
      <c r="M121" s="27" t="s">
        <v>313</v>
      </c>
      <c r="N121" s="27" t="s">
        <v>313</v>
      </c>
      <c r="O121" s="27" t="s">
        <v>313</v>
      </c>
      <c r="P121" s="29">
        <v>996</v>
      </c>
      <c r="Q121" s="29"/>
      <c r="R121" s="29">
        <f t="shared" si="90"/>
        <v>996</v>
      </c>
      <c r="S121" s="115">
        <f t="shared" si="91"/>
        <v>11.857142857142856</v>
      </c>
      <c r="T121" s="115">
        <f t="shared" si="107"/>
        <v>0</v>
      </c>
      <c r="U121" s="115">
        <f t="shared" si="92"/>
        <v>0</v>
      </c>
      <c r="V121" s="115">
        <f t="shared" si="93"/>
        <v>0</v>
      </c>
      <c r="W121" s="124">
        <v>1</v>
      </c>
      <c r="X121" s="115">
        <f t="shared" si="94"/>
        <v>0</v>
      </c>
      <c r="Y121" s="113"/>
      <c r="Z121" s="115">
        <f t="shared" si="108"/>
        <v>996</v>
      </c>
      <c r="AA121" s="115">
        <f t="shared" si="95"/>
        <v>996</v>
      </c>
      <c r="AB121" s="121">
        <v>1</v>
      </c>
      <c r="AC121" s="115">
        <f t="shared" si="96"/>
        <v>996</v>
      </c>
      <c r="AD121" s="115">
        <f t="shared" si="97"/>
        <v>996</v>
      </c>
      <c r="AE121" s="115">
        <f t="shared" si="98"/>
        <v>0</v>
      </c>
      <c r="AF121" s="115">
        <f t="shared" si="99"/>
        <v>2009.9166666666667</v>
      </c>
      <c r="AG121" s="115">
        <f t="shared" si="100"/>
        <v>2019.75</v>
      </c>
      <c r="AH121" s="115">
        <f t="shared" si="101"/>
        <v>2016.9166666666667</v>
      </c>
      <c r="AI121" s="117">
        <f t="shared" si="102"/>
        <v>2018.75</v>
      </c>
      <c r="AJ121" s="117">
        <f t="shared" si="103"/>
        <v>-8.3333333333333329E-2</v>
      </c>
      <c r="AK121" s="117">
        <f t="shared" si="104"/>
        <v>2016.9166666666667</v>
      </c>
      <c r="AL121" s="117">
        <f t="shared" si="105"/>
        <v>2018.75</v>
      </c>
      <c r="AM121" s="117">
        <f t="shared" si="106"/>
        <v>-8.3333333333333329E-2</v>
      </c>
    </row>
    <row r="122" spans="1:39" x14ac:dyDescent="0.25">
      <c r="A122">
        <v>88</v>
      </c>
      <c r="B122" t="s">
        <v>406</v>
      </c>
      <c r="C122" t="s">
        <v>375</v>
      </c>
      <c r="D122" s="27">
        <v>2009</v>
      </c>
      <c r="E122" s="27">
        <v>12</v>
      </c>
      <c r="F122" s="122"/>
      <c r="G122" s="27" t="s">
        <v>312</v>
      </c>
      <c r="H122" s="27">
        <v>7</v>
      </c>
      <c r="I122">
        <f t="shared" si="89"/>
        <v>2016</v>
      </c>
      <c r="L122" s="27" t="s">
        <v>313</v>
      </c>
      <c r="M122" s="27" t="s">
        <v>313</v>
      </c>
      <c r="N122" s="27" t="s">
        <v>313</v>
      </c>
      <c r="O122" s="27" t="s">
        <v>313</v>
      </c>
      <c r="P122" s="29">
        <v>2930</v>
      </c>
      <c r="Q122" s="29"/>
      <c r="R122" s="29">
        <f t="shared" si="90"/>
        <v>2930</v>
      </c>
      <c r="S122" s="115">
        <f t="shared" si="91"/>
        <v>34.88095238095238</v>
      </c>
      <c r="T122" s="115">
        <f t="shared" si="107"/>
        <v>0</v>
      </c>
      <c r="U122" s="115">
        <f t="shared" si="92"/>
        <v>0</v>
      </c>
      <c r="V122" s="115">
        <f t="shared" si="93"/>
        <v>0</v>
      </c>
      <c r="W122" s="124">
        <v>1</v>
      </c>
      <c r="X122" s="115">
        <f t="shared" si="94"/>
        <v>0</v>
      </c>
      <c r="Y122" s="113"/>
      <c r="Z122" s="115">
        <f t="shared" si="108"/>
        <v>2930</v>
      </c>
      <c r="AA122" s="115">
        <f t="shared" si="95"/>
        <v>2930</v>
      </c>
      <c r="AB122" s="121">
        <v>1</v>
      </c>
      <c r="AC122" s="115">
        <f t="shared" si="96"/>
        <v>2930</v>
      </c>
      <c r="AD122" s="115">
        <f t="shared" si="97"/>
        <v>2930</v>
      </c>
      <c r="AE122" s="115">
        <f t="shared" si="98"/>
        <v>0</v>
      </c>
      <c r="AF122" s="115">
        <f t="shared" si="99"/>
        <v>2009.9166666666667</v>
      </c>
      <c r="AG122" s="115">
        <f t="shared" si="100"/>
        <v>2019.75</v>
      </c>
      <c r="AH122" s="115">
        <f t="shared" si="101"/>
        <v>2016.9166666666667</v>
      </c>
      <c r="AI122" s="117">
        <f t="shared" si="102"/>
        <v>2018.75</v>
      </c>
      <c r="AJ122" s="117">
        <f t="shared" si="103"/>
        <v>-8.3333333333333329E-2</v>
      </c>
      <c r="AK122" s="117">
        <f t="shared" si="104"/>
        <v>2016.9166666666667</v>
      </c>
      <c r="AL122" s="117">
        <f t="shared" si="105"/>
        <v>2018.75</v>
      </c>
      <c r="AM122" s="117">
        <f t="shared" si="106"/>
        <v>-8.3333333333333329E-2</v>
      </c>
    </row>
    <row r="123" spans="1:39" x14ac:dyDescent="0.25">
      <c r="A123">
        <v>89</v>
      </c>
      <c r="B123" t="s">
        <v>407</v>
      </c>
      <c r="C123" t="s">
        <v>375</v>
      </c>
      <c r="D123" s="27">
        <v>2009</v>
      </c>
      <c r="E123" s="27">
        <v>12</v>
      </c>
      <c r="F123" s="122"/>
      <c r="G123" s="27" t="s">
        <v>312</v>
      </c>
      <c r="H123" s="27">
        <v>5</v>
      </c>
      <c r="I123">
        <f t="shared" si="89"/>
        <v>2014</v>
      </c>
      <c r="L123" s="27" t="s">
        <v>313</v>
      </c>
      <c r="M123" s="27" t="s">
        <v>313</v>
      </c>
      <c r="N123" s="27" t="s">
        <v>313</v>
      </c>
      <c r="O123" s="27" t="s">
        <v>313</v>
      </c>
      <c r="P123" s="29">
        <v>2140</v>
      </c>
      <c r="Q123" s="29"/>
      <c r="R123" s="29">
        <f t="shared" si="90"/>
        <v>2140</v>
      </c>
      <c r="S123" s="115">
        <f t="shared" si="91"/>
        <v>35.666666666666664</v>
      </c>
      <c r="T123" s="115">
        <f t="shared" si="107"/>
        <v>0</v>
      </c>
      <c r="U123" s="115">
        <f t="shared" si="92"/>
        <v>0</v>
      </c>
      <c r="V123" s="115">
        <f t="shared" si="93"/>
        <v>0</v>
      </c>
      <c r="W123" s="124">
        <v>1</v>
      </c>
      <c r="X123" s="115">
        <f t="shared" si="94"/>
        <v>0</v>
      </c>
      <c r="Y123" s="113"/>
      <c r="Z123" s="115">
        <f t="shared" si="108"/>
        <v>2140</v>
      </c>
      <c r="AA123" s="115">
        <f t="shared" si="95"/>
        <v>2140</v>
      </c>
      <c r="AB123" s="121">
        <v>1</v>
      </c>
      <c r="AC123" s="115">
        <f t="shared" si="96"/>
        <v>2140</v>
      </c>
      <c r="AD123" s="115">
        <f t="shared" si="97"/>
        <v>2140</v>
      </c>
      <c r="AE123" s="115">
        <f t="shared" si="98"/>
        <v>0</v>
      </c>
      <c r="AF123" s="115">
        <f t="shared" si="99"/>
        <v>2009.9166666666667</v>
      </c>
      <c r="AG123" s="115">
        <f t="shared" si="100"/>
        <v>2019.75</v>
      </c>
      <c r="AH123" s="115">
        <f t="shared" si="101"/>
        <v>2014.9166666666667</v>
      </c>
      <c r="AI123" s="117">
        <f t="shared" si="102"/>
        <v>2018.75</v>
      </c>
      <c r="AJ123" s="117">
        <f t="shared" si="103"/>
        <v>-8.3333333333333329E-2</v>
      </c>
      <c r="AK123" s="117">
        <f t="shared" si="104"/>
        <v>2014.9166666666667</v>
      </c>
      <c r="AL123" s="117">
        <f t="shared" si="105"/>
        <v>2018.75</v>
      </c>
      <c r="AM123" s="117">
        <f t="shared" si="106"/>
        <v>-8.3333333333333329E-2</v>
      </c>
    </row>
    <row r="124" spans="1:39" x14ac:dyDescent="0.25">
      <c r="A124">
        <v>90</v>
      </c>
      <c r="B124" t="s">
        <v>408</v>
      </c>
      <c r="C124" t="s">
        <v>375</v>
      </c>
      <c r="D124" s="27">
        <v>2009</v>
      </c>
      <c r="E124" s="27">
        <v>12</v>
      </c>
      <c r="F124" s="122"/>
      <c r="G124" s="27" t="s">
        <v>312</v>
      </c>
      <c r="H124" s="27">
        <v>5</v>
      </c>
      <c r="I124">
        <f t="shared" si="89"/>
        <v>2014</v>
      </c>
      <c r="L124" s="27" t="s">
        <v>313</v>
      </c>
      <c r="M124" s="27" t="s">
        <v>313</v>
      </c>
      <c r="N124" s="27" t="s">
        <v>313</v>
      </c>
      <c r="O124" s="27" t="s">
        <v>313</v>
      </c>
      <c r="P124" s="29">
        <v>359</v>
      </c>
      <c r="Q124" s="29"/>
      <c r="R124" s="29">
        <f t="shared" si="90"/>
        <v>359</v>
      </c>
      <c r="S124" s="115">
        <f t="shared" si="91"/>
        <v>5.9833333333333334</v>
      </c>
      <c r="T124" s="115">
        <f t="shared" si="107"/>
        <v>0</v>
      </c>
      <c r="U124" s="115">
        <f t="shared" si="92"/>
        <v>0</v>
      </c>
      <c r="V124" s="115">
        <f t="shared" si="93"/>
        <v>0</v>
      </c>
      <c r="W124" s="124">
        <v>1</v>
      </c>
      <c r="X124" s="115">
        <f t="shared" si="94"/>
        <v>0</v>
      </c>
      <c r="Y124" s="113"/>
      <c r="Z124" s="115">
        <f t="shared" si="108"/>
        <v>359</v>
      </c>
      <c r="AA124" s="115">
        <f t="shared" si="95"/>
        <v>359</v>
      </c>
      <c r="AB124" s="121">
        <v>1</v>
      </c>
      <c r="AC124" s="115">
        <f t="shared" si="96"/>
        <v>359</v>
      </c>
      <c r="AD124" s="115">
        <f t="shared" si="97"/>
        <v>359</v>
      </c>
      <c r="AE124" s="115">
        <f t="shared" si="98"/>
        <v>0</v>
      </c>
      <c r="AF124" s="115">
        <f t="shared" si="99"/>
        <v>2009.9166666666667</v>
      </c>
      <c r="AG124" s="115">
        <f t="shared" si="100"/>
        <v>2019.75</v>
      </c>
      <c r="AH124" s="115">
        <f t="shared" si="101"/>
        <v>2014.9166666666667</v>
      </c>
      <c r="AI124" s="117">
        <f t="shared" si="102"/>
        <v>2018.75</v>
      </c>
      <c r="AJ124" s="117">
        <f t="shared" si="103"/>
        <v>-8.3333333333333329E-2</v>
      </c>
      <c r="AK124" s="117">
        <f t="shared" si="104"/>
        <v>2014.9166666666667</v>
      </c>
      <c r="AL124" s="117">
        <f t="shared" si="105"/>
        <v>2018.75</v>
      </c>
      <c r="AM124" s="117">
        <f t="shared" si="106"/>
        <v>-8.3333333333333329E-2</v>
      </c>
    </row>
    <row r="125" spans="1:39" x14ac:dyDescent="0.25">
      <c r="A125">
        <v>92</v>
      </c>
      <c r="B125" t="s">
        <v>391</v>
      </c>
      <c r="C125" t="s">
        <v>375</v>
      </c>
      <c r="D125" s="27">
        <v>2009</v>
      </c>
      <c r="E125" s="27">
        <v>3</v>
      </c>
      <c r="F125" s="122"/>
      <c r="G125" s="27" t="s">
        <v>312</v>
      </c>
      <c r="H125" s="27">
        <v>7</v>
      </c>
      <c r="I125">
        <f t="shared" si="89"/>
        <v>2016</v>
      </c>
      <c r="L125" s="27" t="s">
        <v>313</v>
      </c>
      <c r="M125" s="27" t="s">
        <v>313</v>
      </c>
      <c r="N125" s="27" t="s">
        <v>313</v>
      </c>
      <c r="O125" s="27" t="s">
        <v>313</v>
      </c>
      <c r="P125" s="29">
        <v>42672</v>
      </c>
      <c r="Q125" s="29"/>
      <c r="R125" s="29">
        <f t="shared" si="90"/>
        <v>42672</v>
      </c>
      <c r="S125" s="115">
        <f t="shared" si="91"/>
        <v>508</v>
      </c>
      <c r="T125" s="115">
        <f t="shared" si="107"/>
        <v>0</v>
      </c>
      <c r="U125" s="115">
        <f t="shared" si="92"/>
        <v>0</v>
      </c>
      <c r="V125" s="115">
        <f t="shared" si="93"/>
        <v>0</v>
      </c>
      <c r="W125" s="124">
        <v>1</v>
      </c>
      <c r="X125" s="115">
        <f t="shared" si="94"/>
        <v>0</v>
      </c>
      <c r="Y125" s="113"/>
      <c r="Z125" s="115">
        <f t="shared" si="108"/>
        <v>42672</v>
      </c>
      <c r="AA125" s="115">
        <f t="shared" si="95"/>
        <v>42672</v>
      </c>
      <c r="AB125" s="121">
        <v>1</v>
      </c>
      <c r="AC125" s="115">
        <f t="shared" si="96"/>
        <v>42672</v>
      </c>
      <c r="AD125" s="115">
        <f t="shared" si="97"/>
        <v>42672</v>
      </c>
      <c r="AE125" s="115">
        <f t="shared" si="98"/>
        <v>0</v>
      </c>
      <c r="AF125" s="115">
        <f t="shared" si="99"/>
        <v>2009.1666666666667</v>
      </c>
      <c r="AG125" s="115">
        <f t="shared" si="100"/>
        <v>2019.75</v>
      </c>
      <c r="AH125" s="115">
        <f t="shared" si="101"/>
        <v>2016.1666666666667</v>
      </c>
      <c r="AI125" s="117">
        <f t="shared" si="102"/>
        <v>2018.75</v>
      </c>
      <c r="AJ125" s="117">
        <f t="shared" si="103"/>
        <v>-8.3333333333333329E-2</v>
      </c>
      <c r="AK125" s="117">
        <f t="shared" si="104"/>
        <v>2016.1666666666667</v>
      </c>
      <c r="AL125" s="117">
        <f t="shared" si="105"/>
        <v>2018.75</v>
      </c>
      <c r="AM125" s="117">
        <f t="shared" si="106"/>
        <v>-8.3333333333333329E-2</v>
      </c>
    </row>
    <row r="126" spans="1:39" x14ac:dyDescent="0.25">
      <c r="A126">
        <v>94</v>
      </c>
      <c r="B126" t="s">
        <v>409</v>
      </c>
      <c r="C126" t="s">
        <v>375</v>
      </c>
      <c r="D126" s="27">
        <v>2009</v>
      </c>
      <c r="E126" s="27">
        <v>3</v>
      </c>
      <c r="F126" s="122"/>
      <c r="G126" s="27" t="s">
        <v>312</v>
      </c>
      <c r="H126" s="27">
        <v>7</v>
      </c>
      <c r="I126">
        <f t="shared" si="89"/>
        <v>2016</v>
      </c>
      <c r="L126" s="27" t="s">
        <v>313</v>
      </c>
      <c r="M126" s="27" t="s">
        <v>313</v>
      </c>
      <c r="N126" s="27" t="s">
        <v>313</v>
      </c>
      <c r="O126" s="27" t="s">
        <v>313</v>
      </c>
      <c r="P126" s="29">
        <v>2867</v>
      </c>
      <c r="Q126" s="29"/>
      <c r="R126" s="29">
        <f t="shared" si="90"/>
        <v>2867</v>
      </c>
      <c r="S126" s="115">
        <f t="shared" si="91"/>
        <v>34.13095238095238</v>
      </c>
      <c r="T126" s="115">
        <f t="shared" si="107"/>
        <v>0</v>
      </c>
      <c r="U126" s="115">
        <f t="shared" si="92"/>
        <v>0</v>
      </c>
      <c r="V126" s="115">
        <f t="shared" si="93"/>
        <v>0</v>
      </c>
      <c r="W126" s="124">
        <v>1</v>
      </c>
      <c r="X126" s="115">
        <f t="shared" si="94"/>
        <v>0</v>
      </c>
      <c r="Y126" s="113"/>
      <c r="Z126" s="115">
        <f t="shared" si="108"/>
        <v>2867</v>
      </c>
      <c r="AA126" s="115">
        <f t="shared" si="95"/>
        <v>2867</v>
      </c>
      <c r="AB126" s="121">
        <v>1</v>
      </c>
      <c r="AC126" s="115">
        <f t="shared" si="96"/>
        <v>2867</v>
      </c>
      <c r="AD126" s="115">
        <f t="shared" si="97"/>
        <v>2867</v>
      </c>
      <c r="AE126" s="115">
        <f t="shared" si="98"/>
        <v>0</v>
      </c>
      <c r="AF126" s="115">
        <f t="shared" si="99"/>
        <v>2009.1666666666667</v>
      </c>
      <c r="AG126" s="115">
        <f t="shared" si="100"/>
        <v>2019.75</v>
      </c>
      <c r="AH126" s="115">
        <f t="shared" si="101"/>
        <v>2016.1666666666667</v>
      </c>
      <c r="AI126" s="117">
        <f t="shared" si="102"/>
        <v>2018.75</v>
      </c>
      <c r="AJ126" s="117">
        <f t="shared" si="103"/>
        <v>-8.3333333333333329E-2</v>
      </c>
      <c r="AK126" s="117">
        <f t="shared" si="104"/>
        <v>2016.1666666666667</v>
      </c>
      <c r="AL126" s="117">
        <f t="shared" si="105"/>
        <v>2018.75</v>
      </c>
      <c r="AM126" s="117">
        <f t="shared" si="106"/>
        <v>-8.3333333333333329E-2</v>
      </c>
    </row>
    <row r="127" spans="1:39" x14ac:dyDescent="0.25">
      <c r="A127">
        <v>96</v>
      </c>
      <c r="B127" t="s">
        <v>410</v>
      </c>
      <c r="C127" t="s">
        <v>375</v>
      </c>
      <c r="D127" s="27">
        <v>2009</v>
      </c>
      <c r="E127" s="27">
        <v>5</v>
      </c>
      <c r="F127" s="122"/>
      <c r="G127" s="27" t="s">
        <v>312</v>
      </c>
      <c r="H127" s="27">
        <v>7</v>
      </c>
      <c r="I127">
        <f t="shared" si="89"/>
        <v>2016</v>
      </c>
      <c r="L127" s="27" t="s">
        <v>313</v>
      </c>
      <c r="M127" s="27" t="s">
        <v>313</v>
      </c>
      <c r="N127" s="27" t="s">
        <v>313</v>
      </c>
      <c r="O127" s="27" t="s">
        <v>313</v>
      </c>
      <c r="P127" s="29">
        <v>1110</v>
      </c>
      <c r="Q127" s="29"/>
      <c r="R127" s="29">
        <f t="shared" si="90"/>
        <v>1110</v>
      </c>
      <c r="S127" s="115">
        <f t="shared" si="91"/>
        <v>13.214285714285715</v>
      </c>
      <c r="T127" s="115">
        <f t="shared" si="107"/>
        <v>0</v>
      </c>
      <c r="U127" s="115">
        <f t="shared" si="92"/>
        <v>0</v>
      </c>
      <c r="V127" s="115">
        <f t="shared" si="93"/>
        <v>0</v>
      </c>
      <c r="W127" s="124">
        <v>1</v>
      </c>
      <c r="X127" s="115">
        <f t="shared" si="94"/>
        <v>0</v>
      </c>
      <c r="Y127" s="113"/>
      <c r="Z127" s="115">
        <f t="shared" si="108"/>
        <v>1110</v>
      </c>
      <c r="AA127" s="115">
        <f t="shared" si="95"/>
        <v>1110</v>
      </c>
      <c r="AB127" s="121">
        <v>1</v>
      </c>
      <c r="AC127" s="115">
        <f t="shared" si="96"/>
        <v>1110</v>
      </c>
      <c r="AD127" s="115">
        <f t="shared" si="97"/>
        <v>1110</v>
      </c>
      <c r="AE127" s="115">
        <f t="shared" si="98"/>
        <v>0</v>
      </c>
      <c r="AF127" s="115">
        <f t="shared" si="99"/>
        <v>2009.3333333333333</v>
      </c>
      <c r="AG127" s="115">
        <f t="shared" si="100"/>
        <v>2019.75</v>
      </c>
      <c r="AH127" s="115">
        <f t="shared" si="101"/>
        <v>2016.3333333333333</v>
      </c>
      <c r="AI127" s="117">
        <f t="shared" si="102"/>
        <v>2018.75</v>
      </c>
      <c r="AJ127" s="117">
        <f t="shared" si="103"/>
        <v>-8.3333333333333329E-2</v>
      </c>
      <c r="AK127" s="117">
        <f t="shared" si="104"/>
        <v>2016.3333333333333</v>
      </c>
      <c r="AL127" s="117">
        <f t="shared" si="105"/>
        <v>2018.75</v>
      </c>
      <c r="AM127" s="117">
        <f t="shared" si="106"/>
        <v>-8.3333333333333329E-2</v>
      </c>
    </row>
    <row r="128" spans="1:39" x14ac:dyDescent="0.25">
      <c r="A128">
        <v>97</v>
      </c>
      <c r="B128" t="s">
        <v>411</v>
      </c>
      <c r="C128" t="s">
        <v>375</v>
      </c>
      <c r="D128" s="27">
        <v>2009</v>
      </c>
      <c r="E128" s="27">
        <v>5</v>
      </c>
      <c r="F128" s="122"/>
      <c r="G128" s="27" t="s">
        <v>312</v>
      </c>
      <c r="H128" s="27">
        <v>7</v>
      </c>
      <c r="I128">
        <f t="shared" si="89"/>
        <v>2016</v>
      </c>
      <c r="L128" s="27" t="s">
        <v>313</v>
      </c>
      <c r="M128" s="27" t="s">
        <v>313</v>
      </c>
      <c r="N128" s="27" t="s">
        <v>313</v>
      </c>
      <c r="O128" s="27" t="s">
        <v>313</v>
      </c>
      <c r="P128" s="29">
        <v>2473</v>
      </c>
      <c r="Q128" s="29"/>
      <c r="R128" s="29">
        <f t="shared" si="90"/>
        <v>2473</v>
      </c>
      <c r="S128" s="115">
        <f t="shared" si="91"/>
        <v>29.44047619047619</v>
      </c>
      <c r="T128" s="115">
        <f t="shared" si="107"/>
        <v>0</v>
      </c>
      <c r="U128" s="115">
        <f t="shared" si="92"/>
        <v>0</v>
      </c>
      <c r="V128" s="115">
        <f t="shared" si="93"/>
        <v>0</v>
      </c>
      <c r="W128" s="124">
        <v>1</v>
      </c>
      <c r="X128" s="115">
        <f t="shared" si="94"/>
        <v>0</v>
      </c>
      <c r="Y128" s="113"/>
      <c r="Z128" s="115">
        <f t="shared" si="108"/>
        <v>2473</v>
      </c>
      <c r="AA128" s="115">
        <f t="shared" si="95"/>
        <v>2473</v>
      </c>
      <c r="AB128" s="121">
        <v>1</v>
      </c>
      <c r="AC128" s="115">
        <f t="shared" si="96"/>
        <v>2473</v>
      </c>
      <c r="AD128" s="115">
        <f t="shared" si="97"/>
        <v>2473</v>
      </c>
      <c r="AE128" s="115">
        <f t="shared" si="98"/>
        <v>0</v>
      </c>
      <c r="AF128" s="115">
        <f t="shared" si="99"/>
        <v>2009.3333333333333</v>
      </c>
      <c r="AG128" s="115">
        <f t="shared" si="100"/>
        <v>2019.75</v>
      </c>
      <c r="AH128" s="115">
        <f t="shared" si="101"/>
        <v>2016.3333333333333</v>
      </c>
      <c r="AI128" s="117">
        <f t="shared" si="102"/>
        <v>2018.75</v>
      </c>
      <c r="AJ128" s="117">
        <f t="shared" si="103"/>
        <v>-8.3333333333333329E-2</v>
      </c>
      <c r="AK128" s="117">
        <f t="shared" si="104"/>
        <v>2016.3333333333333</v>
      </c>
      <c r="AL128" s="117">
        <f t="shared" si="105"/>
        <v>2018.75</v>
      </c>
      <c r="AM128" s="117">
        <f t="shared" si="106"/>
        <v>-8.3333333333333329E-2</v>
      </c>
    </row>
    <row r="129" spans="1:39" x14ac:dyDescent="0.25">
      <c r="A129">
        <v>99</v>
      </c>
      <c r="B129" t="s">
        <v>399</v>
      </c>
      <c r="C129" t="s">
        <v>375</v>
      </c>
      <c r="D129" s="27">
        <v>2009</v>
      </c>
      <c r="E129" s="27">
        <v>7</v>
      </c>
      <c r="F129" s="122"/>
      <c r="G129" s="27" t="s">
        <v>312</v>
      </c>
      <c r="H129" s="27">
        <v>7</v>
      </c>
      <c r="I129">
        <f t="shared" si="89"/>
        <v>2016</v>
      </c>
      <c r="L129" s="27" t="s">
        <v>313</v>
      </c>
      <c r="M129" s="27" t="s">
        <v>313</v>
      </c>
      <c r="N129" s="27" t="s">
        <v>313</v>
      </c>
      <c r="O129" s="27" t="s">
        <v>313</v>
      </c>
      <c r="P129" s="29">
        <v>2834</v>
      </c>
      <c r="Q129" s="29"/>
      <c r="R129" s="29">
        <f t="shared" si="90"/>
        <v>2834</v>
      </c>
      <c r="S129" s="115">
        <f t="shared" si="91"/>
        <v>33.738095238095234</v>
      </c>
      <c r="T129" s="115">
        <f t="shared" si="107"/>
        <v>0</v>
      </c>
      <c r="U129" s="115">
        <f t="shared" si="92"/>
        <v>0</v>
      </c>
      <c r="V129" s="115">
        <f t="shared" si="93"/>
        <v>0</v>
      </c>
      <c r="W129" s="124">
        <v>1</v>
      </c>
      <c r="X129" s="115">
        <f t="shared" si="94"/>
        <v>0</v>
      </c>
      <c r="Y129" s="113"/>
      <c r="Z129" s="115">
        <f t="shared" si="108"/>
        <v>2834</v>
      </c>
      <c r="AA129" s="115">
        <f t="shared" si="95"/>
        <v>2834</v>
      </c>
      <c r="AB129" s="121">
        <v>1</v>
      </c>
      <c r="AC129" s="115">
        <f t="shared" si="96"/>
        <v>2834</v>
      </c>
      <c r="AD129" s="115">
        <f t="shared" si="97"/>
        <v>2834</v>
      </c>
      <c r="AE129" s="115">
        <f t="shared" si="98"/>
        <v>0</v>
      </c>
      <c r="AF129" s="115">
        <f t="shared" si="99"/>
        <v>2009.5</v>
      </c>
      <c r="AG129" s="115">
        <f t="shared" si="100"/>
        <v>2019.75</v>
      </c>
      <c r="AH129" s="115">
        <f t="shared" si="101"/>
        <v>2016.5</v>
      </c>
      <c r="AI129" s="117">
        <f t="shared" si="102"/>
        <v>2018.75</v>
      </c>
      <c r="AJ129" s="117">
        <f t="shared" si="103"/>
        <v>-8.3333333333333329E-2</v>
      </c>
      <c r="AK129" s="117">
        <f t="shared" si="104"/>
        <v>2016.5</v>
      </c>
      <c r="AL129" s="117">
        <f t="shared" si="105"/>
        <v>2018.75</v>
      </c>
      <c r="AM129" s="117">
        <f t="shared" si="106"/>
        <v>-8.3333333333333329E-2</v>
      </c>
    </row>
    <row r="130" spans="1:39" x14ac:dyDescent="0.25">
      <c r="A130">
        <v>106</v>
      </c>
      <c r="B130" t="s">
        <v>412</v>
      </c>
      <c r="C130" t="s">
        <v>375</v>
      </c>
      <c r="D130" s="27">
        <v>2010</v>
      </c>
      <c r="E130" s="27">
        <v>1</v>
      </c>
      <c r="F130" s="122"/>
      <c r="G130" s="27" t="s">
        <v>312</v>
      </c>
      <c r="H130" s="27">
        <v>7</v>
      </c>
      <c r="I130">
        <f t="shared" si="89"/>
        <v>2017</v>
      </c>
      <c r="L130" s="27" t="s">
        <v>313</v>
      </c>
      <c r="M130" s="27" t="s">
        <v>313</v>
      </c>
      <c r="N130" s="27" t="s">
        <v>313</v>
      </c>
      <c r="O130" s="27" t="s">
        <v>313</v>
      </c>
      <c r="P130" s="29">
        <v>3192</v>
      </c>
      <c r="Q130" s="29"/>
      <c r="R130" s="29">
        <f t="shared" si="90"/>
        <v>3192</v>
      </c>
      <c r="S130" s="115">
        <f t="shared" si="91"/>
        <v>38</v>
      </c>
      <c r="T130" s="115">
        <f t="shared" si="107"/>
        <v>0</v>
      </c>
      <c r="U130" s="115">
        <f t="shared" si="92"/>
        <v>0</v>
      </c>
      <c r="V130" s="115">
        <f t="shared" si="93"/>
        <v>0</v>
      </c>
      <c r="W130" s="124">
        <v>1</v>
      </c>
      <c r="X130" s="115">
        <f t="shared" si="94"/>
        <v>0</v>
      </c>
      <c r="Y130" s="113"/>
      <c r="Z130" s="115">
        <f t="shared" si="108"/>
        <v>3192</v>
      </c>
      <c r="AA130" s="115">
        <f t="shared" si="95"/>
        <v>3192</v>
      </c>
      <c r="AB130" s="121">
        <v>1</v>
      </c>
      <c r="AC130" s="115">
        <f t="shared" si="96"/>
        <v>3192</v>
      </c>
      <c r="AD130" s="115">
        <f t="shared" si="97"/>
        <v>3192</v>
      </c>
      <c r="AE130" s="115">
        <f t="shared" si="98"/>
        <v>0</v>
      </c>
      <c r="AF130" s="115">
        <f t="shared" si="99"/>
        <v>2010</v>
      </c>
      <c r="AG130" s="115">
        <f t="shared" si="100"/>
        <v>2019.75</v>
      </c>
      <c r="AH130" s="115">
        <f t="shared" si="101"/>
        <v>2017</v>
      </c>
      <c r="AI130" s="117">
        <f t="shared" si="102"/>
        <v>2018.75</v>
      </c>
      <c r="AJ130" s="117">
        <f t="shared" si="103"/>
        <v>-8.3333333333333329E-2</v>
      </c>
      <c r="AK130" s="117">
        <f t="shared" si="104"/>
        <v>2017</v>
      </c>
      <c r="AL130" s="117">
        <f t="shared" si="105"/>
        <v>2018.75</v>
      </c>
      <c r="AM130" s="117">
        <f t="shared" si="106"/>
        <v>-8.3333333333333329E-2</v>
      </c>
    </row>
    <row r="131" spans="1:39" x14ac:dyDescent="0.25">
      <c r="A131">
        <v>108</v>
      </c>
      <c r="B131" t="s">
        <v>413</v>
      </c>
      <c r="C131" t="s">
        <v>375</v>
      </c>
      <c r="D131" s="27">
        <v>2010</v>
      </c>
      <c r="E131" s="27">
        <v>3</v>
      </c>
      <c r="F131" s="122"/>
      <c r="G131" s="27" t="s">
        <v>312</v>
      </c>
      <c r="H131" s="27">
        <v>7</v>
      </c>
      <c r="I131">
        <f t="shared" si="89"/>
        <v>2017</v>
      </c>
      <c r="L131" s="27" t="s">
        <v>313</v>
      </c>
      <c r="M131" s="27" t="s">
        <v>313</v>
      </c>
      <c r="N131" s="27" t="s">
        <v>313</v>
      </c>
      <c r="O131" s="27" t="s">
        <v>313</v>
      </c>
      <c r="P131" s="29">
        <v>932</v>
      </c>
      <c r="Q131" s="29"/>
      <c r="R131" s="29">
        <f t="shared" si="90"/>
        <v>932</v>
      </c>
      <c r="S131" s="115">
        <f t="shared" si="91"/>
        <v>11.095238095238095</v>
      </c>
      <c r="T131" s="115">
        <f t="shared" si="107"/>
        <v>0</v>
      </c>
      <c r="U131" s="115">
        <f t="shared" si="92"/>
        <v>0</v>
      </c>
      <c r="V131" s="115">
        <f t="shared" si="93"/>
        <v>0</v>
      </c>
      <c r="W131" s="124">
        <v>1</v>
      </c>
      <c r="X131" s="115">
        <f t="shared" si="94"/>
        <v>0</v>
      </c>
      <c r="Y131" s="113"/>
      <c r="Z131" s="115">
        <f t="shared" si="108"/>
        <v>932</v>
      </c>
      <c r="AA131" s="115">
        <f t="shared" si="95"/>
        <v>932</v>
      </c>
      <c r="AB131" s="121">
        <v>1</v>
      </c>
      <c r="AC131" s="115">
        <f t="shared" si="96"/>
        <v>932</v>
      </c>
      <c r="AD131" s="115">
        <f t="shared" si="97"/>
        <v>932</v>
      </c>
      <c r="AE131" s="115">
        <f t="shared" si="98"/>
        <v>0</v>
      </c>
      <c r="AF131" s="115">
        <f t="shared" si="99"/>
        <v>2010.1666666666667</v>
      </c>
      <c r="AG131" s="115">
        <f t="shared" si="100"/>
        <v>2019.75</v>
      </c>
      <c r="AH131" s="115">
        <f t="shared" si="101"/>
        <v>2017.1666666666667</v>
      </c>
      <c r="AI131" s="117">
        <f t="shared" si="102"/>
        <v>2018.75</v>
      </c>
      <c r="AJ131" s="117">
        <f t="shared" si="103"/>
        <v>-8.3333333333333329E-2</v>
      </c>
      <c r="AK131" s="117">
        <f t="shared" si="104"/>
        <v>2017.1666666666667</v>
      </c>
      <c r="AL131" s="117">
        <f t="shared" si="105"/>
        <v>2018.75</v>
      </c>
      <c r="AM131" s="117">
        <f t="shared" si="106"/>
        <v>-8.3333333333333329E-2</v>
      </c>
    </row>
    <row r="132" spans="1:39" x14ac:dyDescent="0.25">
      <c r="A132">
        <v>110</v>
      </c>
      <c r="B132" t="s">
        <v>414</v>
      </c>
      <c r="C132" t="s">
        <v>375</v>
      </c>
      <c r="D132" s="27">
        <v>2010</v>
      </c>
      <c r="E132" s="27">
        <v>6</v>
      </c>
      <c r="F132" s="122"/>
      <c r="G132" s="27" t="s">
        <v>312</v>
      </c>
      <c r="H132" s="27">
        <v>7</v>
      </c>
      <c r="I132">
        <f t="shared" si="89"/>
        <v>2017</v>
      </c>
      <c r="L132" s="27" t="s">
        <v>313</v>
      </c>
      <c r="M132" s="27" t="s">
        <v>313</v>
      </c>
      <c r="N132" s="27" t="s">
        <v>313</v>
      </c>
      <c r="O132" s="27" t="s">
        <v>313</v>
      </c>
      <c r="P132" s="29">
        <v>864</v>
      </c>
      <c r="Q132" s="29"/>
      <c r="R132" s="29">
        <f t="shared" si="90"/>
        <v>864</v>
      </c>
      <c r="S132" s="115">
        <f t="shared" si="91"/>
        <v>10.285714285714286</v>
      </c>
      <c r="T132" s="115">
        <f t="shared" si="107"/>
        <v>0</v>
      </c>
      <c r="U132" s="115">
        <f t="shared" si="92"/>
        <v>0</v>
      </c>
      <c r="V132" s="115">
        <f t="shared" si="93"/>
        <v>0</v>
      </c>
      <c r="W132" s="124">
        <v>1</v>
      </c>
      <c r="X132" s="115">
        <f t="shared" si="94"/>
        <v>0</v>
      </c>
      <c r="Y132" s="113"/>
      <c r="Z132" s="115">
        <f t="shared" si="108"/>
        <v>864</v>
      </c>
      <c r="AA132" s="115">
        <f t="shared" si="95"/>
        <v>864</v>
      </c>
      <c r="AB132" s="121">
        <v>1</v>
      </c>
      <c r="AC132" s="115">
        <f t="shared" si="96"/>
        <v>864</v>
      </c>
      <c r="AD132" s="115">
        <f t="shared" si="97"/>
        <v>864</v>
      </c>
      <c r="AE132" s="115">
        <f t="shared" si="98"/>
        <v>0</v>
      </c>
      <c r="AF132" s="115">
        <f t="shared" si="99"/>
        <v>2010.4166666666667</v>
      </c>
      <c r="AG132" s="115">
        <f t="shared" si="100"/>
        <v>2019.75</v>
      </c>
      <c r="AH132" s="115">
        <f t="shared" si="101"/>
        <v>2017.4166666666667</v>
      </c>
      <c r="AI132" s="117">
        <f t="shared" si="102"/>
        <v>2018.75</v>
      </c>
      <c r="AJ132" s="117">
        <f t="shared" si="103"/>
        <v>-8.3333333333333329E-2</v>
      </c>
      <c r="AK132" s="117">
        <f t="shared" si="104"/>
        <v>2017.4166666666667</v>
      </c>
      <c r="AL132" s="117">
        <f t="shared" si="105"/>
        <v>2018.75</v>
      </c>
      <c r="AM132" s="117">
        <f t="shared" si="106"/>
        <v>-8.3333333333333329E-2</v>
      </c>
    </row>
    <row r="133" spans="1:39" x14ac:dyDescent="0.25">
      <c r="A133">
        <v>111</v>
      </c>
      <c r="B133" t="s">
        <v>415</v>
      </c>
      <c r="C133" t="s">
        <v>375</v>
      </c>
      <c r="D133" s="27">
        <v>2010</v>
      </c>
      <c r="E133" s="27">
        <v>6</v>
      </c>
      <c r="F133" s="122"/>
      <c r="G133" s="27" t="s">
        <v>312</v>
      </c>
      <c r="H133" s="27">
        <v>7</v>
      </c>
      <c r="I133">
        <f t="shared" si="89"/>
        <v>2017</v>
      </c>
      <c r="L133" s="27" t="s">
        <v>313</v>
      </c>
      <c r="M133" s="27" t="s">
        <v>313</v>
      </c>
      <c r="N133" s="27" t="s">
        <v>313</v>
      </c>
      <c r="O133" s="27" t="s">
        <v>313</v>
      </c>
      <c r="P133" s="29">
        <v>3455</v>
      </c>
      <c r="Q133" s="29"/>
      <c r="R133" s="29">
        <f t="shared" si="90"/>
        <v>3455</v>
      </c>
      <c r="S133" s="115">
        <f t="shared" si="91"/>
        <v>41.13095238095238</v>
      </c>
      <c r="T133" s="115">
        <f t="shared" si="107"/>
        <v>0</v>
      </c>
      <c r="U133" s="115">
        <f t="shared" si="92"/>
        <v>0</v>
      </c>
      <c r="V133" s="115">
        <f t="shared" si="93"/>
        <v>0</v>
      </c>
      <c r="W133" s="124">
        <v>1</v>
      </c>
      <c r="X133" s="115">
        <f t="shared" si="94"/>
        <v>0</v>
      </c>
      <c r="Y133" s="113"/>
      <c r="Z133" s="115">
        <f t="shared" si="108"/>
        <v>3455</v>
      </c>
      <c r="AA133" s="115">
        <f t="shared" si="95"/>
        <v>3455</v>
      </c>
      <c r="AB133" s="121">
        <v>1</v>
      </c>
      <c r="AC133" s="115">
        <f t="shared" si="96"/>
        <v>3455</v>
      </c>
      <c r="AD133" s="115">
        <f t="shared" si="97"/>
        <v>3455</v>
      </c>
      <c r="AE133" s="115">
        <f t="shared" si="98"/>
        <v>0</v>
      </c>
      <c r="AF133" s="115">
        <f t="shared" si="99"/>
        <v>2010.4166666666667</v>
      </c>
      <c r="AG133" s="115">
        <f t="shared" si="100"/>
        <v>2019.75</v>
      </c>
      <c r="AH133" s="115">
        <f t="shared" si="101"/>
        <v>2017.4166666666667</v>
      </c>
      <c r="AI133" s="117">
        <f t="shared" si="102"/>
        <v>2018.75</v>
      </c>
      <c r="AJ133" s="117">
        <f t="shared" si="103"/>
        <v>-8.3333333333333329E-2</v>
      </c>
      <c r="AK133" s="117">
        <f t="shared" si="104"/>
        <v>2017.4166666666667</v>
      </c>
      <c r="AL133" s="117">
        <f t="shared" si="105"/>
        <v>2018.75</v>
      </c>
      <c r="AM133" s="117">
        <f t="shared" si="106"/>
        <v>-8.3333333333333329E-2</v>
      </c>
    </row>
    <row r="134" spans="1:39" x14ac:dyDescent="0.25">
      <c r="A134">
        <v>112</v>
      </c>
      <c r="B134" t="s">
        <v>416</v>
      </c>
      <c r="C134" t="s">
        <v>375</v>
      </c>
      <c r="D134" s="27">
        <v>2010</v>
      </c>
      <c r="E134" s="27">
        <v>10</v>
      </c>
      <c r="F134" s="122"/>
      <c r="G134" s="27" t="s">
        <v>312</v>
      </c>
      <c r="H134" s="27">
        <v>7</v>
      </c>
      <c r="I134">
        <f t="shared" si="89"/>
        <v>2017</v>
      </c>
      <c r="L134" s="27" t="s">
        <v>313</v>
      </c>
      <c r="M134" s="27" t="s">
        <v>313</v>
      </c>
      <c r="N134" s="27" t="s">
        <v>313</v>
      </c>
      <c r="O134" s="27" t="s">
        <v>313</v>
      </c>
      <c r="P134" s="29">
        <v>4686</v>
      </c>
      <c r="Q134" s="29"/>
      <c r="R134" s="29">
        <f t="shared" si="90"/>
        <v>4686</v>
      </c>
      <c r="S134" s="115">
        <f t="shared" si="91"/>
        <v>55.785714285714285</v>
      </c>
      <c r="T134" s="115">
        <f t="shared" si="107"/>
        <v>0</v>
      </c>
      <c r="U134" s="115">
        <f t="shared" si="92"/>
        <v>0</v>
      </c>
      <c r="V134" s="115">
        <f t="shared" si="93"/>
        <v>0</v>
      </c>
      <c r="W134" s="124">
        <v>1</v>
      </c>
      <c r="X134" s="115">
        <f t="shared" si="94"/>
        <v>0</v>
      </c>
      <c r="Y134" s="113"/>
      <c r="Z134" s="115">
        <f t="shared" si="108"/>
        <v>4686</v>
      </c>
      <c r="AA134" s="115">
        <f t="shared" si="95"/>
        <v>4686</v>
      </c>
      <c r="AB134" s="121">
        <v>1</v>
      </c>
      <c r="AC134" s="115">
        <f t="shared" si="96"/>
        <v>4686</v>
      </c>
      <c r="AD134" s="115">
        <f t="shared" si="97"/>
        <v>4686</v>
      </c>
      <c r="AE134" s="115">
        <f t="shared" si="98"/>
        <v>0</v>
      </c>
      <c r="AF134" s="115">
        <f t="shared" si="99"/>
        <v>2010.75</v>
      </c>
      <c r="AG134" s="115">
        <f t="shared" si="100"/>
        <v>2019.75</v>
      </c>
      <c r="AH134" s="115">
        <f t="shared" si="101"/>
        <v>2017.75</v>
      </c>
      <c r="AI134" s="117">
        <f t="shared" si="102"/>
        <v>2018.75</v>
      </c>
      <c r="AJ134" s="117">
        <f t="shared" si="103"/>
        <v>-8.3333333333333329E-2</v>
      </c>
      <c r="AK134" s="117">
        <f t="shared" si="104"/>
        <v>2017.75</v>
      </c>
      <c r="AL134" s="117">
        <f t="shared" si="105"/>
        <v>2018.75</v>
      </c>
      <c r="AM134" s="117">
        <f t="shared" si="106"/>
        <v>-8.3333333333333329E-2</v>
      </c>
    </row>
    <row r="135" spans="1:39" x14ac:dyDescent="0.25">
      <c r="A135">
        <v>114</v>
      </c>
      <c r="B135" t="s">
        <v>417</v>
      </c>
      <c r="C135" t="s">
        <v>375</v>
      </c>
      <c r="D135" s="27">
        <v>2010</v>
      </c>
      <c r="E135" s="27">
        <v>12</v>
      </c>
      <c r="F135" s="122"/>
      <c r="G135" s="27" t="s">
        <v>312</v>
      </c>
      <c r="H135" s="132">
        <v>20</v>
      </c>
      <c r="I135">
        <f t="shared" si="89"/>
        <v>2030</v>
      </c>
      <c r="L135">
        <v>10</v>
      </c>
      <c r="M135">
        <f>+D135+L135</f>
        <v>2020</v>
      </c>
      <c r="N135" s="27" t="s">
        <v>313</v>
      </c>
      <c r="O135" s="29">
        <v>48612</v>
      </c>
      <c r="P135" s="29">
        <v>60946</v>
      </c>
      <c r="Q135" s="29"/>
      <c r="R135" s="29">
        <f>+P135-P135*F135</f>
        <v>60946</v>
      </c>
      <c r="S135" s="115">
        <f>R135/H135/12</f>
        <v>253.94166666666669</v>
      </c>
      <c r="T135" s="115">
        <f>(60946-48612)/3</f>
        <v>4111.333333333333</v>
      </c>
      <c r="U135" s="115">
        <f t="shared" si="92"/>
        <v>0</v>
      </c>
      <c r="V135" s="115">
        <f t="shared" si="93"/>
        <v>4111.333333333333</v>
      </c>
      <c r="W135" s="124">
        <v>1</v>
      </c>
      <c r="X135" s="115">
        <f t="shared" si="94"/>
        <v>4111.333333333333</v>
      </c>
      <c r="Y135" s="113"/>
      <c r="Z135" s="115">
        <f>IF(AF135&gt;AG135,0,IF(AH135&lt;AI135,R135,IF((AND((AH135&gt;=AI135),(AH135&lt;=AG135))),(R135-V135),IF((AND((AI135&lt;=AF135),(AG135&gt;=AF135))),0,IF(AH135&gt;AG135,((AI135-AF135)*12)*S135,0)))))</f>
        <v>23870.516666666437</v>
      </c>
      <c r="AA135" s="115">
        <f t="shared" si="95"/>
        <v>23870.516666666437</v>
      </c>
      <c r="AB135" s="121">
        <v>1</v>
      </c>
      <c r="AC135" s="115">
        <f t="shared" si="96"/>
        <v>23870.516666666437</v>
      </c>
      <c r="AD135" s="115">
        <f>IF(Q135&gt;0,0,AC135+X135*AB135)*AB135</f>
        <v>27981.849999999769</v>
      </c>
      <c r="AE135" s="115">
        <f>IF(Q135&gt;0,(P135-AC135)/2,IF(AF135&gt;=AI135,(((P135*W135)*AB135)-AD135)/2,((((P135*W135)*AB135)-AC135)+(((P135*W135)*AB135)-AD135))/2))</f>
        <v>35019.816666666899</v>
      </c>
      <c r="AF135" s="115">
        <f t="shared" si="99"/>
        <v>2010.9166666666667</v>
      </c>
      <c r="AG135" s="115">
        <f t="shared" si="100"/>
        <v>2019.75</v>
      </c>
      <c r="AH135" s="115">
        <f t="shared" si="101"/>
        <v>2030.9166666666667</v>
      </c>
      <c r="AI135" s="117">
        <f t="shared" si="102"/>
        <v>2018.75</v>
      </c>
      <c r="AJ135" s="117">
        <f t="shared" si="103"/>
        <v>-8.3333333333333329E-2</v>
      </c>
      <c r="AK135" s="117">
        <f t="shared" si="104"/>
        <v>2030.9166666666667</v>
      </c>
      <c r="AL135" s="117">
        <f t="shared" si="105"/>
        <v>2018.75</v>
      </c>
      <c r="AM135" s="117">
        <f t="shared" si="106"/>
        <v>-8.3333333333333329E-2</v>
      </c>
    </row>
    <row r="136" spans="1:39" x14ac:dyDescent="0.25">
      <c r="A136">
        <v>124</v>
      </c>
      <c r="B136" t="s">
        <v>418</v>
      </c>
      <c r="C136" t="s">
        <v>375</v>
      </c>
      <c r="D136" s="27">
        <v>2011</v>
      </c>
      <c r="E136" s="27">
        <v>10</v>
      </c>
      <c r="F136" s="122"/>
      <c r="G136" s="27" t="s">
        <v>312</v>
      </c>
      <c r="H136" s="27">
        <v>5</v>
      </c>
      <c r="I136">
        <f t="shared" si="89"/>
        <v>2016</v>
      </c>
      <c r="L136" s="27" t="s">
        <v>313</v>
      </c>
      <c r="M136" s="27" t="s">
        <v>313</v>
      </c>
      <c r="N136" s="27" t="s">
        <v>313</v>
      </c>
      <c r="O136" s="27" t="s">
        <v>313</v>
      </c>
      <c r="P136" s="29">
        <v>1856</v>
      </c>
      <c r="Q136" s="29"/>
      <c r="R136" s="29">
        <f t="shared" si="90"/>
        <v>1856</v>
      </c>
      <c r="S136" s="115">
        <f t="shared" si="91"/>
        <v>30.933333333333334</v>
      </c>
      <c r="T136" s="115">
        <f t="shared" ref="T136:T161" si="109">IF(Q136&gt;0,0,IF((OR((AF136&gt;AG136),(AH136&lt;AI136))),0,IF((AND((AH136&gt;=AI136),(AH136&lt;=AG136))),S136*((AH136-AI136)*12),IF((AND((AI136&lt;=AF136),(AG136&gt;=AF136))),((AG136-AF136)*12)*S136,IF(AH136&gt;AG136,12*S136,0)))))</f>
        <v>0</v>
      </c>
      <c r="U136" s="115">
        <f t="shared" si="92"/>
        <v>0</v>
      </c>
      <c r="V136" s="115">
        <f t="shared" si="93"/>
        <v>0</v>
      </c>
      <c r="W136" s="124">
        <v>1</v>
      </c>
      <c r="X136" s="115">
        <f t="shared" si="94"/>
        <v>0</v>
      </c>
      <c r="Y136" s="113"/>
      <c r="Z136" s="115">
        <f t="shared" si="108"/>
        <v>1856</v>
      </c>
      <c r="AA136" s="115">
        <f t="shared" si="95"/>
        <v>1856</v>
      </c>
      <c r="AB136" s="121">
        <v>1</v>
      </c>
      <c r="AC136" s="115">
        <f t="shared" si="96"/>
        <v>1856</v>
      </c>
      <c r="AD136" s="115">
        <f t="shared" si="97"/>
        <v>1856</v>
      </c>
      <c r="AE136" s="115">
        <f t="shared" si="98"/>
        <v>0</v>
      </c>
      <c r="AF136" s="115">
        <f t="shared" si="99"/>
        <v>2011.75</v>
      </c>
      <c r="AG136" s="115">
        <f t="shared" si="100"/>
        <v>2019.75</v>
      </c>
      <c r="AH136" s="115">
        <f t="shared" si="101"/>
        <v>2016.75</v>
      </c>
      <c r="AI136" s="117">
        <f t="shared" si="102"/>
        <v>2018.75</v>
      </c>
      <c r="AJ136" s="117">
        <f t="shared" si="103"/>
        <v>-8.3333333333333329E-2</v>
      </c>
      <c r="AK136" s="117">
        <f t="shared" si="104"/>
        <v>2016.75</v>
      </c>
      <c r="AL136" s="117">
        <f t="shared" si="105"/>
        <v>2018.75</v>
      </c>
      <c r="AM136" s="117">
        <f t="shared" si="106"/>
        <v>-8.3333333333333329E-2</v>
      </c>
    </row>
    <row r="137" spans="1:39" x14ac:dyDescent="0.25">
      <c r="A137">
        <v>125</v>
      </c>
      <c r="B137" t="s">
        <v>419</v>
      </c>
      <c r="C137" t="s">
        <v>375</v>
      </c>
      <c r="D137" s="27">
        <v>2011</v>
      </c>
      <c r="E137" s="27">
        <v>10</v>
      </c>
      <c r="F137" s="122"/>
      <c r="G137" s="27" t="s">
        <v>312</v>
      </c>
      <c r="H137" s="27">
        <v>5</v>
      </c>
      <c r="I137">
        <f t="shared" si="89"/>
        <v>2016</v>
      </c>
      <c r="L137" s="27" t="s">
        <v>313</v>
      </c>
      <c r="M137" s="27" t="s">
        <v>313</v>
      </c>
      <c r="N137" s="27" t="s">
        <v>313</v>
      </c>
      <c r="O137" s="27" t="s">
        <v>313</v>
      </c>
      <c r="P137" s="29">
        <v>1856</v>
      </c>
      <c r="Q137" s="29"/>
      <c r="R137" s="29">
        <f t="shared" si="90"/>
        <v>1856</v>
      </c>
      <c r="S137" s="115">
        <f t="shared" si="91"/>
        <v>30.933333333333334</v>
      </c>
      <c r="T137" s="115">
        <f t="shared" si="109"/>
        <v>0</v>
      </c>
      <c r="U137" s="115">
        <f t="shared" si="92"/>
        <v>0</v>
      </c>
      <c r="V137" s="115">
        <f t="shared" si="93"/>
        <v>0</v>
      </c>
      <c r="W137" s="124">
        <v>1</v>
      </c>
      <c r="X137" s="115">
        <f t="shared" si="94"/>
        <v>0</v>
      </c>
      <c r="Y137" s="113"/>
      <c r="Z137" s="115">
        <f t="shared" si="108"/>
        <v>1856</v>
      </c>
      <c r="AA137" s="115">
        <f t="shared" si="95"/>
        <v>1856</v>
      </c>
      <c r="AB137" s="121">
        <v>1</v>
      </c>
      <c r="AC137" s="115">
        <f t="shared" si="96"/>
        <v>1856</v>
      </c>
      <c r="AD137" s="115">
        <f t="shared" si="97"/>
        <v>1856</v>
      </c>
      <c r="AE137" s="115">
        <f t="shared" si="98"/>
        <v>0</v>
      </c>
      <c r="AF137" s="115">
        <f t="shared" si="99"/>
        <v>2011.75</v>
      </c>
      <c r="AG137" s="115">
        <f t="shared" si="100"/>
        <v>2019.75</v>
      </c>
      <c r="AH137" s="115">
        <f t="shared" si="101"/>
        <v>2016.75</v>
      </c>
      <c r="AI137" s="117">
        <f t="shared" si="102"/>
        <v>2018.75</v>
      </c>
      <c r="AJ137" s="117">
        <f t="shared" si="103"/>
        <v>-8.3333333333333329E-2</v>
      </c>
      <c r="AK137" s="117">
        <f t="shared" si="104"/>
        <v>2016.75</v>
      </c>
      <c r="AL137" s="117">
        <f t="shared" si="105"/>
        <v>2018.75</v>
      </c>
      <c r="AM137" s="117">
        <f t="shared" si="106"/>
        <v>-8.3333333333333329E-2</v>
      </c>
    </row>
    <row r="138" spans="1:39" x14ac:dyDescent="0.25">
      <c r="A138">
        <v>126</v>
      </c>
      <c r="B138" t="s">
        <v>420</v>
      </c>
      <c r="C138" t="s">
        <v>375</v>
      </c>
      <c r="D138" s="27">
        <v>2011</v>
      </c>
      <c r="E138" s="27">
        <v>10</v>
      </c>
      <c r="F138" s="122"/>
      <c r="G138" s="27" t="s">
        <v>312</v>
      </c>
      <c r="H138" s="27">
        <v>5</v>
      </c>
      <c r="I138">
        <f t="shared" si="89"/>
        <v>2016</v>
      </c>
      <c r="L138" s="27" t="s">
        <v>313</v>
      </c>
      <c r="M138" s="27" t="s">
        <v>313</v>
      </c>
      <c r="N138" s="27" t="s">
        <v>313</v>
      </c>
      <c r="O138" s="27" t="s">
        <v>313</v>
      </c>
      <c r="P138" s="29">
        <v>395</v>
      </c>
      <c r="Q138" s="29"/>
      <c r="R138" s="29">
        <f t="shared" si="90"/>
        <v>395</v>
      </c>
      <c r="S138" s="115">
        <f t="shared" si="91"/>
        <v>6.583333333333333</v>
      </c>
      <c r="T138" s="115">
        <f t="shared" si="109"/>
        <v>0</v>
      </c>
      <c r="U138" s="115">
        <f t="shared" si="92"/>
        <v>0</v>
      </c>
      <c r="V138" s="115">
        <f t="shared" si="93"/>
        <v>0</v>
      </c>
      <c r="W138" s="124">
        <v>1</v>
      </c>
      <c r="X138" s="115">
        <f t="shared" si="94"/>
        <v>0</v>
      </c>
      <c r="Y138" s="113"/>
      <c r="Z138" s="115">
        <f t="shared" si="108"/>
        <v>395</v>
      </c>
      <c r="AA138" s="115">
        <f t="shared" si="95"/>
        <v>395</v>
      </c>
      <c r="AB138" s="121">
        <v>1</v>
      </c>
      <c r="AC138" s="115">
        <f t="shared" si="96"/>
        <v>395</v>
      </c>
      <c r="AD138" s="115">
        <f t="shared" si="97"/>
        <v>395</v>
      </c>
      <c r="AE138" s="115">
        <f t="shared" si="98"/>
        <v>0</v>
      </c>
      <c r="AF138" s="115">
        <f t="shared" si="99"/>
        <v>2011.75</v>
      </c>
      <c r="AG138" s="115">
        <f t="shared" si="100"/>
        <v>2019.75</v>
      </c>
      <c r="AH138" s="115">
        <f t="shared" si="101"/>
        <v>2016.75</v>
      </c>
      <c r="AI138" s="117">
        <f t="shared" si="102"/>
        <v>2018.75</v>
      </c>
      <c r="AJ138" s="117">
        <f t="shared" si="103"/>
        <v>-8.3333333333333329E-2</v>
      </c>
      <c r="AK138" s="117">
        <f t="shared" si="104"/>
        <v>2016.75</v>
      </c>
      <c r="AL138" s="117">
        <f t="shared" si="105"/>
        <v>2018.75</v>
      </c>
      <c r="AM138" s="117">
        <f t="shared" si="106"/>
        <v>-8.3333333333333329E-2</v>
      </c>
    </row>
    <row r="139" spans="1:39" x14ac:dyDescent="0.25">
      <c r="A139">
        <v>127</v>
      </c>
      <c r="B139" t="s">
        <v>421</v>
      </c>
      <c r="C139" t="s">
        <v>375</v>
      </c>
      <c r="D139" s="27">
        <v>2011</v>
      </c>
      <c r="E139" s="27">
        <v>10</v>
      </c>
      <c r="F139" s="122"/>
      <c r="G139" s="27" t="s">
        <v>312</v>
      </c>
      <c r="H139" s="27">
        <v>5</v>
      </c>
      <c r="I139">
        <f t="shared" si="89"/>
        <v>2016</v>
      </c>
      <c r="L139" s="27" t="s">
        <v>313</v>
      </c>
      <c r="M139" s="27" t="s">
        <v>313</v>
      </c>
      <c r="N139" s="27" t="s">
        <v>313</v>
      </c>
      <c r="O139" s="27" t="s">
        <v>313</v>
      </c>
      <c r="P139" s="29">
        <v>395</v>
      </c>
      <c r="Q139" s="29"/>
      <c r="R139" s="29">
        <f t="shared" si="90"/>
        <v>395</v>
      </c>
      <c r="S139" s="115">
        <f t="shared" si="91"/>
        <v>6.583333333333333</v>
      </c>
      <c r="T139" s="115">
        <f t="shared" si="109"/>
        <v>0</v>
      </c>
      <c r="U139" s="115">
        <f t="shared" si="92"/>
        <v>0</v>
      </c>
      <c r="V139" s="115">
        <f t="shared" si="93"/>
        <v>0</v>
      </c>
      <c r="W139" s="124">
        <v>1</v>
      </c>
      <c r="X139" s="115">
        <f t="shared" si="94"/>
        <v>0</v>
      </c>
      <c r="Y139" s="113"/>
      <c r="Z139" s="115">
        <f t="shared" si="108"/>
        <v>395</v>
      </c>
      <c r="AA139" s="115">
        <f t="shared" si="95"/>
        <v>395</v>
      </c>
      <c r="AB139" s="121">
        <v>1</v>
      </c>
      <c r="AC139" s="115">
        <f t="shared" si="96"/>
        <v>395</v>
      </c>
      <c r="AD139" s="115">
        <f t="shared" si="97"/>
        <v>395</v>
      </c>
      <c r="AE139" s="115">
        <f t="shared" si="98"/>
        <v>0</v>
      </c>
      <c r="AF139" s="115">
        <f t="shared" si="99"/>
        <v>2011.75</v>
      </c>
      <c r="AG139" s="115">
        <f t="shared" si="100"/>
        <v>2019.75</v>
      </c>
      <c r="AH139" s="115">
        <f t="shared" si="101"/>
        <v>2016.75</v>
      </c>
      <c r="AI139" s="117">
        <f t="shared" si="102"/>
        <v>2018.75</v>
      </c>
      <c r="AJ139" s="117">
        <f t="shared" si="103"/>
        <v>-8.3333333333333329E-2</v>
      </c>
      <c r="AK139" s="117">
        <f t="shared" si="104"/>
        <v>2016.75</v>
      </c>
      <c r="AL139" s="117">
        <f t="shared" si="105"/>
        <v>2018.75</v>
      </c>
      <c r="AM139" s="117">
        <f t="shared" si="106"/>
        <v>-8.3333333333333329E-2</v>
      </c>
    </row>
    <row r="140" spans="1:39" x14ac:dyDescent="0.25">
      <c r="A140">
        <v>128</v>
      </c>
      <c r="B140" t="s">
        <v>422</v>
      </c>
      <c r="C140" t="s">
        <v>375</v>
      </c>
      <c r="D140" s="27">
        <v>2011</v>
      </c>
      <c r="E140" s="27">
        <v>1</v>
      </c>
      <c r="F140" s="122"/>
      <c r="G140" s="27" t="s">
        <v>312</v>
      </c>
      <c r="H140" s="27">
        <v>7</v>
      </c>
      <c r="I140">
        <f t="shared" si="89"/>
        <v>2018</v>
      </c>
      <c r="L140" s="27" t="s">
        <v>313</v>
      </c>
      <c r="M140" s="27" t="s">
        <v>313</v>
      </c>
      <c r="N140" s="27" t="s">
        <v>313</v>
      </c>
      <c r="O140" s="27" t="s">
        <v>313</v>
      </c>
      <c r="P140" s="29">
        <v>2070</v>
      </c>
      <c r="Q140" s="29"/>
      <c r="R140" s="29">
        <f t="shared" si="90"/>
        <v>2070</v>
      </c>
      <c r="S140" s="115">
        <f t="shared" si="91"/>
        <v>24.642857142857142</v>
      </c>
      <c r="T140" s="115">
        <f t="shared" si="109"/>
        <v>0</v>
      </c>
      <c r="U140" s="115">
        <f t="shared" si="92"/>
        <v>0</v>
      </c>
      <c r="V140" s="115">
        <f t="shared" si="93"/>
        <v>0</v>
      </c>
      <c r="W140" s="124">
        <v>1</v>
      </c>
      <c r="X140" s="115">
        <f t="shared" si="94"/>
        <v>0</v>
      </c>
      <c r="Y140" s="113"/>
      <c r="Z140" s="115">
        <f t="shared" si="108"/>
        <v>2070</v>
      </c>
      <c r="AA140" s="115">
        <f t="shared" si="95"/>
        <v>2070</v>
      </c>
      <c r="AB140" s="121">
        <v>1</v>
      </c>
      <c r="AC140" s="115">
        <f t="shared" si="96"/>
        <v>2070</v>
      </c>
      <c r="AD140" s="115">
        <f t="shared" si="97"/>
        <v>2070</v>
      </c>
      <c r="AE140" s="115">
        <f t="shared" si="98"/>
        <v>0</v>
      </c>
      <c r="AF140" s="115">
        <f t="shared" si="99"/>
        <v>2011</v>
      </c>
      <c r="AG140" s="115">
        <f t="shared" si="100"/>
        <v>2019.75</v>
      </c>
      <c r="AH140" s="115">
        <f t="shared" si="101"/>
        <v>2018</v>
      </c>
      <c r="AI140" s="117">
        <f t="shared" si="102"/>
        <v>2018.75</v>
      </c>
      <c r="AJ140" s="117">
        <f t="shared" si="103"/>
        <v>-8.3333333333333329E-2</v>
      </c>
      <c r="AK140" s="117">
        <f t="shared" si="104"/>
        <v>2018</v>
      </c>
      <c r="AL140" s="117">
        <f t="shared" si="105"/>
        <v>2018.75</v>
      </c>
      <c r="AM140" s="117">
        <f t="shared" si="106"/>
        <v>-8.3333333333333329E-2</v>
      </c>
    </row>
    <row r="141" spans="1:39" x14ac:dyDescent="0.25">
      <c r="A141">
        <v>129</v>
      </c>
      <c r="B141" t="s">
        <v>423</v>
      </c>
      <c r="C141" t="s">
        <v>375</v>
      </c>
      <c r="D141" s="27">
        <v>2011</v>
      </c>
      <c r="E141" s="27">
        <v>1</v>
      </c>
      <c r="F141" s="122"/>
      <c r="G141" s="27" t="s">
        <v>312</v>
      </c>
      <c r="H141" s="27">
        <v>5</v>
      </c>
      <c r="I141">
        <f t="shared" si="89"/>
        <v>2016</v>
      </c>
      <c r="L141" s="27" t="s">
        <v>313</v>
      </c>
      <c r="M141" s="27" t="s">
        <v>313</v>
      </c>
      <c r="N141" s="27" t="s">
        <v>313</v>
      </c>
      <c r="O141" s="27" t="s">
        <v>313</v>
      </c>
      <c r="P141" s="29">
        <v>283</v>
      </c>
      <c r="Q141" s="29"/>
      <c r="R141" s="29">
        <f t="shared" si="90"/>
        <v>283</v>
      </c>
      <c r="S141" s="115">
        <f t="shared" si="91"/>
        <v>4.7166666666666668</v>
      </c>
      <c r="T141" s="115">
        <f t="shared" si="109"/>
        <v>0</v>
      </c>
      <c r="U141" s="115">
        <f t="shared" si="92"/>
        <v>0</v>
      </c>
      <c r="V141" s="115">
        <f t="shared" si="93"/>
        <v>0</v>
      </c>
      <c r="W141" s="124">
        <v>1</v>
      </c>
      <c r="X141" s="115">
        <f t="shared" si="94"/>
        <v>0</v>
      </c>
      <c r="Y141" s="113"/>
      <c r="Z141" s="115">
        <f t="shared" si="108"/>
        <v>283</v>
      </c>
      <c r="AA141" s="115">
        <f t="shared" si="95"/>
        <v>283</v>
      </c>
      <c r="AB141" s="121">
        <v>1</v>
      </c>
      <c r="AC141" s="115">
        <f t="shared" si="96"/>
        <v>283</v>
      </c>
      <c r="AD141" s="115">
        <f t="shared" si="97"/>
        <v>283</v>
      </c>
      <c r="AE141" s="115">
        <f t="shared" si="98"/>
        <v>0</v>
      </c>
      <c r="AF141" s="115">
        <f t="shared" si="99"/>
        <v>2011</v>
      </c>
      <c r="AG141" s="115">
        <f t="shared" si="100"/>
        <v>2019.75</v>
      </c>
      <c r="AH141" s="115">
        <f t="shared" si="101"/>
        <v>2016</v>
      </c>
      <c r="AI141" s="117">
        <f t="shared" si="102"/>
        <v>2018.75</v>
      </c>
      <c r="AJ141" s="117">
        <f t="shared" si="103"/>
        <v>-8.3333333333333329E-2</v>
      </c>
      <c r="AK141" s="117">
        <f t="shared" si="104"/>
        <v>2016</v>
      </c>
      <c r="AL141" s="117">
        <f t="shared" si="105"/>
        <v>2018.75</v>
      </c>
      <c r="AM141" s="117">
        <f t="shared" si="106"/>
        <v>-8.3333333333333329E-2</v>
      </c>
    </row>
    <row r="142" spans="1:39" x14ac:dyDescent="0.25">
      <c r="A142">
        <v>130</v>
      </c>
      <c r="B142" t="s">
        <v>424</v>
      </c>
      <c r="C142" t="s">
        <v>375</v>
      </c>
      <c r="D142" s="27">
        <v>2011</v>
      </c>
      <c r="E142" s="27">
        <v>1</v>
      </c>
      <c r="F142" s="122"/>
      <c r="G142" s="27" t="s">
        <v>312</v>
      </c>
      <c r="H142" s="27">
        <v>5</v>
      </c>
      <c r="I142">
        <f t="shared" si="89"/>
        <v>2016</v>
      </c>
      <c r="L142" s="27" t="s">
        <v>313</v>
      </c>
      <c r="M142" s="27" t="s">
        <v>313</v>
      </c>
      <c r="N142" s="27" t="s">
        <v>313</v>
      </c>
      <c r="O142" s="27" t="s">
        <v>313</v>
      </c>
      <c r="P142" s="29">
        <v>8575</v>
      </c>
      <c r="Q142" s="29"/>
      <c r="R142" s="29">
        <f t="shared" si="90"/>
        <v>8575</v>
      </c>
      <c r="S142" s="115">
        <f t="shared" si="91"/>
        <v>142.91666666666666</v>
      </c>
      <c r="T142" s="115">
        <f t="shared" si="109"/>
        <v>0</v>
      </c>
      <c r="U142" s="115">
        <f t="shared" si="92"/>
        <v>0</v>
      </c>
      <c r="V142" s="115">
        <f t="shared" si="93"/>
        <v>0</v>
      </c>
      <c r="W142" s="124">
        <v>1</v>
      </c>
      <c r="X142" s="115">
        <f t="shared" si="94"/>
        <v>0</v>
      </c>
      <c r="Y142" s="113"/>
      <c r="Z142" s="115">
        <f t="shared" si="108"/>
        <v>8575</v>
      </c>
      <c r="AA142" s="115">
        <f t="shared" si="95"/>
        <v>8575</v>
      </c>
      <c r="AB142" s="121">
        <v>1</v>
      </c>
      <c r="AC142" s="115">
        <f t="shared" si="96"/>
        <v>8575</v>
      </c>
      <c r="AD142" s="115">
        <f t="shared" si="97"/>
        <v>8575</v>
      </c>
      <c r="AE142" s="115">
        <f t="shared" si="98"/>
        <v>0</v>
      </c>
      <c r="AF142" s="115">
        <f t="shared" si="99"/>
        <v>2011</v>
      </c>
      <c r="AG142" s="115">
        <f t="shared" si="100"/>
        <v>2019.75</v>
      </c>
      <c r="AH142" s="115">
        <f t="shared" si="101"/>
        <v>2016</v>
      </c>
      <c r="AI142" s="117">
        <f t="shared" si="102"/>
        <v>2018.75</v>
      </c>
      <c r="AJ142" s="117">
        <f t="shared" si="103"/>
        <v>-8.3333333333333329E-2</v>
      </c>
      <c r="AK142" s="117">
        <f t="shared" si="104"/>
        <v>2016</v>
      </c>
      <c r="AL142" s="117">
        <f t="shared" si="105"/>
        <v>2018.75</v>
      </c>
      <c r="AM142" s="117">
        <f t="shared" si="106"/>
        <v>-8.3333333333333329E-2</v>
      </c>
    </row>
    <row r="143" spans="1:39" x14ac:dyDescent="0.25">
      <c r="A143">
        <v>134</v>
      </c>
      <c r="B143" t="s">
        <v>425</v>
      </c>
      <c r="C143" t="s">
        <v>375</v>
      </c>
      <c r="D143" s="27">
        <v>2011</v>
      </c>
      <c r="E143" s="27">
        <v>3</v>
      </c>
      <c r="F143" s="122"/>
      <c r="G143" s="27" t="s">
        <v>312</v>
      </c>
      <c r="H143" s="27">
        <v>5</v>
      </c>
      <c r="I143">
        <f t="shared" si="89"/>
        <v>2016</v>
      </c>
      <c r="L143" s="27" t="s">
        <v>313</v>
      </c>
      <c r="M143" s="27" t="s">
        <v>313</v>
      </c>
      <c r="N143" s="27" t="s">
        <v>313</v>
      </c>
      <c r="O143" s="27" t="s">
        <v>313</v>
      </c>
      <c r="P143" s="29">
        <v>540</v>
      </c>
      <c r="Q143" s="29"/>
      <c r="R143" s="29">
        <f t="shared" si="90"/>
        <v>540</v>
      </c>
      <c r="S143" s="115">
        <f t="shared" si="91"/>
        <v>9</v>
      </c>
      <c r="T143" s="115">
        <f t="shared" si="109"/>
        <v>0</v>
      </c>
      <c r="U143" s="115">
        <f t="shared" si="92"/>
        <v>0</v>
      </c>
      <c r="V143" s="115">
        <f t="shared" si="93"/>
        <v>0</v>
      </c>
      <c r="W143" s="124">
        <v>1</v>
      </c>
      <c r="X143" s="115">
        <f t="shared" si="94"/>
        <v>0</v>
      </c>
      <c r="Y143" s="113"/>
      <c r="Z143" s="115">
        <f t="shared" si="108"/>
        <v>540</v>
      </c>
      <c r="AA143" s="115">
        <f t="shared" si="95"/>
        <v>540</v>
      </c>
      <c r="AB143" s="121">
        <v>1</v>
      </c>
      <c r="AC143" s="115">
        <f t="shared" si="96"/>
        <v>540</v>
      </c>
      <c r="AD143" s="115">
        <f t="shared" si="97"/>
        <v>540</v>
      </c>
      <c r="AE143" s="115">
        <f t="shared" si="98"/>
        <v>0</v>
      </c>
      <c r="AF143" s="115">
        <f t="shared" si="99"/>
        <v>2011.1666666666667</v>
      </c>
      <c r="AG143" s="115">
        <f t="shared" si="100"/>
        <v>2019.75</v>
      </c>
      <c r="AH143" s="115">
        <f t="shared" si="101"/>
        <v>2016.1666666666667</v>
      </c>
      <c r="AI143" s="117">
        <f t="shared" si="102"/>
        <v>2018.75</v>
      </c>
      <c r="AJ143" s="117">
        <f t="shared" si="103"/>
        <v>-8.3333333333333329E-2</v>
      </c>
      <c r="AK143" s="117">
        <f t="shared" si="104"/>
        <v>2016.1666666666667</v>
      </c>
      <c r="AL143" s="117">
        <f t="shared" si="105"/>
        <v>2018.75</v>
      </c>
      <c r="AM143" s="117">
        <f t="shared" si="106"/>
        <v>-8.3333333333333329E-2</v>
      </c>
    </row>
    <row r="144" spans="1:39" x14ac:dyDescent="0.25">
      <c r="A144">
        <v>142</v>
      </c>
      <c r="B144" t="s">
        <v>426</v>
      </c>
      <c r="C144" t="s">
        <v>375</v>
      </c>
      <c r="D144" s="27">
        <v>2011</v>
      </c>
      <c r="E144" s="27">
        <v>1</v>
      </c>
      <c r="F144" s="122"/>
      <c r="G144" s="27" t="s">
        <v>312</v>
      </c>
      <c r="H144" s="27">
        <v>5</v>
      </c>
      <c r="I144">
        <f t="shared" si="89"/>
        <v>2016</v>
      </c>
      <c r="L144" s="27" t="s">
        <v>313</v>
      </c>
      <c r="M144" s="27" t="s">
        <v>313</v>
      </c>
      <c r="N144" s="27" t="s">
        <v>313</v>
      </c>
      <c r="O144" s="27" t="s">
        <v>313</v>
      </c>
      <c r="P144" s="29">
        <v>6992</v>
      </c>
      <c r="Q144" s="29"/>
      <c r="R144" s="29">
        <f t="shared" si="90"/>
        <v>6992</v>
      </c>
      <c r="S144" s="115">
        <f t="shared" si="91"/>
        <v>116.53333333333335</v>
      </c>
      <c r="T144" s="115">
        <f t="shared" si="109"/>
        <v>0</v>
      </c>
      <c r="U144" s="115">
        <f t="shared" si="92"/>
        <v>0</v>
      </c>
      <c r="V144" s="115">
        <f t="shared" si="93"/>
        <v>0</v>
      </c>
      <c r="W144" s="124">
        <v>1</v>
      </c>
      <c r="X144" s="115">
        <f t="shared" si="94"/>
        <v>0</v>
      </c>
      <c r="Y144" s="113"/>
      <c r="Z144" s="115">
        <f t="shared" si="108"/>
        <v>6992</v>
      </c>
      <c r="AA144" s="115">
        <f t="shared" si="95"/>
        <v>6992</v>
      </c>
      <c r="AB144" s="121">
        <v>1</v>
      </c>
      <c r="AC144" s="115">
        <f t="shared" si="96"/>
        <v>6992</v>
      </c>
      <c r="AD144" s="115">
        <f t="shared" si="97"/>
        <v>6992</v>
      </c>
      <c r="AE144" s="115">
        <f t="shared" si="98"/>
        <v>0</v>
      </c>
      <c r="AF144" s="115">
        <f t="shared" si="99"/>
        <v>2011</v>
      </c>
      <c r="AG144" s="115">
        <f t="shared" si="100"/>
        <v>2019.75</v>
      </c>
      <c r="AH144" s="115">
        <f t="shared" si="101"/>
        <v>2016</v>
      </c>
      <c r="AI144" s="117">
        <f t="shared" si="102"/>
        <v>2018.75</v>
      </c>
      <c r="AJ144" s="117">
        <f t="shared" si="103"/>
        <v>-8.3333333333333329E-2</v>
      </c>
      <c r="AK144" s="117">
        <f t="shared" si="104"/>
        <v>2016</v>
      </c>
      <c r="AL144" s="117">
        <f t="shared" si="105"/>
        <v>2018.75</v>
      </c>
      <c r="AM144" s="117">
        <f t="shared" si="106"/>
        <v>-8.3333333333333329E-2</v>
      </c>
    </row>
    <row r="145" spans="1:39" x14ac:dyDescent="0.25">
      <c r="A145">
        <v>146</v>
      </c>
      <c r="B145" t="s">
        <v>427</v>
      </c>
      <c r="C145" t="s">
        <v>375</v>
      </c>
      <c r="D145" s="27">
        <v>2012</v>
      </c>
      <c r="E145" s="27">
        <v>10</v>
      </c>
      <c r="F145" s="122"/>
      <c r="G145" s="27" t="s">
        <v>312</v>
      </c>
      <c r="H145" s="27">
        <v>5</v>
      </c>
      <c r="I145">
        <f t="shared" si="89"/>
        <v>2017</v>
      </c>
      <c r="L145" s="27" t="s">
        <v>313</v>
      </c>
      <c r="M145" s="27" t="s">
        <v>313</v>
      </c>
      <c r="N145" s="27" t="s">
        <v>313</v>
      </c>
      <c r="O145" s="27" t="s">
        <v>313</v>
      </c>
      <c r="P145" s="29">
        <v>22230</v>
      </c>
      <c r="Q145" s="29"/>
      <c r="R145" s="29">
        <f t="shared" si="90"/>
        <v>22230</v>
      </c>
      <c r="S145" s="115">
        <f t="shared" si="91"/>
        <v>370.5</v>
      </c>
      <c r="T145" s="115">
        <f t="shared" si="109"/>
        <v>0</v>
      </c>
      <c r="U145" s="115">
        <f t="shared" si="92"/>
        <v>0</v>
      </c>
      <c r="V145" s="115">
        <f t="shared" si="93"/>
        <v>0</v>
      </c>
      <c r="W145" s="124">
        <v>1</v>
      </c>
      <c r="X145" s="115">
        <f t="shared" si="94"/>
        <v>0</v>
      </c>
      <c r="Y145" s="113"/>
      <c r="Z145" s="115">
        <f t="shared" si="108"/>
        <v>22230</v>
      </c>
      <c r="AA145" s="115">
        <f t="shared" si="95"/>
        <v>22230</v>
      </c>
      <c r="AB145" s="121">
        <v>1</v>
      </c>
      <c r="AC145" s="115">
        <f t="shared" si="96"/>
        <v>22230</v>
      </c>
      <c r="AD145" s="115">
        <f t="shared" si="97"/>
        <v>22230</v>
      </c>
      <c r="AE145" s="115">
        <f t="shared" si="98"/>
        <v>0</v>
      </c>
      <c r="AF145" s="115">
        <f t="shared" si="99"/>
        <v>2012.75</v>
      </c>
      <c r="AG145" s="115">
        <f t="shared" si="100"/>
        <v>2019.75</v>
      </c>
      <c r="AH145" s="115">
        <f t="shared" si="101"/>
        <v>2017.75</v>
      </c>
      <c r="AI145" s="117">
        <f t="shared" si="102"/>
        <v>2018.75</v>
      </c>
      <c r="AJ145" s="117">
        <f t="shared" si="103"/>
        <v>-8.3333333333333329E-2</v>
      </c>
      <c r="AK145" s="117">
        <f t="shared" si="104"/>
        <v>2017.75</v>
      </c>
      <c r="AL145" s="117">
        <f t="shared" si="105"/>
        <v>2018.75</v>
      </c>
      <c r="AM145" s="117">
        <f t="shared" si="106"/>
        <v>-8.3333333333333329E-2</v>
      </c>
    </row>
    <row r="146" spans="1:39" x14ac:dyDescent="0.25">
      <c r="A146">
        <v>147</v>
      </c>
      <c r="B146" t="s">
        <v>428</v>
      </c>
      <c r="C146" t="s">
        <v>375</v>
      </c>
      <c r="D146" s="27">
        <v>2012</v>
      </c>
      <c r="E146" s="27">
        <v>1</v>
      </c>
      <c r="F146" s="122"/>
      <c r="G146" s="27" t="s">
        <v>312</v>
      </c>
      <c r="H146" s="27">
        <v>5</v>
      </c>
      <c r="I146">
        <f t="shared" si="89"/>
        <v>2017</v>
      </c>
      <c r="L146" s="27" t="s">
        <v>313</v>
      </c>
      <c r="M146" s="27" t="s">
        <v>313</v>
      </c>
      <c r="N146" s="27" t="s">
        <v>313</v>
      </c>
      <c r="O146" s="27" t="s">
        <v>313</v>
      </c>
      <c r="P146" s="29">
        <v>601</v>
      </c>
      <c r="Q146" s="29"/>
      <c r="R146" s="29">
        <f t="shared" si="90"/>
        <v>601</v>
      </c>
      <c r="S146" s="115">
        <f t="shared" si="91"/>
        <v>10.016666666666667</v>
      </c>
      <c r="T146" s="115">
        <f t="shared" si="109"/>
        <v>0</v>
      </c>
      <c r="U146" s="115">
        <f t="shared" si="92"/>
        <v>0</v>
      </c>
      <c r="V146" s="115">
        <f t="shared" si="93"/>
        <v>0</v>
      </c>
      <c r="W146" s="124">
        <v>1</v>
      </c>
      <c r="X146" s="115">
        <f t="shared" si="94"/>
        <v>0</v>
      </c>
      <c r="Y146" s="113"/>
      <c r="Z146" s="115">
        <f t="shared" si="108"/>
        <v>601</v>
      </c>
      <c r="AA146" s="115">
        <f t="shared" si="95"/>
        <v>601</v>
      </c>
      <c r="AB146" s="121">
        <v>1</v>
      </c>
      <c r="AC146" s="115">
        <f t="shared" si="96"/>
        <v>601</v>
      </c>
      <c r="AD146" s="115">
        <f t="shared" si="97"/>
        <v>601</v>
      </c>
      <c r="AE146" s="115">
        <f t="shared" si="98"/>
        <v>0</v>
      </c>
      <c r="AF146" s="115">
        <f t="shared" si="99"/>
        <v>2012</v>
      </c>
      <c r="AG146" s="115">
        <f t="shared" si="100"/>
        <v>2019.75</v>
      </c>
      <c r="AH146" s="115">
        <f t="shared" si="101"/>
        <v>2017</v>
      </c>
      <c r="AI146" s="117">
        <f t="shared" si="102"/>
        <v>2018.75</v>
      </c>
      <c r="AJ146" s="117">
        <f t="shared" si="103"/>
        <v>-8.3333333333333329E-2</v>
      </c>
      <c r="AK146" s="117">
        <f t="shared" si="104"/>
        <v>2017</v>
      </c>
      <c r="AL146" s="117">
        <f t="shared" si="105"/>
        <v>2018.75</v>
      </c>
      <c r="AM146" s="117">
        <f t="shared" si="106"/>
        <v>-8.3333333333333329E-2</v>
      </c>
    </row>
    <row r="147" spans="1:39" x14ac:dyDescent="0.25">
      <c r="A147">
        <v>148</v>
      </c>
      <c r="B147" t="s">
        <v>429</v>
      </c>
      <c r="C147" t="s">
        <v>375</v>
      </c>
      <c r="D147" s="27">
        <v>2012</v>
      </c>
      <c r="E147" s="27">
        <v>2</v>
      </c>
      <c r="F147" s="122"/>
      <c r="G147" s="27" t="s">
        <v>312</v>
      </c>
      <c r="H147" s="27">
        <v>5</v>
      </c>
      <c r="I147">
        <f t="shared" si="89"/>
        <v>2017</v>
      </c>
      <c r="L147" s="27" t="s">
        <v>313</v>
      </c>
      <c r="M147" s="27" t="s">
        <v>313</v>
      </c>
      <c r="N147" s="27" t="s">
        <v>313</v>
      </c>
      <c r="O147" s="27" t="s">
        <v>313</v>
      </c>
      <c r="P147" s="29">
        <v>14426</v>
      </c>
      <c r="Q147" s="29"/>
      <c r="R147" s="29">
        <f t="shared" si="90"/>
        <v>14426</v>
      </c>
      <c r="S147" s="115">
        <f t="shared" si="91"/>
        <v>240.43333333333331</v>
      </c>
      <c r="T147" s="115">
        <f t="shared" si="109"/>
        <v>0</v>
      </c>
      <c r="U147" s="115">
        <f t="shared" si="92"/>
        <v>0</v>
      </c>
      <c r="V147" s="115">
        <f t="shared" si="93"/>
        <v>0</v>
      </c>
      <c r="W147" s="124">
        <v>1</v>
      </c>
      <c r="X147" s="115">
        <f t="shared" si="94"/>
        <v>0</v>
      </c>
      <c r="Y147" s="113"/>
      <c r="Z147" s="115">
        <f t="shared" si="108"/>
        <v>14426</v>
      </c>
      <c r="AA147" s="115">
        <f t="shared" si="95"/>
        <v>14426</v>
      </c>
      <c r="AB147" s="121">
        <v>1</v>
      </c>
      <c r="AC147" s="115">
        <f t="shared" si="96"/>
        <v>14426</v>
      </c>
      <c r="AD147" s="115">
        <f t="shared" si="97"/>
        <v>14426</v>
      </c>
      <c r="AE147" s="115">
        <f t="shared" si="98"/>
        <v>0</v>
      </c>
      <c r="AF147" s="115">
        <f t="shared" si="99"/>
        <v>2012.0833333333333</v>
      </c>
      <c r="AG147" s="115">
        <f t="shared" si="100"/>
        <v>2019.75</v>
      </c>
      <c r="AH147" s="115">
        <f t="shared" si="101"/>
        <v>2017.0833333333333</v>
      </c>
      <c r="AI147" s="117">
        <f t="shared" si="102"/>
        <v>2018.75</v>
      </c>
      <c r="AJ147" s="117">
        <f t="shared" si="103"/>
        <v>-8.3333333333333329E-2</v>
      </c>
      <c r="AK147" s="117">
        <f t="shared" si="104"/>
        <v>2017.0833333333333</v>
      </c>
      <c r="AL147" s="117">
        <f t="shared" si="105"/>
        <v>2018.75</v>
      </c>
      <c r="AM147" s="117">
        <f t="shared" si="106"/>
        <v>-8.3333333333333329E-2</v>
      </c>
    </row>
    <row r="148" spans="1:39" x14ac:dyDescent="0.25">
      <c r="A148">
        <v>151</v>
      </c>
      <c r="B148" t="s">
        <v>430</v>
      </c>
      <c r="C148" t="s">
        <v>375</v>
      </c>
      <c r="D148" s="27">
        <v>2012</v>
      </c>
      <c r="E148" s="27">
        <v>7</v>
      </c>
      <c r="F148" s="122"/>
      <c r="G148" s="27" t="s">
        <v>312</v>
      </c>
      <c r="H148" s="27">
        <v>5</v>
      </c>
      <c r="I148">
        <f t="shared" si="89"/>
        <v>2017</v>
      </c>
      <c r="L148" s="27" t="s">
        <v>313</v>
      </c>
      <c r="M148" s="27" t="s">
        <v>313</v>
      </c>
      <c r="N148" s="27" t="s">
        <v>313</v>
      </c>
      <c r="O148" s="27" t="s">
        <v>313</v>
      </c>
      <c r="P148" s="29">
        <v>5816</v>
      </c>
      <c r="Q148" s="29"/>
      <c r="R148" s="29">
        <f t="shared" si="90"/>
        <v>5816</v>
      </c>
      <c r="S148" s="115">
        <f t="shared" si="91"/>
        <v>96.933333333333337</v>
      </c>
      <c r="T148" s="115">
        <f t="shared" si="109"/>
        <v>0</v>
      </c>
      <c r="U148" s="115">
        <f t="shared" si="92"/>
        <v>0</v>
      </c>
      <c r="V148" s="115">
        <f t="shared" si="93"/>
        <v>0</v>
      </c>
      <c r="W148" s="124">
        <v>1</v>
      </c>
      <c r="X148" s="115">
        <f t="shared" si="94"/>
        <v>0</v>
      </c>
      <c r="Y148" s="113"/>
      <c r="Z148" s="115">
        <f t="shared" si="108"/>
        <v>5816</v>
      </c>
      <c r="AA148" s="115">
        <f t="shared" si="95"/>
        <v>5816</v>
      </c>
      <c r="AB148" s="121">
        <v>1</v>
      </c>
      <c r="AC148" s="115">
        <f t="shared" si="96"/>
        <v>5816</v>
      </c>
      <c r="AD148" s="115">
        <f t="shared" si="97"/>
        <v>5816</v>
      </c>
      <c r="AE148" s="115">
        <f t="shared" si="98"/>
        <v>0</v>
      </c>
      <c r="AF148" s="115">
        <f t="shared" si="99"/>
        <v>2012.5</v>
      </c>
      <c r="AG148" s="115">
        <f t="shared" si="100"/>
        <v>2019.75</v>
      </c>
      <c r="AH148" s="115">
        <f t="shared" si="101"/>
        <v>2017.5</v>
      </c>
      <c r="AI148" s="117">
        <f t="shared" si="102"/>
        <v>2018.75</v>
      </c>
      <c r="AJ148" s="117">
        <f t="shared" si="103"/>
        <v>-8.3333333333333329E-2</v>
      </c>
      <c r="AK148" s="117">
        <f t="shared" si="104"/>
        <v>2017.5</v>
      </c>
      <c r="AL148" s="117">
        <f t="shared" si="105"/>
        <v>2018.75</v>
      </c>
      <c r="AM148" s="117">
        <f t="shared" si="106"/>
        <v>-8.3333333333333329E-2</v>
      </c>
    </row>
    <row r="149" spans="1:39" x14ac:dyDescent="0.25">
      <c r="A149">
        <v>152</v>
      </c>
      <c r="B149" t="s">
        <v>431</v>
      </c>
      <c r="C149" t="s">
        <v>375</v>
      </c>
      <c r="D149" s="27">
        <v>2012</v>
      </c>
      <c r="E149" s="27">
        <v>10</v>
      </c>
      <c r="F149" s="122"/>
      <c r="G149" s="27" t="s">
        <v>312</v>
      </c>
      <c r="H149" s="27">
        <v>5</v>
      </c>
      <c r="I149">
        <f t="shared" si="89"/>
        <v>2017</v>
      </c>
      <c r="L149" s="27" t="s">
        <v>313</v>
      </c>
      <c r="M149" s="27" t="s">
        <v>313</v>
      </c>
      <c r="N149" s="27" t="s">
        <v>313</v>
      </c>
      <c r="O149" s="27" t="s">
        <v>313</v>
      </c>
      <c r="P149" s="29">
        <v>8345</v>
      </c>
      <c r="Q149" s="29"/>
      <c r="R149" s="29">
        <f t="shared" si="90"/>
        <v>8345</v>
      </c>
      <c r="S149" s="115">
        <f t="shared" si="91"/>
        <v>139.08333333333334</v>
      </c>
      <c r="T149" s="115">
        <f t="shared" si="109"/>
        <v>0</v>
      </c>
      <c r="U149" s="115">
        <f t="shared" si="92"/>
        <v>0</v>
      </c>
      <c r="V149" s="115">
        <f t="shared" si="93"/>
        <v>0</v>
      </c>
      <c r="W149" s="124">
        <v>1</v>
      </c>
      <c r="X149" s="115">
        <f t="shared" si="94"/>
        <v>0</v>
      </c>
      <c r="Y149" s="113"/>
      <c r="Z149" s="115">
        <f t="shared" si="108"/>
        <v>8345</v>
      </c>
      <c r="AA149" s="115">
        <f t="shared" si="95"/>
        <v>8345</v>
      </c>
      <c r="AB149" s="121">
        <v>1</v>
      </c>
      <c r="AC149" s="115">
        <f t="shared" si="96"/>
        <v>8345</v>
      </c>
      <c r="AD149" s="115">
        <f t="shared" si="97"/>
        <v>8345</v>
      </c>
      <c r="AE149" s="115">
        <f t="shared" si="98"/>
        <v>0</v>
      </c>
      <c r="AF149" s="115">
        <f t="shared" si="99"/>
        <v>2012.75</v>
      </c>
      <c r="AG149" s="115">
        <f t="shared" si="100"/>
        <v>2019.75</v>
      </c>
      <c r="AH149" s="115">
        <f t="shared" si="101"/>
        <v>2017.75</v>
      </c>
      <c r="AI149" s="117">
        <f t="shared" si="102"/>
        <v>2018.75</v>
      </c>
      <c r="AJ149" s="117">
        <f t="shared" si="103"/>
        <v>-8.3333333333333329E-2</v>
      </c>
      <c r="AK149" s="117">
        <f t="shared" si="104"/>
        <v>2017.75</v>
      </c>
      <c r="AL149" s="117">
        <f t="shared" si="105"/>
        <v>2018.75</v>
      </c>
      <c r="AM149" s="117">
        <f t="shared" si="106"/>
        <v>-8.3333333333333329E-2</v>
      </c>
    </row>
    <row r="150" spans="1:39" x14ac:dyDescent="0.25">
      <c r="A150">
        <v>153</v>
      </c>
      <c r="B150" t="s">
        <v>432</v>
      </c>
      <c r="C150" t="s">
        <v>375</v>
      </c>
      <c r="D150" s="27">
        <v>2012</v>
      </c>
      <c r="E150" s="27">
        <v>11</v>
      </c>
      <c r="F150" s="122"/>
      <c r="G150" s="27" t="s">
        <v>312</v>
      </c>
      <c r="H150" s="132">
        <v>7</v>
      </c>
      <c r="I150">
        <f t="shared" si="89"/>
        <v>2019</v>
      </c>
      <c r="L150" s="27" t="s">
        <v>313</v>
      </c>
      <c r="M150" s="27" t="s">
        <v>313</v>
      </c>
      <c r="N150" s="27" t="s">
        <v>313</v>
      </c>
      <c r="O150" s="27" t="s">
        <v>313</v>
      </c>
      <c r="P150" s="29">
        <v>13345</v>
      </c>
      <c r="Q150" s="29"/>
      <c r="R150" s="29">
        <f t="shared" si="90"/>
        <v>13345</v>
      </c>
      <c r="S150" s="115">
        <f t="shared" si="91"/>
        <v>158.86904761904762</v>
      </c>
      <c r="T150" s="115">
        <f t="shared" si="109"/>
        <v>1906.4285714285716</v>
      </c>
      <c r="U150" s="115">
        <f t="shared" si="92"/>
        <v>0</v>
      </c>
      <c r="V150" s="115">
        <f t="shared" si="93"/>
        <v>1906.4285714285716</v>
      </c>
      <c r="W150" s="124">
        <v>1</v>
      </c>
      <c r="X150" s="115">
        <f t="shared" si="94"/>
        <v>1906.4285714285716</v>
      </c>
      <c r="Y150" s="113"/>
      <c r="Z150" s="115">
        <f t="shared" si="108"/>
        <v>11279.702380952525</v>
      </c>
      <c r="AA150" s="115">
        <f t="shared" si="95"/>
        <v>11279.702380952525</v>
      </c>
      <c r="AB150" s="121">
        <v>1</v>
      </c>
      <c r="AC150" s="115">
        <f t="shared" si="96"/>
        <v>11279.702380952525</v>
      </c>
      <c r="AD150" s="115">
        <f t="shared" si="97"/>
        <v>13186.130952381096</v>
      </c>
      <c r="AE150" s="115">
        <f t="shared" si="98"/>
        <v>1112.0833333331893</v>
      </c>
      <c r="AF150" s="115">
        <f t="shared" si="99"/>
        <v>2012.8333333333333</v>
      </c>
      <c r="AG150" s="115">
        <f t="shared" si="100"/>
        <v>2019.75</v>
      </c>
      <c r="AH150" s="115">
        <f t="shared" si="101"/>
        <v>2019.8333333333333</v>
      </c>
      <c r="AI150" s="117">
        <f t="shared" si="102"/>
        <v>2018.75</v>
      </c>
      <c r="AJ150" s="117">
        <f t="shared" si="103"/>
        <v>-8.3333333333333329E-2</v>
      </c>
      <c r="AK150" s="117">
        <f t="shared" si="104"/>
        <v>2019.8333333333333</v>
      </c>
      <c r="AL150" s="117">
        <f t="shared" si="105"/>
        <v>2018.75</v>
      </c>
      <c r="AM150" s="117">
        <f t="shared" si="106"/>
        <v>-8.3333333333333329E-2</v>
      </c>
    </row>
    <row r="151" spans="1:39" x14ac:dyDescent="0.25">
      <c r="A151">
        <v>154</v>
      </c>
      <c r="B151" t="s">
        <v>433</v>
      </c>
      <c r="C151" t="s">
        <v>375</v>
      </c>
      <c r="D151" s="27">
        <v>2012</v>
      </c>
      <c r="E151" s="27">
        <v>11</v>
      </c>
      <c r="F151" s="122"/>
      <c r="G151" s="27" t="s">
        <v>312</v>
      </c>
      <c r="H151" s="132">
        <v>7</v>
      </c>
      <c r="I151">
        <f t="shared" si="89"/>
        <v>2019</v>
      </c>
      <c r="L151" s="27" t="s">
        <v>313</v>
      </c>
      <c r="M151" s="27" t="s">
        <v>313</v>
      </c>
      <c r="N151" s="27" t="s">
        <v>313</v>
      </c>
      <c r="O151" s="27" t="s">
        <v>313</v>
      </c>
      <c r="P151" s="29">
        <v>17500</v>
      </c>
      <c r="Q151" s="29"/>
      <c r="R151" s="29">
        <f t="shared" si="90"/>
        <v>17500</v>
      </c>
      <c r="S151" s="115">
        <f t="shared" si="91"/>
        <v>208.33333333333334</v>
      </c>
      <c r="T151" s="115">
        <f t="shared" si="109"/>
        <v>2500</v>
      </c>
      <c r="U151" s="115">
        <f t="shared" si="92"/>
        <v>0</v>
      </c>
      <c r="V151" s="115">
        <f t="shared" si="93"/>
        <v>2500</v>
      </c>
      <c r="W151" s="124">
        <v>1</v>
      </c>
      <c r="X151" s="115">
        <f t="shared" si="94"/>
        <v>2500</v>
      </c>
      <c r="Y151" s="113"/>
      <c r="Z151" s="115">
        <f t="shared" si="108"/>
        <v>14791.666666666857</v>
      </c>
      <c r="AA151" s="115">
        <f t="shared" si="95"/>
        <v>14791.666666666857</v>
      </c>
      <c r="AB151" s="121">
        <v>1</v>
      </c>
      <c r="AC151" s="115">
        <f t="shared" si="96"/>
        <v>14791.666666666857</v>
      </c>
      <c r="AD151" s="115">
        <f t="shared" si="97"/>
        <v>17291.666666666857</v>
      </c>
      <c r="AE151" s="115">
        <f t="shared" si="98"/>
        <v>1458.3333333331429</v>
      </c>
      <c r="AF151" s="115">
        <f t="shared" si="99"/>
        <v>2012.8333333333333</v>
      </c>
      <c r="AG151" s="115">
        <f t="shared" si="100"/>
        <v>2019.75</v>
      </c>
      <c r="AH151" s="115">
        <f t="shared" si="101"/>
        <v>2019.8333333333333</v>
      </c>
      <c r="AI151" s="117">
        <f t="shared" si="102"/>
        <v>2018.75</v>
      </c>
      <c r="AJ151" s="117">
        <f t="shared" si="103"/>
        <v>-8.3333333333333329E-2</v>
      </c>
      <c r="AK151" s="117">
        <f t="shared" si="104"/>
        <v>2019.8333333333333</v>
      </c>
      <c r="AL151" s="117">
        <f t="shared" si="105"/>
        <v>2018.75</v>
      </c>
      <c r="AM151" s="117">
        <f t="shared" si="106"/>
        <v>-8.3333333333333329E-2</v>
      </c>
    </row>
    <row r="152" spans="1:39" x14ac:dyDescent="0.25">
      <c r="A152">
        <v>155</v>
      </c>
      <c r="B152" t="s">
        <v>434</v>
      </c>
      <c r="C152" t="s">
        <v>375</v>
      </c>
      <c r="D152" s="27">
        <v>2012</v>
      </c>
      <c r="E152" s="27">
        <v>11</v>
      </c>
      <c r="F152" s="122"/>
      <c r="G152" s="27" t="s">
        <v>312</v>
      </c>
      <c r="H152" s="132">
        <v>7</v>
      </c>
      <c r="I152">
        <f t="shared" ref="I152:I191" si="110">+D152+H152</f>
        <v>2019</v>
      </c>
      <c r="L152" s="27" t="s">
        <v>313</v>
      </c>
      <c r="M152" s="27" t="s">
        <v>313</v>
      </c>
      <c r="N152" s="27" t="s">
        <v>313</v>
      </c>
      <c r="O152" s="27" t="s">
        <v>313</v>
      </c>
      <c r="P152" s="29">
        <v>17500</v>
      </c>
      <c r="Q152" s="29"/>
      <c r="R152" s="29">
        <f t="shared" ref="R152:R191" si="111">+P152-P152*F152</f>
        <v>17500</v>
      </c>
      <c r="S152" s="115">
        <f t="shared" ref="S152:S191" si="112">R152/H152/12</f>
        <v>208.33333333333334</v>
      </c>
      <c r="T152" s="115">
        <f t="shared" si="109"/>
        <v>2500</v>
      </c>
      <c r="U152" s="115">
        <f t="shared" ref="U152:U191" si="113">IF(Q152=0,0,IF((AND((AJ152&gt;=AI152),(AJ152&lt;=AH152))),((AJ152-AI152)*12)*S152,0))</f>
        <v>0</v>
      </c>
      <c r="V152" s="115">
        <f t="shared" ref="V152:V191" si="114">IF(U152&gt;0,U152,T152)</f>
        <v>2500</v>
      </c>
      <c r="W152" s="124">
        <v>1</v>
      </c>
      <c r="X152" s="115">
        <f t="shared" ref="X152:X191" si="115">W152*SUM(T152:U152)</f>
        <v>2500</v>
      </c>
      <c r="Y152" s="113"/>
      <c r="Z152" s="115">
        <f t="shared" si="108"/>
        <v>14791.666666666857</v>
      </c>
      <c r="AA152" s="115">
        <f t="shared" ref="AA152:AA191" si="116">Z152*W152</f>
        <v>14791.666666666857</v>
      </c>
      <c r="AB152" s="121">
        <v>1</v>
      </c>
      <c r="AC152" s="115">
        <f t="shared" ref="AC152:AC191" si="117">AA152*AB152</f>
        <v>14791.666666666857</v>
      </c>
      <c r="AD152" s="115">
        <f t="shared" ref="AD152:AD191" si="118">IF(Q152&gt;0,0,AC152+X152*AB152)*AB152</f>
        <v>17291.666666666857</v>
      </c>
      <c r="AE152" s="115">
        <f t="shared" ref="AE152:AE191" si="119">IF(Q152&gt;0,(P152-AC152)/2,IF(AF152&gt;=AI152,(((P152*W152)*AB152)-AD152)/2,((((P152*W152)*AB152)-AC152)+(((P152*W152)*AB152)-AD152))/2))</f>
        <v>1458.3333333331429</v>
      </c>
      <c r="AF152" s="115">
        <f t="shared" ref="AF152:AF191" si="120">$D152+(($E152-1)/12)</f>
        <v>2012.8333333333333</v>
      </c>
      <c r="AG152" s="115">
        <f t="shared" ref="AG152:AG191" si="121">($R$5+1)-($R$2/12)</f>
        <v>2019.75</v>
      </c>
      <c r="AH152" s="115">
        <f t="shared" ref="AH152:AH191" si="122">$I152+(($E152-1)/12)</f>
        <v>2019.8333333333333</v>
      </c>
      <c r="AI152" s="117">
        <f t="shared" ref="AI152:AI191" si="123">$R$4+($R$3/12)</f>
        <v>2018.75</v>
      </c>
      <c r="AJ152" s="117">
        <f t="shared" ref="AJ152:AJ191" si="124">$J152+(($K152-1)/12)</f>
        <v>-8.3333333333333329E-2</v>
      </c>
      <c r="AK152" s="117">
        <f t="shared" ref="AK152:AK191" si="125">$I152+(($E152-1)/12)</f>
        <v>2019.8333333333333</v>
      </c>
      <c r="AL152" s="117">
        <f t="shared" ref="AL152:AL191" si="126">$R$4+($R$3/12)</f>
        <v>2018.75</v>
      </c>
      <c r="AM152" s="117">
        <f t="shared" ref="AM152:AM191" si="127">$J152+(($K152-1)/12)</f>
        <v>-8.3333333333333329E-2</v>
      </c>
    </row>
    <row r="153" spans="1:39" x14ac:dyDescent="0.25">
      <c r="A153">
        <v>156</v>
      </c>
      <c r="B153" t="s">
        <v>435</v>
      </c>
      <c r="C153" t="s">
        <v>375</v>
      </c>
      <c r="D153" s="27">
        <v>2012</v>
      </c>
      <c r="E153" s="27">
        <v>11</v>
      </c>
      <c r="F153" s="122"/>
      <c r="G153" s="27" t="s">
        <v>312</v>
      </c>
      <c r="H153" s="132">
        <v>7</v>
      </c>
      <c r="I153">
        <f t="shared" si="110"/>
        <v>2019</v>
      </c>
      <c r="L153" s="27" t="s">
        <v>313</v>
      </c>
      <c r="M153" s="27" t="s">
        <v>313</v>
      </c>
      <c r="N153" s="27" t="s">
        <v>313</v>
      </c>
      <c r="O153" s="27" t="s">
        <v>313</v>
      </c>
      <c r="P153" s="29">
        <v>6100</v>
      </c>
      <c r="Q153" s="29"/>
      <c r="R153" s="29">
        <f t="shared" si="111"/>
        <v>6100</v>
      </c>
      <c r="S153" s="115">
        <f t="shared" si="112"/>
        <v>72.61904761904762</v>
      </c>
      <c r="T153" s="115">
        <f t="shared" si="109"/>
        <v>871.42857142857144</v>
      </c>
      <c r="U153" s="115">
        <f t="shared" si="113"/>
        <v>0</v>
      </c>
      <c r="V153" s="115">
        <f t="shared" si="114"/>
        <v>871.42857142857144</v>
      </c>
      <c r="W153" s="124">
        <v>1</v>
      </c>
      <c r="X153" s="115">
        <f t="shared" si="115"/>
        <v>871.42857142857144</v>
      </c>
      <c r="Y153" s="113"/>
      <c r="Z153" s="115">
        <f t="shared" si="108"/>
        <v>5155.9523809524471</v>
      </c>
      <c r="AA153" s="115">
        <f t="shared" si="116"/>
        <v>5155.9523809524471</v>
      </c>
      <c r="AB153" s="121">
        <v>1</v>
      </c>
      <c r="AC153" s="115">
        <f t="shared" si="117"/>
        <v>5155.9523809524471</v>
      </c>
      <c r="AD153" s="115">
        <f t="shared" si="118"/>
        <v>6027.3809523810187</v>
      </c>
      <c r="AE153" s="115">
        <f t="shared" si="119"/>
        <v>508.33333333326709</v>
      </c>
      <c r="AF153" s="115">
        <f t="shared" si="120"/>
        <v>2012.8333333333333</v>
      </c>
      <c r="AG153" s="115">
        <f t="shared" si="121"/>
        <v>2019.75</v>
      </c>
      <c r="AH153" s="115">
        <f t="shared" si="122"/>
        <v>2019.8333333333333</v>
      </c>
      <c r="AI153" s="117">
        <f t="shared" si="123"/>
        <v>2018.75</v>
      </c>
      <c r="AJ153" s="117">
        <f t="shared" si="124"/>
        <v>-8.3333333333333329E-2</v>
      </c>
      <c r="AK153" s="117">
        <f t="shared" si="125"/>
        <v>2019.8333333333333</v>
      </c>
      <c r="AL153" s="117">
        <f t="shared" si="126"/>
        <v>2018.75</v>
      </c>
      <c r="AM153" s="117">
        <f t="shared" si="127"/>
        <v>-8.3333333333333329E-2</v>
      </c>
    </row>
    <row r="154" spans="1:39" x14ac:dyDescent="0.25">
      <c r="A154">
        <v>157</v>
      </c>
      <c r="B154" t="s">
        <v>435</v>
      </c>
      <c r="C154" t="s">
        <v>375</v>
      </c>
      <c r="D154" s="27">
        <v>2012</v>
      </c>
      <c r="E154" s="27">
        <v>11</v>
      </c>
      <c r="F154" s="122"/>
      <c r="G154" s="27" t="s">
        <v>312</v>
      </c>
      <c r="H154" s="132">
        <v>7</v>
      </c>
      <c r="I154">
        <f t="shared" si="110"/>
        <v>2019</v>
      </c>
      <c r="L154" s="27" t="s">
        <v>313</v>
      </c>
      <c r="M154" s="27" t="s">
        <v>313</v>
      </c>
      <c r="N154" s="27" t="s">
        <v>313</v>
      </c>
      <c r="O154" s="27" t="s">
        <v>313</v>
      </c>
      <c r="P154" s="29">
        <v>6322</v>
      </c>
      <c r="Q154" s="29"/>
      <c r="R154" s="29">
        <f t="shared" si="111"/>
        <v>6322</v>
      </c>
      <c r="S154" s="115">
        <f t="shared" si="112"/>
        <v>75.261904761904759</v>
      </c>
      <c r="T154" s="115">
        <f t="shared" si="109"/>
        <v>903.14285714285711</v>
      </c>
      <c r="U154" s="115">
        <f t="shared" si="113"/>
        <v>0</v>
      </c>
      <c r="V154" s="115">
        <f t="shared" si="114"/>
        <v>903.14285714285711</v>
      </c>
      <c r="W154" s="124">
        <v>1</v>
      </c>
      <c r="X154" s="115">
        <f t="shared" si="115"/>
        <v>903.14285714285711</v>
      </c>
      <c r="Y154" s="113"/>
      <c r="Z154" s="115">
        <f t="shared" si="108"/>
        <v>5343.5952380953067</v>
      </c>
      <c r="AA154" s="115">
        <f t="shared" si="116"/>
        <v>5343.5952380953067</v>
      </c>
      <c r="AB154" s="121">
        <v>1</v>
      </c>
      <c r="AC154" s="115">
        <f t="shared" si="117"/>
        <v>5343.5952380953067</v>
      </c>
      <c r="AD154" s="115">
        <f t="shared" si="118"/>
        <v>6246.7380952381636</v>
      </c>
      <c r="AE154" s="115">
        <f t="shared" si="119"/>
        <v>526.83333333326482</v>
      </c>
      <c r="AF154" s="115">
        <f t="shared" si="120"/>
        <v>2012.8333333333333</v>
      </c>
      <c r="AG154" s="115">
        <f t="shared" si="121"/>
        <v>2019.75</v>
      </c>
      <c r="AH154" s="115">
        <f t="shared" si="122"/>
        <v>2019.8333333333333</v>
      </c>
      <c r="AI154" s="117">
        <f t="shared" si="123"/>
        <v>2018.75</v>
      </c>
      <c r="AJ154" s="117">
        <f t="shared" si="124"/>
        <v>-8.3333333333333329E-2</v>
      </c>
      <c r="AK154" s="117">
        <f t="shared" si="125"/>
        <v>2019.8333333333333</v>
      </c>
      <c r="AL154" s="117">
        <f t="shared" si="126"/>
        <v>2018.75</v>
      </c>
      <c r="AM154" s="117">
        <f t="shared" si="127"/>
        <v>-8.3333333333333329E-2</v>
      </c>
    </row>
    <row r="155" spans="1:39" x14ac:dyDescent="0.25">
      <c r="A155">
        <v>158</v>
      </c>
      <c r="B155" t="s">
        <v>435</v>
      </c>
      <c r="C155" t="s">
        <v>375</v>
      </c>
      <c r="D155" s="27">
        <v>2012</v>
      </c>
      <c r="E155" s="27">
        <v>11</v>
      </c>
      <c r="F155" s="122"/>
      <c r="G155" s="27" t="s">
        <v>312</v>
      </c>
      <c r="H155" s="132">
        <v>7</v>
      </c>
      <c r="I155">
        <f t="shared" si="110"/>
        <v>2019</v>
      </c>
      <c r="L155" s="27" t="s">
        <v>313</v>
      </c>
      <c r="M155" s="27" t="s">
        <v>313</v>
      </c>
      <c r="N155" s="27" t="s">
        <v>313</v>
      </c>
      <c r="O155" s="27" t="s">
        <v>313</v>
      </c>
      <c r="P155" s="29">
        <v>16500</v>
      </c>
      <c r="Q155" s="29"/>
      <c r="R155" s="29">
        <f t="shared" si="111"/>
        <v>16500</v>
      </c>
      <c r="S155" s="115">
        <f t="shared" si="112"/>
        <v>196.42857142857144</v>
      </c>
      <c r="T155" s="115">
        <f t="shared" si="109"/>
        <v>2357.1428571428573</v>
      </c>
      <c r="U155" s="115">
        <f t="shared" si="113"/>
        <v>0</v>
      </c>
      <c r="V155" s="115">
        <f t="shared" si="114"/>
        <v>2357.1428571428573</v>
      </c>
      <c r="W155" s="124">
        <v>1</v>
      </c>
      <c r="X155" s="115">
        <f t="shared" si="115"/>
        <v>2357.1428571428573</v>
      </c>
      <c r="Y155" s="113"/>
      <c r="Z155" s="115">
        <f t="shared" si="108"/>
        <v>13946.428571428751</v>
      </c>
      <c r="AA155" s="115">
        <f t="shared" si="116"/>
        <v>13946.428571428751</v>
      </c>
      <c r="AB155" s="121">
        <v>1</v>
      </c>
      <c r="AC155" s="115">
        <f t="shared" si="117"/>
        <v>13946.428571428751</v>
      </c>
      <c r="AD155" s="115">
        <f t="shared" si="118"/>
        <v>16303.571428571608</v>
      </c>
      <c r="AE155" s="115">
        <f t="shared" si="119"/>
        <v>1374.9999999998208</v>
      </c>
      <c r="AF155" s="115">
        <f t="shared" si="120"/>
        <v>2012.8333333333333</v>
      </c>
      <c r="AG155" s="115">
        <f t="shared" si="121"/>
        <v>2019.75</v>
      </c>
      <c r="AH155" s="115">
        <f t="shared" si="122"/>
        <v>2019.8333333333333</v>
      </c>
      <c r="AI155" s="117">
        <f t="shared" si="123"/>
        <v>2018.75</v>
      </c>
      <c r="AJ155" s="117">
        <f t="shared" si="124"/>
        <v>-8.3333333333333329E-2</v>
      </c>
      <c r="AK155" s="117">
        <f t="shared" si="125"/>
        <v>2019.8333333333333</v>
      </c>
      <c r="AL155" s="117">
        <f t="shared" si="126"/>
        <v>2018.75</v>
      </c>
      <c r="AM155" s="117">
        <f t="shared" si="127"/>
        <v>-8.3333333333333329E-2</v>
      </c>
    </row>
    <row r="156" spans="1:39" x14ac:dyDescent="0.25">
      <c r="A156">
        <v>166</v>
      </c>
      <c r="B156" t="s">
        <v>436</v>
      </c>
      <c r="C156" t="s">
        <v>375</v>
      </c>
      <c r="D156" s="27">
        <v>2012</v>
      </c>
      <c r="E156" s="27">
        <v>7</v>
      </c>
      <c r="F156" s="122"/>
      <c r="G156" s="27" t="s">
        <v>312</v>
      </c>
      <c r="H156" s="27">
        <v>5</v>
      </c>
      <c r="I156">
        <f t="shared" si="110"/>
        <v>2017</v>
      </c>
      <c r="L156" s="27" t="s">
        <v>313</v>
      </c>
      <c r="M156" s="27" t="s">
        <v>313</v>
      </c>
      <c r="N156" s="27" t="s">
        <v>313</v>
      </c>
      <c r="O156" s="27" t="s">
        <v>313</v>
      </c>
      <c r="P156" s="29">
        <v>628</v>
      </c>
      <c r="Q156" s="29"/>
      <c r="R156" s="29">
        <f t="shared" si="111"/>
        <v>628</v>
      </c>
      <c r="S156" s="115">
        <f t="shared" si="112"/>
        <v>10.466666666666667</v>
      </c>
      <c r="T156" s="115">
        <f t="shared" si="109"/>
        <v>0</v>
      </c>
      <c r="U156" s="115">
        <f t="shared" si="113"/>
        <v>0</v>
      </c>
      <c r="V156" s="115">
        <f t="shared" si="114"/>
        <v>0</v>
      </c>
      <c r="W156" s="124">
        <v>1</v>
      </c>
      <c r="X156" s="115">
        <f t="shared" si="115"/>
        <v>0</v>
      </c>
      <c r="Y156" s="113"/>
      <c r="Z156" s="115">
        <f t="shared" si="108"/>
        <v>628</v>
      </c>
      <c r="AA156" s="115">
        <f t="shared" si="116"/>
        <v>628</v>
      </c>
      <c r="AB156" s="121">
        <v>1</v>
      </c>
      <c r="AC156" s="115">
        <f t="shared" si="117"/>
        <v>628</v>
      </c>
      <c r="AD156" s="115">
        <f t="shared" si="118"/>
        <v>628</v>
      </c>
      <c r="AE156" s="115">
        <f t="shared" si="119"/>
        <v>0</v>
      </c>
      <c r="AF156" s="115">
        <f t="shared" si="120"/>
        <v>2012.5</v>
      </c>
      <c r="AG156" s="115">
        <f t="shared" si="121"/>
        <v>2019.75</v>
      </c>
      <c r="AH156" s="115">
        <f t="shared" si="122"/>
        <v>2017.5</v>
      </c>
      <c r="AI156" s="117">
        <f t="shared" si="123"/>
        <v>2018.75</v>
      </c>
      <c r="AJ156" s="117">
        <f t="shared" si="124"/>
        <v>-8.3333333333333329E-2</v>
      </c>
      <c r="AK156" s="117">
        <f t="shared" si="125"/>
        <v>2017.5</v>
      </c>
      <c r="AL156" s="117">
        <f t="shared" si="126"/>
        <v>2018.75</v>
      </c>
      <c r="AM156" s="117">
        <f t="shared" si="127"/>
        <v>-8.3333333333333329E-2</v>
      </c>
    </row>
    <row r="157" spans="1:39" x14ac:dyDescent="0.25">
      <c r="A157">
        <v>172</v>
      </c>
      <c r="B157" t="s">
        <v>437</v>
      </c>
      <c r="C157" t="s">
        <v>375</v>
      </c>
      <c r="D157" s="27">
        <v>2013</v>
      </c>
      <c r="E157" s="27">
        <v>1</v>
      </c>
      <c r="F157" s="122"/>
      <c r="G157" s="27" t="s">
        <v>312</v>
      </c>
      <c r="H157" s="27">
        <v>5</v>
      </c>
      <c r="I157">
        <f t="shared" si="110"/>
        <v>2018</v>
      </c>
      <c r="L157" s="27" t="s">
        <v>313</v>
      </c>
      <c r="M157" s="27" t="s">
        <v>313</v>
      </c>
      <c r="N157" s="27" t="s">
        <v>313</v>
      </c>
      <c r="O157" s="27" t="s">
        <v>313</v>
      </c>
      <c r="P157" s="29">
        <v>2043.61</v>
      </c>
      <c r="Q157" s="29"/>
      <c r="R157" s="29">
        <f t="shared" si="111"/>
        <v>2043.61</v>
      </c>
      <c r="S157" s="115">
        <f t="shared" si="112"/>
        <v>34.060166666666667</v>
      </c>
      <c r="T157" s="115">
        <f t="shared" si="109"/>
        <v>0</v>
      </c>
      <c r="U157" s="115">
        <f t="shared" si="113"/>
        <v>0</v>
      </c>
      <c r="V157" s="115">
        <f t="shared" si="114"/>
        <v>0</v>
      </c>
      <c r="W157" s="124">
        <v>1</v>
      </c>
      <c r="X157" s="115">
        <f t="shared" si="115"/>
        <v>0</v>
      </c>
      <c r="Y157" s="113"/>
      <c r="Z157" s="115">
        <f t="shared" si="108"/>
        <v>2043.61</v>
      </c>
      <c r="AA157" s="115">
        <f t="shared" si="116"/>
        <v>2043.61</v>
      </c>
      <c r="AB157" s="121">
        <v>1</v>
      </c>
      <c r="AC157" s="115">
        <f t="shared" si="117"/>
        <v>2043.61</v>
      </c>
      <c r="AD157" s="115">
        <f t="shared" si="118"/>
        <v>2043.61</v>
      </c>
      <c r="AE157" s="115">
        <f t="shared" si="119"/>
        <v>0</v>
      </c>
      <c r="AF157" s="115">
        <f t="shared" si="120"/>
        <v>2013</v>
      </c>
      <c r="AG157" s="115">
        <f t="shared" si="121"/>
        <v>2019.75</v>
      </c>
      <c r="AH157" s="115">
        <f t="shared" si="122"/>
        <v>2018</v>
      </c>
      <c r="AI157" s="117">
        <f t="shared" si="123"/>
        <v>2018.75</v>
      </c>
      <c r="AJ157" s="117">
        <f t="shared" si="124"/>
        <v>-8.3333333333333329E-2</v>
      </c>
      <c r="AK157" s="117">
        <f t="shared" si="125"/>
        <v>2018</v>
      </c>
      <c r="AL157" s="117">
        <f t="shared" si="126"/>
        <v>2018.75</v>
      </c>
      <c r="AM157" s="117">
        <f t="shared" si="127"/>
        <v>-8.3333333333333329E-2</v>
      </c>
    </row>
    <row r="158" spans="1:39" x14ac:dyDescent="0.25">
      <c r="A158">
        <v>174</v>
      </c>
      <c r="B158" t="s">
        <v>438</v>
      </c>
      <c r="C158" t="s">
        <v>375</v>
      </c>
      <c r="D158" s="27">
        <v>2013</v>
      </c>
      <c r="E158" s="27">
        <v>2</v>
      </c>
      <c r="F158" s="122"/>
      <c r="G158" s="27" t="s">
        <v>312</v>
      </c>
      <c r="H158" s="27">
        <v>5</v>
      </c>
      <c r="I158">
        <f t="shared" si="110"/>
        <v>2018</v>
      </c>
      <c r="L158" s="27" t="s">
        <v>313</v>
      </c>
      <c r="M158" s="27" t="s">
        <v>313</v>
      </c>
      <c r="N158" s="27" t="s">
        <v>313</v>
      </c>
      <c r="O158" s="27" t="s">
        <v>313</v>
      </c>
      <c r="P158" s="29">
        <v>651.53</v>
      </c>
      <c r="Q158" s="29"/>
      <c r="R158" s="29">
        <f t="shared" si="111"/>
        <v>651.53</v>
      </c>
      <c r="S158" s="115">
        <f t="shared" si="112"/>
        <v>10.858833333333331</v>
      </c>
      <c r="T158" s="115">
        <f t="shared" si="109"/>
        <v>0</v>
      </c>
      <c r="U158" s="115">
        <f t="shared" si="113"/>
        <v>0</v>
      </c>
      <c r="V158" s="115">
        <f t="shared" si="114"/>
        <v>0</v>
      </c>
      <c r="W158" s="124">
        <v>1</v>
      </c>
      <c r="X158" s="115">
        <f t="shared" si="115"/>
        <v>0</v>
      </c>
      <c r="Y158" s="113"/>
      <c r="Z158" s="115">
        <f t="shared" si="108"/>
        <v>651.53</v>
      </c>
      <c r="AA158" s="115">
        <f t="shared" si="116"/>
        <v>651.53</v>
      </c>
      <c r="AB158" s="121">
        <v>1</v>
      </c>
      <c r="AC158" s="115">
        <f t="shared" si="117"/>
        <v>651.53</v>
      </c>
      <c r="AD158" s="115">
        <f t="shared" si="118"/>
        <v>651.53</v>
      </c>
      <c r="AE158" s="115">
        <f t="shared" si="119"/>
        <v>0</v>
      </c>
      <c r="AF158" s="115">
        <f t="shared" si="120"/>
        <v>2013.0833333333333</v>
      </c>
      <c r="AG158" s="115">
        <f t="shared" si="121"/>
        <v>2019.75</v>
      </c>
      <c r="AH158" s="115">
        <f t="shared" si="122"/>
        <v>2018.0833333333333</v>
      </c>
      <c r="AI158" s="117">
        <f t="shared" si="123"/>
        <v>2018.75</v>
      </c>
      <c r="AJ158" s="117">
        <f t="shared" si="124"/>
        <v>-8.3333333333333329E-2</v>
      </c>
      <c r="AK158" s="117">
        <f t="shared" si="125"/>
        <v>2018.0833333333333</v>
      </c>
      <c r="AL158" s="117">
        <f t="shared" si="126"/>
        <v>2018.75</v>
      </c>
      <c r="AM158" s="117">
        <f t="shared" si="127"/>
        <v>-8.3333333333333329E-2</v>
      </c>
    </row>
    <row r="159" spans="1:39" x14ac:dyDescent="0.25">
      <c r="A159">
        <v>177</v>
      </c>
      <c r="B159" t="s">
        <v>439</v>
      </c>
      <c r="C159" t="s">
        <v>375</v>
      </c>
      <c r="D159" s="27">
        <v>2013</v>
      </c>
      <c r="E159" s="27">
        <v>7</v>
      </c>
      <c r="F159" s="122"/>
      <c r="G159" s="27" t="s">
        <v>312</v>
      </c>
      <c r="H159" s="27">
        <v>7</v>
      </c>
      <c r="I159">
        <f t="shared" si="110"/>
        <v>2020</v>
      </c>
      <c r="L159" s="27" t="s">
        <v>313</v>
      </c>
      <c r="M159" s="27" t="s">
        <v>313</v>
      </c>
      <c r="N159" s="27" t="s">
        <v>313</v>
      </c>
      <c r="O159" s="27" t="s">
        <v>313</v>
      </c>
      <c r="P159" s="29">
        <v>32552.52</v>
      </c>
      <c r="Q159" s="29"/>
      <c r="R159" s="29">
        <f t="shared" si="111"/>
        <v>32552.52</v>
      </c>
      <c r="S159" s="115">
        <f t="shared" si="112"/>
        <v>387.53</v>
      </c>
      <c r="T159" s="115">
        <f t="shared" si="109"/>
        <v>4650.3599999999997</v>
      </c>
      <c r="U159" s="115">
        <f t="shared" si="113"/>
        <v>0</v>
      </c>
      <c r="V159" s="115">
        <f t="shared" si="114"/>
        <v>4650.3599999999997</v>
      </c>
      <c r="W159" s="124">
        <v>1</v>
      </c>
      <c r="X159" s="115">
        <f t="shared" si="115"/>
        <v>4650.3599999999997</v>
      </c>
      <c r="Y159" s="113"/>
      <c r="Z159" s="115">
        <f t="shared" si="108"/>
        <v>24414.39</v>
      </c>
      <c r="AA159" s="115">
        <f t="shared" si="116"/>
        <v>24414.39</v>
      </c>
      <c r="AB159" s="121">
        <v>1</v>
      </c>
      <c r="AC159" s="115">
        <f t="shared" si="117"/>
        <v>24414.39</v>
      </c>
      <c r="AD159" s="115">
        <f t="shared" si="118"/>
        <v>29064.75</v>
      </c>
      <c r="AE159" s="115">
        <f t="shared" si="119"/>
        <v>5812.9500000000007</v>
      </c>
      <c r="AF159" s="115">
        <f t="shared" si="120"/>
        <v>2013.5</v>
      </c>
      <c r="AG159" s="115">
        <f t="shared" si="121"/>
        <v>2019.75</v>
      </c>
      <c r="AH159" s="115">
        <f t="shared" si="122"/>
        <v>2020.5</v>
      </c>
      <c r="AI159" s="117">
        <f t="shared" si="123"/>
        <v>2018.75</v>
      </c>
      <c r="AJ159" s="117">
        <f t="shared" si="124"/>
        <v>-8.3333333333333329E-2</v>
      </c>
      <c r="AK159" s="117">
        <f t="shared" si="125"/>
        <v>2020.5</v>
      </c>
      <c r="AL159" s="117">
        <f t="shared" si="126"/>
        <v>2018.75</v>
      </c>
      <c r="AM159" s="117">
        <f t="shared" si="127"/>
        <v>-8.3333333333333329E-2</v>
      </c>
    </row>
    <row r="160" spans="1:39" x14ac:dyDescent="0.25">
      <c r="A160">
        <v>183</v>
      </c>
      <c r="B160" t="s">
        <v>440</v>
      </c>
      <c r="C160" t="s">
        <v>375</v>
      </c>
      <c r="D160" s="27">
        <v>2013</v>
      </c>
      <c r="E160" s="27">
        <v>7</v>
      </c>
      <c r="F160" s="122"/>
      <c r="G160" s="27" t="s">
        <v>312</v>
      </c>
      <c r="H160" s="27">
        <v>5</v>
      </c>
      <c r="I160">
        <f t="shared" si="110"/>
        <v>2018</v>
      </c>
      <c r="L160" s="27" t="s">
        <v>313</v>
      </c>
      <c r="M160" s="27" t="s">
        <v>313</v>
      </c>
      <c r="N160" s="27" t="s">
        <v>313</v>
      </c>
      <c r="O160" s="27" t="s">
        <v>313</v>
      </c>
      <c r="P160" s="29">
        <v>2411.5700000000002</v>
      </c>
      <c r="Q160" s="29"/>
      <c r="R160" s="29">
        <f t="shared" si="111"/>
        <v>2411.5700000000002</v>
      </c>
      <c r="S160" s="115">
        <f t="shared" si="112"/>
        <v>40.192833333333333</v>
      </c>
      <c r="T160" s="115">
        <f t="shared" si="109"/>
        <v>0</v>
      </c>
      <c r="U160" s="115">
        <f t="shared" si="113"/>
        <v>0</v>
      </c>
      <c r="V160" s="115">
        <f t="shared" si="114"/>
        <v>0</v>
      </c>
      <c r="W160" s="124">
        <v>1</v>
      </c>
      <c r="X160" s="115">
        <f t="shared" si="115"/>
        <v>0</v>
      </c>
      <c r="Y160" s="113"/>
      <c r="Z160" s="115">
        <f t="shared" si="108"/>
        <v>2411.5700000000002</v>
      </c>
      <c r="AA160" s="115">
        <f t="shared" si="116"/>
        <v>2411.5700000000002</v>
      </c>
      <c r="AB160" s="121">
        <v>1</v>
      </c>
      <c r="AC160" s="115">
        <f t="shared" si="117"/>
        <v>2411.5700000000002</v>
      </c>
      <c r="AD160" s="115">
        <f t="shared" si="118"/>
        <v>2411.5700000000002</v>
      </c>
      <c r="AE160" s="115">
        <f t="shared" si="119"/>
        <v>0</v>
      </c>
      <c r="AF160" s="115">
        <f t="shared" si="120"/>
        <v>2013.5</v>
      </c>
      <c r="AG160" s="115">
        <f t="shared" si="121"/>
        <v>2019.75</v>
      </c>
      <c r="AH160" s="115">
        <f t="shared" si="122"/>
        <v>2018.5</v>
      </c>
      <c r="AI160" s="117">
        <f t="shared" si="123"/>
        <v>2018.75</v>
      </c>
      <c r="AJ160" s="117">
        <f t="shared" si="124"/>
        <v>-8.3333333333333329E-2</v>
      </c>
      <c r="AK160" s="117">
        <f t="shared" si="125"/>
        <v>2018.5</v>
      </c>
      <c r="AL160" s="117">
        <f t="shared" si="126"/>
        <v>2018.75</v>
      </c>
      <c r="AM160" s="117">
        <f t="shared" si="127"/>
        <v>-8.3333333333333329E-2</v>
      </c>
    </row>
    <row r="161" spans="1:39" x14ac:dyDescent="0.25">
      <c r="A161">
        <v>184</v>
      </c>
      <c r="B161" t="s">
        <v>441</v>
      </c>
      <c r="C161" t="s">
        <v>375</v>
      </c>
      <c r="D161" s="27">
        <v>2013</v>
      </c>
      <c r="E161" s="27">
        <v>6</v>
      </c>
      <c r="F161" s="122"/>
      <c r="G161" s="27" t="s">
        <v>312</v>
      </c>
      <c r="H161" s="27">
        <v>5</v>
      </c>
      <c r="I161">
        <f t="shared" si="110"/>
        <v>2018</v>
      </c>
      <c r="L161" s="27" t="s">
        <v>313</v>
      </c>
      <c r="M161" s="27" t="s">
        <v>313</v>
      </c>
      <c r="N161" s="27" t="s">
        <v>313</v>
      </c>
      <c r="O161" s="27" t="s">
        <v>313</v>
      </c>
      <c r="P161" s="29">
        <v>1788.5</v>
      </c>
      <c r="Q161" s="29"/>
      <c r="R161" s="29">
        <f t="shared" si="111"/>
        <v>1788.5</v>
      </c>
      <c r="S161" s="115">
        <f t="shared" si="112"/>
        <v>29.808333333333334</v>
      </c>
      <c r="T161" s="115">
        <f t="shared" si="109"/>
        <v>0</v>
      </c>
      <c r="U161" s="115">
        <f t="shared" si="113"/>
        <v>0</v>
      </c>
      <c r="V161" s="115">
        <f t="shared" si="114"/>
        <v>0</v>
      </c>
      <c r="W161" s="124">
        <v>1</v>
      </c>
      <c r="X161" s="115">
        <f t="shared" si="115"/>
        <v>0</v>
      </c>
      <c r="Y161" s="113"/>
      <c r="Z161" s="115">
        <f t="shared" ref="Z161:Z191" si="128">IF(AF161&gt;AG161,0,IF(AH161&lt;AI161,R161,IF((AND((AH161&gt;=AI161),(AH161&lt;=AG161))),(R161-V161),IF((AND((AI161&lt;=AF161),(AG161&gt;=AF161))),0,IF(AH161&gt;AG161,((AI161-AF161)*12)*S161,0)))))</f>
        <v>1788.5</v>
      </c>
      <c r="AA161" s="115">
        <f t="shared" si="116"/>
        <v>1788.5</v>
      </c>
      <c r="AB161" s="123">
        <v>1</v>
      </c>
      <c r="AC161" s="115">
        <f t="shared" si="117"/>
        <v>1788.5</v>
      </c>
      <c r="AD161" s="115">
        <f t="shared" si="118"/>
        <v>1788.5</v>
      </c>
      <c r="AE161" s="115">
        <f t="shared" si="119"/>
        <v>0</v>
      </c>
      <c r="AF161" s="115">
        <f t="shared" si="120"/>
        <v>2013.4166666666667</v>
      </c>
      <c r="AG161" s="115">
        <f t="shared" si="121"/>
        <v>2019.75</v>
      </c>
      <c r="AH161" s="115">
        <f t="shared" si="122"/>
        <v>2018.4166666666667</v>
      </c>
      <c r="AI161" s="117">
        <f t="shared" si="123"/>
        <v>2018.75</v>
      </c>
      <c r="AJ161" s="117">
        <f t="shared" si="124"/>
        <v>-8.3333333333333329E-2</v>
      </c>
      <c r="AK161" s="117">
        <f t="shared" si="125"/>
        <v>2018.4166666666667</v>
      </c>
      <c r="AL161" s="117">
        <f t="shared" si="126"/>
        <v>2018.75</v>
      </c>
      <c r="AM161" s="117">
        <f t="shared" si="127"/>
        <v>-8.3333333333333329E-2</v>
      </c>
    </row>
    <row r="162" spans="1:39" x14ac:dyDescent="0.25">
      <c r="A162">
        <v>211</v>
      </c>
      <c r="B162" t="s">
        <v>442</v>
      </c>
      <c r="C162" t="s">
        <v>375</v>
      </c>
      <c r="D162" s="27">
        <v>2014</v>
      </c>
      <c r="E162" s="27">
        <v>12</v>
      </c>
      <c r="F162" s="122"/>
      <c r="G162" s="27" t="s">
        <v>312</v>
      </c>
      <c r="H162" s="27">
        <v>20</v>
      </c>
      <c r="I162">
        <f t="shared" si="110"/>
        <v>2034</v>
      </c>
      <c r="L162">
        <v>10</v>
      </c>
      <c r="M162">
        <f>+D162+L162</f>
        <v>2024</v>
      </c>
      <c r="N162" s="27" t="s">
        <v>313</v>
      </c>
      <c r="O162" s="29">
        <f>+Z162</f>
        <v>43508.333333332477</v>
      </c>
      <c r="P162" s="29">
        <v>227000</v>
      </c>
      <c r="Q162" s="29"/>
      <c r="R162" s="29">
        <f t="shared" si="111"/>
        <v>227000</v>
      </c>
      <c r="S162" s="115">
        <f t="shared" si="112"/>
        <v>945.83333333333337</v>
      </c>
      <c r="T162" s="115">
        <f>(P162-O162)/7</f>
        <v>26213.09523809536</v>
      </c>
      <c r="U162" s="115">
        <f t="shared" si="113"/>
        <v>0</v>
      </c>
      <c r="V162" s="115">
        <f t="shared" si="114"/>
        <v>26213.09523809536</v>
      </c>
      <c r="W162" s="124">
        <v>1</v>
      </c>
      <c r="X162" s="115">
        <f t="shared" si="115"/>
        <v>26213.09523809536</v>
      </c>
      <c r="Y162" s="113"/>
      <c r="Z162" s="115">
        <f>IF(AF162&gt;AG162,0,IF(AH162&lt;AI162,R162,IF((AND((AH162&gt;=AI162),(AH162&lt;=AG162))),(R162-V162),IF((AND((AI162&lt;=AF162),(AG162&gt;=AF162))),0,IF(AH162&gt;AG162,((AI162-AF162)*12)*S162,0)))))</f>
        <v>43508.333333332477</v>
      </c>
      <c r="AA162" s="115">
        <f t="shared" si="116"/>
        <v>43508.333333332477</v>
      </c>
      <c r="AB162" s="121">
        <v>1</v>
      </c>
      <c r="AC162" s="115">
        <f t="shared" si="117"/>
        <v>43508.333333332477</v>
      </c>
      <c r="AD162" s="115">
        <f t="shared" si="118"/>
        <v>69721.428571427838</v>
      </c>
      <c r="AE162" s="115">
        <f t="shared" si="119"/>
        <v>170385.11904761987</v>
      </c>
      <c r="AF162" s="115">
        <f t="shared" si="120"/>
        <v>2014.9166666666667</v>
      </c>
      <c r="AG162" s="115">
        <f t="shared" si="121"/>
        <v>2019.75</v>
      </c>
      <c r="AH162" s="115">
        <f t="shared" si="122"/>
        <v>2034.9166666666667</v>
      </c>
      <c r="AI162" s="117">
        <f t="shared" si="123"/>
        <v>2018.75</v>
      </c>
      <c r="AJ162" s="117">
        <f t="shared" si="124"/>
        <v>-8.3333333333333329E-2</v>
      </c>
      <c r="AK162" s="117">
        <f t="shared" si="125"/>
        <v>2034.9166666666667</v>
      </c>
      <c r="AL162" s="117">
        <f t="shared" si="126"/>
        <v>2018.75</v>
      </c>
      <c r="AM162" s="117">
        <f t="shared" si="127"/>
        <v>-8.3333333333333329E-2</v>
      </c>
    </row>
    <row r="163" spans="1:39" x14ac:dyDescent="0.25">
      <c r="A163">
        <v>212</v>
      </c>
      <c r="B163" t="s">
        <v>443</v>
      </c>
      <c r="C163" t="s">
        <v>375</v>
      </c>
      <c r="D163" s="27">
        <v>2014</v>
      </c>
      <c r="E163" s="27">
        <v>12</v>
      </c>
      <c r="F163" s="122"/>
      <c r="G163" s="27" t="s">
        <v>312</v>
      </c>
      <c r="H163" s="27">
        <v>20</v>
      </c>
      <c r="I163">
        <f t="shared" si="110"/>
        <v>2034</v>
      </c>
      <c r="L163">
        <v>10</v>
      </c>
      <c r="M163">
        <f t="shared" ref="M163:M168" si="129">+D163+L163</f>
        <v>2024</v>
      </c>
      <c r="N163" s="27" t="s">
        <v>313</v>
      </c>
      <c r="O163" s="29">
        <f t="shared" ref="O163:O168" si="130">+Z163</f>
        <v>13726.008999999729</v>
      </c>
      <c r="P163" s="29">
        <v>71613.960000000006</v>
      </c>
      <c r="Q163" s="29"/>
      <c r="R163" s="29">
        <f t="shared" si="111"/>
        <v>71613.960000000006</v>
      </c>
      <c r="S163" s="115">
        <f t="shared" si="112"/>
        <v>298.39150000000001</v>
      </c>
      <c r="T163" s="115">
        <f t="shared" ref="T163:T168" si="131">(P163-O163)/7</f>
        <v>8269.7072857143248</v>
      </c>
      <c r="U163" s="115">
        <f t="shared" si="113"/>
        <v>0</v>
      </c>
      <c r="V163" s="115">
        <f t="shared" si="114"/>
        <v>8269.7072857143248</v>
      </c>
      <c r="W163" s="124">
        <v>1</v>
      </c>
      <c r="X163" s="115">
        <f t="shared" si="115"/>
        <v>8269.7072857143248</v>
      </c>
      <c r="Y163" s="113"/>
      <c r="Z163" s="115">
        <f t="shared" si="128"/>
        <v>13726.008999999729</v>
      </c>
      <c r="AA163" s="115">
        <f t="shared" si="116"/>
        <v>13726.008999999729</v>
      </c>
      <c r="AB163" s="121">
        <v>1</v>
      </c>
      <c r="AC163" s="115">
        <f t="shared" si="117"/>
        <v>13726.008999999729</v>
      </c>
      <c r="AD163" s="115">
        <f t="shared" si="118"/>
        <v>21995.716285714054</v>
      </c>
      <c r="AE163" s="115">
        <f t="shared" si="119"/>
        <v>53753.097357143117</v>
      </c>
      <c r="AF163" s="115">
        <f t="shared" si="120"/>
        <v>2014.9166666666667</v>
      </c>
      <c r="AG163" s="115">
        <f t="shared" si="121"/>
        <v>2019.75</v>
      </c>
      <c r="AH163" s="115">
        <f t="shared" si="122"/>
        <v>2034.9166666666667</v>
      </c>
      <c r="AI163" s="117">
        <f t="shared" si="123"/>
        <v>2018.75</v>
      </c>
      <c r="AJ163" s="117">
        <f t="shared" si="124"/>
        <v>-8.3333333333333329E-2</v>
      </c>
      <c r="AK163" s="117">
        <f t="shared" si="125"/>
        <v>2034.9166666666667</v>
      </c>
      <c r="AL163" s="117">
        <f t="shared" si="126"/>
        <v>2018.75</v>
      </c>
      <c r="AM163" s="117">
        <f t="shared" si="127"/>
        <v>-8.3333333333333329E-2</v>
      </c>
    </row>
    <row r="164" spans="1:39" x14ac:dyDescent="0.25">
      <c r="A164">
        <v>213</v>
      </c>
      <c r="B164" t="s">
        <v>444</v>
      </c>
      <c r="C164" t="s">
        <v>375</v>
      </c>
      <c r="D164" s="27">
        <v>2014</v>
      </c>
      <c r="E164" s="27">
        <v>12</v>
      </c>
      <c r="F164" s="122"/>
      <c r="G164" s="27" t="s">
        <v>312</v>
      </c>
      <c r="H164" s="27">
        <v>20</v>
      </c>
      <c r="I164">
        <f t="shared" si="110"/>
        <v>2034</v>
      </c>
      <c r="L164">
        <v>10</v>
      </c>
      <c r="M164">
        <f t="shared" si="129"/>
        <v>2024</v>
      </c>
      <c r="N164" s="27" t="s">
        <v>313</v>
      </c>
      <c r="O164" s="29">
        <f t="shared" si="130"/>
        <v>3654.699999999928</v>
      </c>
      <c r="P164" s="29">
        <v>19068</v>
      </c>
      <c r="Q164" s="29"/>
      <c r="R164" s="29">
        <f t="shared" si="111"/>
        <v>19068</v>
      </c>
      <c r="S164" s="115">
        <f t="shared" si="112"/>
        <v>79.45</v>
      </c>
      <c r="T164" s="115">
        <f t="shared" si="131"/>
        <v>2201.9000000000101</v>
      </c>
      <c r="U164" s="115">
        <f t="shared" si="113"/>
        <v>0</v>
      </c>
      <c r="V164" s="115">
        <f t="shared" si="114"/>
        <v>2201.9000000000101</v>
      </c>
      <c r="W164" s="124">
        <v>1</v>
      </c>
      <c r="X164" s="115">
        <f t="shared" si="115"/>
        <v>2201.9000000000101</v>
      </c>
      <c r="Y164" s="113"/>
      <c r="Z164" s="115">
        <f t="shared" si="128"/>
        <v>3654.699999999928</v>
      </c>
      <c r="AA164" s="115">
        <f t="shared" si="116"/>
        <v>3654.699999999928</v>
      </c>
      <c r="AB164" s="121">
        <v>1</v>
      </c>
      <c r="AC164" s="115">
        <f t="shared" si="117"/>
        <v>3654.699999999928</v>
      </c>
      <c r="AD164" s="115">
        <f t="shared" si="118"/>
        <v>5856.5999999999385</v>
      </c>
      <c r="AE164" s="115">
        <f t="shared" si="119"/>
        <v>14312.350000000068</v>
      </c>
      <c r="AF164" s="115">
        <f t="shared" si="120"/>
        <v>2014.9166666666667</v>
      </c>
      <c r="AG164" s="115">
        <f t="shared" si="121"/>
        <v>2019.75</v>
      </c>
      <c r="AH164" s="115">
        <f t="shared" si="122"/>
        <v>2034.9166666666667</v>
      </c>
      <c r="AI164" s="117">
        <f t="shared" si="123"/>
        <v>2018.75</v>
      </c>
      <c r="AJ164" s="117">
        <f t="shared" si="124"/>
        <v>-8.3333333333333329E-2</v>
      </c>
      <c r="AK164" s="117">
        <f t="shared" si="125"/>
        <v>2034.9166666666667</v>
      </c>
      <c r="AL164" s="117">
        <f t="shared" si="126"/>
        <v>2018.75</v>
      </c>
      <c r="AM164" s="117">
        <f t="shared" si="127"/>
        <v>-8.3333333333333329E-2</v>
      </c>
    </row>
    <row r="165" spans="1:39" x14ac:dyDescent="0.25">
      <c r="A165">
        <v>214</v>
      </c>
      <c r="B165" t="s">
        <v>445</v>
      </c>
      <c r="C165" t="s">
        <v>375</v>
      </c>
      <c r="D165" s="27">
        <v>2014</v>
      </c>
      <c r="E165" s="27">
        <v>12</v>
      </c>
      <c r="F165" s="122"/>
      <c r="G165" s="27" t="s">
        <v>312</v>
      </c>
      <c r="H165" s="27">
        <v>20</v>
      </c>
      <c r="I165">
        <f t="shared" si="110"/>
        <v>2034</v>
      </c>
      <c r="L165">
        <v>10</v>
      </c>
      <c r="M165">
        <f t="shared" si="129"/>
        <v>2024</v>
      </c>
      <c r="N165" s="27" t="s">
        <v>313</v>
      </c>
      <c r="O165" s="29">
        <f t="shared" si="130"/>
        <v>52324.999999998967</v>
      </c>
      <c r="P165" s="29">
        <v>273000</v>
      </c>
      <c r="Q165" s="29"/>
      <c r="R165" s="29">
        <f t="shared" si="111"/>
        <v>273000</v>
      </c>
      <c r="S165" s="115">
        <f t="shared" si="112"/>
        <v>1137.5</v>
      </c>
      <c r="T165" s="115">
        <f t="shared" si="131"/>
        <v>31525.000000000149</v>
      </c>
      <c r="U165" s="115">
        <f t="shared" si="113"/>
        <v>0</v>
      </c>
      <c r="V165" s="115">
        <f t="shared" si="114"/>
        <v>31525.000000000149</v>
      </c>
      <c r="W165" s="124">
        <v>1</v>
      </c>
      <c r="X165" s="115">
        <f t="shared" si="115"/>
        <v>31525.000000000149</v>
      </c>
      <c r="Y165" s="113"/>
      <c r="Z165" s="115">
        <f t="shared" si="128"/>
        <v>52324.999999998967</v>
      </c>
      <c r="AA165" s="115">
        <f t="shared" si="116"/>
        <v>52324.999999998967</v>
      </c>
      <c r="AB165" s="121">
        <v>1</v>
      </c>
      <c r="AC165" s="115">
        <f t="shared" si="117"/>
        <v>52324.999999998967</v>
      </c>
      <c r="AD165" s="115">
        <f t="shared" si="118"/>
        <v>83849.999999999112</v>
      </c>
      <c r="AE165" s="115">
        <f t="shared" si="119"/>
        <v>204912.50000000096</v>
      </c>
      <c r="AF165" s="115">
        <f t="shared" si="120"/>
        <v>2014.9166666666667</v>
      </c>
      <c r="AG165" s="115">
        <f t="shared" si="121"/>
        <v>2019.75</v>
      </c>
      <c r="AH165" s="115">
        <f t="shared" si="122"/>
        <v>2034.9166666666667</v>
      </c>
      <c r="AI165" s="117">
        <f t="shared" si="123"/>
        <v>2018.75</v>
      </c>
      <c r="AJ165" s="117">
        <f t="shared" si="124"/>
        <v>-8.3333333333333329E-2</v>
      </c>
      <c r="AK165" s="117">
        <f t="shared" si="125"/>
        <v>2034.9166666666667</v>
      </c>
      <c r="AL165" s="117">
        <f t="shared" si="126"/>
        <v>2018.75</v>
      </c>
      <c r="AM165" s="117">
        <f t="shared" si="127"/>
        <v>-8.3333333333333329E-2</v>
      </c>
    </row>
    <row r="166" spans="1:39" x14ac:dyDescent="0.25">
      <c r="A166">
        <v>215</v>
      </c>
      <c r="B166" t="s">
        <v>446</v>
      </c>
      <c r="C166" t="s">
        <v>375</v>
      </c>
      <c r="D166" s="27">
        <v>2014</v>
      </c>
      <c r="E166" s="27">
        <v>12</v>
      </c>
      <c r="F166" s="122"/>
      <c r="G166" s="27" t="s">
        <v>312</v>
      </c>
      <c r="H166" s="27">
        <v>20</v>
      </c>
      <c r="I166">
        <f t="shared" si="110"/>
        <v>2034</v>
      </c>
      <c r="L166">
        <v>10</v>
      </c>
      <c r="M166">
        <f t="shared" si="129"/>
        <v>2024</v>
      </c>
      <c r="N166" s="27" t="s">
        <v>313</v>
      </c>
      <c r="O166" s="29">
        <f t="shared" si="130"/>
        <v>16507.490999999674</v>
      </c>
      <c r="P166" s="29">
        <v>86126.04</v>
      </c>
      <c r="Q166" s="29"/>
      <c r="R166" s="29">
        <f t="shared" si="111"/>
        <v>86126.04</v>
      </c>
      <c r="S166" s="115">
        <f t="shared" si="112"/>
        <v>358.85849999999999</v>
      </c>
      <c r="T166" s="115">
        <f t="shared" si="131"/>
        <v>9945.5070000000451</v>
      </c>
      <c r="U166" s="115">
        <f t="shared" si="113"/>
        <v>0</v>
      </c>
      <c r="V166" s="115">
        <f t="shared" si="114"/>
        <v>9945.5070000000451</v>
      </c>
      <c r="W166" s="124">
        <v>1</v>
      </c>
      <c r="X166" s="115">
        <f t="shared" si="115"/>
        <v>9945.5070000000451</v>
      </c>
      <c r="Y166" s="113"/>
      <c r="Z166" s="115">
        <f t="shared" si="128"/>
        <v>16507.490999999674</v>
      </c>
      <c r="AA166" s="115">
        <f t="shared" si="116"/>
        <v>16507.490999999674</v>
      </c>
      <c r="AB166" s="121">
        <v>1</v>
      </c>
      <c r="AC166" s="115">
        <f t="shared" si="117"/>
        <v>16507.490999999674</v>
      </c>
      <c r="AD166" s="115">
        <f t="shared" si="118"/>
        <v>26452.997999999719</v>
      </c>
      <c r="AE166" s="115">
        <f t="shared" si="119"/>
        <v>64645.795500000298</v>
      </c>
      <c r="AF166" s="115">
        <f t="shared" si="120"/>
        <v>2014.9166666666667</v>
      </c>
      <c r="AG166" s="115">
        <f t="shared" si="121"/>
        <v>2019.75</v>
      </c>
      <c r="AH166" s="115">
        <f t="shared" si="122"/>
        <v>2034.9166666666667</v>
      </c>
      <c r="AI166" s="117">
        <f t="shared" si="123"/>
        <v>2018.75</v>
      </c>
      <c r="AJ166" s="117">
        <f t="shared" si="124"/>
        <v>-8.3333333333333329E-2</v>
      </c>
      <c r="AK166" s="117">
        <f t="shared" si="125"/>
        <v>2034.9166666666667</v>
      </c>
      <c r="AL166" s="117">
        <f t="shared" si="126"/>
        <v>2018.75</v>
      </c>
      <c r="AM166" s="117">
        <f t="shared" si="127"/>
        <v>-8.3333333333333329E-2</v>
      </c>
    </row>
    <row r="167" spans="1:39" x14ac:dyDescent="0.25">
      <c r="A167">
        <v>216</v>
      </c>
      <c r="B167" t="s">
        <v>447</v>
      </c>
      <c r="C167" t="s">
        <v>375</v>
      </c>
      <c r="D167" s="27">
        <v>2014</v>
      </c>
      <c r="E167" s="27">
        <v>12</v>
      </c>
      <c r="F167" s="122"/>
      <c r="G167" s="27" t="s">
        <v>312</v>
      </c>
      <c r="H167" s="27">
        <v>20</v>
      </c>
      <c r="I167">
        <f t="shared" si="110"/>
        <v>2034</v>
      </c>
      <c r="L167">
        <v>10</v>
      </c>
      <c r="M167">
        <f t="shared" si="129"/>
        <v>2024</v>
      </c>
      <c r="N167" s="27" t="s">
        <v>313</v>
      </c>
      <c r="O167" s="29">
        <f t="shared" si="130"/>
        <v>4395.2999999999129</v>
      </c>
      <c r="P167" s="29">
        <v>22932</v>
      </c>
      <c r="Q167" s="29"/>
      <c r="R167" s="29">
        <f t="shared" si="111"/>
        <v>22932</v>
      </c>
      <c r="S167" s="115">
        <f t="shared" si="112"/>
        <v>95.55</v>
      </c>
      <c r="T167" s="115">
        <f t="shared" si="131"/>
        <v>2648.1000000000126</v>
      </c>
      <c r="U167" s="115">
        <f t="shared" si="113"/>
        <v>0</v>
      </c>
      <c r="V167" s="115">
        <f t="shared" si="114"/>
        <v>2648.1000000000126</v>
      </c>
      <c r="W167" s="124">
        <v>1</v>
      </c>
      <c r="X167" s="115">
        <f t="shared" si="115"/>
        <v>2648.1000000000126</v>
      </c>
      <c r="Y167" s="113"/>
      <c r="Z167" s="115">
        <f t="shared" si="128"/>
        <v>4395.2999999999129</v>
      </c>
      <c r="AA167" s="115">
        <f t="shared" si="116"/>
        <v>4395.2999999999129</v>
      </c>
      <c r="AB167" s="121">
        <v>1</v>
      </c>
      <c r="AC167" s="115">
        <f t="shared" si="117"/>
        <v>4395.2999999999129</v>
      </c>
      <c r="AD167" s="115">
        <f t="shared" si="118"/>
        <v>7043.3999999999251</v>
      </c>
      <c r="AE167" s="115">
        <f t="shared" si="119"/>
        <v>17212.650000000081</v>
      </c>
      <c r="AF167" s="115">
        <f t="shared" si="120"/>
        <v>2014.9166666666667</v>
      </c>
      <c r="AG167" s="115">
        <f t="shared" si="121"/>
        <v>2019.75</v>
      </c>
      <c r="AH167" s="115">
        <f t="shared" si="122"/>
        <v>2034.9166666666667</v>
      </c>
      <c r="AI167" s="117">
        <f t="shared" si="123"/>
        <v>2018.75</v>
      </c>
      <c r="AJ167" s="117">
        <f t="shared" si="124"/>
        <v>-8.3333333333333329E-2</v>
      </c>
      <c r="AK167" s="117">
        <f t="shared" si="125"/>
        <v>2034.9166666666667</v>
      </c>
      <c r="AL167" s="117">
        <f t="shared" si="126"/>
        <v>2018.75</v>
      </c>
      <c r="AM167" s="117">
        <f t="shared" si="127"/>
        <v>-8.3333333333333329E-2</v>
      </c>
    </row>
    <row r="168" spans="1:39" x14ac:dyDescent="0.25">
      <c r="A168">
        <v>217</v>
      </c>
      <c r="B168" t="s">
        <v>448</v>
      </c>
      <c r="C168" t="s">
        <v>375</v>
      </c>
      <c r="D168" s="27">
        <v>2014</v>
      </c>
      <c r="E168" s="27">
        <v>12</v>
      </c>
      <c r="F168" s="122"/>
      <c r="G168" s="27" t="s">
        <v>312</v>
      </c>
      <c r="H168" s="27">
        <v>20</v>
      </c>
      <c r="I168">
        <f t="shared" si="110"/>
        <v>2034</v>
      </c>
      <c r="L168">
        <v>10</v>
      </c>
      <c r="M168">
        <f t="shared" si="129"/>
        <v>2024</v>
      </c>
      <c r="N168" s="27" t="s">
        <v>313</v>
      </c>
      <c r="O168" s="29">
        <f t="shared" si="130"/>
        <v>2296.5864166666215</v>
      </c>
      <c r="P168" s="29">
        <v>11982.19</v>
      </c>
      <c r="Q168" s="29"/>
      <c r="R168" s="29">
        <f t="shared" si="111"/>
        <v>11982.19</v>
      </c>
      <c r="S168" s="115">
        <f t="shared" si="112"/>
        <v>49.925791666666669</v>
      </c>
      <c r="T168" s="115">
        <f t="shared" si="131"/>
        <v>1383.6576547619113</v>
      </c>
      <c r="U168" s="115">
        <f t="shared" si="113"/>
        <v>0</v>
      </c>
      <c r="V168" s="115">
        <f t="shared" si="114"/>
        <v>1383.6576547619113</v>
      </c>
      <c r="W168" s="124">
        <v>1</v>
      </c>
      <c r="X168" s="115">
        <f t="shared" si="115"/>
        <v>1383.6576547619113</v>
      </c>
      <c r="Y168" s="113"/>
      <c r="Z168" s="115">
        <f t="shared" si="128"/>
        <v>2296.5864166666215</v>
      </c>
      <c r="AA168" s="115">
        <f t="shared" si="116"/>
        <v>2296.5864166666215</v>
      </c>
      <c r="AB168" s="121">
        <v>1</v>
      </c>
      <c r="AC168" s="115">
        <f t="shared" si="117"/>
        <v>2296.5864166666215</v>
      </c>
      <c r="AD168" s="115">
        <f t="shared" si="118"/>
        <v>3680.2440714285331</v>
      </c>
      <c r="AE168" s="115">
        <f t="shared" si="119"/>
        <v>8993.7747559524232</v>
      </c>
      <c r="AF168" s="115">
        <f t="shared" si="120"/>
        <v>2014.9166666666667</v>
      </c>
      <c r="AG168" s="115">
        <f t="shared" si="121"/>
        <v>2019.75</v>
      </c>
      <c r="AH168" s="115">
        <f t="shared" si="122"/>
        <v>2034.9166666666667</v>
      </c>
      <c r="AI168" s="117">
        <f t="shared" si="123"/>
        <v>2018.75</v>
      </c>
      <c r="AJ168" s="117">
        <f t="shared" si="124"/>
        <v>-8.3333333333333329E-2</v>
      </c>
      <c r="AK168" s="117">
        <f t="shared" si="125"/>
        <v>2034.9166666666667</v>
      </c>
      <c r="AL168" s="117">
        <f t="shared" si="126"/>
        <v>2018.75</v>
      </c>
      <c r="AM168" s="117">
        <f t="shared" si="127"/>
        <v>-8.3333333333333329E-2</v>
      </c>
    </row>
    <row r="169" spans="1:39" x14ac:dyDescent="0.25">
      <c r="A169">
        <v>218</v>
      </c>
      <c r="B169" t="s">
        <v>449</v>
      </c>
      <c r="C169" t="s">
        <v>375</v>
      </c>
      <c r="D169" s="27">
        <v>2014</v>
      </c>
      <c r="E169" s="27">
        <v>12</v>
      </c>
      <c r="F169" s="122"/>
      <c r="G169" s="27" t="s">
        <v>312</v>
      </c>
      <c r="H169" s="27">
        <v>5</v>
      </c>
      <c r="I169">
        <f t="shared" si="110"/>
        <v>2019</v>
      </c>
      <c r="L169" s="27" t="s">
        <v>313</v>
      </c>
      <c r="M169" s="27" t="s">
        <v>313</v>
      </c>
      <c r="N169" s="27" t="s">
        <v>313</v>
      </c>
      <c r="O169" s="27" t="s">
        <v>313</v>
      </c>
      <c r="P169" s="29">
        <v>2780.95</v>
      </c>
      <c r="Q169" s="29"/>
      <c r="R169" s="29">
        <f t="shared" si="111"/>
        <v>2780.95</v>
      </c>
      <c r="S169" s="115">
        <f t="shared" si="112"/>
        <v>46.349166666666662</v>
      </c>
      <c r="T169" s="115">
        <f t="shared" ref="T169:T190" si="132">IF(Q169&gt;0,0,IF((OR((AF169&gt;AG169),(AH169&lt;AI169))),0,IF((AND((AH169&gt;=AI169),(AH169&lt;=AG169))),S169*((AH169-AI169)*12),IF((AND((AI169&lt;=AF169),(AG169&gt;=AF169))),((AG169-AF169)*12)*S169,IF(AH169&gt;AG169,12*S169,0)))))</f>
        <v>556.18999999999994</v>
      </c>
      <c r="U169" s="115">
        <f t="shared" si="113"/>
        <v>0</v>
      </c>
      <c r="V169" s="115">
        <f t="shared" si="114"/>
        <v>556.18999999999994</v>
      </c>
      <c r="W169" s="124">
        <v>1</v>
      </c>
      <c r="X169" s="115">
        <f t="shared" si="115"/>
        <v>556.18999999999994</v>
      </c>
      <c r="Y169" s="113"/>
      <c r="Z169" s="115">
        <f t="shared" si="128"/>
        <v>2132.0616666666242</v>
      </c>
      <c r="AA169" s="115">
        <f t="shared" si="116"/>
        <v>2132.0616666666242</v>
      </c>
      <c r="AB169" s="121">
        <v>1</v>
      </c>
      <c r="AC169" s="115">
        <f t="shared" si="117"/>
        <v>2132.0616666666242</v>
      </c>
      <c r="AD169" s="115">
        <f t="shared" si="118"/>
        <v>2688.2516666666243</v>
      </c>
      <c r="AE169" s="115">
        <f t="shared" si="119"/>
        <v>370.79333333337559</v>
      </c>
      <c r="AF169" s="115">
        <f t="shared" si="120"/>
        <v>2014.9166666666667</v>
      </c>
      <c r="AG169" s="115">
        <f t="shared" si="121"/>
        <v>2019.75</v>
      </c>
      <c r="AH169" s="115">
        <f t="shared" si="122"/>
        <v>2019.9166666666667</v>
      </c>
      <c r="AI169" s="117">
        <f t="shared" si="123"/>
        <v>2018.75</v>
      </c>
      <c r="AJ169" s="117">
        <f t="shared" si="124"/>
        <v>-8.3333333333333329E-2</v>
      </c>
      <c r="AK169" s="117">
        <f t="shared" si="125"/>
        <v>2019.9166666666667</v>
      </c>
      <c r="AL169" s="117">
        <f t="shared" si="126"/>
        <v>2018.75</v>
      </c>
      <c r="AM169" s="117">
        <f t="shared" si="127"/>
        <v>-8.3333333333333329E-2</v>
      </c>
    </row>
    <row r="170" spans="1:39" x14ac:dyDescent="0.25">
      <c r="A170">
        <v>219</v>
      </c>
      <c r="B170" t="s">
        <v>450</v>
      </c>
      <c r="C170" t="s">
        <v>375</v>
      </c>
      <c r="D170" s="27">
        <v>2014</v>
      </c>
      <c r="E170" s="27">
        <v>12</v>
      </c>
      <c r="F170" s="122"/>
      <c r="G170" s="27" t="s">
        <v>312</v>
      </c>
      <c r="H170" s="27">
        <v>10</v>
      </c>
      <c r="I170">
        <f t="shared" si="110"/>
        <v>2024</v>
      </c>
      <c r="L170" s="27" t="s">
        <v>313</v>
      </c>
      <c r="M170" s="27" t="s">
        <v>313</v>
      </c>
      <c r="N170" s="27" t="s">
        <v>313</v>
      </c>
      <c r="O170" s="27" t="s">
        <v>313</v>
      </c>
      <c r="P170" s="29">
        <v>25741.25</v>
      </c>
      <c r="Q170" s="29"/>
      <c r="R170" s="29">
        <f t="shared" si="111"/>
        <v>25741.25</v>
      </c>
      <c r="S170" s="115">
        <f t="shared" si="112"/>
        <v>214.51041666666666</v>
      </c>
      <c r="T170" s="115">
        <f t="shared" si="132"/>
        <v>2574.125</v>
      </c>
      <c r="U170" s="115">
        <f t="shared" si="113"/>
        <v>0</v>
      </c>
      <c r="V170" s="115">
        <f t="shared" si="114"/>
        <v>2574.125</v>
      </c>
      <c r="W170" s="124">
        <v>1</v>
      </c>
      <c r="X170" s="115">
        <f t="shared" si="115"/>
        <v>2574.125</v>
      </c>
      <c r="Y170" s="113"/>
      <c r="Z170" s="115">
        <f t="shared" si="128"/>
        <v>9867.4791666664714</v>
      </c>
      <c r="AA170" s="115">
        <f t="shared" si="116"/>
        <v>9867.4791666664714</v>
      </c>
      <c r="AB170" s="121">
        <v>1</v>
      </c>
      <c r="AC170" s="115">
        <f t="shared" si="117"/>
        <v>9867.4791666664714</v>
      </c>
      <c r="AD170" s="115">
        <f t="shared" si="118"/>
        <v>12441.604166666471</v>
      </c>
      <c r="AE170" s="115">
        <f t="shared" si="119"/>
        <v>14586.708333333529</v>
      </c>
      <c r="AF170" s="115">
        <f t="shared" si="120"/>
        <v>2014.9166666666667</v>
      </c>
      <c r="AG170" s="115">
        <f t="shared" si="121"/>
        <v>2019.75</v>
      </c>
      <c r="AH170" s="115">
        <f t="shared" si="122"/>
        <v>2024.9166666666667</v>
      </c>
      <c r="AI170" s="117">
        <f t="shared" si="123"/>
        <v>2018.75</v>
      </c>
      <c r="AJ170" s="117">
        <f t="shared" si="124"/>
        <v>-8.3333333333333329E-2</v>
      </c>
      <c r="AK170" s="117">
        <f t="shared" si="125"/>
        <v>2024.9166666666667</v>
      </c>
      <c r="AL170" s="117">
        <f t="shared" si="126"/>
        <v>2018.75</v>
      </c>
      <c r="AM170" s="117">
        <f t="shared" si="127"/>
        <v>-8.3333333333333329E-2</v>
      </c>
    </row>
    <row r="171" spans="1:39" x14ac:dyDescent="0.25">
      <c r="A171">
        <v>220</v>
      </c>
      <c r="B171" t="s">
        <v>451</v>
      </c>
      <c r="C171" t="s">
        <v>375</v>
      </c>
      <c r="D171" s="27">
        <v>2014</v>
      </c>
      <c r="E171" s="27">
        <v>12</v>
      </c>
      <c r="F171" s="122"/>
      <c r="G171" s="27" t="s">
        <v>312</v>
      </c>
      <c r="H171" s="27">
        <v>5</v>
      </c>
      <c r="I171">
        <f t="shared" si="110"/>
        <v>2019</v>
      </c>
      <c r="L171" s="27" t="s">
        <v>313</v>
      </c>
      <c r="M171" s="27" t="s">
        <v>313</v>
      </c>
      <c r="N171" s="27" t="s">
        <v>313</v>
      </c>
      <c r="O171" s="27" t="s">
        <v>313</v>
      </c>
      <c r="P171" s="29">
        <v>2780.94</v>
      </c>
      <c r="Q171" s="29"/>
      <c r="R171" s="29">
        <f t="shared" si="111"/>
        <v>2780.94</v>
      </c>
      <c r="S171" s="115">
        <f t="shared" si="112"/>
        <v>46.348999999999997</v>
      </c>
      <c r="T171" s="115">
        <f t="shared" si="132"/>
        <v>556.18799999999999</v>
      </c>
      <c r="U171" s="115">
        <f t="shared" si="113"/>
        <v>0</v>
      </c>
      <c r="V171" s="115">
        <f t="shared" si="114"/>
        <v>556.18799999999999</v>
      </c>
      <c r="W171" s="124">
        <v>1</v>
      </c>
      <c r="X171" s="115">
        <f t="shared" si="115"/>
        <v>556.18799999999999</v>
      </c>
      <c r="Y171" s="113"/>
      <c r="Z171" s="115">
        <f t="shared" si="128"/>
        <v>2132.0539999999578</v>
      </c>
      <c r="AA171" s="115">
        <f t="shared" si="116"/>
        <v>2132.0539999999578</v>
      </c>
      <c r="AB171" s="123">
        <v>1</v>
      </c>
      <c r="AC171" s="115">
        <f t="shared" si="117"/>
        <v>2132.0539999999578</v>
      </c>
      <c r="AD171" s="115">
        <f t="shared" si="118"/>
        <v>2688.2419999999579</v>
      </c>
      <c r="AE171" s="115">
        <f t="shared" si="119"/>
        <v>370.79200000004221</v>
      </c>
      <c r="AF171" s="115">
        <f t="shared" si="120"/>
        <v>2014.9166666666667</v>
      </c>
      <c r="AG171" s="115">
        <f t="shared" si="121"/>
        <v>2019.75</v>
      </c>
      <c r="AH171" s="115">
        <f t="shared" si="122"/>
        <v>2019.9166666666667</v>
      </c>
      <c r="AI171" s="117">
        <f t="shared" si="123"/>
        <v>2018.75</v>
      </c>
      <c r="AJ171" s="117">
        <f t="shared" si="124"/>
        <v>-8.3333333333333329E-2</v>
      </c>
      <c r="AK171" s="117">
        <f t="shared" si="125"/>
        <v>2019.9166666666667</v>
      </c>
      <c r="AL171" s="117">
        <f t="shared" si="126"/>
        <v>2018.75</v>
      </c>
      <c r="AM171" s="117">
        <f t="shared" si="127"/>
        <v>-8.3333333333333329E-2</v>
      </c>
    </row>
    <row r="172" spans="1:39" x14ac:dyDescent="0.25">
      <c r="A172">
        <v>224</v>
      </c>
      <c r="B172" t="s">
        <v>452</v>
      </c>
      <c r="C172" t="s">
        <v>375</v>
      </c>
      <c r="D172" s="27">
        <v>2015</v>
      </c>
      <c r="E172" s="27">
        <v>12</v>
      </c>
      <c r="F172" s="122"/>
      <c r="G172" s="27" t="s">
        <v>312</v>
      </c>
      <c r="H172" s="27">
        <v>10</v>
      </c>
      <c r="I172">
        <f t="shared" si="110"/>
        <v>2025</v>
      </c>
      <c r="L172" s="27" t="s">
        <v>313</v>
      </c>
      <c r="M172" s="27" t="s">
        <v>313</v>
      </c>
      <c r="N172" s="27" t="s">
        <v>313</v>
      </c>
      <c r="O172" s="27" t="s">
        <v>313</v>
      </c>
      <c r="P172" s="29">
        <v>129118</v>
      </c>
      <c r="Q172" s="29"/>
      <c r="R172" s="29">
        <f t="shared" si="111"/>
        <v>129118</v>
      </c>
      <c r="S172" s="115">
        <f t="shared" si="112"/>
        <v>1075.9833333333333</v>
      </c>
      <c r="T172" s="115">
        <f t="shared" si="132"/>
        <v>12911.8</v>
      </c>
      <c r="U172" s="115">
        <f t="shared" si="113"/>
        <v>0</v>
      </c>
      <c r="V172" s="115">
        <f t="shared" si="114"/>
        <v>12911.8</v>
      </c>
      <c r="W172" s="124">
        <v>1</v>
      </c>
      <c r="X172" s="115">
        <f t="shared" si="115"/>
        <v>12911.8</v>
      </c>
      <c r="Y172" s="113"/>
      <c r="Z172" s="115">
        <f t="shared" si="128"/>
        <v>36583.433333332352</v>
      </c>
      <c r="AA172" s="115">
        <f t="shared" si="116"/>
        <v>36583.433333332352</v>
      </c>
      <c r="AB172" s="123">
        <v>1</v>
      </c>
      <c r="AC172" s="115">
        <f t="shared" si="117"/>
        <v>36583.433333332352</v>
      </c>
      <c r="AD172" s="115">
        <f t="shared" si="118"/>
        <v>49495.233333332348</v>
      </c>
      <c r="AE172" s="115">
        <f t="shared" si="119"/>
        <v>86078.666666667646</v>
      </c>
      <c r="AF172" s="115">
        <f t="shared" si="120"/>
        <v>2015.9166666666667</v>
      </c>
      <c r="AG172" s="115">
        <f t="shared" si="121"/>
        <v>2019.75</v>
      </c>
      <c r="AH172" s="115">
        <f t="shared" si="122"/>
        <v>2025.9166666666667</v>
      </c>
      <c r="AI172" s="117">
        <f t="shared" si="123"/>
        <v>2018.75</v>
      </c>
      <c r="AJ172" s="117">
        <f t="shared" si="124"/>
        <v>-8.3333333333333329E-2</v>
      </c>
      <c r="AK172" s="117">
        <f t="shared" si="125"/>
        <v>2025.9166666666667</v>
      </c>
      <c r="AL172" s="117">
        <f t="shared" si="126"/>
        <v>2018.75</v>
      </c>
      <c r="AM172" s="117">
        <f t="shared" si="127"/>
        <v>-8.3333333333333329E-2</v>
      </c>
    </row>
    <row r="173" spans="1:39" x14ac:dyDescent="0.25">
      <c r="A173">
        <v>225</v>
      </c>
      <c r="B173" t="s">
        <v>450</v>
      </c>
      <c r="C173" t="s">
        <v>375</v>
      </c>
      <c r="D173" s="27">
        <v>2015</v>
      </c>
      <c r="E173" s="27">
        <v>15</v>
      </c>
      <c r="F173" s="122"/>
      <c r="G173" s="27" t="s">
        <v>312</v>
      </c>
      <c r="H173" s="27">
        <v>10</v>
      </c>
      <c r="I173">
        <f t="shared" si="110"/>
        <v>2025</v>
      </c>
      <c r="L173" s="27" t="s">
        <v>313</v>
      </c>
      <c r="M173" s="27" t="s">
        <v>313</v>
      </c>
      <c r="N173" s="27" t="s">
        <v>313</v>
      </c>
      <c r="O173" s="27" t="s">
        <v>313</v>
      </c>
      <c r="P173" s="29">
        <v>195489</v>
      </c>
      <c r="Q173" s="29"/>
      <c r="R173" s="29">
        <f t="shared" si="111"/>
        <v>195489</v>
      </c>
      <c r="S173" s="115">
        <f t="shared" si="112"/>
        <v>1629.075</v>
      </c>
      <c r="T173" s="115">
        <f t="shared" si="132"/>
        <v>19548.900000000001</v>
      </c>
      <c r="U173" s="115">
        <f t="shared" si="113"/>
        <v>0</v>
      </c>
      <c r="V173" s="115">
        <f t="shared" si="114"/>
        <v>19548.900000000001</v>
      </c>
      <c r="W173" s="124">
        <v>1</v>
      </c>
      <c r="X173" s="115">
        <f t="shared" si="115"/>
        <v>19548.900000000001</v>
      </c>
      <c r="Y173" s="113"/>
      <c r="Z173" s="115">
        <f t="shared" si="128"/>
        <v>50501.32499999852</v>
      </c>
      <c r="AA173" s="115">
        <f t="shared" si="116"/>
        <v>50501.32499999852</v>
      </c>
      <c r="AB173" s="123">
        <v>1</v>
      </c>
      <c r="AC173" s="115">
        <f t="shared" si="117"/>
        <v>50501.32499999852</v>
      </c>
      <c r="AD173" s="115">
        <f t="shared" si="118"/>
        <v>70050.224999998522</v>
      </c>
      <c r="AE173" s="115">
        <f t="shared" si="119"/>
        <v>135213.22500000149</v>
      </c>
      <c r="AF173" s="115">
        <f t="shared" si="120"/>
        <v>2016.1666666666667</v>
      </c>
      <c r="AG173" s="115">
        <f t="shared" si="121"/>
        <v>2019.75</v>
      </c>
      <c r="AH173" s="115">
        <f t="shared" si="122"/>
        <v>2026.1666666666667</v>
      </c>
      <c r="AI173" s="117">
        <f t="shared" si="123"/>
        <v>2018.75</v>
      </c>
      <c r="AJ173" s="117">
        <f t="shared" si="124"/>
        <v>-8.3333333333333329E-2</v>
      </c>
      <c r="AK173" s="117">
        <f t="shared" si="125"/>
        <v>2026.1666666666667</v>
      </c>
      <c r="AL173" s="117">
        <f t="shared" si="126"/>
        <v>2018.75</v>
      </c>
      <c r="AM173" s="117">
        <f t="shared" si="127"/>
        <v>-8.3333333333333329E-2</v>
      </c>
    </row>
    <row r="174" spans="1:39" x14ac:dyDescent="0.25">
      <c r="A174">
        <v>227</v>
      </c>
      <c r="B174" t="s">
        <v>453</v>
      </c>
      <c r="C174" t="s">
        <v>375</v>
      </c>
      <c r="D174" s="27">
        <v>2015</v>
      </c>
      <c r="E174" s="27">
        <v>5</v>
      </c>
      <c r="F174" s="122"/>
      <c r="G174" s="27" t="s">
        <v>312</v>
      </c>
      <c r="H174" s="27">
        <v>5</v>
      </c>
      <c r="I174">
        <f t="shared" si="110"/>
        <v>2020</v>
      </c>
      <c r="L174" s="27" t="s">
        <v>313</v>
      </c>
      <c r="M174" s="27" t="s">
        <v>313</v>
      </c>
      <c r="N174" s="27" t="s">
        <v>313</v>
      </c>
      <c r="O174" s="27" t="s">
        <v>313</v>
      </c>
      <c r="P174" s="29">
        <v>25404</v>
      </c>
      <c r="Q174" s="29"/>
      <c r="R174" s="29">
        <f t="shared" si="111"/>
        <v>25404</v>
      </c>
      <c r="S174" s="115">
        <f t="shared" si="112"/>
        <v>423.40000000000003</v>
      </c>
      <c r="T174" s="115">
        <f t="shared" si="132"/>
        <v>5080.8</v>
      </c>
      <c r="U174" s="115">
        <f t="shared" si="113"/>
        <v>0</v>
      </c>
      <c r="V174" s="115">
        <f t="shared" si="114"/>
        <v>5080.8</v>
      </c>
      <c r="W174" s="124">
        <v>1</v>
      </c>
      <c r="X174" s="115">
        <f t="shared" si="115"/>
        <v>5080.8</v>
      </c>
      <c r="Y174" s="113"/>
      <c r="Z174" s="115">
        <f t="shared" si="128"/>
        <v>17359.400000000387</v>
      </c>
      <c r="AA174" s="115">
        <f t="shared" si="116"/>
        <v>17359.400000000387</v>
      </c>
      <c r="AB174" s="123">
        <v>1</v>
      </c>
      <c r="AC174" s="115">
        <f t="shared" si="117"/>
        <v>17359.400000000387</v>
      </c>
      <c r="AD174" s="115">
        <f t="shared" si="118"/>
        <v>22440.200000000386</v>
      </c>
      <c r="AE174" s="115">
        <f t="shared" si="119"/>
        <v>5504.1999999996133</v>
      </c>
      <c r="AF174" s="115">
        <f t="shared" si="120"/>
        <v>2015.3333333333333</v>
      </c>
      <c r="AG174" s="115">
        <f t="shared" si="121"/>
        <v>2019.75</v>
      </c>
      <c r="AH174" s="115">
        <f t="shared" si="122"/>
        <v>2020.3333333333333</v>
      </c>
      <c r="AI174" s="117">
        <f t="shared" si="123"/>
        <v>2018.75</v>
      </c>
      <c r="AJ174" s="117">
        <f t="shared" si="124"/>
        <v>-8.3333333333333329E-2</v>
      </c>
      <c r="AK174" s="117">
        <f t="shared" si="125"/>
        <v>2020.3333333333333</v>
      </c>
      <c r="AL174" s="117">
        <f t="shared" si="126"/>
        <v>2018.75</v>
      </c>
      <c r="AM174" s="117">
        <f t="shared" si="127"/>
        <v>-8.3333333333333329E-2</v>
      </c>
    </row>
    <row r="175" spans="1:39" x14ac:dyDescent="0.25">
      <c r="A175">
        <v>233</v>
      </c>
      <c r="B175" t="s">
        <v>454</v>
      </c>
      <c r="C175" t="s">
        <v>375</v>
      </c>
      <c r="D175" s="27">
        <v>2015</v>
      </c>
      <c r="E175" s="27">
        <v>9</v>
      </c>
      <c r="F175" s="122"/>
      <c r="G175" s="27" t="s">
        <v>312</v>
      </c>
      <c r="H175" s="27">
        <v>5</v>
      </c>
      <c r="I175">
        <f t="shared" si="110"/>
        <v>2020</v>
      </c>
      <c r="L175" s="27" t="s">
        <v>313</v>
      </c>
      <c r="M175" s="27" t="s">
        <v>313</v>
      </c>
      <c r="N175" s="27" t="s">
        <v>313</v>
      </c>
      <c r="O175" s="27" t="s">
        <v>313</v>
      </c>
      <c r="P175" s="29">
        <v>6746</v>
      </c>
      <c r="Q175" s="29"/>
      <c r="R175" s="29">
        <f t="shared" si="111"/>
        <v>6746</v>
      </c>
      <c r="S175" s="115">
        <f t="shared" si="112"/>
        <v>112.43333333333334</v>
      </c>
      <c r="T175" s="115">
        <f t="shared" si="132"/>
        <v>1349.2</v>
      </c>
      <c r="U175" s="115">
        <f t="shared" si="113"/>
        <v>0</v>
      </c>
      <c r="V175" s="115">
        <f t="shared" si="114"/>
        <v>1349.2</v>
      </c>
      <c r="W175" s="124">
        <v>1</v>
      </c>
      <c r="X175" s="115">
        <f t="shared" si="115"/>
        <v>1349.2</v>
      </c>
      <c r="Y175" s="113"/>
      <c r="Z175" s="115">
        <f t="shared" si="128"/>
        <v>4160.033333333231</v>
      </c>
      <c r="AA175" s="115">
        <f t="shared" si="116"/>
        <v>4160.033333333231</v>
      </c>
      <c r="AB175" s="123">
        <v>1</v>
      </c>
      <c r="AC175" s="115">
        <f t="shared" si="117"/>
        <v>4160.033333333231</v>
      </c>
      <c r="AD175" s="115">
        <f t="shared" si="118"/>
        <v>5509.2333333332308</v>
      </c>
      <c r="AE175" s="115">
        <f t="shared" si="119"/>
        <v>1911.3666666667691</v>
      </c>
      <c r="AF175" s="115">
        <f t="shared" si="120"/>
        <v>2015.6666666666667</v>
      </c>
      <c r="AG175" s="115">
        <f t="shared" si="121"/>
        <v>2019.75</v>
      </c>
      <c r="AH175" s="115">
        <f t="shared" si="122"/>
        <v>2020.6666666666667</v>
      </c>
      <c r="AI175" s="117">
        <f t="shared" si="123"/>
        <v>2018.75</v>
      </c>
      <c r="AJ175" s="117">
        <f t="shared" si="124"/>
        <v>-8.3333333333333329E-2</v>
      </c>
      <c r="AK175" s="117">
        <f t="shared" si="125"/>
        <v>2020.6666666666667</v>
      </c>
      <c r="AL175" s="117">
        <f t="shared" si="126"/>
        <v>2018.75</v>
      </c>
      <c r="AM175" s="117">
        <f t="shared" si="127"/>
        <v>-8.3333333333333329E-2</v>
      </c>
    </row>
    <row r="176" spans="1:39" x14ac:dyDescent="0.25">
      <c r="A176">
        <v>235</v>
      </c>
      <c r="B176" t="s">
        <v>455</v>
      </c>
      <c r="C176" t="s">
        <v>375</v>
      </c>
      <c r="D176" s="27">
        <v>2016</v>
      </c>
      <c r="E176" s="27">
        <v>6</v>
      </c>
      <c r="F176" s="122"/>
      <c r="G176" s="27" t="s">
        <v>312</v>
      </c>
      <c r="H176" s="27">
        <v>5</v>
      </c>
      <c r="I176">
        <f t="shared" si="110"/>
        <v>2021</v>
      </c>
      <c r="L176" s="27" t="s">
        <v>313</v>
      </c>
      <c r="M176" s="27" t="s">
        <v>313</v>
      </c>
      <c r="N176" s="27" t="s">
        <v>313</v>
      </c>
      <c r="O176" s="27" t="s">
        <v>313</v>
      </c>
      <c r="P176" s="29">
        <v>4131</v>
      </c>
      <c r="Q176" s="29"/>
      <c r="R176" s="29">
        <f t="shared" si="111"/>
        <v>4131</v>
      </c>
      <c r="S176" s="115">
        <f t="shared" si="112"/>
        <v>68.850000000000009</v>
      </c>
      <c r="T176" s="115">
        <f t="shared" si="132"/>
        <v>826.2</v>
      </c>
      <c r="U176" s="115">
        <f t="shared" si="113"/>
        <v>0</v>
      </c>
      <c r="V176" s="115">
        <f t="shared" si="114"/>
        <v>826.2</v>
      </c>
      <c r="W176" s="124">
        <v>1</v>
      </c>
      <c r="X176" s="115">
        <f t="shared" si="115"/>
        <v>826.2</v>
      </c>
      <c r="Y176" s="113"/>
      <c r="Z176" s="115">
        <f t="shared" si="128"/>
        <v>1927.7999999999377</v>
      </c>
      <c r="AA176" s="115">
        <f t="shared" si="116"/>
        <v>1927.7999999999377</v>
      </c>
      <c r="AB176" s="123">
        <v>1</v>
      </c>
      <c r="AC176" s="115">
        <f t="shared" si="117"/>
        <v>1927.7999999999377</v>
      </c>
      <c r="AD176" s="115">
        <f t="shared" si="118"/>
        <v>2753.9999999999377</v>
      </c>
      <c r="AE176" s="115">
        <f t="shared" si="119"/>
        <v>1790.1000000000624</v>
      </c>
      <c r="AF176" s="115">
        <f t="shared" si="120"/>
        <v>2016.4166666666667</v>
      </c>
      <c r="AG176" s="115">
        <f t="shared" si="121"/>
        <v>2019.75</v>
      </c>
      <c r="AH176" s="115">
        <f t="shared" si="122"/>
        <v>2021.4166666666667</v>
      </c>
      <c r="AI176" s="117">
        <f t="shared" si="123"/>
        <v>2018.75</v>
      </c>
      <c r="AJ176" s="117">
        <f t="shared" si="124"/>
        <v>-8.3333333333333329E-2</v>
      </c>
      <c r="AK176" s="117">
        <f t="shared" si="125"/>
        <v>2021.4166666666667</v>
      </c>
      <c r="AL176" s="117">
        <f t="shared" si="126"/>
        <v>2018.75</v>
      </c>
      <c r="AM176" s="117">
        <f t="shared" si="127"/>
        <v>-8.3333333333333329E-2</v>
      </c>
    </row>
    <row r="177" spans="1:39" x14ac:dyDescent="0.25">
      <c r="A177">
        <v>236</v>
      </c>
      <c r="B177" t="s">
        <v>456</v>
      </c>
      <c r="C177" t="s">
        <v>375</v>
      </c>
      <c r="D177" s="27">
        <v>2016</v>
      </c>
      <c r="E177" s="27">
        <v>6</v>
      </c>
      <c r="F177" s="122"/>
      <c r="G177" s="27" t="s">
        <v>312</v>
      </c>
      <c r="H177" s="27">
        <v>10</v>
      </c>
      <c r="I177">
        <f t="shared" si="110"/>
        <v>2026</v>
      </c>
      <c r="L177" s="27" t="s">
        <v>313</v>
      </c>
      <c r="M177" s="27" t="s">
        <v>313</v>
      </c>
      <c r="N177" s="27" t="s">
        <v>313</v>
      </c>
      <c r="O177" s="27" t="s">
        <v>313</v>
      </c>
      <c r="P177" s="29">
        <v>53839</v>
      </c>
      <c r="Q177" s="29"/>
      <c r="R177" s="29">
        <f t="shared" si="111"/>
        <v>53839</v>
      </c>
      <c r="S177" s="115">
        <f t="shared" si="112"/>
        <v>448.6583333333333</v>
      </c>
      <c r="T177" s="115">
        <f t="shared" si="132"/>
        <v>5383.9</v>
      </c>
      <c r="U177" s="115">
        <f t="shared" si="113"/>
        <v>0</v>
      </c>
      <c r="V177" s="115">
        <f t="shared" si="114"/>
        <v>5383.9</v>
      </c>
      <c r="W177" s="124">
        <v>1</v>
      </c>
      <c r="X177" s="115">
        <f t="shared" si="115"/>
        <v>5383.9</v>
      </c>
      <c r="Y177" s="113"/>
      <c r="Z177" s="115">
        <f t="shared" si="128"/>
        <v>12562.433333332925</v>
      </c>
      <c r="AA177" s="115">
        <f t="shared" si="116"/>
        <v>12562.433333332925</v>
      </c>
      <c r="AB177" s="123">
        <v>1</v>
      </c>
      <c r="AC177" s="115">
        <f t="shared" si="117"/>
        <v>12562.433333332925</v>
      </c>
      <c r="AD177" s="115">
        <f t="shared" si="118"/>
        <v>17946.333333332925</v>
      </c>
      <c r="AE177" s="115">
        <f t="shared" si="119"/>
        <v>38584.616666667076</v>
      </c>
      <c r="AF177" s="115">
        <f t="shared" si="120"/>
        <v>2016.4166666666667</v>
      </c>
      <c r="AG177" s="115">
        <f t="shared" si="121"/>
        <v>2019.75</v>
      </c>
      <c r="AH177" s="115">
        <f t="shared" si="122"/>
        <v>2026.4166666666667</v>
      </c>
      <c r="AI177" s="117">
        <f t="shared" si="123"/>
        <v>2018.75</v>
      </c>
      <c r="AJ177" s="117">
        <f t="shared" si="124"/>
        <v>-8.3333333333333329E-2</v>
      </c>
      <c r="AK177" s="117">
        <f t="shared" si="125"/>
        <v>2026.4166666666667</v>
      </c>
      <c r="AL177" s="117">
        <f t="shared" si="126"/>
        <v>2018.75</v>
      </c>
      <c r="AM177" s="117">
        <f t="shared" si="127"/>
        <v>-8.3333333333333329E-2</v>
      </c>
    </row>
    <row r="178" spans="1:39" x14ac:dyDescent="0.25">
      <c r="A178">
        <v>237</v>
      </c>
      <c r="B178" t="s">
        <v>457</v>
      </c>
      <c r="C178" t="s">
        <v>375</v>
      </c>
      <c r="D178" s="27">
        <v>2016</v>
      </c>
      <c r="E178" s="27">
        <v>1</v>
      </c>
      <c r="F178" s="122"/>
      <c r="G178" s="27" t="s">
        <v>312</v>
      </c>
      <c r="H178" s="27">
        <v>10</v>
      </c>
      <c r="I178">
        <f t="shared" si="110"/>
        <v>2026</v>
      </c>
      <c r="L178" s="27" t="s">
        <v>313</v>
      </c>
      <c r="M178" s="27" t="s">
        <v>313</v>
      </c>
      <c r="N178" s="27" t="s">
        <v>313</v>
      </c>
      <c r="O178" s="27" t="s">
        <v>313</v>
      </c>
      <c r="P178" s="29">
        <v>47628</v>
      </c>
      <c r="Q178" s="29"/>
      <c r="R178" s="29">
        <f t="shared" si="111"/>
        <v>47628</v>
      </c>
      <c r="S178" s="115">
        <f t="shared" si="112"/>
        <v>396.90000000000003</v>
      </c>
      <c r="T178" s="115">
        <f t="shared" si="132"/>
        <v>4762.8</v>
      </c>
      <c r="U178" s="115">
        <f t="shared" si="113"/>
        <v>0</v>
      </c>
      <c r="V178" s="115">
        <f t="shared" si="114"/>
        <v>4762.8</v>
      </c>
      <c r="W178" s="124">
        <v>1</v>
      </c>
      <c r="X178" s="115">
        <f t="shared" si="115"/>
        <v>4762.8</v>
      </c>
      <c r="Y178" s="113"/>
      <c r="Z178" s="115">
        <f t="shared" si="128"/>
        <v>13097.7</v>
      </c>
      <c r="AA178" s="115">
        <f t="shared" si="116"/>
        <v>13097.7</v>
      </c>
      <c r="AB178" s="123">
        <v>1</v>
      </c>
      <c r="AC178" s="115">
        <f t="shared" si="117"/>
        <v>13097.7</v>
      </c>
      <c r="AD178" s="115">
        <f t="shared" si="118"/>
        <v>17860.5</v>
      </c>
      <c r="AE178" s="115">
        <f t="shared" si="119"/>
        <v>32148.9</v>
      </c>
      <c r="AF178" s="115">
        <f t="shared" si="120"/>
        <v>2016</v>
      </c>
      <c r="AG178" s="115">
        <f t="shared" si="121"/>
        <v>2019.75</v>
      </c>
      <c r="AH178" s="115">
        <f t="shared" si="122"/>
        <v>2026</v>
      </c>
      <c r="AI178" s="117">
        <f t="shared" si="123"/>
        <v>2018.75</v>
      </c>
      <c r="AJ178" s="117">
        <f t="shared" si="124"/>
        <v>-8.3333333333333329E-2</v>
      </c>
      <c r="AK178" s="117">
        <f t="shared" si="125"/>
        <v>2026</v>
      </c>
      <c r="AL178" s="117">
        <f t="shared" si="126"/>
        <v>2018.75</v>
      </c>
      <c r="AM178" s="117">
        <f t="shared" si="127"/>
        <v>-8.3333333333333329E-2</v>
      </c>
    </row>
    <row r="179" spans="1:39" x14ac:dyDescent="0.25">
      <c r="A179">
        <v>239</v>
      </c>
      <c r="B179" t="s">
        <v>454</v>
      </c>
      <c r="C179" t="s">
        <v>375</v>
      </c>
      <c r="D179" s="27">
        <v>2016</v>
      </c>
      <c r="E179" s="27">
        <v>6</v>
      </c>
      <c r="F179" s="122"/>
      <c r="G179" s="27" t="s">
        <v>312</v>
      </c>
      <c r="H179" s="27">
        <v>5</v>
      </c>
      <c r="I179">
        <f t="shared" si="110"/>
        <v>2021</v>
      </c>
      <c r="L179" s="27" t="s">
        <v>313</v>
      </c>
      <c r="M179" s="27" t="s">
        <v>313</v>
      </c>
      <c r="N179" s="27" t="s">
        <v>313</v>
      </c>
      <c r="O179" s="27" t="s">
        <v>313</v>
      </c>
      <c r="P179" s="29">
        <v>2428</v>
      </c>
      <c r="Q179" s="29"/>
      <c r="R179" s="29">
        <f t="shared" si="111"/>
        <v>2428</v>
      </c>
      <c r="S179" s="115">
        <f t="shared" si="112"/>
        <v>40.466666666666669</v>
      </c>
      <c r="T179" s="115">
        <f t="shared" si="132"/>
        <v>485.6</v>
      </c>
      <c r="U179" s="115">
        <f t="shared" si="113"/>
        <v>0</v>
      </c>
      <c r="V179" s="115">
        <f t="shared" si="114"/>
        <v>485.6</v>
      </c>
      <c r="W179" s="124">
        <v>1</v>
      </c>
      <c r="X179" s="115">
        <f t="shared" si="115"/>
        <v>485.6</v>
      </c>
      <c r="Y179" s="113"/>
      <c r="Z179" s="115">
        <f t="shared" si="128"/>
        <v>1133.06666666663</v>
      </c>
      <c r="AA179" s="115">
        <f t="shared" si="116"/>
        <v>1133.06666666663</v>
      </c>
      <c r="AB179" s="123">
        <v>1</v>
      </c>
      <c r="AC179" s="115">
        <f t="shared" si="117"/>
        <v>1133.06666666663</v>
      </c>
      <c r="AD179" s="115">
        <f t="shared" si="118"/>
        <v>1618.6666666666301</v>
      </c>
      <c r="AE179" s="115">
        <f t="shared" si="119"/>
        <v>1052.13333333337</v>
      </c>
      <c r="AF179" s="115">
        <f t="shared" si="120"/>
        <v>2016.4166666666667</v>
      </c>
      <c r="AG179" s="115">
        <f t="shared" si="121"/>
        <v>2019.75</v>
      </c>
      <c r="AH179" s="115">
        <f t="shared" si="122"/>
        <v>2021.4166666666667</v>
      </c>
      <c r="AI179" s="117">
        <f t="shared" si="123"/>
        <v>2018.75</v>
      </c>
      <c r="AJ179" s="117">
        <f t="shared" si="124"/>
        <v>-8.3333333333333329E-2</v>
      </c>
      <c r="AK179" s="117">
        <f t="shared" si="125"/>
        <v>2021.4166666666667</v>
      </c>
      <c r="AL179" s="117">
        <f t="shared" si="126"/>
        <v>2018.75</v>
      </c>
      <c r="AM179" s="117">
        <f t="shared" si="127"/>
        <v>-8.3333333333333329E-2</v>
      </c>
    </row>
    <row r="180" spans="1:39" x14ac:dyDescent="0.25">
      <c r="A180">
        <v>240</v>
      </c>
      <c r="B180" t="s">
        <v>458</v>
      </c>
      <c r="C180" t="s">
        <v>375</v>
      </c>
      <c r="D180" s="27">
        <v>2016</v>
      </c>
      <c r="E180" s="27">
        <v>12</v>
      </c>
      <c r="F180" s="122"/>
      <c r="G180" s="27" t="s">
        <v>312</v>
      </c>
      <c r="H180" s="27">
        <v>5</v>
      </c>
      <c r="I180">
        <f t="shared" si="110"/>
        <v>2021</v>
      </c>
      <c r="L180" s="27" t="s">
        <v>313</v>
      </c>
      <c r="M180" s="27" t="s">
        <v>313</v>
      </c>
      <c r="N180" s="27" t="s">
        <v>313</v>
      </c>
      <c r="O180" s="27" t="s">
        <v>313</v>
      </c>
      <c r="P180" s="29">
        <v>15332</v>
      </c>
      <c r="Q180" s="29"/>
      <c r="R180" s="29">
        <f t="shared" si="111"/>
        <v>15332</v>
      </c>
      <c r="S180" s="115">
        <f t="shared" si="112"/>
        <v>255.53333333333333</v>
      </c>
      <c r="T180" s="115">
        <f t="shared" si="132"/>
        <v>3066.4</v>
      </c>
      <c r="U180" s="115">
        <f t="shared" si="113"/>
        <v>0</v>
      </c>
      <c r="V180" s="115">
        <f t="shared" si="114"/>
        <v>3066.4</v>
      </c>
      <c r="W180" s="124">
        <v>1</v>
      </c>
      <c r="X180" s="115">
        <f t="shared" si="115"/>
        <v>3066.4</v>
      </c>
      <c r="Y180" s="113"/>
      <c r="Z180" s="115">
        <f t="shared" si="128"/>
        <v>5621.7333333331007</v>
      </c>
      <c r="AA180" s="115">
        <f t="shared" si="116"/>
        <v>5621.7333333331007</v>
      </c>
      <c r="AB180" s="123">
        <v>1</v>
      </c>
      <c r="AC180" s="115">
        <f t="shared" si="117"/>
        <v>5621.7333333331007</v>
      </c>
      <c r="AD180" s="115">
        <f t="shared" si="118"/>
        <v>8688.1333333331004</v>
      </c>
      <c r="AE180" s="115">
        <f t="shared" si="119"/>
        <v>8177.0666666668994</v>
      </c>
      <c r="AF180" s="115">
        <f t="shared" si="120"/>
        <v>2016.9166666666667</v>
      </c>
      <c r="AG180" s="115">
        <f t="shared" si="121"/>
        <v>2019.75</v>
      </c>
      <c r="AH180" s="115">
        <f t="shared" si="122"/>
        <v>2021.9166666666667</v>
      </c>
      <c r="AI180" s="117">
        <f t="shared" si="123"/>
        <v>2018.75</v>
      </c>
      <c r="AJ180" s="117">
        <f t="shared" si="124"/>
        <v>-8.3333333333333329E-2</v>
      </c>
      <c r="AK180" s="117">
        <f t="shared" si="125"/>
        <v>2021.9166666666667</v>
      </c>
      <c r="AL180" s="117">
        <f t="shared" si="126"/>
        <v>2018.75</v>
      </c>
      <c r="AM180" s="117">
        <f t="shared" si="127"/>
        <v>-8.3333333333333329E-2</v>
      </c>
    </row>
    <row r="181" spans="1:39" x14ac:dyDescent="0.25">
      <c r="A181">
        <v>255</v>
      </c>
      <c r="B181" t="s">
        <v>459</v>
      </c>
      <c r="C181" t="s">
        <v>375</v>
      </c>
      <c r="D181" s="27">
        <v>2017</v>
      </c>
      <c r="E181" s="27">
        <v>3</v>
      </c>
      <c r="F181" s="122"/>
      <c r="G181" s="27" t="s">
        <v>312</v>
      </c>
      <c r="H181" s="27">
        <v>10</v>
      </c>
      <c r="I181">
        <f t="shared" si="110"/>
        <v>2027</v>
      </c>
      <c r="L181" s="27" t="s">
        <v>313</v>
      </c>
      <c r="M181" s="27" t="s">
        <v>313</v>
      </c>
      <c r="N181" s="27" t="s">
        <v>313</v>
      </c>
      <c r="O181" s="27" t="s">
        <v>313</v>
      </c>
      <c r="P181" s="29">
        <v>105450</v>
      </c>
      <c r="Q181" s="29"/>
      <c r="R181" s="29">
        <f t="shared" si="111"/>
        <v>105450</v>
      </c>
      <c r="S181" s="115">
        <f t="shared" si="112"/>
        <v>878.75</v>
      </c>
      <c r="T181" s="115">
        <f t="shared" si="132"/>
        <v>10545</v>
      </c>
      <c r="U181" s="115">
        <f t="shared" si="113"/>
        <v>0</v>
      </c>
      <c r="V181" s="115">
        <f t="shared" si="114"/>
        <v>10545</v>
      </c>
      <c r="W181" s="124">
        <v>1</v>
      </c>
      <c r="X181" s="115">
        <f t="shared" si="115"/>
        <v>10545</v>
      </c>
      <c r="Y181" s="113"/>
      <c r="Z181" s="115">
        <f t="shared" si="128"/>
        <v>16696.2499999992</v>
      </c>
      <c r="AA181" s="115">
        <f t="shared" si="116"/>
        <v>16696.2499999992</v>
      </c>
      <c r="AB181" s="123">
        <v>1</v>
      </c>
      <c r="AC181" s="115">
        <f t="shared" si="117"/>
        <v>16696.2499999992</v>
      </c>
      <c r="AD181" s="115">
        <f t="shared" si="118"/>
        <v>27241.2499999992</v>
      </c>
      <c r="AE181" s="115">
        <f t="shared" si="119"/>
        <v>83481.2500000008</v>
      </c>
      <c r="AF181" s="115">
        <f t="shared" si="120"/>
        <v>2017.1666666666667</v>
      </c>
      <c r="AG181" s="115">
        <f t="shared" si="121"/>
        <v>2019.75</v>
      </c>
      <c r="AH181" s="115">
        <f t="shared" si="122"/>
        <v>2027.1666666666667</v>
      </c>
      <c r="AI181" s="117">
        <f t="shared" si="123"/>
        <v>2018.75</v>
      </c>
      <c r="AJ181" s="117">
        <f t="shared" si="124"/>
        <v>-8.3333333333333329E-2</v>
      </c>
      <c r="AK181" s="117">
        <f t="shared" si="125"/>
        <v>2027.1666666666667</v>
      </c>
      <c r="AL181" s="117">
        <f t="shared" si="126"/>
        <v>2018.75</v>
      </c>
      <c r="AM181" s="117">
        <f t="shared" si="127"/>
        <v>-8.3333333333333329E-2</v>
      </c>
    </row>
    <row r="182" spans="1:39" x14ac:dyDescent="0.25">
      <c r="A182">
        <v>260</v>
      </c>
      <c r="B182" t="s">
        <v>460</v>
      </c>
      <c r="C182" t="s">
        <v>375</v>
      </c>
      <c r="D182" s="27">
        <v>2017</v>
      </c>
      <c r="E182" s="27">
        <v>12</v>
      </c>
      <c r="F182" s="122"/>
      <c r="G182" s="27" t="s">
        <v>312</v>
      </c>
      <c r="H182" s="27">
        <v>10</v>
      </c>
      <c r="I182">
        <f t="shared" si="110"/>
        <v>2027</v>
      </c>
      <c r="L182" s="27" t="s">
        <v>313</v>
      </c>
      <c r="M182" s="27" t="s">
        <v>313</v>
      </c>
      <c r="N182" s="27" t="s">
        <v>313</v>
      </c>
      <c r="O182" s="27" t="s">
        <v>313</v>
      </c>
      <c r="P182" s="29">
        <v>33872.6</v>
      </c>
      <c r="Q182" s="29"/>
      <c r="R182" s="29">
        <f t="shared" si="111"/>
        <v>33872.6</v>
      </c>
      <c r="S182" s="115">
        <f t="shared" si="112"/>
        <v>282.27166666666665</v>
      </c>
      <c r="T182" s="115">
        <f t="shared" si="132"/>
        <v>3387.2599999999998</v>
      </c>
      <c r="U182" s="115">
        <f t="shared" si="113"/>
        <v>0</v>
      </c>
      <c r="V182" s="115">
        <f t="shared" si="114"/>
        <v>3387.2599999999998</v>
      </c>
      <c r="W182" s="124">
        <v>1</v>
      </c>
      <c r="X182" s="115">
        <f t="shared" si="115"/>
        <v>3387.2599999999998</v>
      </c>
      <c r="Y182" s="113"/>
      <c r="Z182" s="115">
        <f t="shared" si="128"/>
        <v>2822.7166666664098</v>
      </c>
      <c r="AA182" s="115">
        <f t="shared" si="116"/>
        <v>2822.7166666664098</v>
      </c>
      <c r="AB182" s="123">
        <v>1</v>
      </c>
      <c r="AC182" s="115">
        <f t="shared" si="117"/>
        <v>2822.7166666664098</v>
      </c>
      <c r="AD182" s="115">
        <f t="shared" si="118"/>
        <v>6209.9766666664091</v>
      </c>
      <c r="AE182" s="115">
        <f t="shared" si="119"/>
        <v>29356.253333333589</v>
      </c>
      <c r="AF182" s="115">
        <f t="shared" si="120"/>
        <v>2017.9166666666667</v>
      </c>
      <c r="AG182" s="115">
        <f t="shared" si="121"/>
        <v>2019.75</v>
      </c>
      <c r="AH182" s="115">
        <f t="shared" si="122"/>
        <v>2027.9166666666667</v>
      </c>
      <c r="AI182" s="117">
        <f t="shared" si="123"/>
        <v>2018.75</v>
      </c>
      <c r="AJ182" s="117">
        <f t="shared" si="124"/>
        <v>-8.3333333333333329E-2</v>
      </c>
      <c r="AK182" s="117">
        <f t="shared" si="125"/>
        <v>2027.9166666666667</v>
      </c>
      <c r="AL182" s="117">
        <f t="shared" si="126"/>
        <v>2018.75</v>
      </c>
      <c r="AM182" s="117">
        <f t="shared" si="127"/>
        <v>-8.3333333333333329E-2</v>
      </c>
    </row>
    <row r="183" spans="1:39" x14ac:dyDescent="0.25">
      <c r="A183">
        <v>261</v>
      </c>
      <c r="B183" t="s">
        <v>460</v>
      </c>
      <c r="C183" t="s">
        <v>375</v>
      </c>
      <c r="D183" s="27">
        <v>2018</v>
      </c>
      <c r="E183" s="27">
        <v>1</v>
      </c>
      <c r="F183" s="122"/>
      <c r="G183" s="27" t="s">
        <v>312</v>
      </c>
      <c r="H183" s="27">
        <v>10</v>
      </c>
      <c r="I183">
        <f t="shared" si="110"/>
        <v>2028</v>
      </c>
      <c r="L183" s="27" t="s">
        <v>313</v>
      </c>
      <c r="M183" s="27" t="s">
        <v>313</v>
      </c>
      <c r="N183" s="27" t="s">
        <v>313</v>
      </c>
      <c r="O183" s="27" t="s">
        <v>313</v>
      </c>
      <c r="P183" s="29">
        <v>56142</v>
      </c>
      <c r="Q183" s="29"/>
      <c r="R183" s="29">
        <f t="shared" si="111"/>
        <v>56142</v>
      </c>
      <c r="S183" s="115">
        <f t="shared" si="112"/>
        <v>467.84999999999997</v>
      </c>
      <c r="T183" s="115">
        <f t="shared" si="132"/>
        <v>5614.2</v>
      </c>
      <c r="U183" s="115">
        <f t="shared" si="113"/>
        <v>0</v>
      </c>
      <c r="V183" s="115">
        <f t="shared" si="114"/>
        <v>5614.2</v>
      </c>
      <c r="W183" s="124">
        <v>1</v>
      </c>
      <c r="X183" s="115">
        <f t="shared" si="115"/>
        <v>5614.2</v>
      </c>
      <c r="Y183" s="113"/>
      <c r="Z183" s="115">
        <f t="shared" si="128"/>
        <v>4210.6499999999996</v>
      </c>
      <c r="AA183" s="115">
        <f t="shared" si="116"/>
        <v>4210.6499999999996</v>
      </c>
      <c r="AB183" s="123">
        <v>1</v>
      </c>
      <c r="AC183" s="115">
        <f t="shared" si="117"/>
        <v>4210.6499999999996</v>
      </c>
      <c r="AD183" s="115">
        <f t="shared" si="118"/>
        <v>9824.8499999999985</v>
      </c>
      <c r="AE183" s="115">
        <f t="shared" si="119"/>
        <v>49124.25</v>
      </c>
      <c r="AF183" s="115">
        <f t="shared" si="120"/>
        <v>2018</v>
      </c>
      <c r="AG183" s="115">
        <f t="shared" si="121"/>
        <v>2019.75</v>
      </c>
      <c r="AH183" s="115">
        <f t="shared" si="122"/>
        <v>2028</v>
      </c>
      <c r="AI183" s="117">
        <f t="shared" si="123"/>
        <v>2018.75</v>
      </c>
      <c r="AJ183" s="117">
        <f t="shared" si="124"/>
        <v>-8.3333333333333329E-2</v>
      </c>
      <c r="AK183" s="117">
        <f t="shared" si="125"/>
        <v>2028</v>
      </c>
      <c r="AL183" s="117">
        <f t="shared" si="126"/>
        <v>2018.75</v>
      </c>
      <c r="AM183" s="117">
        <f t="shared" si="127"/>
        <v>-8.3333333333333329E-2</v>
      </c>
    </row>
    <row r="184" spans="1:39" x14ac:dyDescent="0.25">
      <c r="A184">
        <v>272</v>
      </c>
      <c r="B184" t="s">
        <v>461</v>
      </c>
      <c r="C184" t="s">
        <v>375</v>
      </c>
      <c r="D184" s="27">
        <v>2018</v>
      </c>
      <c r="E184" s="27">
        <v>5</v>
      </c>
      <c r="F184" s="122"/>
      <c r="G184" s="27" t="s">
        <v>312</v>
      </c>
      <c r="H184" s="27">
        <v>10</v>
      </c>
      <c r="I184">
        <f t="shared" si="110"/>
        <v>2028</v>
      </c>
      <c r="L184" s="27" t="s">
        <v>313</v>
      </c>
      <c r="M184" s="27" t="s">
        <v>313</v>
      </c>
      <c r="N184" s="27" t="s">
        <v>313</v>
      </c>
      <c r="O184" s="27" t="s">
        <v>313</v>
      </c>
      <c r="P184" s="29">
        <v>11742</v>
      </c>
      <c r="Q184" s="29"/>
      <c r="R184" s="29">
        <f t="shared" si="111"/>
        <v>11742</v>
      </c>
      <c r="S184" s="115">
        <f t="shared" si="112"/>
        <v>97.850000000000009</v>
      </c>
      <c r="T184" s="115">
        <f t="shared" si="132"/>
        <v>1174.2</v>
      </c>
      <c r="U184" s="115">
        <f t="shared" si="113"/>
        <v>0</v>
      </c>
      <c r="V184" s="115">
        <f t="shared" si="114"/>
        <v>1174.2</v>
      </c>
      <c r="W184" s="124">
        <v>1</v>
      </c>
      <c r="X184" s="115">
        <f t="shared" si="115"/>
        <v>1174.2</v>
      </c>
      <c r="Y184" s="113"/>
      <c r="Z184" s="115">
        <f t="shared" si="128"/>
        <v>489.25000000008902</v>
      </c>
      <c r="AA184" s="115">
        <f t="shared" si="116"/>
        <v>489.25000000008902</v>
      </c>
      <c r="AB184" s="123">
        <v>1</v>
      </c>
      <c r="AC184" s="115">
        <f t="shared" si="117"/>
        <v>489.25000000008902</v>
      </c>
      <c r="AD184" s="115">
        <f t="shared" si="118"/>
        <v>1663.4500000000889</v>
      </c>
      <c r="AE184" s="115">
        <f t="shared" si="119"/>
        <v>10665.649999999911</v>
      </c>
      <c r="AF184" s="115">
        <f t="shared" si="120"/>
        <v>2018.3333333333333</v>
      </c>
      <c r="AG184" s="115">
        <f t="shared" si="121"/>
        <v>2019.75</v>
      </c>
      <c r="AH184" s="115">
        <f t="shared" si="122"/>
        <v>2028.3333333333333</v>
      </c>
      <c r="AI184" s="117">
        <f t="shared" si="123"/>
        <v>2018.75</v>
      </c>
      <c r="AJ184" s="117">
        <f t="shared" si="124"/>
        <v>-8.3333333333333329E-2</v>
      </c>
      <c r="AK184" s="117">
        <f t="shared" si="125"/>
        <v>2028.3333333333333</v>
      </c>
      <c r="AL184" s="117">
        <f t="shared" si="126"/>
        <v>2018.75</v>
      </c>
      <c r="AM184" s="117">
        <f t="shared" si="127"/>
        <v>-8.3333333333333329E-2</v>
      </c>
    </row>
    <row r="185" spans="1:39" x14ac:dyDescent="0.25">
      <c r="A185">
        <v>262</v>
      </c>
      <c r="B185" t="s">
        <v>462</v>
      </c>
      <c r="C185" t="s">
        <v>375</v>
      </c>
      <c r="D185" s="27">
        <v>2018</v>
      </c>
      <c r="E185" s="27">
        <v>6</v>
      </c>
      <c r="F185" s="122"/>
      <c r="G185" s="27" t="s">
        <v>312</v>
      </c>
      <c r="H185" s="27">
        <v>10</v>
      </c>
      <c r="I185">
        <f t="shared" si="110"/>
        <v>2028</v>
      </c>
      <c r="L185" s="27" t="s">
        <v>313</v>
      </c>
      <c r="M185" s="27" t="s">
        <v>313</v>
      </c>
      <c r="N185" s="27" t="s">
        <v>313</v>
      </c>
      <c r="O185" s="27" t="s">
        <v>313</v>
      </c>
      <c r="P185" s="29">
        <v>16250</v>
      </c>
      <c r="Q185" s="29"/>
      <c r="R185" s="29">
        <f t="shared" si="111"/>
        <v>16250</v>
      </c>
      <c r="S185" s="115">
        <f t="shared" si="112"/>
        <v>135.41666666666666</v>
      </c>
      <c r="T185" s="115">
        <f t="shared" si="132"/>
        <v>1625</v>
      </c>
      <c r="U185" s="115">
        <f t="shared" si="113"/>
        <v>0</v>
      </c>
      <c r="V185" s="115">
        <f t="shared" si="114"/>
        <v>1625</v>
      </c>
      <c r="W185" s="124">
        <v>1</v>
      </c>
      <c r="X185" s="115">
        <f t="shared" si="115"/>
        <v>1625</v>
      </c>
      <c r="Y185" s="113"/>
      <c r="Z185" s="115">
        <f t="shared" si="128"/>
        <v>541.66666666654351</v>
      </c>
      <c r="AA185" s="115">
        <f t="shared" si="116"/>
        <v>541.66666666654351</v>
      </c>
      <c r="AB185" s="123">
        <v>1</v>
      </c>
      <c r="AC185" s="115">
        <f t="shared" si="117"/>
        <v>541.66666666654351</v>
      </c>
      <c r="AD185" s="115">
        <f t="shared" si="118"/>
        <v>2166.6666666665433</v>
      </c>
      <c r="AE185" s="115">
        <f t="shared" si="119"/>
        <v>14895.833333333456</v>
      </c>
      <c r="AF185" s="115">
        <f t="shared" si="120"/>
        <v>2018.4166666666667</v>
      </c>
      <c r="AG185" s="115">
        <f t="shared" si="121"/>
        <v>2019.75</v>
      </c>
      <c r="AH185" s="115">
        <f t="shared" si="122"/>
        <v>2028.4166666666667</v>
      </c>
      <c r="AI185" s="117">
        <f t="shared" si="123"/>
        <v>2018.75</v>
      </c>
      <c r="AJ185" s="117">
        <f t="shared" si="124"/>
        <v>-8.3333333333333329E-2</v>
      </c>
      <c r="AK185" s="117">
        <f t="shared" si="125"/>
        <v>2028.4166666666667</v>
      </c>
      <c r="AL185" s="117">
        <f t="shared" si="126"/>
        <v>2018.75</v>
      </c>
      <c r="AM185" s="117">
        <f t="shared" si="127"/>
        <v>-8.3333333333333329E-2</v>
      </c>
    </row>
    <row r="186" spans="1:39" x14ac:dyDescent="0.25">
      <c r="A186">
        <v>263</v>
      </c>
      <c r="B186" t="s">
        <v>458</v>
      </c>
      <c r="C186" t="s">
        <v>375</v>
      </c>
      <c r="D186" s="27">
        <v>2018</v>
      </c>
      <c r="E186" s="27">
        <v>6</v>
      </c>
      <c r="F186" s="122"/>
      <c r="G186" s="27" t="s">
        <v>312</v>
      </c>
      <c r="H186" s="27">
        <v>10</v>
      </c>
      <c r="I186">
        <f t="shared" si="110"/>
        <v>2028</v>
      </c>
      <c r="L186" s="27" t="s">
        <v>313</v>
      </c>
      <c r="M186" s="27" t="s">
        <v>313</v>
      </c>
      <c r="N186" s="27" t="s">
        <v>313</v>
      </c>
      <c r="O186" s="27" t="s">
        <v>313</v>
      </c>
      <c r="P186" s="29">
        <v>13422</v>
      </c>
      <c r="Q186" s="29"/>
      <c r="R186" s="29">
        <f t="shared" si="111"/>
        <v>13422</v>
      </c>
      <c r="S186" s="115">
        <f t="shared" si="112"/>
        <v>111.85000000000001</v>
      </c>
      <c r="T186" s="115">
        <f t="shared" si="132"/>
        <v>1342.2</v>
      </c>
      <c r="U186" s="115">
        <f t="shared" si="113"/>
        <v>0</v>
      </c>
      <c r="V186" s="115">
        <f t="shared" si="114"/>
        <v>1342.2</v>
      </c>
      <c r="W186" s="124">
        <v>1</v>
      </c>
      <c r="X186" s="115">
        <f t="shared" si="115"/>
        <v>1342.2</v>
      </c>
      <c r="Y186" s="113"/>
      <c r="Z186" s="115">
        <f t="shared" si="128"/>
        <v>447.39999999989828</v>
      </c>
      <c r="AA186" s="115">
        <f t="shared" si="116"/>
        <v>447.39999999989828</v>
      </c>
      <c r="AB186" s="123">
        <v>1</v>
      </c>
      <c r="AC186" s="115">
        <f t="shared" si="117"/>
        <v>447.39999999989828</v>
      </c>
      <c r="AD186" s="115">
        <f t="shared" si="118"/>
        <v>1789.5999999998983</v>
      </c>
      <c r="AE186" s="115">
        <f t="shared" si="119"/>
        <v>12303.500000000102</v>
      </c>
      <c r="AF186" s="115">
        <f t="shared" si="120"/>
        <v>2018.4166666666667</v>
      </c>
      <c r="AG186" s="115">
        <f t="shared" si="121"/>
        <v>2019.75</v>
      </c>
      <c r="AH186" s="115">
        <f t="shared" si="122"/>
        <v>2028.4166666666667</v>
      </c>
      <c r="AI186" s="117">
        <f t="shared" si="123"/>
        <v>2018.75</v>
      </c>
      <c r="AJ186" s="117">
        <f t="shared" si="124"/>
        <v>-8.3333333333333329E-2</v>
      </c>
      <c r="AK186" s="117">
        <f t="shared" si="125"/>
        <v>2028.4166666666667</v>
      </c>
      <c r="AL186" s="117">
        <f t="shared" si="126"/>
        <v>2018.75</v>
      </c>
      <c r="AM186" s="117">
        <f t="shared" si="127"/>
        <v>-8.3333333333333329E-2</v>
      </c>
    </row>
    <row r="187" spans="1:39" x14ac:dyDescent="0.25">
      <c r="A187">
        <v>274</v>
      </c>
      <c r="B187" t="s">
        <v>463</v>
      </c>
      <c r="C187" t="s">
        <v>375</v>
      </c>
      <c r="D187" s="27">
        <v>2018</v>
      </c>
      <c r="E187" s="27">
        <v>7</v>
      </c>
      <c r="F187" s="122"/>
      <c r="G187" s="27" t="s">
        <v>312</v>
      </c>
      <c r="H187" s="27">
        <v>10</v>
      </c>
      <c r="I187">
        <f t="shared" si="110"/>
        <v>2028</v>
      </c>
      <c r="L187" s="27" t="s">
        <v>313</v>
      </c>
      <c r="M187" s="27" t="s">
        <v>313</v>
      </c>
      <c r="N187" s="27" t="s">
        <v>313</v>
      </c>
      <c r="O187" s="27" t="s">
        <v>313</v>
      </c>
      <c r="P187" s="29">
        <v>9800</v>
      </c>
      <c r="Q187" s="29"/>
      <c r="R187" s="29">
        <f t="shared" si="111"/>
        <v>9800</v>
      </c>
      <c r="S187" s="115">
        <f t="shared" si="112"/>
        <v>81.666666666666671</v>
      </c>
      <c r="T187" s="115">
        <f t="shared" si="132"/>
        <v>980</v>
      </c>
      <c r="U187" s="115">
        <f t="shared" si="113"/>
        <v>0</v>
      </c>
      <c r="V187" s="115">
        <f t="shared" si="114"/>
        <v>980</v>
      </c>
      <c r="W187" s="124">
        <v>1</v>
      </c>
      <c r="X187" s="115">
        <f t="shared" si="115"/>
        <v>980</v>
      </c>
      <c r="Y187" s="113"/>
      <c r="Z187" s="115">
        <f t="shared" si="128"/>
        <v>245</v>
      </c>
      <c r="AA187" s="115">
        <f t="shared" si="116"/>
        <v>245</v>
      </c>
      <c r="AB187" s="123">
        <v>1</v>
      </c>
      <c r="AC187" s="115">
        <f t="shared" si="117"/>
        <v>245</v>
      </c>
      <c r="AD187" s="115">
        <f t="shared" si="118"/>
        <v>1225</v>
      </c>
      <c r="AE187" s="115">
        <f t="shared" si="119"/>
        <v>9065</v>
      </c>
      <c r="AF187" s="115">
        <f t="shared" si="120"/>
        <v>2018.5</v>
      </c>
      <c r="AG187" s="115">
        <f t="shared" si="121"/>
        <v>2019.75</v>
      </c>
      <c r="AH187" s="115">
        <f t="shared" si="122"/>
        <v>2028.5</v>
      </c>
      <c r="AI187" s="117">
        <f t="shared" si="123"/>
        <v>2018.75</v>
      </c>
      <c r="AJ187" s="117">
        <f t="shared" si="124"/>
        <v>-8.3333333333333329E-2</v>
      </c>
      <c r="AK187" s="117">
        <f t="shared" si="125"/>
        <v>2028.5</v>
      </c>
      <c r="AL187" s="117">
        <f t="shared" si="126"/>
        <v>2018.75</v>
      </c>
      <c r="AM187" s="117">
        <f t="shared" si="127"/>
        <v>-8.3333333333333329E-2</v>
      </c>
    </row>
    <row r="188" spans="1:39" x14ac:dyDescent="0.25">
      <c r="A188">
        <v>275</v>
      </c>
      <c r="B188" t="s">
        <v>464</v>
      </c>
      <c r="C188" t="s">
        <v>375</v>
      </c>
      <c r="D188" s="27">
        <v>2018</v>
      </c>
      <c r="E188" s="27">
        <v>7</v>
      </c>
      <c r="F188" s="122"/>
      <c r="G188" s="27" t="s">
        <v>312</v>
      </c>
      <c r="H188" s="27">
        <v>10</v>
      </c>
      <c r="I188">
        <f t="shared" si="110"/>
        <v>2028</v>
      </c>
      <c r="L188" s="27" t="s">
        <v>313</v>
      </c>
      <c r="M188" s="27" t="s">
        <v>313</v>
      </c>
      <c r="N188" s="27" t="s">
        <v>313</v>
      </c>
      <c r="O188" s="27" t="s">
        <v>313</v>
      </c>
      <c r="P188" s="29">
        <v>5855</v>
      </c>
      <c r="Q188" s="29"/>
      <c r="R188" s="29">
        <f t="shared" si="111"/>
        <v>5855</v>
      </c>
      <c r="S188" s="115">
        <f t="shared" si="112"/>
        <v>48.791666666666664</v>
      </c>
      <c r="T188" s="115">
        <f t="shared" si="132"/>
        <v>585.5</v>
      </c>
      <c r="U188" s="115">
        <f t="shared" si="113"/>
        <v>0</v>
      </c>
      <c r="V188" s="115">
        <f t="shared" si="114"/>
        <v>585.5</v>
      </c>
      <c r="W188" s="124">
        <v>1</v>
      </c>
      <c r="X188" s="115">
        <f t="shared" si="115"/>
        <v>585.5</v>
      </c>
      <c r="Y188" s="113"/>
      <c r="Z188" s="115">
        <f t="shared" si="128"/>
        <v>146.375</v>
      </c>
      <c r="AA188" s="115">
        <f t="shared" si="116"/>
        <v>146.375</v>
      </c>
      <c r="AB188" s="123">
        <v>1</v>
      </c>
      <c r="AC188" s="115">
        <f t="shared" si="117"/>
        <v>146.375</v>
      </c>
      <c r="AD188" s="115">
        <f t="shared" si="118"/>
        <v>731.875</v>
      </c>
      <c r="AE188" s="115">
        <f t="shared" si="119"/>
        <v>5415.875</v>
      </c>
      <c r="AF188" s="115">
        <f t="shared" si="120"/>
        <v>2018.5</v>
      </c>
      <c r="AG188" s="115">
        <f t="shared" si="121"/>
        <v>2019.75</v>
      </c>
      <c r="AH188" s="115">
        <f t="shared" si="122"/>
        <v>2028.5</v>
      </c>
      <c r="AI188" s="117">
        <f t="shared" si="123"/>
        <v>2018.75</v>
      </c>
      <c r="AJ188" s="117">
        <f t="shared" si="124"/>
        <v>-8.3333333333333329E-2</v>
      </c>
      <c r="AK188" s="117">
        <f t="shared" si="125"/>
        <v>2028.5</v>
      </c>
      <c r="AL188" s="117">
        <f t="shared" si="126"/>
        <v>2018.75</v>
      </c>
      <c r="AM188" s="117">
        <f t="shared" si="127"/>
        <v>-8.3333333333333329E-2</v>
      </c>
    </row>
    <row r="189" spans="1:39" x14ac:dyDescent="0.25">
      <c r="A189">
        <v>264</v>
      </c>
      <c r="B189" t="s">
        <v>465</v>
      </c>
      <c r="C189" t="s">
        <v>375</v>
      </c>
      <c r="D189" s="27">
        <v>2018</v>
      </c>
      <c r="E189" s="27">
        <v>10</v>
      </c>
      <c r="F189" s="122"/>
      <c r="G189" s="27" t="s">
        <v>312</v>
      </c>
      <c r="H189" s="27">
        <v>10</v>
      </c>
      <c r="I189">
        <f t="shared" si="110"/>
        <v>2028</v>
      </c>
      <c r="L189" s="27" t="s">
        <v>313</v>
      </c>
      <c r="M189" s="27" t="s">
        <v>313</v>
      </c>
      <c r="N189" s="27" t="s">
        <v>313</v>
      </c>
      <c r="O189" s="27" t="s">
        <v>313</v>
      </c>
      <c r="P189" s="29">
        <v>37637.54</v>
      </c>
      <c r="Q189" s="29"/>
      <c r="R189" s="29">
        <f t="shared" si="111"/>
        <v>37637.54</v>
      </c>
      <c r="S189" s="115">
        <f t="shared" si="112"/>
        <v>313.64616666666666</v>
      </c>
      <c r="T189" s="115">
        <f t="shared" si="132"/>
        <v>3763.7539999999999</v>
      </c>
      <c r="U189" s="115">
        <f t="shared" si="113"/>
        <v>0</v>
      </c>
      <c r="V189" s="115">
        <f t="shared" si="114"/>
        <v>3763.7539999999999</v>
      </c>
      <c r="W189" s="124">
        <v>1</v>
      </c>
      <c r="X189" s="115">
        <f t="shared" si="115"/>
        <v>3763.7539999999999</v>
      </c>
      <c r="Y189" s="113"/>
      <c r="Z189" s="115">
        <f t="shared" si="128"/>
        <v>0</v>
      </c>
      <c r="AA189" s="115">
        <f t="shared" si="116"/>
        <v>0</v>
      </c>
      <c r="AB189" s="123">
        <v>1</v>
      </c>
      <c r="AC189" s="115">
        <f t="shared" si="117"/>
        <v>0</v>
      </c>
      <c r="AD189" s="115">
        <f t="shared" si="118"/>
        <v>3763.7539999999999</v>
      </c>
      <c r="AE189" s="115">
        <f t="shared" si="119"/>
        <v>16936.893</v>
      </c>
      <c r="AF189" s="115">
        <f t="shared" si="120"/>
        <v>2018.75</v>
      </c>
      <c r="AG189" s="115">
        <f t="shared" si="121"/>
        <v>2019.75</v>
      </c>
      <c r="AH189" s="115">
        <f t="shared" si="122"/>
        <v>2028.75</v>
      </c>
      <c r="AI189" s="117">
        <f t="shared" si="123"/>
        <v>2018.75</v>
      </c>
      <c r="AJ189" s="117">
        <f t="shared" si="124"/>
        <v>-8.3333333333333329E-2</v>
      </c>
      <c r="AK189" s="117">
        <f t="shared" si="125"/>
        <v>2028.75</v>
      </c>
      <c r="AL189" s="117">
        <f t="shared" si="126"/>
        <v>2018.75</v>
      </c>
      <c r="AM189" s="117">
        <f t="shared" si="127"/>
        <v>-8.3333333333333329E-2</v>
      </c>
    </row>
    <row r="190" spans="1:39" x14ac:dyDescent="0.25">
      <c r="A190">
        <v>271</v>
      </c>
      <c r="B190" t="s">
        <v>466</v>
      </c>
      <c r="C190" t="s">
        <v>375</v>
      </c>
      <c r="D190" s="27">
        <v>2018</v>
      </c>
      <c r="E190" s="27">
        <v>10</v>
      </c>
      <c r="F190" s="122"/>
      <c r="G190" s="27" t="s">
        <v>312</v>
      </c>
      <c r="H190" s="27">
        <v>10</v>
      </c>
      <c r="I190">
        <f t="shared" si="110"/>
        <v>2028</v>
      </c>
      <c r="L190" s="27" t="s">
        <v>313</v>
      </c>
      <c r="M190" s="27" t="s">
        <v>313</v>
      </c>
      <c r="N190" s="27" t="s">
        <v>313</v>
      </c>
      <c r="O190" s="27" t="s">
        <v>313</v>
      </c>
      <c r="P190" s="29">
        <v>14621</v>
      </c>
      <c r="Q190" s="29"/>
      <c r="R190" s="29">
        <f t="shared" si="111"/>
        <v>14621</v>
      </c>
      <c r="S190" s="115">
        <f t="shared" si="112"/>
        <v>121.84166666666665</v>
      </c>
      <c r="T190" s="115">
        <f t="shared" si="132"/>
        <v>1462.1</v>
      </c>
      <c r="U190" s="115">
        <f t="shared" si="113"/>
        <v>0</v>
      </c>
      <c r="V190" s="115">
        <f t="shared" si="114"/>
        <v>1462.1</v>
      </c>
      <c r="W190" s="124">
        <v>1</v>
      </c>
      <c r="X190" s="115">
        <f t="shared" si="115"/>
        <v>1462.1</v>
      </c>
      <c r="Y190" s="113"/>
      <c r="Z190" s="115">
        <f t="shared" si="128"/>
        <v>0</v>
      </c>
      <c r="AA190" s="115">
        <f t="shared" si="116"/>
        <v>0</v>
      </c>
      <c r="AB190" s="123">
        <v>1</v>
      </c>
      <c r="AC190" s="115">
        <f t="shared" si="117"/>
        <v>0</v>
      </c>
      <c r="AD190" s="115">
        <f t="shared" si="118"/>
        <v>1462.1</v>
      </c>
      <c r="AE190" s="115">
        <f t="shared" si="119"/>
        <v>6579.45</v>
      </c>
      <c r="AF190" s="115">
        <f t="shared" si="120"/>
        <v>2018.75</v>
      </c>
      <c r="AG190" s="115">
        <f t="shared" si="121"/>
        <v>2019.75</v>
      </c>
      <c r="AH190" s="115">
        <f t="shared" si="122"/>
        <v>2028.75</v>
      </c>
      <c r="AI190" s="117">
        <f t="shared" si="123"/>
        <v>2018.75</v>
      </c>
      <c r="AJ190" s="117">
        <f t="shared" si="124"/>
        <v>-8.3333333333333329E-2</v>
      </c>
      <c r="AK190" s="117">
        <f t="shared" si="125"/>
        <v>2028.75</v>
      </c>
      <c r="AL190" s="117">
        <f t="shared" si="126"/>
        <v>2018.75</v>
      </c>
      <c r="AM190" s="117">
        <f t="shared" si="127"/>
        <v>-8.3333333333333329E-2</v>
      </c>
    </row>
    <row r="191" spans="1:39" x14ac:dyDescent="0.25">
      <c r="B191" t="s">
        <v>467</v>
      </c>
      <c r="C191" t="s">
        <v>375</v>
      </c>
      <c r="D191" s="27">
        <v>2019</v>
      </c>
      <c r="E191" s="27">
        <v>4</v>
      </c>
      <c r="F191" s="122"/>
      <c r="G191" s="27" t="s">
        <v>312</v>
      </c>
      <c r="H191" s="27">
        <v>10</v>
      </c>
      <c r="I191">
        <f t="shared" si="110"/>
        <v>2029</v>
      </c>
      <c r="L191" s="27" t="s">
        <v>313</v>
      </c>
      <c r="M191" s="27" t="s">
        <v>313</v>
      </c>
      <c r="N191" s="27" t="s">
        <v>313</v>
      </c>
      <c r="O191" s="27" t="s">
        <v>313</v>
      </c>
      <c r="P191" s="125">
        <v>17293</v>
      </c>
      <c r="Q191" s="125"/>
      <c r="R191" s="125">
        <f t="shared" si="111"/>
        <v>17293</v>
      </c>
      <c r="S191" s="126">
        <f t="shared" si="112"/>
        <v>144.10833333333332</v>
      </c>
      <c r="T191" s="126">
        <f>+P191/10</f>
        <v>1729.3</v>
      </c>
      <c r="U191" s="126">
        <f t="shared" si="113"/>
        <v>0</v>
      </c>
      <c r="V191" s="126">
        <f t="shared" si="114"/>
        <v>1729.3</v>
      </c>
      <c r="W191" s="127">
        <v>1</v>
      </c>
      <c r="X191" s="126">
        <f t="shared" si="115"/>
        <v>1729.3</v>
      </c>
      <c r="Y191" s="128"/>
      <c r="Z191" s="126">
        <f t="shared" si="128"/>
        <v>0</v>
      </c>
      <c r="AA191" s="126">
        <f t="shared" si="116"/>
        <v>0</v>
      </c>
      <c r="AB191" s="129">
        <v>1</v>
      </c>
      <c r="AC191" s="126">
        <f t="shared" si="117"/>
        <v>0</v>
      </c>
      <c r="AD191" s="126">
        <f t="shared" si="118"/>
        <v>1729.3</v>
      </c>
      <c r="AE191" s="126">
        <f t="shared" si="119"/>
        <v>7781.85</v>
      </c>
      <c r="AF191" s="115">
        <f t="shared" si="120"/>
        <v>2019.25</v>
      </c>
      <c r="AG191" s="115">
        <f t="shared" si="121"/>
        <v>2019.75</v>
      </c>
      <c r="AH191" s="115">
        <f t="shared" si="122"/>
        <v>2029.25</v>
      </c>
      <c r="AI191" s="117">
        <f t="shared" si="123"/>
        <v>2018.75</v>
      </c>
      <c r="AJ191" s="117">
        <f t="shared" si="124"/>
        <v>-8.3333333333333329E-2</v>
      </c>
      <c r="AK191" s="117">
        <f t="shared" si="125"/>
        <v>2029.25</v>
      </c>
      <c r="AL191" s="117">
        <f t="shared" si="126"/>
        <v>2018.75</v>
      </c>
      <c r="AM191" s="117">
        <f t="shared" si="127"/>
        <v>-8.3333333333333329E-2</v>
      </c>
    </row>
    <row r="192" spans="1:39" x14ac:dyDescent="0.25">
      <c r="D192" s="27"/>
      <c r="E192" s="27"/>
      <c r="F192" s="122"/>
      <c r="G192" s="27"/>
      <c r="H192" s="27"/>
      <c r="L192" s="27"/>
      <c r="M192" s="27"/>
      <c r="N192" s="27"/>
      <c r="O192" s="27"/>
      <c r="P192" s="29">
        <f>SUM(P88:P191)</f>
        <v>2772331.2</v>
      </c>
      <c r="Q192" s="29">
        <f>SUM(Q88:Q181)</f>
        <v>0</v>
      </c>
      <c r="R192" s="29">
        <f t="shared" ref="R192:AE192" si="133">SUM(R88:R191)</f>
        <v>2772331.2</v>
      </c>
      <c r="S192" s="29">
        <f t="shared" si="133"/>
        <v>19972.54880357143</v>
      </c>
      <c r="T192" s="29">
        <f t="shared" si="133"/>
        <v>192408.520369048</v>
      </c>
      <c r="U192" s="29">
        <f t="shared" si="133"/>
        <v>0</v>
      </c>
      <c r="V192" s="29">
        <f t="shared" si="133"/>
        <v>192408.520369048</v>
      </c>
      <c r="W192" s="29">
        <f t="shared" si="133"/>
        <v>104</v>
      </c>
      <c r="X192" s="29">
        <f t="shared" si="133"/>
        <v>192408.520369048</v>
      </c>
      <c r="Y192" s="29">
        <f t="shared" si="133"/>
        <v>0</v>
      </c>
      <c r="Z192" s="29">
        <f t="shared" si="133"/>
        <v>1487729.0931547552</v>
      </c>
      <c r="AA192" s="29">
        <f t="shared" si="133"/>
        <v>1487729.0931547552</v>
      </c>
      <c r="AB192" s="29">
        <f t="shared" si="133"/>
        <v>104</v>
      </c>
      <c r="AC192" s="29">
        <f t="shared" si="133"/>
        <v>1487729.0931547552</v>
      </c>
      <c r="AD192" s="29">
        <f t="shared" si="133"/>
        <v>1680137.6135238032</v>
      </c>
      <c r="AE192" s="29">
        <f t="shared" si="133"/>
        <v>1153622.0766607206</v>
      </c>
      <c r="AF192" s="115"/>
      <c r="AG192" s="115"/>
      <c r="AH192" s="115"/>
      <c r="AI192" s="117"/>
      <c r="AJ192" s="117"/>
      <c r="AK192" s="117"/>
      <c r="AL192" s="117"/>
      <c r="AM192" s="117"/>
    </row>
    <row r="193" spans="1:39" x14ac:dyDescent="0.25">
      <c r="D193" s="27"/>
      <c r="E193" s="27"/>
      <c r="F193" s="122"/>
      <c r="G193" s="27"/>
      <c r="H193" s="27"/>
      <c r="L193" s="27"/>
      <c r="M193" s="27"/>
      <c r="N193" s="27"/>
      <c r="O193" s="27"/>
      <c r="P193" s="29"/>
      <c r="Q193" s="29"/>
      <c r="R193" s="29"/>
      <c r="S193" s="115"/>
      <c r="T193" s="115"/>
      <c r="U193" s="115"/>
      <c r="V193" s="115"/>
      <c r="W193" s="116"/>
      <c r="X193" s="115"/>
      <c r="Y193" s="113"/>
      <c r="Z193" s="115"/>
      <c r="AA193" s="115"/>
      <c r="AB193" s="113"/>
      <c r="AC193" s="115"/>
      <c r="AD193" s="115"/>
      <c r="AE193" s="115"/>
      <c r="AF193" s="115"/>
      <c r="AG193" s="115"/>
      <c r="AH193" s="115"/>
      <c r="AI193" s="117"/>
      <c r="AJ193" s="117"/>
      <c r="AK193" s="117"/>
      <c r="AL193" s="117"/>
      <c r="AM193" s="117"/>
    </row>
    <row r="194" spans="1:39" x14ac:dyDescent="0.25">
      <c r="D194" s="27"/>
      <c r="E194" s="27"/>
      <c r="F194" s="122"/>
      <c r="G194" s="27"/>
      <c r="H194" s="27"/>
      <c r="L194" s="27"/>
      <c r="M194" s="27"/>
      <c r="N194" s="27"/>
      <c r="O194" s="27"/>
      <c r="P194" s="29"/>
      <c r="Q194" s="29"/>
      <c r="R194" s="29"/>
      <c r="S194" s="115"/>
      <c r="T194" s="115"/>
      <c r="U194" s="115"/>
      <c r="V194" s="115"/>
      <c r="W194" s="116"/>
      <c r="X194" s="115"/>
      <c r="Y194" s="113"/>
      <c r="Z194" s="115"/>
      <c r="AA194" s="115"/>
      <c r="AB194" s="113"/>
      <c r="AC194" s="115"/>
      <c r="AD194" s="115"/>
      <c r="AE194" s="115"/>
      <c r="AF194" s="115"/>
      <c r="AG194" s="115"/>
      <c r="AH194" s="115"/>
      <c r="AI194" s="117"/>
      <c r="AJ194" s="117"/>
      <c r="AK194" s="117"/>
      <c r="AL194" s="117"/>
      <c r="AM194" s="117"/>
    </row>
    <row r="195" spans="1:39" x14ac:dyDescent="0.25">
      <c r="A195" s="133">
        <v>12</v>
      </c>
      <c r="B195" s="133" t="s">
        <v>468</v>
      </c>
      <c r="C195" s="133" t="s">
        <v>469</v>
      </c>
      <c r="D195" s="134">
        <v>1989</v>
      </c>
      <c r="E195" s="134">
        <v>10</v>
      </c>
      <c r="F195" s="135"/>
      <c r="G195" s="134" t="s">
        <v>312</v>
      </c>
      <c r="H195" s="134">
        <v>20</v>
      </c>
      <c r="I195" s="133">
        <f t="shared" ref="I195:I255" si="134">+D195+H195</f>
        <v>2009</v>
      </c>
      <c r="J195" s="133"/>
      <c r="K195" s="133"/>
      <c r="L195" s="133">
        <v>10</v>
      </c>
      <c r="M195" s="133">
        <f>+D195+L195</f>
        <v>1999</v>
      </c>
      <c r="N195" s="134" t="s">
        <v>313</v>
      </c>
      <c r="O195" s="136">
        <f>+R195</f>
        <v>25000</v>
      </c>
      <c r="P195" s="136">
        <v>25000</v>
      </c>
      <c r="Q195" s="136"/>
      <c r="R195" s="136">
        <f t="shared" ref="R195:R255" si="135">+P195-P195*F195</f>
        <v>25000</v>
      </c>
      <c r="S195" s="137">
        <f t="shared" ref="S195:S255" si="136">R195/H195/12</f>
        <v>104.16666666666667</v>
      </c>
      <c r="T195" s="137">
        <f t="shared" ref="T195:T222" si="137">IF(Q195&gt;0,0,IF((OR((AF195&gt;AG195),(AH195&lt;AI195))),0,IF((AND((AH195&gt;=AI195),(AH195&lt;=AG195))),S195*((AH195-AI195)*12),IF((AND((AI195&lt;=AF195),(AG195&gt;=AF195))),((AG195-AF195)*12)*S195,IF(AH195&gt;AG195,12*S195,0)))))</f>
        <v>0</v>
      </c>
      <c r="U195" s="137">
        <f t="shared" ref="U195:U255" si="138">IF(Q195=0,0,IF((AND((AJ195&gt;=AI195),(AJ195&lt;=AH195))),((AJ195-AI195)*12)*S195,0))</f>
        <v>0</v>
      </c>
      <c r="V195" s="137">
        <f t="shared" ref="V195:V255" si="139">IF(U195&gt;0,U195,T195)</f>
        <v>0</v>
      </c>
      <c r="W195" s="124">
        <v>1</v>
      </c>
      <c r="X195" s="137">
        <f t="shared" ref="X195:X255" si="140">W195*SUM(T195:U195)</f>
        <v>0</v>
      </c>
      <c r="Y195" s="138"/>
      <c r="Z195" s="137">
        <f t="shared" ref="Z195:Z255" si="141">IF(AF195&gt;AG195,0,IF(AH195&lt;AI195,R195,IF((AND((AH195&gt;=AI195),(AH195&lt;=AG195))),(R195-V195),IF((AND((AI195&lt;=AF195),(AG195&gt;=AF195))),0,IF(AH195&gt;AG195,((AI195-AF195)*12)*S195,0)))))</f>
        <v>25000</v>
      </c>
      <c r="AA195" s="137">
        <f t="shared" ref="AA195:AA255" si="142">Z195*W195</f>
        <v>25000</v>
      </c>
      <c r="AB195" s="139">
        <v>1</v>
      </c>
      <c r="AC195" s="137">
        <f t="shared" ref="AC195:AC255" si="143">AA195*AB195</f>
        <v>25000</v>
      </c>
      <c r="AD195" s="137">
        <f>+Z195</f>
        <v>25000</v>
      </c>
      <c r="AE195" s="137">
        <v>0</v>
      </c>
      <c r="AF195" s="137">
        <f t="shared" ref="AF195:AF255" si="144">$D195+(($E195-1)/12)</f>
        <v>1989.75</v>
      </c>
      <c r="AG195" s="137">
        <f t="shared" ref="AG195:AG255" si="145">($R$5+1)-($R$2/12)</f>
        <v>2019.75</v>
      </c>
      <c r="AH195" s="115">
        <f t="shared" ref="AH195:AH255" si="146">$I195+(($E195-1)/12)</f>
        <v>2009.75</v>
      </c>
      <c r="AI195" s="140">
        <f t="shared" ref="AI195:AI255" si="147">$R$4+($R$3/12)</f>
        <v>2018.75</v>
      </c>
      <c r="AJ195" s="140">
        <f t="shared" ref="AJ195:AJ255" si="148">$J195+(($K195-1)/12)</f>
        <v>-8.3333333333333329E-2</v>
      </c>
      <c r="AK195" s="140">
        <f t="shared" ref="AK195:AK255" si="149">$I195+(($E195-1)/12)</f>
        <v>2009.75</v>
      </c>
      <c r="AL195" s="140">
        <f t="shared" ref="AL195:AL255" si="150">$R$4+($R$3/12)</f>
        <v>2018.75</v>
      </c>
      <c r="AM195" s="140">
        <f t="shared" ref="AM195:AM255" si="151">$J195+(($K195-1)/12)</f>
        <v>-8.3333333333333329E-2</v>
      </c>
    </row>
    <row r="196" spans="1:39" x14ac:dyDescent="0.25">
      <c r="A196" s="133">
        <v>13</v>
      </c>
      <c r="B196" s="133" t="s">
        <v>470</v>
      </c>
      <c r="C196" s="133" t="s">
        <v>469</v>
      </c>
      <c r="D196" s="134">
        <v>1989</v>
      </c>
      <c r="E196" s="134">
        <v>10</v>
      </c>
      <c r="F196" s="135"/>
      <c r="G196" s="134" t="s">
        <v>312</v>
      </c>
      <c r="H196" s="134">
        <v>20</v>
      </c>
      <c r="I196" s="133">
        <f t="shared" si="134"/>
        <v>2009</v>
      </c>
      <c r="J196" s="133"/>
      <c r="K196" s="133"/>
      <c r="L196" s="133">
        <v>10</v>
      </c>
      <c r="M196" s="133">
        <f>+D196+L196</f>
        <v>1999</v>
      </c>
      <c r="N196" s="134" t="s">
        <v>313</v>
      </c>
      <c r="O196" s="136">
        <f>+R196</f>
        <v>25000</v>
      </c>
      <c r="P196" s="136">
        <v>25000</v>
      </c>
      <c r="Q196" s="136"/>
      <c r="R196" s="136">
        <f t="shared" si="135"/>
        <v>25000</v>
      </c>
      <c r="S196" s="137">
        <f t="shared" si="136"/>
        <v>104.16666666666667</v>
      </c>
      <c r="T196" s="137">
        <f t="shared" si="137"/>
        <v>0</v>
      </c>
      <c r="U196" s="137">
        <f t="shared" si="138"/>
        <v>0</v>
      </c>
      <c r="V196" s="137">
        <f t="shared" si="139"/>
        <v>0</v>
      </c>
      <c r="W196" s="124">
        <v>1</v>
      </c>
      <c r="X196" s="137">
        <f t="shared" si="140"/>
        <v>0</v>
      </c>
      <c r="Y196" s="138"/>
      <c r="Z196" s="137">
        <f t="shared" si="141"/>
        <v>25000</v>
      </c>
      <c r="AA196" s="137">
        <f t="shared" si="142"/>
        <v>25000</v>
      </c>
      <c r="AB196" s="139">
        <v>1</v>
      </c>
      <c r="AC196" s="137">
        <f t="shared" si="143"/>
        <v>25000</v>
      </c>
      <c r="AD196" s="137">
        <f t="shared" ref="AD196:AD255" si="152">IF(Q196&gt;0,0,AC196+X196*AB196)*AB196</f>
        <v>25000</v>
      </c>
      <c r="AE196" s="137">
        <f t="shared" ref="AE196:AE255" si="153">IF(Q196&gt;0,(P196-AC196)/2,IF(AF196&gt;=AI196,(((P196*W196)*AB196)-AD196)/2,((((P196*W196)*AB196)-AC196)+(((P196*W196)*AB196)-AD196))/2))</f>
        <v>0</v>
      </c>
      <c r="AF196" s="137">
        <f t="shared" si="144"/>
        <v>1989.75</v>
      </c>
      <c r="AG196" s="137">
        <f t="shared" si="145"/>
        <v>2019.75</v>
      </c>
      <c r="AH196" s="115">
        <f t="shared" si="146"/>
        <v>2009.75</v>
      </c>
      <c r="AI196" s="140">
        <f t="shared" si="147"/>
        <v>2018.75</v>
      </c>
      <c r="AJ196" s="140">
        <f t="shared" si="148"/>
        <v>-8.3333333333333329E-2</v>
      </c>
      <c r="AK196" s="140">
        <f t="shared" si="149"/>
        <v>2009.75</v>
      </c>
      <c r="AL196" s="140">
        <f t="shared" si="150"/>
        <v>2018.75</v>
      </c>
      <c r="AM196" s="140">
        <f t="shared" si="151"/>
        <v>-8.3333333333333329E-2</v>
      </c>
    </row>
    <row r="197" spans="1:39" ht="15.75" x14ac:dyDescent="0.25">
      <c r="A197" s="133">
        <v>14</v>
      </c>
      <c r="B197" s="141" t="s">
        <v>471</v>
      </c>
      <c r="C197" s="133" t="s">
        <v>469</v>
      </c>
      <c r="D197" s="134">
        <v>1989</v>
      </c>
      <c r="E197" s="134">
        <v>10</v>
      </c>
      <c r="F197" s="135"/>
      <c r="G197" s="134" t="s">
        <v>312</v>
      </c>
      <c r="H197" s="134">
        <v>10</v>
      </c>
      <c r="I197" s="133">
        <f t="shared" si="134"/>
        <v>1999</v>
      </c>
      <c r="J197" s="133"/>
      <c r="K197" s="133"/>
      <c r="L197" s="134" t="s">
        <v>313</v>
      </c>
      <c r="M197" s="134" t="s">
        <v>313</v>
      </c>
      <c r="N197" s="134" t="s">
        <v>313</v>
      </c>
      <c r="O197" s="134" t="s">
        <v>313</v>
      </c>
      <c r="P197" s="136">
        <v>2500</v>
      </c>
      <c r="Q197" s="136"/>
      <c r="R197" s="136">
        <f t="shared" si="135"/>
        <v>2500</v>
      </c>
      <c r="S197" s="137">
        <f t="shared" si="136"/>
        <v>20.833333333333332</v>
      </c>
      <c r="T197" s="137">
        <f t="shared" si="137"/>
        <v>0</v>
      </c>
      <c r="U197" s="137">
        <f t="shared" si="138"/>
        <v>0</v>
      </c>
      <c r="V197" s="137">
        <f t="shared" si="139"/>
        <v>0</v>
      </c>
      <c r="W197" s="124">
        <v>1</v>
      </c>
      <c r="X197" s="137">
        <f t="shared" si="140"/>
        <v>0</v>
      </c>
      <c r="Y197" s="138"/>
      <c r="Z197" s="137">
        <f t="shared" si="141"/>
        <v>2500</v>
      </c>
      <c r="AA197" s="137">
        <f t="shared" si="142"/>
        <v>2500</v>
      </c>
      <c r="AB197" s="142">
        <v>1</v>
      </c>
      <c r="AC197" s="137">
        <f t="shared" si="143"/>
        <v>2500</v>
      </c>
      <c r="AD197" s="137">
        <f t="shared" si="152"/>
        <v>2500</v>
      </c>
      <c r="AE197" s="137">
        <f t="shared" si="153"/>
        <v>0</v>
      </c>
      <c r="AF197" s="137">
        <f t="shared" si="144"/>
        <v>1989.75</v>
      </c>
      <c r="AG197" s="137">
        <f t="shared" si="145"/>
        <v>2019.75</v>
      </c>
      <c r="AH197" s="115">
        <f t="shared" si="146"/>
        <v>1999.75</v>
      </c>
      <c r="AI197" s="140">
        <f t="shared" si="147"/>
        <v>2018.75</v>
      </c>
      <c r="AJ197" s="140">
        <f t="shared" si="148"/>
        <v>-8.3333333333333329E-2</v>
      </c>
      <c r="AK197" s="140">
        <f t="shared" si="149"/>
        <v>1999.75</v>
      </c>
      <c r="AL197" s="140">
        <f t="shared" si="150"/>
        <v>2018.75</v>
      </c>
      <c r="AM197" s="140">
        <f t="shared" si="151"/>
        <v>-8.3333333333333329E-2</v>
      </c>
    </row>
    <row r="198" spans="1:39" x14ac:dyDescent="0.25">
      <c r="A198" s="133">
        <v>19</v>
      </c>
      <c r="B198" s="133" t="s">
        <v>472</v>
      </c>
      <c r="C198" s="133" t="s">
        <v>469</v>
      </c>
      <c r="D198" s="134">
        <v>1996</v>
      </c>
      <c r="E198" s="134">
        <v>5</v>
      </c>
      <c r="F198" s="135"/>
      <c r="G198" s="134" t="s">
        <v>312</v>
      </c>
      <c r="H198" s="134">
        <v>20</v>
      </c>
      <c r="I198" s="133">
        <f t="shared" si="134"/>
        <v>2016</v>
      </c>
      <c r="J198" s="133"/>
      <c r="K198" s="133"/>
      <c r="L198" s="133">
        <v>10</v>
      </c>
      <c r="M198" s="133">
        <f>+D198+L198</f>
        <v>2006</v>
      </c>
      <c r="N198" s="134" t="s">
        <v>313</v>
      </c>
      <c r="O198" s="136">
        <f>+R198</f>
        <v>200000</v>
      </c>
      <c r="P198" s="136">
        <v>200000</v>
      </c>
      <c r="Q198" s="136"/>
      <c r="R198" s="136">
        <f t="shared" si="135"/>
        <v>200000</v>
      </c>
      <c r="S198" s="137">
        <f t="shared" si="136"/>
        <v>833.33333333333337</v>
      </c>
      <c r="T198" s="137">
        <f t="shared" si="137"/>
        <v>0</v>
      </c>
      <c r="U198" s="137">
        <f t="shared" si="138"/>
        <v>0</v>
      </c>
      <c r="V198" s="137">
        <f t="shared" si="139"/>
        <v>0</v>
      </c>
      <c r="W198" s="124">
        <v>1</v>
      </c>
      <c r="X198" s="137">
        <f t="shared" si="140"/>
        <v>0</v>
      </c>
      <c r="Y198" s="138"/>
      <c r="Z198" s="137">
        <f t="shared" si="141"/>
        <v>200000</v>
      </c>
      <c r="AA198" s="137">
        <f t="shared" si="142"/>
        <v>200000</v>
      </c>
      <c r="AB198" s="139">
        <v>1</v>
      </c>
      <c r="AC198" s="137">
        <f t="shared" si="143"/>
        <v>200000</v>
      </c>
      <c r="AD198" s="137">
        <f t="shared" si="152"/>
        <v>200000</v>
      </c>
      <c r="AE198" s="137">
        <f t="shared" si="153"/>
        <v>0</v>
      </c>
      <c r="AF198" s="137">
        <f t="shared" si="144"/>
        <v>1996.3333333333333</v>
      </c>
      <c r="AG198" s="137">
        <f t="shared" si="145"/>
        <v>2019.75</v>
      </c>
      <c r="AH198" s="115">
        <f t="shared" si="146"/>
        <v>2016.3333333333333</v>
      </c>
      <c r="AI198" s="140">
        <f t="shared" si="147"/>
        <v>2018.75</v>
      </c>
      <c r="AJ198" s="140">
        <f t="shared" si="148"/>
        <v>-8.3333333333333329E-2</v>
      </c>
      <c r="AK198" s="140">
        <f t="shared" si="149"/>
        <v>2016.3333333333333</v>
      </c>
      <c r="AL198" s="140">
        <f t="shared" si="150"/>
        <v>2018.75</v>
      </c>
      <c r="AM198" s="140">
        <f t="shared" si="151"/>
        <v>-8.3333333333333329E-2</v>
      </c>
    </row>
    <row r="199" spans="1:39" x14ac:dyDescent="0.25">
      <c r="A199" s="133">
        <v>20</v>
      </c>
      <c r="B199" s="133" t="s">
        <v>473</v>
      </c>
      <c r="C199" s="133" t="s">
        <v>469</v>
      </c>
      <c r="D199" s="134">
        <v>1996</v>
      </c>
      <c r="E199" s="134">
        <v>8</v>
      </c>
      <c r="F199" s="135"/>
      <c r="G199" s="134" t="s">
        <v>312</v>
      </c>
      <c r="H199" s="134">
        <v>7</v>
      </c>
      <c r="I199" s="133">
        <f t="shared" si="134"/>
        <v>2003</v>
      </c>
      <c r="J199" s="133"/>
      <c r="K199" s="133"/>
      <c r="L199" s="134" t="s">
        <v>313</v>
      </c>
      <c r="M199" s="134" t="s">
        <v>313</v>
      </c>
      <c r="N199" s="134" t="s">
        <v>313</v>
      </c>
      <c r="O199" s="134" t="s">
        <v>313</v>
      </c>
      <c r="P199" s="136">
        <v>16000</v>
      </c>
      <c r="Q199" s="136"/>
      <c r="R199" s="136">
        <f t="shared" si="135"/>
        <v>16000</v>
      </c>
      <c r="S199" s="137">
        <f t="shared" si="136"/>
        <v>190.47619047619048</v>
      </c>
      <c r="T199" s="137">
        <f t="shared" si="137"/>
        <v>0</v>
      </c>
      <c r="U199" s="137">
        <f t="shared" si="138"/>
        <v>0</v>
      </c>
      <c r="V199" s="137">
        <f t="shared" si="139"/>
        <v>0</v>
      </c>
      <c r="W199" s="124">
        <v>1</v>
      </c>
      <c r="X199" s="137">
        <f t="shared" si="140"/>
        <v>0</v>
      </c>
      <c r="Y199" s="138"/>
      <c r="Z199" s="137">
        <f t="shared" si="141"/>
        <v>16000</v>
      </c>
      <c r="AA199" s="137">
        <f t="shared" si="142"/>
        <v>16000</v>
      </c>
      <c r="AB199" s="139">
        <v>1</v>
      </c>
      <c r="AC199" s="137">
        <f t="shared" si="143"/>
        <v>16000</v>
      </c>
      <c r="AD199" s="137">
        <f t="shared" si="152"/>
        <v>16000</v>
      </c>
      <c r="AE199" s="137">
        <f t="shared" si="153"/>
        <v>0</v>
      </c>
      <c r="AF199" s="137">
        <f t="shared" si="144"/>
        <v>1996.5833333333333</v>
      </c>
      <c r="AG199" s="137">
        <f t="shared" si="145"/>
        <v>2019.75</v>
      </c>
      <c r="AH199" s="115">
        <f t="shared" si="146"/>
        <v>2003.5833333333333</v>
      </c>
      <c r="AI199" s="140">
        <f t="shared" si="147"/>
        <v>2018.75</v>
      </c>
      <c r="AJ199" s="140">
        <f t="shared" si="148"/>
        <v>-8.3333333333333329E-2</v>
      </c>
      <c r="AK199" s="140">
        <f t="shared" si="149"/>
        <v>2003.5833333333333</v>
      </c>
      <c r="AL199" s="140">
        <f t="shared" si="150"/>
        <v>2018.75</v>
      </c>
      <c r="AM199" s="140">
        <f t="shared" si="151"/>
        <v>-8.3333333333333329E-2</v>
      </c>
    </row>
    <row r="200" spans="1:39" x14ac:dyDescent="0.25">
      <c r="A200" s="133">
        <v>21</v>
      </c>
      <c r="B200" s="133" t="s">
        <v>474</v>
      </c>
      <c r="C200" s="133" t="s">
        <v>469</v>
      </c>
      <c r="D200" s="134">
        <v>1996</v>
      </c>
      <c r="E200" s="134">
        <v>10</v>
      </c>
      <c r="F200" s="135"/>
      <c r="G200" s="134" t="s">
        <v>312</v>
      </c>
      <c r="H200" s="134">
        <v>7</v>
      </c>
      <c r="I200" s="133">
        <f t="shared" si="134"/>
        <v>2003</v>
      </c>
      <c r="J200" s="133"/>
      <c r="K200" s="133"/>
      <c r="L200" s="134" t="s">
        <v>313</v>
      </c>
      <c r="M200" s="134" t="s">
        <v>313</v>
      </c>
      <c r="N200" s="134" t="s">
        <v>313</v>
      </c>
      <c r="O200" s="134" t="s">
        <v>313</v>
      </c>
      <c r="P200" s="136">
        <v>2182</v>
      </c>
      <c r="Q200" s="136"/>
      <c r="R200" s="136">
        <f t="shared" si="135"/>
        <v>2182</v>
      </c>
      <c r="S200" s="137">
        <f t="shared" si="136"/>
        <v>25.976190476190478</v>
      </c>
      <c r="T200" s="137">
        <f t="shared" si="137"/>
        <v>0</v>
      </c>
      <c r="U200" s="137">
        <f t="shared" si="138"/>
        <v>0</v>
      </c>
      <c r="V200" s="137">
        <f t="shared" si="139"/>
        <v>0</v>
      </c>
      <c r="W200" s="124">
        <v>1</v>
      </c>
      <c r="X200" s="137">
        <f t="shared" si="140"/>
        <v>0</v>
      </c>
      <c r="Y200" s="138"/>
      <c r="Z200" s="137">
        <f t="shared" si="141"/>
        <v>2182</v>
      </c>
      <c r="AA200" s="137">
        <f t="shared" si="142"/>
        <v>2182</v>
      </c>
      <c r="AB200" s="139">
        <v>1</v>
      </c>
      <c r="AC200" s="137">
        <f t="shared" si="143"/>
        <v>2182</v>
      </c>
      <c r="AD200" s="137">
        <f t="shared" si="152"/>
        <v>2182</v>
      </c>
      <c r="AE200" s="137">
        <f t="shared" si="153"/>
        <v>0</v>
      </c>
      <c r="AF200" s="137">
        <f t="shared" si="144"/>
        <v>1996.75</v>
      </c>
      <c r="AG200" s="137">
        <f t="shared" si="145"/>
        <v>2019.75</v>
      </c>
      <c r="AH200" s="115">
        <f t="shared" si="146"/>
        <v>2003.75</v>
      </c>
      <c r="AI200" s="140">
        <f t="shared" si="147"/>
        <v>2018.75</v>
      </c>
      <c r="AJ200" s="140">
        <f t="shared" si="148"/>
        <v>-8.3333333333333329E-2</v>
      </c>
      <c r="AK200" s="140">
        <f t="shared" si="149"/>
        <v>2003.75</v>
      </c>
      <c r="AL200" s="140">
        <f t="shared" si="150"/>
        <v>2018.75</v>
      </c>
      <c r="AM200" s="140">
        <f t="shared" si="151"/>
        <v>-8.3333333333333329E-2</v>
      </c>
    </row>
    <row r="201" spans="1:39" x14ac:dyDescent="0.25">
      <c r="A201" s="133">
        <v>53</v>
      </c>
      <c r="B201" s="133" t="s">
        <v>473</v>
      </c>
      <c r="C201" s="133" t="s">
        <v>469</v>
      </c>
      <c r="D201" s="134">
        <v>1996</v>
      </c>
      <c r="E201" s="134">
        <v>11</v>
      </c>
      <c r="F201" s="135"/>
      <c r="G201" s="134" t="s">
        <v>312</v>
      </c>
      <c r="H201" s="134">
        <v>5</v>
      </c>
      <c r="I201" s="133">
        <f t="shared" si="134"/>
        <v>2001</v>
      </c>
      <c r="J201" s="133"/>
      <c r="K201" s="133"/>
      <c r="L201" s="134" t="s">
        <v>313</v>
      </c>
      <c r="M201" s="134" t="s">
        <v>313</v>
      </c>
      <c r="N201" s="134" t="s">
        <v>313</v>
      </c>
      <c r="O201" s="134" t="s">
        <v>313</v>
      </c>
      <c r="P201" s="136">
        <v>7851</v>
      </c>
      <c r="Q201" s="136"/>
      <c r="R201" s="136">
        <f t="shared" si="135"/>
        <v>7851</v>
      </c>
      <c r="S201" s="137">
        <f t="shared" si="136"/>
        <v>130.85</v>
      </c>
      <c r="T201" s="137">
        <f t="shared" si="137"/>
        <v>0</v>
      </c>
      <c r="U201" s="137">
        <f t="shared" si="138"/>
        <v>0</v>
      </c>
      <c r="V201" s="137">
        <f t="shared" si="139"/>
        <v>0</v>
      </c>
      <c r="W201" s="124">
        <v>1</v>
      </c>
      <c r="X201" s="137">
        <f t="shared" si="140"/>
        <v>0</v>
      </c>
      <c r="Y201" s="138"/>
      <c r="Z201" s="137">
        <f t="shared" si="141"/>
        <v>7851</v>
      </c>
      <c r="AA201" s="137">
        <f t="shared" si="142"/>
        <v>7851</v>
      </c>
      <c r="AB201" s="139">
        <v>1</v>
      </c>
      <c r="AC201" s="137">
        <f t="shared" si="143"/>
        <v>7851</v>
      </c>
      <c r="AD201" s="137">
        <f t="shared" si="152"/>
        <v>7851</v>
      </c>
      <c r="AE201" s="137">
        <f t="shared" si="153"/>
        <v>0</v>
      </c>
      <c r="AF201" s="137">
        <f t="shared" si="144"/>
        <v>1996.8333333333333</v>
      </c>
      <c r="AG201" s="137">
        <f t="shared" si="145"/>
        <v>2019.75</v>
      </c>
      <c r="AH201" s="115">
        <f t="shared" si="146"/>
        <v>2001.8333333333333</v>
      </c>
      <c r="AI201" s="140">
        <f t="shared" si="147"/>
        <v>2018.75</v>
      </c>
      <c r="AJ201" s="140">
        <f t="shared" si="148"/>
        <v>-8.3333333333333329E-2</v>
      </c>
      <c r="AK201" s="140">
        <f t="shared" si="149"/>
        <v>2001.8333333333333</v>
      </c>
      <c r="AL201" s="140">
        <f t="shared" si="150"/>
        <v>2018.75</v>
      </c>
      <c r="AM201" s="140">
        <f t="shared" si="151"/>
        <v>-8.3333333333333329E-2</v>
      </c>
    </row>
    <row r="202" spans="1:39" x14ac:dyDescent="0.25">
      <c r="A202" s="133">
        <v>56</v>
      </c>
      <c r="B202" s="133" t="s">
        <v>475</v>
      </c>
      <c r="C202" s="133" t="s">
        <v>469</v>
      </c>
      <c r="D202" s="134">
        <v>2005</v>
      </c>
      <c r="E202" s="134">
        <v>11</v>
      </c>
      <c r="F202" s="135"/>
      <c r="G202" s="134" t="s">
        <v>312</v>
      </c>
      <c r="H202" s="134">
        <v>7</v>
      </c>
      <c r="I202" s="133">
        <f t="shared" si="134"/>
        <v>2012</v>
      </c>
      <c r="J202" s="133"/>
      <c r="K202" s="133"/>
      <c r="L202" s="134" t="s">
        <v>313</v>
      </c>
      <c r="M202" s="134" t="s">
        <v>313</v>
      </c>
      <c r="N202" s="134" t="s">
        <v>313</v>
      </c>
      <c r="O202" s="134" t="s">
        <v>313</v>
      </c>
      <c r="P202" s="136">
        <v>56109</v>
      </c>
      <c r="Q202" s="136"/>
      <c r="R202" s="136">
        <f t="shared" si="135"/>
        <v>56109</v>
      </c>
      <c r="S202" s="137">
        <f t="shared" si="136"/>
        <v>667.96428571428567</v>
      </c>
      <c r="T202" s="137">
        <f t="shared" si="137"/>
        <v>0</v>
      </c>
      <c r="U202" s="137">
        <f t="shared" si="138"/>
        <v>0</v>
      </c>
      <c r="V202" s="137">
        <f t="shared" si="139"/>
        <v>0</v>
      </c>
      <c r="W202" s="124">
        <v>1</v>
      </c>
      <c r="X202" s="137">
        <f t="shared" si="140"/>
        <v>0</v>
      </c>
      <c r="Y202" s="138"/>
      <c r="Z202" s="137">
        <f t="shared" si="141"/>
        <v>56109</v>
      </c>
      <c r="AA202" s="137">
        <f t="shared" si="142"/>
        <v>56109</v>
      </c>
      <c r="AB202" s="139">
        <v>1</v>
      </c>
      <c r="AC202" s="137">
        <f t="shared" si="143"/>
        <v>56109</v>
      </c>
      <c r="AD202" s="137">
        <f t="shared" si="152"/>
        <v>56109</v>
      </c>
      <c r="AE202" s="137">
        <f t="shared" si="153"/>
        <v>0</v>
      </c>
      <c r="AF202" s="137">
        <f t="shared" si="144"/>
        <v>2005.8333333333333</v>
      </c>
      <c r="AG202" s="137">
        <f t="shared" si="145"/>
        <v>2019.75</v>
      </c>
      <c r="AH202" s="115">
        <f t="shared" si="146"/>
        <v>2012.8333333333333</v>
      </c>
      <c r="AI202" s="140">
        <f t="shared" si="147"/>
        <v>2018.75</v>
      </c>
      <c r="AJ202" s="140">
        <f t="shared" si="148"/>
        <v>-8.3333333333333329E-2</v>
      </c>
      <c r="AK202" s="140">
        <f t="shared" si="149"/>
        <v>2012.8333333333333</v>
      </c>
      <c r="AL202" s="140">
        <f t="shared" si="150"/>
        <v>2018.75</v>
      </c>
      <c r="AM202" s="140">
        <f t="shared" si="151"/>
        <v>-8.3333333333333329E-2</v>
      </c>
    </row>
    <row r="203" spans="1:39" x14ac:dyDescent="0.25">
      <c r="A203" s="133">
        <v>63</v>
      </c>
      <c r="B203" s="133" t="s">
        <v>476</v>
      </c>
      <c r="C203" s="133" t="s">
        <v>469</v>
      </c>
      <c r="D203" s="134">
        <v>2008</v>
      </c>
      <c r="E203" s="134">
        <v>7</v>
      </c>
      <c r="F203" s="135"/>
      <c r="G203" s="134" t="s">
        <v>312</v>
      </c>
      <c r="H203" s="134">
        <v>7</v>
      </c>
      <c r="I203" s="133">
        <f t="shared" si="134"/>
        <v>2015</v>
      </c>
      <c r="J203" s="133"/>
      <c r="K203" s="133"/>
      <c r="L203" s="134" t="s">
        <v>313</v>
      </c>
      <c r="M203" s="134" t="s">
        <v>313</v>
      </c>
      <c r="N203" s="134" t="s">
        <v>313</v>
      </c>
      <c r="O203" s="134" t="s">
        <v>313</v>
      </c>
      <c r="P203" s="136">
        <v>16622</v>
      </c>
      <c r="Q203" s="136"/>
      <c r="R203" s="136">
        <f t="shared" si="135"/>
        <v>16622</v>
      </c>
      <c r="S203" s="137">
        <f t="shared" si="136"/>
        <v>197.88095238095238</v>
      </c>
      <c r="T203" s="137">
        <f t="shared" si="137"/>
        <v>0</v>
      </c>
      <c r="U203" s="137">
        <f t="shared" si="138"/>
        <v>0</v>
      </c>
      <c r="V203" s="137">
        <f t="shared" si="139"/>
        <v>0</v>
      </c>
      <c r="W203" s="124">
        <v>1</v>
      </c>
      <c r="X203" s="137">
        <f t="shared" si="140"/>
        <v>0</v>
      </c>
      <c r="Y203" s="138"/>
      <c r="Z203" s="137">
        <f t="shared" si="141"/>
        <v>16622</v>
      </c>
      <c r="AA203" s="137">
        <f t="shared" si="142"/>
        <v>16622</v>
      </c>
      <c r="AB203" s="139">
        <v>1</v>
      </c>
      <c r="AC203" s="137">
        <f t="shared" si="143"/>
        <v>16622</v>
      </c>
      <c r="AD203" s="137">
        <f t="shared" si="152"/>
        <v>16622</v>
      </c>
      <c r="AE203" s="137">
        <f t="shared" si="153"/>
        <v>0</v>
      </c>
      <c r="AF203" s="137">
        <f t="shared" si="144"/>
        <v>2008.5</v>
      </c>
      <c r="AG203" s="137">
        <f t="shared" si="145"/>
        <v>2019.75</v>
      </c>
      <c r="AH203" s="115">
        <f t="shared" si="146"/>
        <v>2015.5</v>
      </c>
      <c r="AI203" s="140">
        <f t="shared" si="147"/>
        <v>2018.75</v>
      </c>
      <c r="AJ203" s="140">
        <f t="shared" si="148"/>
        <v>-8.3333333333333329E-2</v>
      </c>
      <c r="AK203" s="140">
        <f t="shared" si="149"/>
        <v>2015.5</v>
      </c>
      <c r="AL203" s="140">
        <f t="shared" si="150"/>
        <v>2018.75</v>
      </c>
      <c r="AM203" s="140">
        <f t="shared" si="151"/>
        <v>-8.3333333333333329E-2</v>
      </c>
    </row>
    <row r="204" spans="1:39" x14ac:dyDescent="0.25">
      <c r="A204" s="133">
        <v>78</v>
      </c>
      <c r="B204" s="133" t="s">
        <v>477</v>
      </c>
      <c r="C204" s="133" t="s">
        <v>469</v>
      </c>
      <c r="D204" s="134">
        <v>2009</v>
      </c>
      <c r="E204" s="134">
        <v>9</v>
      </c>
      <c r="F204" s="135"/>
      <c r="G204" s="134" t="s">
        <v>312</v>
      </c>
      <c r="H204" s="134">
        <v>7</v>
      </c>
      <c r="I204" s="133">
        <f t="shared" si="134"/>
        <v>2016</v>
      </c>
      <c r="J204" s="133"/>
      <c r="K204" s="133"/>
      <c r="L204" s="134" t="s">
        <v>313</v>
      </c>
      <c r="M204" s="134" t="s">
        <v>313</v>
      </c>
      <c r="N204" s="134" t="s">
        <v>313</v>
      </c>
      <c r="O204" s="134" t="s">
        <v>313</v>
      </c>
      <c r="P204" s="136">
        <v>4664</v>
      </c>
      <c r="Q204" s="136"/>
      <c r="R204" s="136">
        <f t="shared" si="135"/>
        <v>4664</v>
      </c>
      <c r="S204" s="137">
        <f t="shared" si="136"/>
        <v>55.523809523809526</v>
      </c>
      <c r="T204" s="137">
        <f t="shared" si="137"/>
        <v>0</v>
      </c>
      <c r="U204" s="137">
        <f t="shared" si="138"/>
        <v>0</v>
      </c>
      <c r="V204" s="137">
        <f t="shared" si="139"/>
        <v>0</v>
      </c>
      <c r="W204" s="124">
        <v>1</v>
      </c>
      <c r="X204" s="137">
        <f t="shared" si="140"/>
        <v>0</v>
      </c>
      <c r="Y204" s="138"/>
      <c r="Z204" s="137">
        <f t="shared" si="141"/>
        <v>4664</v>
      </c>
      <c r="AA204" s="137">
        <f t="shared" si="142"/>
        <v>4664</v>
      </c>
      <c r="AB204" s="139">
        <v>1</v>
      </c>
      <c r="AC204" s="137">
        <f t="shared" si="143"/>
        <v>4664</v>
      </c>
      <c r="AD204" s="137">
        <f t="shared" si="152"/>
        <v>4664</v>
      </c>
      <c r="AE204" s="137">
        <f t="shared" si="153"/>
        <v>0</v>
      </c>
      <c r="AF204" s="137">
        <f t="shared" si="144"/>
        <v>2009.6666666666667</v>
      </c>
      <c r="AG204" s="137">
        <f t="shared" si="145"/>
        <v>2019.75</v>
      </c>
      <c r="AH204" s="115">
        <f t="shared" si="146"/>
        <v>2016.6666666666667</v>
      </c>
      <c r="AI204" s="140">
        <f t="shared" si="147"/>
        <v>2018.75</v>
      </c>
      <c r="AJ204" s="140">
        <f t="shared" si="148"/>
        <v>-8.3333333333333329E-2</v>
      </c>
      <c r="AK204" s="140">
        <f t="shared" si="149"/>
        <v>2016.6666666666667</v>
      </c>
      <c r="AL204" s="140">
        <f t="shared" si="150"/>
        <v>2018.75</v>
      </c>
      <c r="AM204" s="140">
        <f t="shared" si="151"/>
        <v>-8.3333333333333329E-2</v>
      </c>
    </row>
    <row r="205" spans="1:39" x14ac:dyDescent="0.25">
      <c r="A205" s="133">
        <v>93</v>
      </c>
      <c r="B205" s="133" t="s">
        <v>476</v>
      </c>
      <c r="C205" s="133" t="s">
        <v>469</v>
      </c>
      <c r="D205" s="134">
        <v>2009</v>
      </c>
      <c r="E205" s="134">
        <v>3</v>
      </c>
      <c r="F205" s="135"/>
      <c r="G205" s="134" t="s">
        <v>312</v>
      </c>
      <c r="H205" s="134">
        <v>7</v>
      </c>
      <c r="I205" s="133">
        <f t="shared" si="134"/>
        <v>2016</v>
      </c>
      <c r="J205" s="133"/>
      <c r="K205" s="133"/>
      <c r="L205" s="134" t="s">
        <v>313</v>
      </c>
      <c r="M205" s="134" t="s">
        <v>313</v>
      </c>
      <c r="N205" s="134" t="s">
        <v>313</v>
      </c>
      <c r="O205" s="134" t="s">
        <v>313</v>
      </c>
      <c r="P205" s="136">
        <v>5956</v>
      </c>
      <c r="Q205" s="136"/>
      <c r="R205" s="136">
        <f t="shared" si="135"/>
        <v>5956</v>
      </c>
      <c r="S205" s="137">
        <f t="shared" si="136"/>
        <v>70.904761904761912</v>
      </c>
      <c r="T205" s="137">
        <f t="shared" si="137"/>
        <v>0</v>
      </c>
      <c r="U205" s="137">
        <f t="shared" si="138"/>
        <v>0</v>
      </c>
      <c r="V205" s="137">
        <f t="shared" si="139"/>
        <v>0</v>
      </c>
      <c r="W205" s="124">
        <v>1</v>
      </c>
      <c r="X205" s="137">
        <f t="shared" si="140"/>
        <v>0</v>
      </c>
      <c r="Y205" s="138"/>
      <c r="Z205" s="137">
        <f t="shared" si="141"/>
        <v>5956</v>
      </c>
      <c r="AA205" s="137">
        <f t="shared" si="142"/>
        <v>5956</v>
      </c>
      <c r="AB205" s="139">
        <v>1</v>
      </c>
      <c r="AC205" s="137">
        <f t="shared" si="143"/>
        <v>5956</v>
      </c>
      <c r="AD205" s="137">
        <f t="shared" si="152"/>
        <v>5956</v>
      </c>
      <c r="AE205" s="137">
        <f t="shared" si="153"/>
        <v>0</v>
      </c>
      <c r="AF205" s="137">
        <f t="shared" si="144"/>
        <v>2009.1666666666667</v>
      </c>
      <c r="AG205" s="137">
        <f t="shared" si="145"/>
        <v>2019.75</v>
      </c>
      <c r="AH205" s="115">
        <f t="shared" si="146"/>
        <v>2016.1666666666667</v>
      </c>
      <c r="AI205" s="140">
        <f t="shared" si="147"/>
        <v>2018.75</v>
      </c>
      <c r="AJ205" s="140">
        <f t="shared" si="148"/>
        <v>-8.3333333333333329E-2</v>
      </c>
      <c r="AK205" s="140">
        <f t="shared" si="149"/>
        <v>2016.1666666666667</v>
      </c>
      <c r="AL205" s="140">
        <f t="shared" si="150"/>
        <v>2018.75</v>
      </c>
      <c r="AM205" s="140">
        <f t="shared" si="151"/>
        <v>-8.3333333333333329E-2</v>
      </c>
    </row>
    <row r="206" spans="1:39" x14ac:dyDescent="0.25">
      <c r="A206" s="133">
        <v>107</v>
      </c>
      <c r="B206" s="133" t="s">
        <v>478</v>
      </c>
      <c r="C206" s="133" t="s">
        <v>469</v>
      </c>
      <c r="D206" s="134">
        <v>2010</v>
      </c>
      <c r="E206" s="134">
        <v>3</v>
      </c>
      <c r="F206" s="135"/>
      <c r="G206" s="134" t="s">
        <v>312</v>
      </c>
      <c r="H206" s="134">
        <v>7</v>
      </c>
      <c r="I206" s="133">
        <f t="shared" si="134"/>
        <v>2017</v>
      </c>
      <c r="J206" s="133"/>
      <c r="K206" s="133"/>
      <c r="L206" s="134" t="s">
        <v>313</v>
      </c>
      <c r="M206" s="134" t="s">
        <v>313</v>
      </c>
      <c r="N206" s="134" t="s">
        <v>313</v>
      </c>
      <c r="O206" s="134" t="s">
        <v>313</v>
      </c>
      <c r="P206" s="136">
        <v>7716</v>
      </c>
      <c r="Q206" s="136"/>
      <c r="R206" s="136">
        <f t="shared" si="135"/>
        <v>7716</v>
      </c>
      <c r="S206" s="137">
        <f t="shared" si="136"/>
        <v>91.857142857142847</v>
      </c>
      <c r="T206" s="137">
        <f t="shared" si="137"/>
        <v>0</v>
      </c>
      <c r="U206" s="137">
        <f t="shared" si="138"/>
        <v>0</v>
      </c>
      <c r="V206" s="137">
        <f t="shared" si="139"/>
        <v>0</v>
      </c>
      <c r="W206" s="124">
        <v>1</v>
      </c>
      <c r="X206" s="137">
        <f t="shared" si="140"/>
        <v>0</v>
      </c>
      <c r="Y206" s="138"/>
      <c r="Z206" s="137">
        <f t="shared" si="141"/>
        <v>7716</v>
      </c>
      <c r="AA206" s="137">
        <f t="shared" si="142"/>
        <v>7716</v>
      </c>
      <c r="AB206" s="139">
        <v>1</v>
      </c>
      <c r="AC206" s="137">
        <f t="shared" si="143"/>
        <v>7716</v>
      </c>
      <c r="AD206" s="137">
        <f t="shared" si="152"/>
        <v>7716</v>
      </c>
      <c r="AE206" s="137">
        <f t="shared" si="153"/>
        <v>0</v>
      </c>
      <c r="AF206" s="137">
        <f t="shared" si="144"/>
        <v>2010.1666666666667</v>
      </c>
      <c r="AG206" s="137">
        <f t="shared" si="145"/>
        <v>2019.75</v>
      </c>
      <c r="AH206" s="115">
        <f t="shared" si="146"/>
        <v>2017.1666666666667</v>
      </c>
      <c r="AI206" s="140">
        <f t="shared" si="147"/>
        <v>2018.75</v>
      </c>
      <c r="AJ206" s="140">
        <f t="shared" si="148"/>
        <v>-8.3333333333333329E-2</v>
      </c>
      <c r="AK206" s="140">
        <f t="shared" si="149"/>
        <v>2017.1666666666667</v>
      </c>
      <c r="AL206" s="140">
        <f t="shared" si="150"/>
        <v>2018.75</v>
      </c>
      <c r="AM206" s="140">
        <f t="shared" si="151"/>
        <v>-8.3333333333333329E-2</v>
      </c>
    </row>
    <row r="207" spans="1:39" x14ac:dyDescent="0.25">
      <c r="A207" s="133">
        <v>109</v>
      </c>
      <c r="B207" s="133" t="s">
        <v>479</v>
      </c>
      <c r="C207" s="133" t="s">
        <v>469</v>
      </c>
      <c r="D207" s="134">
        <v>2010</v>
      </c>
      <c r="E207" s="134">
        <v>5</v>
      </c>
      <c r="F207" s="135"/>
      <c r="G207" s="134" t="s">
        <v>312</v>
      </c>
      <c r="H207" s="134">
        <v>7</v>
      </c>
      <c r="I207" s="133">
        <f t="shared" si="134"/>
        <v>2017</v>
      </c>
      <c r="J207" s="133"/>
      <c r="K207" s="133"/>
      <c r="L207" s="134" t="s">
        <v>313</v>
      </c>
      <c r="M207" s="134" t="s">
        <v>313</v>
      </c>
      <c r="N207" s="134" t="s">
        <v>313</v>
      </c>
      <c r="O207" s="134" t="s">
        <v>313</v>
      </c>
      <c r="P207" s="136">
        <v>5530</v>
      </c>
      <c r="Q207" s="136"/>
      <c r="R207" s="136">
        <f t="shared" si="135"/>
        <v>5530</v>
      </c>
      <c r="S207" s="137">
        <f t="shared" si="136"/>
        <v>65.833333333333329</v>
      </c>
      <c r="T207" s="137">
        <f t="shared" si="137"/>
        <v>0</v>
      </c>
      <c r="U207" s="137">
        <f t="shared" si="138"/>
        <v>0</v>
      </c>
      <c r="V207" s="137">
        <f t="shared" si="139"/>
        <v>0</v>
      </c>
      <c r="W207" s="124">
        <v>1</v>
      </c>
      <c r="X207" s="137">
        <f t="shared" si="140"/>
        <v>0</v>
      </c>
      <c r="Y207" s="138"/>
      <c r="Z207" s="137">
        <f t="shared" si="141"/>
        <v>5530</v>
      </c>
      <c r="AA207" s="137">
        <f t="shared" si="142"/>
        <v>5530</v>
      </c>
      <c r="AB207" s="139">
        <v>1</v>
      </c>
      <c r="AC207" s="137">
        <f t="shared" si="143"/>
        <v>5530</v>
      </c>
      <c r="AD207" s="137">
        <f t="shared" si="152"/>
        <v>5530</v>
      </c>
      <c r="AE207" s="137">
        <f t="shared" si="153"/>
        <v>0</v>
      </c>
      <c r="AF207" s="137">
        <f t="shared" si="144"/>
        <v>2010.3333333333333</v>
      </c>
      <c r="AG207" s="137">
        <f t="shared" si="145"/>
        <v>2019.75</v>
      </c>
      <c r="AH207" s="115">
        <f t="shared" si="146"/>
        <v>2017.3333333333333</v>
      </c>
      <c r="AI207" s="140">
        <f t="shared" si="147"/>
        <v>2018.75</v>
      </c>
      <c r="AJ207" s="140">
        <f t="shared" si="148"/>
        <v>-8.3333333333333329E-2</v>
      </c>
      <c r="AK207" s="140">
        <f t="shared" si="149"/>
        <v>2017.3333333333333</v>
      </c>
      <c r="AL207" s="140">
        <f t="shared" si="150"/>
        <v>2018.75</v>
      </c>
      <c r="AM207" s="140">
        <f t="shared" si="151"/>
        <v>-8.3333333333333329E-2</v>
      </c>
    </row>
    <row r="208" spans="1:39" x14ac:dyDescent="0.25">
      <c r="A208" s="133">
        <v>119</v>
      </c>
      <c r="B208" s="133" t="s">
        <v>480</v>
      </c>
      <c r="C208" s="133" t="s">
        <v>469</v>
      </c>
      <c r="D208" s="134">
        <v>2011</v>
      </c>
      <c r="E208" s="134">
        <v>4</v>
      </c>
      <c r="F208" s="135"/>
      <c r="G208" s="134" t="s">
        <v>312</v>
      </c>
      <c r="H208" s="134">
        <v>7</v>
      </c>
      <c r="I208" s="133">
        <f t="shared" si="134"/>
        <v>2018</v>
      </c>
      <c r="J208" s="133"/>
      <c r="K208" s="133"/>
      <c r="L208" s="134" t="s">
        <v>313</v>
      </c>
      <c r="M208" s="134" t="s">
        <v>313</v>
      </c>
      <c r="N208" s="134" t="s">
        <v>313</v>
      </c>
      <c r="O208" s="134" t="s">
        <v>313</v>
      </c>
      <c r="P208" s="136">
        <v>11900</v>
      </c>
      <c r="Q208" s="136"/>
      <c r="R208" s="136">
        <f t="shared" si="135"/>
        <v>11900</v>
      </c>
      <c r="S208" s="137">
        <f t="shared" si="136"/>
        <v>141.66666666666666</v>
      </c>
      <c r="T208" s="137">
        <f t="shared" si="137"/>
        <v>0</v>
      </c>
      <c r="U208" s="137">
        <f t="shared" si="138"/>
        <v>0</v>
      </c>
      <c r="V208" s="137">
        <f t="shared" si="139"/>
        <v>0</v>
      </c>
      <c r="W208" s="124">
        <v>1</v>
      </c>
      <c r="X208" s="137">
        <f t="shared" si="140"/>
        <v>0</v>
      </c>
      <c r="Y208" s="138"/>
      <c r="Z208" s="137">
        <f t="shared" si="141"/>
        <v>11900</v>
      </c>
      <c r="AA208" s="137">
        <f t="shared" si="142"/>
        <v>11900</v>
      </c>
      <c r="AB208" s="139">
        <v>1</v>
      </c>
      <c r="AC208" s="137">
        <f t="shared" si="143"/>
        <v>11900</v>
      </c>
      <c r="AD208" s="137">
        <f t="shared" si="152"/>
        <v>11900</v>
      </c>
      <c r="AE208" s="137">
        <f t="shared" si="153"/>
        <v>0</v>
      </c>
      <c r="AF208" s="137">
        <f t="shared" si="144"/>
        <v>2011.25</v>
      </c>
      <c r="AG208" s="137">
        <f t="shared" si="145"/>
        <v>2019.75</v>
      </c>
      <c r="AH208" s="115">
        <f t="shared" si="146"/>
        <v>2018.25</v>
      </c>
      <c r="AI208" s="140">
        <f t="shared" si="147"/>
        <v>2018.75</v>
      </c>
      <c r="AJ208" s="140">
        <f t="shared" si="148"/>
        <v>-8.3333333333333329E-2</v>
      </c>
      <c r="AK208" s="140">
        <f t="shared" si="149"/>
        <v>2018.25</v>
      </c>
      <c r="AL208" s="140">
        <f t="shared" si="150"/>
        <v>2018.75</v>
      </c>
      <c r="AM208" s="140">
        <f t="shared" si="151"/>
        <v>-8.3333333333333329E-2</v>
      </c>
    </row>
    <row r="209" spans="1:39" x14ac:dyDescent="0.25">
      <c r="A209" s="133">
        <v>123</v>
      </c>
      <c r="B209" s="133" t="s">
        <v>481</v>
      </c>
      <c r="C209" s="133" t="s">
        <v>469</v>
      </c>
      <c r="D209" s="134">
        <v>2011</v>
      </c>
      <c r="E209" s="134">
        <v>9</v>
      </c>
      <c r="F209" s="135"/>
      <c r="G209" s="134" t="s">
        <v>312</v>
      </c>
      <c r="H209" s="134">
        <v>7</v>
      </c>
      <c r="I209" s="133">
        <f t="shared" si="134"/>
        <v>2018</v>
      </c>
      <c r="J209" s="133"/>
      <c r="K209" s="133"/>
      <c r="L209" s="134" t="s">
        <v>313</v>
      </c>
      <c r="M209" s="134" t="s">
        <v>313</v>
      </c>
      <c r="N209" s="134" t="s">
        <v>313</v>
      </c>
      <c r="O209" s="134" t="s">
        <v>313</v>
      </c>
      <c r="P209" s="136">
        <v>5999</v>
      </c>
      <c r="Q209" s="136"/>
      <c r="R209" s="136">
        <f t="shared" si="135"/>
        <v>5999</v>
      </c>
      <c r="S209" s="137">
        <f t="shared" si="136"/>
        <v>71.416666666666671</v>
      </c>
      <c r="T209" s="137">
        <f t="shared" si="137"/>
        <v>0</v>
      </c>
      <c r="U209" s="137">
        <f t="shared" si="138"/>
        <v>0</v>
      </c>
      <c r="V209" s="137">
        <f t="shared" si="139"/>
        <v>0</v>
      </c>
      <c r="W209" s="124">
        <v>1</v>
      </c>
      <c r="X209" s="137">
        <f t="shared" si="140"/>
        <v>0</v>
      </c>
      <c r="Y209" s="138"/>
      <c r="Z209" s="137">
        <f t="shared" si="141"/>
        <v>5999</v>
      </c>
      <c r="AA209" s="137">
        <f t="shared" si="142"/>
        <v>5999</v>
      </c>
      <c r="AB209" s="139">
        <v>1</v>
      </c>
      <c r="AC209" s="137">
        <f t="shared" si="143"/>
        <v>5999</v>
      </c>
      <c r="AD209" s="137">
        <f t="shared" si="152"/>
        <v>5999</v>
      </c>
      <c r="AE209" s="137">
        <f t="shared" si="153"/>
        <v>0</v>
      </c>
      <c r="AF209" s="137">
        <f t="shared" si="144"/>
        <v>2011.6666666666667</v>
      </c>
      <c r="AG209" s="137">
        <f t="shared" si="145"/>
        <v>2019.75</v>
      </c>
      <c r="AH209" s="115">
        <f t="shared" si="146"/>
        <v>2018.6666666666667</v>
      </c>
      <c r="AI209" s="140">
        <f t="shared" si="147"/>
        <v>2018.75</v>
      </c>
      <c r="AJ209" s="140">
        <f t="shared" si="148"/>
        <v>-8.3333333333333329E-2</v>
      </c>
      <c r="AK209" s="140">
        <f t="shared" si="149"/>
        <v>2018.6666666666667</v>
      </c>
      <c r="AL209" s="140">
        <f t="shared" si="150"/>
        <v>2018.75</v>
      </c>
      <c r="AM209" s="140">
        <f t="shared" si="151"/>
        <v>-8.3333333333333329E-2</v>
      </c>
    </row>
    <row r="210" spans="1:39" x14ac:dyDescent="0.25">
      <c r="A210" s="133">
        <v>131</v>
      </c>
      <c r="B210" s="133" t="s">
        <v>482</v>
      </c>
      <c r="C210" s="133" t="s">
        <v>469</v>
      </c>
      <c r="D210" s="134">
        <v>2011</v>
      </c>
      <c r="E210" s="134">
        <v>2</v>
      </c>
      <c r="F210" s="135"/>
      <c r="G210" s="134" t="s">
        <v>312</v>
      </c>
      <c r="H210" s="134">
        <v>5</v>
      </c>
      <c r="I210" s="133">
        <f t="shared" si="134"/>
        <v>2016</v>
      </c>
      <c r="J210" s="133"/>
      <c r="K210" s="133"/>
      <c r="L210" s="134" t="s">
        <v>313</v>
      </c>
      <c r="M210" s="134" t="s">
        <v>313</v>
      </c>
      <c r="N210" s="134" t="s">
        <v>313</v>
      </c>
      <c r="O210" s="134" t="s">
        <v>313</v>
      </c>
      <c r="P210" s="136">
        <v>1084</v>
      </c>
      <c r="Q210" s="136"/>
      <c r="R210" s="136">
        <f t="shared" si="135"/>
        <v>1084</v>
      </c>
      <c r="S210" s="137">
        <f t="shared" si="136"/>
        <v>18.066666666666666</v>
      </c>
      <c r="T210" s="137">
        <f t="shared" si="137"/>
        <v>0</v>
      </c>
      <c r="U210" s="137">
        <f t="shared" si="138"/>
        <v>0</v>
      </c>
      <c r="V210" s="137">
        <f t="shared" si="139"/>
        <v>0</v>
      </c>
      <c r="W210" s="124">
        <v>1</v>
      </c>
      <c r="X210" s="137">
        <f t="shared" si="140"/>
        <v>0</v>
      </c>
      <c r="Y210" s="138"/>
      <c r="Z210" s="137">
        <f t="shared" si="141"/>
        <v>1084</v>
      </c>
      <c r="AA210" s="137">
        <f t="shared" si="142"/>
        <v>1084</v>
      </c>
      <c r="AB210" s="139">
        <v>1</v>
      </c>
      <c r="AC210" s="137">
        <f t="shared" si="143"/>
        <v>1084</v>
      </c>
      <c r="AD210" s="137">
        <f t="shared" si="152"/>
        <v>1084</v>
      </c>
      <c r="AE210" s="137">
        <f t="shared" si="153"/>
        <v>0</v>
      </c>
      <c r="AF210" s="137">
        <f t="shared" si="144"/>
        <v>2011.0833333333333</v>
      </c>
      <c r="AG210" s="137">
        <f t="shared" si="145"/>
        <v>2019.75</v>
      </c>
      <c r="AH210" s="115">
        <f t="shared" si="146"/>
        <v>2016.0833333333333</v>
      </c>
      <c r="AI210" s="140">
        <f t="shared" si="147"/>
        <v>2018.75</v>
      </c>
      <c r="AJ210" s="140">
        <f t="shared" si="148"/>
        <v>-8.3333333333333329E-2</v>
      </c>
      <c r="AK210" s="140">
        <f t="shared" si="149"/>
        <v>2016.0833333333333</v>
      </c>
      <c r="AL210" s="140">
        <f t="shared" si="150"/>
        <v>2018.75</v>
      </c>
      <c r="AM210" s="140">
        <f t="shared" si="151"/>
        <v>-8.3333333333333329E-2</v>
      </c>
    </row>
    <row r="211" spans="1:39" x14ac:dyDescent="0.25">
      <c r="A211" s="133">
        <v>132</v>
      </c>
      <c r="B211" s="133" t="s">
        <v>482</v>
      </c>
      <c r="C211" s="133" t="s">
        <v>469</v>
      </c>
      <c r="D211" s="134">
        <v>2011</v>
      </c>
      <c r="E211" s="134">
        <v>2</v>
      </c>
      <c r="F211" s="135"/>
      <c r="G211" s="134" t="s">
        <v>312</v>
      </c>
      <c r="H211" s="134">
        <v>5</v>
      </c>
      <c r="I211" s="133">
        <f t="shared" si="134"/>
        <v>2016</v>
      </c>
      <c r="J211" s="133"/>
      <c r="K211" s="133"/>
      <c r="L211" s="134" t="s">
        <v>313</v>
      </c>
      <c r="M211" s="134" t="s">
        <v>313</v>
      </c>
      <c r="N211" s="134" t="s">
        <v>313</v>
      </c>
      <c r="O211" s="134" t="s">
        <v>313</v>
      </c>
      <c r="P211" s="136">
        <v>1470</v>
      </c>
      <c r="Q211" s="136"/>
      <c r="R211" s="136">
        <f t="shared" si="135"/>
        <v>1470</v>
      </c>
      <c r="S211" s="137">
        <f t="shared" si="136"/>
        <v>24.5</v>
      </c>
      <c r="T211" s="137">
        <f t="shared" si="137"/>
        <v>0</v>
      </c>
      <c r="U211" s="137">
        <f t="shared" si="138"/>
        <v>0</v>
      </c>
      <c r="V211" s="137">
        <f t="shared" si="139"/>
        <v>0</v>
      </c>
      <c r="W211" s="124">
        <v>1</v>
      </c>
      <c r="X211" s="137">
        <f t="shared" si="140"/>
        <v>0</v>
      </c>
      <c r="Y211" s="138"/>
      <c r="Z211" s="137">
        <f t="shared" si="141"/>
        <v>1470</v>
      </c>
      <c r="AA211" s="137">
        <f t="shared" si="142"/>
        <v>1470</v>
      </c>
      <c r="AB211" s="139">
        <v>1</v>
      </c>
      <c r="AC211" s="137">
        <f t="shared" si="143"/>
        <v>1470</v>
      </c>
      <c r="AD211" s="137">
        <f t="shared" si="152"/>
        <v>1470</v>
      </c>
      <c r="AE211" s="137">
        <f t="shared" si="153"/>
        <v>0</v>
      </c>
      <c r="AF211" s="137">
        <f t="shared" si="144"/>
        <v>2011.0833333333333</v>
      </c>
      <c r="AG211" s="137">
        <f t="shared" si="145"/>
        <v>2019.75</v>
      </c>
      <c r="AH211" s="115">
        <f t="shared" si="146"/>
        <v>2016.0833333333333</v>
      </c>
      <c r="AI211" s="140">
        <f t="shared" si="147"/>
        <v>2018.75</v>
      </c>
      <c r="AJ211" s="140">
        <f t="shared" si="148"/>
        <v>-8.3333333333333329E-2</v>
      </c>
      <c r="AK211" s="140">
        <f t="shared" si="149"/>
        <v>2016.0833333333333</v>
      </c>
      <c r="AL211" s="140">
        <f t="shared" si="150"/>
        <v>2018.75</v>
      </c>
      <c r="AM211" s="140">
        <f t="shared" si="151"/>
        <v>-8.3333333333333329E-2</v>
      </c>
    </row>
    <row r="212" spans="1:39" x14ac:dyDescent="0.25">
      <c r="A212" s="133">
        <v>135</v>
      </c>
      <c r="B212" s="133" t="s">
        <v>483</v>
      </c>
      <c r="C212" s="133" t="s">
        <v>469</v>
      </c>
      <c r="D212" s="134">
        <v>2011</v>
      </c>
      <c r="E212" s="134">
        <v>3</v>
      </c>
      <c r="F212" s="135"/>
      <c r="G212" s="134" t="s">
        <v>312</v>
      </c>
      <c r="H212" s="134">
        <v>10</v>
      </c>
      <c r="I212" s="133">
        <f t="shared" si="134"/>
        <v>2021</v>
      </c>
      <c r="J212" s="133"/>
      <c r="K212" s="133"/>
      <c r="L212" s="134" t="s">
        <v>313</v>
      </c>
      <c r="M212" s="134" t="s">
        <v>313</v>
      </c>
      <c r="N212" s="134" t="s">
        <v>313</v>
      </c>
      <c r="O212" s="134" t="s">
        <v>313</v>
      </c>
      <c r="P212" s="136">
        <v>1488</v>
      </c>
      <c r="Q212" s="136"/>
      <c r="R212" s="136">
        <f t="shared" si="135"/>
        <v>1488</v>
      </c>
      <c r="S212" s="137">
        <f t="shared" si="136"/>
        <v>12.4</v>
      </c>
      <c r="T212" s="137">
        <f t="shared" si="137"/>
        <v>148.80000000000001</v>
      </c>
      <c r="U212" s="137">
        <f t="shared" si="138"/>
        <v>0</v>
      </c>
      <c r="V212" s="137">
        <f t="shared" si="139"/>
        <v>148.80000000000001</v>
      </c>
      <c r="W212" s="124">
        <v>1</v>
      </c>
      <c r="X212" s="137">
        <f t="shared" si="140"/>
        <v>148.80000000000001</v>
      </c>
      <c r="Y212" s="138"/>
      <c r="Z212" s="137">
        <f t="shared" si="141"/>
        <v>1128.3999999999887</v>
      </c>
      <c r="AA212" s="137">
        <f t="shared" si="142"/>
        <v>1128.3999999999887</v>
      </c>
      <c r="AB212" s="139">
        <v>1</v>
      </c>
      <c r="AC212" s="137">
        <f t="shared" si="143"/>
        <v>1128.3999999999887</v>
      </c>
      <c r="AD212" s="137">
        <f t="shared" si="152"/>
        <v>1277.1999999999887</v>
      </c>
      <c r="AE212" s="137">
        <f t="shared" si="153"/>
        <v>285.2000000000113</v>
      </c>
      <c r="AF212" s="137">
        <f t="shared" si="144"/>
        <v>2011.1666666666667</v>
      </c>
      <c r="AG212" s="137">
        <f t="shared" si="145"/>
        <v>2019.75</v>
      </c>
      <c r="AH212" s="115">
        <f t="shared" si="146"/>
        <v>2021.1666666666667</v>
      </c>
      <c r="AI212" s="140">
        <f t="shared" si="147"/>
        <v>2018.75</v>
      </c>
      <c r="AJ212" s="140">
        <f t="shared" si="148"/>
        <v>-8.3333333333333329E-2</v>
      </c>
      <c r="AK212" s="140">
        <f t="shared" si="149"/>
        <v>2021.1666666666667</v>
      </c>
      <c r="AL212" s="140">
        <f t="shared" si="150"/>
        <v>2018.75</v>
      </c>
      <c r="AM212" s="140">
        <f t="shared" si="151"/>
        <v>-8.3333333333333329E-2</v>
      </c>
    </row>
    <row r="213" spans="1:39" x14ac:dyDescent="0.25">
      <c r="A213" s="133">
        <v>136</v>
      </c>
      <c r="B213" s="133" t="s">
        <v>483</v>
      </c>
      <c r="C213" s="133" t="s">
        <v>469</v>
      </c>
      <c r="D213" s="134">
        <v>2011</v>
      </c>
      <c r="E213" s="134">
        <v>4</v>
      </c>
      <c r="F213" s="135"/>
      <c r="G213" s="134" t="s">
        <v>312</v>
      </c>
      <c r="H213" s="134">
        <v>10</v>
      </c>
      <c r="I213" s="133">
        <f t="shared" si="134"/>
        <v>2021</v>
      </c>
      <c r="J213" s="133"/>
      <c r="K213" s="133"/>
      <c r="L213" s="134" t="s">
        <v>313</v>
      </c>
      <c r="M213" s="134" t="s">
        <v>313</v>
      </c>
      <c r="N213" s="134" t="s">
        <v>313</v>
      </c>
      <c r="O213" s="134" t="s">
        <v>313</v>
      </c>
      <c r="P213" s="136">
        <v>690</v>
      </c>
      <c r="Q213" s="136"/>
      <c r="R213" s="136">
        <f t="shared" si="135"/>
        <v>690</v>
      </c>
      <c r="S213" s="137">
        <f t="shared" si="136"/>
        <v>5.75</v>
      </c>
      <c r="T213" s="137">
        <f t="shared" si="137"/>
        <v>69</v>
      </c>
      <c r="U213" s="137">
        <f t="shared" si="138"/>
        <v>0</v>
      </c>
      <c r="V213" s="137">
        <f t="shared" si="139"/>
        <v>69</v>
      </c>
      <c r="W213" s="124">
        <v>1</v>
      </c>
      <c r="X213" s="137">
        <f t="shared" si="140"/>
        <v>69</v>
      </c>
      <c r="Y213" s="138"/>
      <c r="Z213" s="137">
        <f t="shared" si="141"/>
        <v>517.5</v>
      </c>
      <c r="AA213" s="137">
        <f t="shared" si="142"/>
        <v>517.5</v>
      </c>
      <c r="AB213" s="139">
        <v>1</v>
      </c>
      <c r="AC213" s="137">
        <f t="shared" si="143"/>
        <v>517.5</v>
      </c>
      <c r="AD213" s="137">
        <f t="shared" si="152"/>
        <v>586.5</v>
      </c>
      <c r="AE213" s="137">
        <f t="shared" si="153"/>
        <v>138</v>
      </c>
      <c r="AF213" s="137">
        <f t="shared" si="144"/>
        <v>2011.25</v>
      </c>
      <c r="AG213" s="137">
        <f t="shared" si="145"/>
        <v>2019.75</v>
      </c>
      <c r="AH213" s="115">
        <f t="shared" si="146"/>
        <v>2021.25</v>
      </c>
      <c r="AI213" s="140">
        <f t="shared" si="147"/>
        <v>2018.75</v>
      </c>
      <c r="AJ213" s="140">
        <f t="shared" si="148"/>
        <v>-8.3333333333333329E-2</v>
      </c>
      <c r="AK213" s="140">
        <f t="shared" si="149"/>
        <v>2021.25</v>
      </c>
      <c r="AL213" s="140">
        <f t="shared" si="150"/>
        <v>2018.75</v>
      </c>
      <c r="AM213" s="140">
        <f t="shared" si="151"/>
        <v>-8.3333333333333329E-2</v>
      </c>
    </row>
    <row r="214" spans="1:39" x14ac:dyDescent="0.25">
      <c r="A214" s="133">
        <v>138</v>
      </c>
      <c r="B214" s="133" t="s">
        <v>483</v>
      </c>
      <c r="C214" s="133" t="s">
        <v>469</v>
      </c>
      <c r="D214" s="134">
        <v>2011</v>
      </c>
      <c r="E214" s="134">
        <v>4</v>
      </c>
      <c r="F214" s="135"/>
      <c r="G214" s="134" t="s">
        <v>312</v>
      </c>
      <c r="H214" s="134">
        <v>10</v>
      </c>
      <c r="I214" s="133">
        <f t="shared" si="134"/>
        <v>2021</v>
      </c>
      <c r="J214" s="133"/>
      <c r="K214" s="133"/>
      <c r="L214" s="134" t="s">
        <v>313</v>
      </c>
      <c r="M214" s="134" t="s">
        <v>313</v>
      </c>
      <c r="N214" s="134" t="s">
        <v>313</v>
      </c>
      <c r="O214" s="134" t="s">
        <v>313</v>
      </c>
      <c r="P214" s="136">
        <v>633</v>
      </c>
      <c r="Q214" s="136"/>
      <c r="R214" s="136">
        <f t="shared" si="135"/>
        <v>633</v>
      </c>
      <c r="S214" s="137">
        <f t="shared" si="136"/>
        <v>5.2749999999999995</v>
      </c>
      <c r="T214" s="137">
        <f t="shared" si="137"/>
        <v>63.3</v>
      </c>
      <c r="U214" s="137">
        <f t="shared" si="138"/>
        <v>0</v>
      </c>
      <c r="V214" s="137">
        <f t="shared" si="139"/>
        <v>63.3</v>
      </c>
      <c r="W214" s="124">
        <v>1</v>
      </c>
      <c r="X214" s="137">
        <f t="shared" si="140"/>
        <v>63.3</v>
      </c>
      <c r="Y214" s="138"/>
      <c r="Z214" s="137">
        <f t="shared" si="141"/>
        <v>474.74999999999994</v>
      </c>
      <c r="AA214" s="137">
        <f t="shared" si="142"/>
        <v>474.74999999999994</v>
      </c>
      <c r="AB214" s="139">
        <v>1</v>
      </c>
      <c r="AC214" s="137">
        <f t="shared" si="143"/>
        <v>474.74999999999994</v>
      </c>
      <c r="AD214" s="137">
        <f t="shared" si="152"/>
        <v>538.04999999999995</v>
      </c>
      <c r="AE214" s="137">
        <f t="shared" si="153"/>
        <v>126.60000000000005</v>
      </c>
      <c r="AF214" s="137">
        <f t="shared" si="144"/>
        <v>2011.25</v>
      </c>
      <c r="AG214" s="137">
        <f t="shared" si="145"/>
        <v>2019.75</v>
      </c>
      <c r="AH214" s="115">
        <f t="shared" si="146"/>
        <v>2021.25</v>
      </c>
      <c r="AI214" s="140">
        <f t="shared" si="147"/>
        <v>2018.75</v>
      </c>
      <c r="AJ214" s="140">
        <f t="shared" si="148"/>
        <v>-8.3333333333333329E-2</v>
      </c>
      <c r="AK214" s="140">
        <f t="shared" si="149"/>
        <v>2021.25</v>
      </c>
      <c r="AL214" s="140">
        <f t="shared" si="150"/>
        <v>2018.75</v>
      </c>
      <c r="AM214" s="140">
        <f t="shared" si="151"/>
        <v>-8.3333333333333329E-2</v>
      </c>
    </row>
    <row r="215" spans="1:39" x14ac:dyDescent="0.25">
      <c r="A215" s="133">
        <v>143</v>
      </c>
      <c r="B215" s="133" t="s">
        <v>484</v>
      </c>
      <c r="C215" s="133" t="s">
        <v>469</v>
      </c>
      <c r="D215" s="134">
        <v>2011</v>
      </c>
      <c r="E215" s="134">
        <v>2</v>
      </c>
      <c r="F215" s="135"/>
      <c r="G215" s="134" t="s">
        <v>312</v>
      </c>
      <c r="H215" s="134">
        <v>10</v>
      </c>
      <c r="I215" s="133">
        <f t="shared" si="134"/>
        <v>2021</v>
      </c>
      <c r="J215" s="133"/>
      <c r="K215" s="133"/>
      <c r="L215" s="134" t="s">
        <v>313</v>
      </c>
      <c r="M215" s="134" t="s">
        <v>313</v>
      </c>
      <c r="N215" s="134" t="s">
        <v>313</v>
      </c>
      <c r="O215" s="134" t="s">
        <v>313</v>
      </c>
      <c r="P215" s="136">
        <v>3760</v>
      </c>
      <c r="Q215" s="136"/>
      <c r="R215" s="136">
        <f t="shared" si="135"/>
        <v>3760</v>
      </c>
      <c r="S215" s="137">
        <f t="shared" si="136"/>
        <v>31.333333333333332</v>
      </c>
      <c r="T215" s="137">
        <f t="shared" si="137"/>
        <v>376</v>
      </c>
      <c r="U215" s="137">
        <f t="shared" si="138"/>
        <v>0</v>
      </c>
      <c r="V215" s="137">
        <f t="shared" si="139"/>
        <v>376</v>
      </c>
      <c r="W215" s="124">
        <v>1</v>
      </c>
      <c r="X215" s="137">
        <f t="shared" si="140"/>
        <v>376</v>
      </c>
      <c r="Y215" s="138"/>
      <c r="Z215" s="137">
        <f t="shared" si="141"/>
        <v>2882.6666666666952</v>
      </c>
      <c r="AA215" s="137">
        <f t="shared" si="142"/>
        <v>2882.6666666666952</v>
      </c>
      <c r="AB215" s="139">
        <v>1</v>
      </c>
      <c r="AC215" s="137">
        <f t="shared" si="143"/>
        <v>2882.6666666666952</v>
      </c>
      <c r="AD215" s="137">
        <f t="shared" si="152"/>
        <v>3258.6666666666952</v>
      </c>
      <c r="AE215" s="137">
        <f t="shared" si="153"/>
        <v>689.33333333330484</v>
      </c>
      <c r="AF215" s="137">
        <f t="shared" si="144"/>
        <v>2011.0833333333333</v>
      </c>
      <c r="AG215" s="137">
        <f t="shared" si="145"/>
        <v>2019.75</v>
      </c>
      <c r="AH215" s="115">
        <f t="shared" si="146"/>
        <v>2021.0833333333333</v>
      </c>
      <c r="AI215" s="140">
        <f t="shared" si="147"/>
        <v>2018.75</v>
      </c>
      <c r="AJ215" s="140">
        <f t="shared" si="148"/>
        <v>-8.3333333333333329E-2</v>
      </c>
      <c r="AK215" s="140">
        <f t="shared" si="149"/>
        <v>2021.0833333333333</v>
      </c>
      <c r="AL215" s="140">
        <f t="shared" si="150"/>
        <v>2018.75</v>
      </c>
      <c r="AM215" s="140">
        <f t="shared" si="151"/>
        <v>-8.3333333333333329E-2</v>
      </c>
    </row>
    <row r="216" spans="1:39" x14ac:dyDescent="0.25">
      <c r="A216" s="133">
        <v>159</v>
      </c>
      <c r="B216" s="133" t="s">
        <v>485</v>
      </c>
      <c r="C216" s="133" t="s">
        <v>469</v>
      </c>
      <c r="D216" s="134">
        <v>2012</v>
      </c>
      <c r="E216" s="134">
        <v>12</v>
      </c>
      <c r="F216" s="135"/>
      <c r="G216" s="134" t="s">
        <v>312</v>
      </c>
      <c r="H216" s="134">
        <v>7</v>
      </c>
      <c r="I216" s="133">
        <f t="shared" si="134"/>
        <v>2019</v>
      </c>
      <c r="J216" s="133"/>
      <c r="K216" s="133"/>
      <c r="L216" s="134" t="s">
        <v>313</v>
      </c>
      <c r="M216" s="134" t="s">
        <v>313</v>
      </c>
      <c r="N216" s="134" t="s">
        <v>313</v>
      </c>
      <c r="O216" s="134" t="s">
        <v>313</v>
      </c>
      <c r="P216" s="136">
        <v>13788</v>
      </c>
      <c r="Q216" s="136"/>
      <c r="R216" s="136">
        <f t="shared" si="135"/>
        <v>13788</v>
      </c>
      <c r="S216" s="137">
        <f t="shared" si="136"/>
        <v>164.14285714285714</v>
      </c>
      <c r="T216" s="137">
        <f t="shared" si="137"/>
        <v>1969.7142857142858</v>
      </c>
      <c r="U216" s="137">
        <f t="shared" si="138"/>
        <v>0</v>
      </c>
      <c r="V216" s="137">
        <f t="shared" si="139"/>
        <v>1969.7142857142858</v>
      </c>
      <c r="W216" s="124">
        <v>1</v>
      </c>
      <c r="X216" s="137">
        <f t="shared" si="140"/>
        <v>1969.7142857142858</v>
      </c>
      <c r="Y216" s="138"/>
      <c r="Z216" s="137">
        <f t="shared" si="141"/>
        <v>11489.999999999851</v>
      </c>
      <c r="AA216" s="137">
        <f t="shared" si="142"/>
        <v>11489.999999999851</v>
      </c>
      <c r="AB216" s="139">
        <v>1</v>
      </c>
      <c r="AC216" s="137">
        <f t="shared" si="143"/>
        <v>11489.999999999851</v>
      </c>
      <c r="AD216" s="137">
        <f t="shared" si="152"/>
        <v>13459.714285714137</v>
      </c>
      <c r="AE216" s="137">
        <f t="shared" si="153"/>
        <v>1313.142857143006</v>
      </c>
      <c r="AF216" s="137">
        <f t="shared" si="144"/>
        <v>2012.9166666666667</v>
      </c>
      <c r="AG216" s="137">
        <f t="shared" si="145"/>
        <v>2019.75</v>
      </c>
      <c r="AH216" s="115">
        <f t="shared" si="146"/>
        <v>2019.9166666666667</v>
      </c>
      <c r="AI216" s="140">
        <f t="shared" si="147"/>
        <v>2018.75</v>
      </c>
      <c r="AJ216" s="140">
        <f t="shared" si="148"/>
        <v>-8.3333333333333329E-2</v>
      </c>
      <c r="AK216" s="140">
        <f t="shared" si="149"/>
        <v>2019.9166666666667</v>
      </c>
      <c r="AL216" s="140">
        <f t="shared" si="150"/>
        <v>2018.75</v>
      </c>
      <c r="AM216" s="140">
        <f t="shared" si="151"/>
        <v>-8.3333333333333329E-2</v>
      </c>
    </row>
    <row r="217" spans="1:39" x14ac:dyDescent="0.25">
      <c r="A217" s="133">
        <v>160</v>
      </c>
      <c r="B217" s="133" t="s">
        <v>486</v>
      </c>
      <c r="C217" s="133" t="s">
        <v>469</v>
      </c>
      <c r="D217" s="134">
        <v>2012</v>
      </c>
      <c r="E217" s="134">
        <v>8</v>
      </c>
      <c r="F217" s="135"/>
      <c r="G217" s="134" t="s">
        <v>312</v>
      </c>
      <c r="H217" s="134">
        <v>7</v>
      </c>
      <c r="I217" s="133">
        <f t="shared" si="134"/>
        <v>2019</v>
      </c>
      <c r="J217" s="133"/>
      <c r="K217" s="133"/>
      <c r="L217" s="134" t="s">
        <v>313</v>
      </c>
      <c r="M217" s="134" t="s">
        <v>313</v>
      </c>
      <c r="N217" s="134" t="s">
        <v>313</v>
      </c>
      <c r="O217" s="134" t="s">
        <v>313</v>
      </c>
      <c r="P217" s="136">
        <v>1937</v>
      </c>
      <c r="Q217" s="136"/>
      <c r="R217" s="136">
        <f t="shared" si="135"/>
        <v>1937</v>
      </c>
      <c r="S217" s="137">
        <f t="shared" si="136"/>
        <v>23.05952380952381</v>
      </c>
      <c r="T217" s="137">
        <f t="shared" si="137"/>
        <v>230.59523809521713</v>
      </c>
      <c r="U217" s="137">
        <f t="shared" si="138"/>
        <v>0</v>
      </c>
      <c r="V217" s="137">
        <f t="shared" si="139"/>
        <v>230.59523809521713</v>
      </c>
      <c r="W217" s="124">
        <v>1</v>
      </c>
      <c r="X217" s="137">
        <f t="shared" si="140"/>
        <v>230.59523809521713</v>
      </c>
      <c r="Y217" s="138"/>
      <c r="Z217" s="137">
        <f t="shared" si="141"/>
        <v>1706.4047619047828</v>
      </c>
      <c r="AA217" s="137">
        <f t="shared" si="142"/>
        <v>1706.4047619047828</v>
      </c>
      <c r="AB217" s="139">
        <v>1</v>
      </c>
      <c r="AC217" s="137">
        <f t="shared" si="143"/>
        <v>1706.4047619047828</v>
      </c>
      <c r="AD217" s="137">
        <f t="shared" si="152"/>
        <v>1937</v>
      </c>
      <c r="AE217" s="137">
        <f t="shared" si="153"/>
        <v>115.29761904760858</v>
      </c>
      <c r="AF217" s="137">
        <f t="shared" si="144"/>
        <v>2012.5833333333333</v>
      </c>
      <c r="AG217" s="137">
        <f t="shared" si="145"/>
        <v>2019.75</v>
      </c>
      <c r="AH217" s="115">
        <f t="shared" si="146"/>
        <v>2019.5833333333333</v>
      </c>
      <c r="AI217" s="140">
        <f t="shared" si="147"/>
        <v>2018.75</v>
      </c>
      <c r="AJ217" s="140">
        <f t="shared" si="148"/>
        <v>-8.3333333333333329E-2</v>
      </c>
      <c r="AK217" s="140">
        <f t="shared" si="149"/>
        <v>2019.5833333333333</v>
      </c>
      <c r="AL217" s="140">
        <f t="shared" si="150"/>
        <v>2018.75</v>
      </c>
      <c r="AM217" s="140">
        <f t="shared" si="151"/>
        <v>-8.3333333333333329E-2</v>
      </c>
    </row>
    <row r="218" spans="1:39" x14ac:dyDescent="0.25">
      <c r="A218" s="133">
        <v>161</v>
      </c>
      <c r="B218" s="133" t="s">
        <v>486</v>
      </c>
      <c r="C218" s="133" t="s">
        <v>469</v>
      </c>
      <c r="D218" s="134">
        <v>2012</v>
      </c>
      <c r="E218" s="134">
        <v>8</v>
      </c>
      <c r="F218" s="135"/>
      <c r="G218" s="134" t="s">
        <v>312</v>
      </c>
      <c r="H218" s="134">
        <v>7</v>
      </c>
      <c r="I218" s="133">
        <f t="shared" si="134"/>
        <v>2019</v>
      </c>
      <c r="J218" s="133"/>
      <c r="K218" s="133"/>
      <c r="L218" s="134" t="s">
        <v>313</v>
      </c>
      <c r="M218" s="134" t="s">
        <v>313</v>
      </c>
      <c r="N218" s="134" t="s">
        <v>313</v>
      </c>
      <c r="O218" s="134" t="s">
        <v>313</v>
      </c>
      <c r="P218" s="136">
        <v>6371</v>
      </c>
      <c r="Q218" s="136"/>
      <c r="R218" s="136">
        <f t="shared" si="135"/>
        <v>6371</v>
      </c>
      <c r="S218" s="137">
        <f t="shared" si="136"/>
        <v>75.845238095238088</v>
      </c>
      <c r="T218" s="137">
        <f t="shared" si="137"/>
        <v>758.45238095231184</v>
      </c>
      <c r="U218" s="137">
        <f t="shared" si="138"/>
        <v>0</v>
      </c>
      <c r="V218" s="137">
        <f t="shared" si="139"/>
        <v>758.45238095231184</v>
      </c>
      <c r="W218" s="124">
        <v>1</v>
      </c>
      <c r="X218" s="137">
        <f t="shared" si="140"/>
        <v>758.45238095231184</v>
      </c>
      <c r="Y218" s="138"/>
      <c r="Z218" s="137">
        <f t="shared" si="141"/>
        <v>5612.5476190476884</v>
      </c>
      <c r="AA218" s="137">
        <f t="shared" si="142"/>
        <v>5612.5476190476884</v>
      </c>
      <c r="AB218" s="139">
        <v>1</v>
      </c>
      <c r="AC218" s="137">
        <f t="shared" si="143"/>
        <v>5612.5476190476884</v>
      </c>
      <c r="AD218" s="137">
        <f t="shared" si="152"/>
        <v>6371</v>
      </c>
      <c r="AE218" s="137">
        <f t="shared" si="153"/>
        <v>379.22619047615581</v>
      </c>
      <c r="AF218" s="137">
        <f t="shared" si="144"/>
        <v>2012.5833333333333</v>
      </c>
      <c r="AG218" s="137">
        <f t="shared" si="145"/>
        <v>2019.75</v>
      </c>
      <c r="AH218" s="115">
        <f t="shared" si="146"/>
        <v>2019.5833333333333</v>
      </c>
      <c r="AI218" s="140">
        <f t="shared" si="147"/>
        <v>2018.75</v>
      </c>
      <c r="AJ218" s="140">
        <f t="shared" si="148"/>
        <v>-8.3333333333333329E-2</v>
      </c>
      <c r="AK218" s="140">
        <f t="shared" si="149"/>
        <v>2019.5833333333333</v>
      </c>
      <c r="AL218" s="140">
        <f t="shared" si="150"/>
        <v>2018.75</v>
      </c>
      <c r="AM218" s="140">
        <f t="shared" si="151"/>
        <v>-8.3333333333333329E-2</v>
      </c>
    </row>
    <row r="219" spans="1:39" x14ac:dyDescent="0.25">
      <c r="A219" s="133">
        <v>162</v>
      </c>
      <c r="B219" s="133" t="s">
        <v>487</v>
      </c>
      <c r="C219" s="133" t="s">
        <v>469</v>
      </c>
      <c r="D219" s="134">
        <v>2012</v>
      </c>
      <c r="E219" s="134">
        <v>9</v>
      </c>
      <c r="F219" s="135"/>
      <c r="G219" s="134" t="s">
        <v>312</v>
      </c>
      <c r="H219" s="134">
        <v>7</v>
      </c>
      <c r="I219" s="133">
        <f t="shared" si="134"/>
        <v>2019</v>
      </c>
      <c r="J219" s="133"/>
      <c r="K219" s="133"/>
      <c r="L219" s="134" t="s">
        <v>313</v>
      </c>
      <c r="M219" s="134" t="s">
        <v>313</v>
      </c>
      <c r="N219" s="134" t="s">
        <v>313</v>
      </c>
      <c r="O219" s="134" t="s">
        <v>313</v>
      </c>
      <c r="P219" s="136">
        <v>6155</v>
      </c>
      <c r="Q219" s="136"/>
      <c r="R219" s="136">
        <f t="shared" si="135"/>
        <v>6155</v>
      </c>
      <c r="S219" s="137">
        <f t="shared" si="136"/>
        <v>73.273809523809533</v>
      </c>
      <c r="T219" s="137">
        <f t="shared" si="137"/>
        <v>806.01190476197155</v>
      </c>
      <c r="U219" s="137">
        <f t="shared" si="138"/>
        <v>0</v>
      </c>
      <c r="V219" s="137">
        <f t="shared" si="139"/>
        <v>806.01190476197155</v>
      </c>
      <c r="W219" s="124">
        <v>1</v>
      </c>
      <c r="X219" s="137">
        <f t="shared" si="140"/>
        <v>806.01190476197155</v>
      </c>
      <c r="Y219" s="138"/>
      <c r="Z219" s="137">
        <f t="shared" si="141"/>
        <v>5348.9880952380281</v>
      </c>
      <c r="AA219" s="137">
        <f t="shared" si="142"/>
        <v>5348.9880952380281</v>
      </c>
      <c r="AB219" s="139">
        <v>1</v>
      </c>
      <c r="AC219" s="137">
        <f t="shared" si="143"/>
        <v>5348.9880952380281</v>
      </c>
      <c r="AD219" s="137">
        <f t="shared" si="152"/>
        <v>6155</v>
      </c>
      <c r="AE219" s="137">
        <f t="shared" si="153"/>
        <v>403.00595238098595</v>
      </c>
      <c r="AF219" s="137">
        <f t="shared" si="144"/>
        <v>2012.6666666666667</v>
      </c>
      <c r="AG219" s="137">
        <f t="shared" si="145"/>
        <v>2019.75</v>
      </c>
      <c r="AH219" s="115">
        <f t="shared" si="146"/>
        <v>2019.6666666666667</v>
      </c>
      <c r="AI219" s="140">
        <f t="shared" si="147"/>
        <v>2018.75</v>
      </c>
      <c r="AJ219" s="140">
        <f t="shared" si="148"/>
        <v>-8.3333333333333329E-2</v>
      </c>
      <c r="AK219" s="140">
        <f t="shared" si="149"/>
        <v>2019.6666666666667</v>
      </c>
      <c r="AL219" s="140">
        <f t="shared" si="150"/>
        <v>2018.75</v>
      </c>
      <c r="AM219" s="140">
        <f t="shared" si="151"/>
        <v>-8.3333333333333329E-2</v>
      </c>
    </row>
    <row r="220" spans="1:39" x14ac:dyDescent="0.25">
      <c r="A220" s="133">
        <v>163</v>
      </c>
      <c r="B220" s="133" t="s">
        <v>488</v>
      </c>
      <c r="C220" s="133" t="s">
        <v>469</v>
      </c>
      <c r="D220" s="134">
        <v>2012</v>
      </c>
      <c r="E220" s="134">
        <v>12</v>
      </c>
      <c r="F220" s="135"/>
      <c r="G220" s="134" t="s">
        <v>312</v>
      </c>
      <c r="H220" s="134">
        <v>7</v>
      </c>
      <c r="I220" s="133">
        <f t="shared" si="134"/>
        <v>2019</v>
      </c>
      <c r="J220" s="133"/>
      <c r="K220" s="133"/>
      <c r="L220" s="134" t="s">
        <v>313</v>
      </c>
      <c r="M220" s="134" t="s">
        <v>313</v>
      </c>
      <c r="N220" s="134" t="s">
        <v>313</v>
      </c>
      <c r="O220" s="134" t="s">
        <v>313</v>
      </c>
      <c r="P220" s="136">
        <v>1650</v>
      </c>
      <c r="Q220" s="136"/>
      <c r="R220" s="136">
        <f t="shared" si="135"/>
        <v>1650</v>
      </c>
      <c r="S220" s="137">
        <f t="shared" si="136"/>
        <v>19.642857142857142</v>
      </c>
      <c r="T220" s="137">
        <f t="shared" si="137"/>
        <v>235.71428571428572</v>
      </c>
      <c r="U220" s="137">
        <f t="shared" si="138"/>
        <v>0</v>
      </c>
      <c r="V220" s="137">
        <f t="shared" si="139"/>
        <v>235.71428571428572</v>
      </c>
      <c r="W220" s="124">
        <v>1</v>
      </c>
      <c r="X220" s="137">
        <f t="shared" si="140"/>
        <v>235.71428571428572</v>
      </c>
      <c r="Y220" s="138"/>
      <c r="Z220" s="137">
        <f t="shared" si="141"/>
        <v>1374.999999999982</v>
      </c>
      <c r="AA220" s="137">
        <f t="shared" si="142"/>
        <v>1374.999999999982</v>
      </c>
      <c r="AB220" s="139">
        <v>1</v>
      </c>
      <c r="AC220" s="137">
        <f t="shared" si="143"/>
        <v>1374.999999999982</v>
      </c>
      <c r="AD220" s="137">
        <f t="shared" si="152"/>
        <v>1610.7142857142678</v>
      </c>
      <c r="AE220" s="137">
        <f t="shared" si="153"/>
        <v>157.14285714287507</v>
      </c>
      <c r="AF220" s="137">
        <f t="shared" si="144"/>
        <v>2012.9166666666667</v>
      </c>
      <c r="AG220" s="137">
        <f t="shared" si="145"/>
        <v>2019.75</v>
      </c>
      <c r="AH220" s="115">
        <f t="shared" si="146"/>
        <v>2019.9166666666667</v>
      </c>
      <c r="AI220" s="140">
        <f t="shared" si="147"/>
        <v>2018.75</v>
      </c>
      <c r="AJ220" s="140">
        <f t="shared" si="148"/>
        <v>-8.3333333333333329E-2</v>
      </c>
      <c r="AK220" s="140">
        <f t="shared" si="149"/>
        <v>2019.9166666666667</v>
      </c>
      <c r="AL220" s="140">
        <f t="shared" si="150"/>
        <v>2018.75</v>
      </c>
      <c r="AM220" s="140">
        <f t="shared" si="151"/>
        <v>-8.3333333333333329E-2</v>
      </c>
    </row>
    <row r="221" spans="1:39" x14ac:dyDescent="0.25">
      <c r="A221" s="133">
        <v>175</v>
      </c>
      <c r="B221" s="133" t="s">
        <v>489</v>
      </c>
      <c r="C221" s="133" t="s">
        <v>469</v>
      </c>
      <c r="D221" s="134">
        <v>2013</v>
      </c>
      <c r="E221" s="134">
        <v>5</v>
      </c>
      <c r="F221" s="135"/>
      <c r="G221" s="134" t="s">
        <v>312</v>
      </c>
      <c r="H221" s="134">
        <v>10</v>
      </c>
      <c r="I221" s="133">
        <f t="shared" si="134"/>
        <v>2023</v>
      </c>
      <c r="J221" s="133"/>
      <c r="K221" s="133"/>
      <c r="L221" s="134" t="s">
        <v>313</v>
      </c>
      <c r="M221" s="134" t="s">
        <v>313</v>
      </c>
      <c r="N221" s="134" t="s">
        <v>313</v>
      </c>
      <c r="O221" s="134" t="s">
        <v>313</v>
      </c>
      <c r="P221" s="136">
        <v>10582.08</v>
      </c>
      <c r="Q221" s="136"/>
      <c r="R221" s="136">
        <f t="shared" si="135"/>
        <v>10582.08</v>
      </c>
      <c r="S221" s="137">
        <f t="shared" si="136"/>
        <v>88.184000000000012</v>
      </c>
      <c r="T221" s="137">
        <f t="shared" si="137"/>
        <v>1058.2080000000001</v>
      </c>
      <c r="U221" s="137">
        <f t="shared" si="138"/>
        <v>0</v>
      </c>
      <c r="V221" s="137">
        <f t="shared" si="139"/>
        <v>1058.2080000000001</v>
      </c>
      <c r="W221" s="124">
        <v>1</v>
      </c>
      <c r="X221" s="137">
        <f t="shared" si="140"/>
        <v>1058.2080000000001</v>
      </c>
      <c r="Y221" s="138"/>
      <c r="Z221" s="137">
        <f t="shared" si="141"/>
        <v>5731.960000000081</v>
      </c>
      <c r="AA221" s="137">
        <f t="shared" si="142"/>
        <v>5731.960000000081</v>
      </c>
      <c r="AB221" s="139">
        <v>1</v>
      </c>
      <c r="AC221" s="137">
        <f t="shared" si="143"/>
        <v>5731.960000000081</v>
      </c>
      <c r="AD221" s="137">
        <f t="shared" si="152"/>
        <v>6790.1680000000815</v>
      </c>
      <c r="AE221" s="137">
        <f t="shared" si="153"/>
        <v>4321.0159999999187</v>
      </c>
      <c r="AF221" s="137">
        <f t="shared" si="144"/>
        <v>2013.3333333333333</v>
      </c>
      <c r="AG221" s="137">
        <f t="shared" si="145"/>
        <v>2019.75</v>
      </c>
      <c r="AH221" s="115">
        <f t="shared" si="146"/>
        <v>2023.3333333333333</v>
      </c>
      <c r="AI221" s="140">
        <f t="shared" si="147"/>
        <v>2018.75</v>
      </c>
      <c r="AJ221" s="140">
        <f t="shared" si="148"/>
        <v>-8.3333333333333329E-2</v>
      </c>
      <c r="AK221" s="140">
        <f t="shared" si="149"/>
        <v>2023.3333333333333</v>
      </c>
      <c r="AL221" s="140">
        <f t="shared" si="150"/>
        <v>2018.75</v>
      </c>
      <c r="AM221" s="140">
        <f t="shared" si="151"/>
        <v>-8.3333333333333329E-2</v>
      </c>
    </row>
    <row r="222" spans="1:39" x14ac:dyDescent="0.25">
      <c r="A222" s="133">
        <v>179</v>
      </c>
      <c r="B222" s="133" t="s">
        <v>490</v>
      </c>
      <c r="C222" s="133" t="s">
        <v>469</v>
      </c>
      <c r="D222" s="134">
        <v>2013</v>
      </c>
      <c r="E222" s="134">
        <v>11</v>
      </c>
      <c r="F222" s="135"/>
      <c r="G222" s="134" t="s">
        <v>312</v>
      </c>
      <c r="H222" s="134">
        <v>7</v>
      </c>
      <c r="I222" s="133">
        <f t="shared" si="134"/>
        <v>2020</v>
      </c>
      <c r="J222" s="133"/>
      <c r="K222" s="133"/>
      <c r="L222" s="134" t="s">
        <v>313</v>
      </c>
      <c r="M222" s="134" t="s">
        <v>313</v>
      </c>
      <c r="N222" s="134" t="s">
        <v>313</v>
      </c>
      <c r="O222" s="134" t="s">
        <v>313</v>
      </c>
      <c r="P222" s="136">
        <v>1540.06</v>
      </c>
      <c r="Q222" s="136"/>
      <c r="R222" s="136">
        <f t="shared" si="135"/>
        <v>1540.06</v>
      </c>
      <c r="S222" s="137">
        <f t="shared" si="136"/>
        <v>18.33404761904762</v>
      </c>
      <c r="T222" s="137">
        <f t="shared" si="137"/>
        <v>220.00857142857143</v>
      </c>
      <c r="U222" s="137">
        <f t="shared" si="138"/>
        <v>0</v>
      </c>
      <c r="V222" s="137">
        <f t="shared" si="139"/>
        <v>220.00857142857143</v>
      </c>
      <c r="W222" s="124">
        <v>1</v>
      </c>
      <c r="X222" s="137">
        <f t="shared" si="140"/>
        <v>220.00857142857143</v>
      </c>
      <c r="Y222" s="138"/>
      <c r="Z222" s="137">
        <f t="shared" si="141"/>
        <v>1081.7088095238262</v>
      </c>
      <c r="AA222" s="137">
        <f t="shared" si="142"/>
        <v>1081.7088095238262</v>
      </c>
      <c r="AB222" s="139">
        <v>1</v>
      </c>
      <c r="AC222" s="137">
        <f t="shared" si="143"/>
        <v>1081.7088095238262</v>
      </c>
      <c r="AD222" s="137">
        <f t="shared" si="152"/>
        <v>1301.7173809523977</v>
      </c>
      <c r="AE222" s="137">
        <f t="shared" si="153"/>
        <v>348.34690476188803</v>
      </c>
      <c r="AF222" s="137">
        <f t="shared" si="144"/>
        <v>2013.8333333333333</v>
      </c>
      <c r="AG222" s="137">
        <f t="shared" si="145"/>
        <v>2019.75</v>
      </c>
      <c r="AH222" s="115">
        <f t="shared" si="146"/>
        <v>2020.8333333333333</v>
      </c>
      <c r="AI222" s="140">
        <f t="shared" si="147"/>
        <v>2018.75</v>
      </c>
      <c r="AJ222" s="140">
        <f t="shared" si="148"/>
        <v>-8.3333333333333329E-2</v>
      </c>
      <c r="AK222" s="140">
        <f t="shared" si="149"/>
        <v>2020.8333333333333</v>
      </c>
      <c r="AL222" s="140">
        <f t="shared" si="150"/>
        <v>2018.75</v>
      </c>
      <c r="AM222" s="140">
        <f t="shared" si="151"/>
        <v>-8.3333333333333329E-2</v>
      </c>
    </row>
    <row r="223" spans="1:39" x14ac:dyDescent="0.25">
      <c r="A223" s="133">
        <v>185</v>
      </c>
      <c r="B223" s="133" t="s">
        <v>491</v>
      </c>
      <c r="C223" s="133" t="s">
        <v>469</v>
      </c>
      <c r="D223" s="134">
        <v>2013</v>
      </c>
      <c r="E223" s="134">
        <v>6</v>
      </c>
      <c r="F223" s="135"/>
      <c r="G223" s="134" t="s">
        <v>312</v>
      </c>
      <c r="H223" s="134">
        <v>20</v>
      </c>
      <c r="I223" s="133">
        <f t="shared" si="134"/>
        <v>2033</v>
      </c>
      <c r="J223" s="133"/>
      <c r="K223" s="133"/>
      <c r="L223" s="133">
        <v>10</v>
      </c>
      <c r="M223" s="133">
        <f t="shared" ref="M223:M240" si="154">+D223+L223</f>
        <v>2023</v>
      </c>
      <c r="N223" s="133">
        <v>7</v>
      </c>
      <c r="O223" s="136">
        <f t="shared" ref="O223:O240" si="155">+Z223</f>
        <v>154650.66666666445</v>
      </c>
      <c r="P223" s="136">
        <v>579940</v>
      </c>
      <c r="Q223" s="136"/>
      <c r="R223" s="136">
        <f t="shared" si="135"/>
        <v>579940</v>
      </c>
      <c r="S223" s="137">
        <f t="shared" si="136"/>
        <v>2416.4166666666665</v>
      </c>
      <c r="T223" s="137">
        <f t="shared" ref="T223:T240" si="156">(+R223-O223)/7</f>
        <v>60755.619047619366</v>
      </c>
      <c r="U223" s="137">
        <f t="shared" si="138"/>
        <v>0</v>
      </c>
      <c r="V223" s="137">
        <f t="shared" si="139"/>
        <v>60755.619047619366</v>
      </c>
      <c r="W223" s="124">
        <v>1</v>
      </c>
      <c r="X223" s="137">
        <f t="shared" si="140"/>
        <v>60755.619047619366</v>
      </c>
      <c r="Y223" s="138"/>
      <c r="Z223" s="137">
        <f t="shared" si="141"/>
        <v>154650.66666666445</v>
      </c>
      <c r="AA223" s="137">
        <f t="shared" si="142"/>
        <v>154650.66666666445</v>
      </c>
      <c r="AB223" s="139">
        <v>1</v>
      </c>
      <c r="AC223" s="137">
        <f t="shared" si="143"/>
        <v>154650.66666666445</v>
      </c>
      <c r="AD223" s="137">
        <f t="shared" si="152"/>
        <v>215406.28571428382</v>
      </c>
      <c r="AE223" s="137">
        <f t="shared" si="153"/>
        <v>394911.52380952588</v>
      </c>
      <c r="AF223" s="137">
        <f t="shared" si="144"/>
        <v>2013.4166666666667</v>
      </c>
      <c r="AG223" s="137">
        <f t="shared" si="145"/>
        <v>2019.75</v>
      </c>
      <c r="AH223" s="115">
        <f t="shared" si="146"/>
        <v>2033.4166666666667</v>
      </c>
      <c r="AI223" s="140">
        <f t="shared" si="147"/>
        <v>2018.75</v>
      </c>
      <c r="AJ223" s="140">
        <f t="shared" si="148"/>
        <v>-8.3333333333333329E-2</v>
      </c>
      <c r="AK223" s="140">
        <f t="shared" si="149"/>
        <v>2033.4166666666667</v>
      </c>
      <c r="AL223" s="140">
        <f t="shared" si="150"/>
        <v>2018.75</v>
      </c>
      <c r="AM223" s="140">
        <f t="shared" si="151"/>
        <v>-8.3333333333333329E-2</v>
      </c>
    </row>
    <row r="224" spans="1:39" x14ac:dyDescent="0.25">
      <c r="A224" s="133">
        <v>186</v>
      </c>
      <c r="B224" s="133" t="s">
        <v>492</v>
      </c>
      <c r="C224" s="133" t="s">
        <v>469</v>
      </c>
      <c r="D224" s="134">
        <v>2013</v>
      </c>
      <c r="E224" s="134">
        <v>6</v>
      </c>
      <c r="F224" s="135"/>
      <c r="G224" s="134" t="s">
        <v>312</v>
      </c>
      <c r="H224" s="134">
        <v>20</v>
      </c>
      <c r="I224" s="133">
        <f t="shared" si="134"/>
        <v>2033</v>
      </c>
      <c r="J224" s="133"/>
      <c r="K224" s="133"/>
      <c r="L224" s="133">
        <v>10</v>
      </c>
      <c r="M224" s="133">
        <f t="shared" si="154"/>
        <v>2023</v>
      </c>
      <c r="N224" s="133">
        <v>7</v>
      </c>
      <c r="O224" s="136">
        <f t="shared" si="155"/>
        <v>9976.159999999858</v>
      </c>
      <c r="P224" s="136">
        <v>37410.6</v>
      </c>
      <c r="Q224" s="136"/>
      <c r="R224" s="136">
        <f t="shared" si="135"/>
        <v>37410.6</v>
      </c>
      <c r="S224" s="137">
        <f t="shared" si="136"/>
        <v>155.8775</v>
      </c>
      <c r="T224" s="137">
        <f t="shared" si="156"/>
        <v>3919.2057142857343</v>
      </c>
      <c r="U224" s="137">
        <f t="shared" si="138"/>
        <v>0</v>
      </c>
      <c r="V224" s="137">
        <f t="shared" si="139"/>
        <v>3919.2057142857343</v>
      </c>
      <c r="W224" s="124">
        <v>1</v>
      </c>
      <c r="X224" s="137">
        <f t="shared" si="140"/>
        <v>3919.2057142857343</v>
      </c>
      <c r="Y224" s="138"/>
      <c r="Z224" s="137">
        <f t="shared" si="141"/>
        <v>9976.159999999858</v>
      </c>
      <c r="AA224" s="137">
        <f t="shared" si="142"/>
        <v>9976.159999999858</v>
      </c>
      <c r="AB224" s="139">
        <v>1</v>
      </c>
      <c r="AC224" s="137">
        <f t="shared" si="143"/>
        <v>9976.159999999858</v>
      </c>
      <c r="AD224" s="137">
        <f t="shared" si="152"/>
        <v>13895.365714285592</v>
      </c>
      <c r="AE224" s="137">
        <f t="shared" si="153"/>
        <v>25474.837142857272</v>
      </c>
      <c r="AF224" s="137">
        <f t="shared" si="144"/>
        <v>2013.4166666666667</v>
      </c>
      <c r="AG224" s="137">
        <f t="shared" si="145"/>
        <v>2019.75</v>
      </c>
      <c r="AH224" s="115">
        <f t="shared" si="146"/>
        <v>2033.4166666666667</v>
      </c>
      <c r="AI224" s="140">
        <f t="shared" si="147"/>
        <v>2018.75</v>
      </c>
      <c r="AJ224" s="140">
        <f t="shared" si="148"/>
        <v>-8.3333333333333329E-2</v>
      </c>
      <c r="AK224" s="140">
        <f t="shared" si="149"/>
        <v>2033.4166666666667</v>
      </c>
      <c r="AL224" s="140">
        <f t="shared" si="150"/>
        <v>2018.75</v>
      </c>
      <c r="AM224" s="140">
        <f t="shared" si="151"/>
        <v>-8.3333333333333329E-2</v>
      </c>
    </row>
    <row r="225" spans="1:39" x14ac:dyDescent="0.25">
      <c r="A225" s="133">
        <v>187</v>
      </c>
      <c r="B225" s="133" t="s">
        <v>493</v>
      </c>
      <c r="C225" s="133" t="s">
        <v>469</v>
      </c>
      <c r="D225" s="134">
        <v>2013</v>
      </c>
      <c r="E225" s="134">
        <v>6</v>
      </c>
      <c r="F225" s="135"/>
      <c r="G225" s="134" t="s">
        <v>312</v>
      </c>
      <c r="H225" s="134">
        <v>20</v>
      </c>
      <c r="I225" s="133">
        <f t="shared" si="134"/>
        <v>2033</v>
      </c>
      <c r="J225" s="133"/>
      <c r="K225" s="133"/>
      <c r="L225" s="133">
        <v>10</v>
      </c>
      <c r="M225" s="133">
        <f t="shared" si="154"/>
        <v>2023</v>
      </c>
      <c r="N225" s="133">
        <v>7</v>
      </c>
      <c r="O225" s="136">
        <f t="shared" si="155"/>
        <v>138.78133333333136</v>
      </c>
      <c r="P225" s="136">
        <v>520.42999999999995</v>
      </c>
      <c r="Q225" s="136"/>
      <c r="R225" s="136">
        <f t="shared" si="135"/>
        <v>520.42999999999995</v>
      </c>
      <c r="S225" s="137">
        <f t="shared" si="136"/>
        <v>2.1684583333333332</v>
      </c>
      <c r="T225" s="137">
        <f t="shared" si="156"/>
        <v>54.521238095238367</v>
      </c>
      <c r="U225" s="137">
        <f t="shared" si="138"/>
        <v>0</v>
      </c>
      <c r="V225" s="137">
        <f t="shared" si="139"/>
        <v>54.521238095238367</v>
      </c>
      <c r="W225" s="124">
        <v>1</v>
      </c>
      <c r="X225" s="137">
        <f t="shared" si="140"/>
        <v>54.521238095238367</v>
      </c>
      <c r="Y225" s="138"/>
      <c r="Z225" s="137">
        <f t="shared" si="141"/>
        <v>138.78133333333136</v>
      </c>
      <c r="AA225" s="137">
        <f t="shared" si="142"/>
        <v>138.78133333333136</v>
      </c>
      <c r="AB225" s="139">
        <v>1</v>
      </c>
      <c r="AC225" s="137">
        <f t="shared" si="143"/>
        <v>138.78133333333136</v>
      </c>
      <c r="AD225" s="137">
        <f t="shared" si="152"/>
        <v>193.30257142856973</v>
      </c>
      <c r="AE225" s="137">
        <f t="shared" si="153"/>
        <v>354.38804761904942</v>
      </c>
      <c r="AF225" s="137">
        <f t="shared" si="144"/>
        <v>2013.4166666666667</v>
      </c>
      <c r="AG225" s="137">
        <f t="shared" si="145"/>
        <v>2019.75</v>
      </c>
      <c r="AH225" s="115">
        <f t="shared" si="146"/>
        <v>2033.4166666666667</v>
      </c>
      <c r="AI225" s="140">
        <f t="shared" si="147"/>
        <v>2018.75</v>
      </c>
      <c r="AJ225" s="140">
        <f t="shared" si="148"/>
        <v>-8.3333333333333329E-2</v>
      </c>
      <c r="AK225" s="140">
        <f t="shared" si="149"/>
        <v>2033.4166666666667</v>
      </c>
      <c r="AL225" s="140">
        <f t="shared" si="150"/>
        <v>2018.75</v>
      </c>
      <c r="AM225" s="140">
        <f t="shared" si="151"/>
        <v>-8.3333333333333329E-2</v>
      </c>
    </row>
    <row r="226" spans="1:39" x14ac:dyDescent="0.25">
      <c r="A226" s="133">
        <v>188</v>
      </c>
      <c r="B226" s="133" t="s">
        <v>494</v>
      </c>
      <c r="C226" s="133" t="s">
        <v>469</v>
      </c>
      <c r="D226" s="134">
        <v>2013</v>
      </c>
      <c r="E226" s="134">
        <v>6</v>
      </c>
      <c r="F226" s="135"/>
      <c r="G226" s="134" t="s">
        <v>312</v>
      </c>
      <c r="H226" s="134">
        <v>20</v>
      </c>
      <c r="I226" s="133">
        <f t="shared" si="134"/>
        <v>2033</v>
      </c>
      <c r="J226" s="133"/>
      <c r="K226" s="133"/>
      <c r="L226" s="133">
        <v>10</v>
      </c>
      <c r="M226" s="133">
        <f t="shared" si="154"/>
        <v>2023</v>
      </c>
      <c r="N226" s="133">
        <v>7</v>
      </c>
      <c r="O226" s="136">
        <f t="shared" si="155"/>
        <v>5901.2746666665835</v>
      </c>
      <c r="P226" s="136">
        <v>22129.78</v>
      </c>
      <c r="Q226" s="136"/>
      <c r="R226" s="136">
        <f t="shared" si="135"/>
        <v>22129.78</v>
      </c>
      <c r="S226" s="137">
        <f t="shared" si="136"/>
        <v>92.207416666666674</v>
      </c>
      <c r="T226" s="137">
        <f t="shared" si="156"/>
        <v>2318.3579047619164</v>
      </c>
      <c r="U226" s="137">
        <f t="shared" si="138"/>
        <v>0</v>
      </c>
      <c r="V226" s="137">
        <f t="shared" si="139"/>
        <v>2318.3579047619164</v>
      </c>
      <c r="W226" s="124">
        <v>1</v>
      </c>
      <c r="X226" s="137">
        <f t="shared" si="140"/>
        <v>2318.3579047619164</v>
      </c>
      <c r="Y226" s="138"/>
      <c r="Z226" s="137">
        <f t="shared" si="141"/>
        <v>5901.2746666665835</v>
      </c>
      <c r="AA226" s="137">
        <f t="shared" si="142"/>
        <v>5901.2746666665835</v>
      </c>
      <c r="AB226" s="139">
        <v>1</v>
      </c>
      <c r="AC226" s="137">
        <f t="shared" si="143"/>
        <v>5901.2746666665835</v>
      </c>
      <c r="AD226" s="137">
        <f t="shared" si="152"/>
        <v>8219.6325714284994</v>
      </c>
      <c r="AE226" s="137">
        <f t="shared" si="153"/>
        <v>15069.326380952458</v>
      </c>
      <c r="AF226" s="137">
        <f t="shared" si="144"/>
        <v>2013.4166666666667</v>
      </c>
      <c r="AG226" s="137">
        <f t="shared" si="145"/>
        <v>2019.75</v>
      </c>
      <c r="AH226" s="115">
        <f t="shared" si="146"/>
        <v>2033.4166666666667</v>
      </c>
      <c r="AI226" s="140">
        <f t="shared" si="147"/>
        <v>2018.75</v>
      </c>
      <c r="AJ226" s="140">
        <f t="shared" si="148"/>
        <v>-8.3333333333333329E-2</v>
      </c>
      <c r="AK226" s="140">
        <f t="shared" si="149"/>
        <v>2033.4166666666667</v>
      </c>
      <c r="AL226" s="140">
        <f t="shared" si="150"/>
        <v>2018.75</v>
      </c>
      <c r="AM226" s="140">
        <f t="shared" si="151"/>
        <v>-8.3333333333333329E-2</v>
      </c>
    </row>
    <row r="227" spans="1:39" x14ac:dyDescent="0.25">
      <c r="A227" s="133">
        <v>189</v>
      </c>
      <c r="B227" s="133" t="s">
        <v>495</v>
      </c>
      <c r="C227" s="133" t="s">
        <v>469</v>
      </c>
      <c r="D227" s="134">
        <v>2013</v>
      </c>
      <c r="E227" s="134">
        <v>6</v>
      </c>
      <c r="F227" s="135"/>
      <c r="G227" s="134" t="s">
        <v>312</v>
      </c>
      <c r="H227" s="134">
        <v>20</v>
      </c>
      <c r="I227" s="133">
        <f t="shared" si="134"/>
        <v>2033</v>
      </c>
      <c r="J227" s="133"/>
      <c r="K227" s="133"/>
      <c r="L227" s="133">
        <v>10</v>
      </c>
      <c r="M227" s="133">
        <f t="shared" si="154"/>
        <v>2023</v>
      </c>
      <c r="N227" s="133">
        <v>7</v>
      </c>
      <c r="O227" s="136">
        <f t="shared" si="155"/>
        <v>4538.7813333332688</v>
      </c>
      <c r="P227" s="136">
        <v>17020.43</v>
      </c>
      <c r="Q227" s="136"/>
      <c r="R227" s="136">
        <f t="shared" si="135"/>
        <v>17020.43</v>
      </c>
      <c r="S227" s="137">
        <f t="shared" si="136"/>
        <v>70.918458333333334</v>
      </c>
      <c r="T227" s="137">
        <f t="shared" si="156"/>
        <v>1783.092666666676</v>
      </c>
      <c r="U227" s="137">
        <f t="shared" si="138"/>
        <v>0</v>
      </c>
      <c r="V227" s="137">
        <f t="shared" si="139"/>
        <v>1783.092666666676</v>
      </c>
      <c r="W227" s="124">
        <v>1</v>
      </c>
      <c r="X227" s="137">
        <f t="shared" si="140"/>
        <v>1783.092666666676</v>
      </c>
      <c r="Y227" s="138"/>
      <c r="Z227" s="137">
        <f t="shared" si="141"/>
        <v>4538.7813333332688</v>
      </c>
      <c r="AA227" s="137">
        <f t="shared" si="142"/>
        <v>4538.7813333332688</v>
      </c>
      <c r="AB227" s="139">
        <v>1</v>
      </c>
      <c r="AC227" s="137">
        <f t="shared" si="143"/>
        <v>4538.7813333332688</v>
      </c>
      <c r="AD227" s="137">
        <f t="shared" si="152"/>
        <v>6321.8739999999452</v>
      </c>
      <c r="AE227" s="137">
        <f t="shared" si="153"/>
        <v>11590.102333333394</v>
      </c>
      <c r="AF227" s="137">
        <f t="shared" si="144"/>
        <v>2013.4166666666667</v>
      </c>
      <c r="AG227" s="137">
        <f t="shared" si="145"/>
        <v>2019.75</v>
      </c>
      <c r="AH227" s="115">
        <f t="shared" si="146"/>
        <v>2033.4166666666667</v>
      </c>
      <c r="AI227" s="140">
        <f t="shared" si="147"/>
        <v>2018.75</v>
      </c>
      <c r="AJ227" s="140">
        <f t="shared" si="148"/>
        <v>-8.3333333333333329E-2</v>
      </c>
      <c r="AK227" s="140">
        <f t="shared" si="149"/>
        <v>2033.4166666666667</v>
      </c>
      <c r="AL227" s="140">
        <f t="shared" si="150"/>
        <v>2018.75</v>
      </c>
      <c r="AM227" s="140">
        <f t="shared" si="151"/>
        <v>-8.3333333333333329E-2</v>
      </c>
    </row>
    <row r="228" spans="1:39" x14ac:dyDescent="0.25">
      <c r="A228" s="133">
        <v>190</v>
      </c>
      <c r="B228" s="133" t="s">
        <v>496</v>
      </c>
      <c r="C228" s="133" t="s">
        <v>469</v>
      </c>
      <c r="D228" s="134">
        <v>2013</v>
      </c>
      <c r="E228" s="134">
        <v>6</v>
      </c>
      <c r="F228" s="135"/>
      <c r="G228" s="134" t="s">
        <v>312</v>
      </c>
      <c r="H228" s="134">
        <v>20</v>
      </c>
      <c r="I228" s="133">
        <f t="shared" si="134"/>
        <v>2033</v>
      </c>
      <c r="J228" s="133"/>
      <c r="K228" s="133"/>
      <c r="L228" s="133">
        <v>10</v>
      </c>
      <c r="M228" s="133">
        <f t="shared" si="154"/>
        <v>2023</v>
      </c>
      <c r="N228" s="133">
        <v>7</v>
      </c>
      <c r="O228" s="136">
        <f t="shared" si="155"/>
        <v>242.64266666666322</v>
      </c>
      <c r="P228" s="136">
        <v>909.91</v>
      </c>
      <c r="Q228" s="136"/>
      <c r="R228" s="136">
        <f t="shared" si="135"/>
        <v>909.91</v>
      </c>
      <c r="S228" s="137">
        <f t="shared" si="136"/>
        <v>3.7912916666666665</v>
      </c>
      <c r="T228" s="137">
        <f t="shared" si="156"/>
        <v>95.323904761905254</v>
      </c>
      <c r="U228" s="137">
        <f t="shared" si="138"/>
        <v>0</v>
      </c>
      <c r="V228" s="137">
        <f t="shared" si="139"/>
        <v>95.323904761905254</v>
      </c>
      <c r="W228" s="124">
        <v>1</v>
      </c>
      <c r="X228" s="137">
        <f t="shared" si="140"/>
        <v>95.323904761905254</v>
      </c>
      <c r="Y228" s="138"/>
      <c r="Z228" s="137">
        <f t="shared" si="141"/>
        <v>242.64266666666322</v>
      </c>
      <c r="AA228" s="137">
        <f t="shared" si="142"/>
        <v>242.64266666666322</v>
      </c>
      <c r="AB228" s="139">
        <v>1</v>
      </c>
      <c r="AC228" s="137">
        <f t="shared" si="143"/>
        <v>242.64266666666322</v>
      </c>
      <c r="AD228" s="137">
        <f t="shared" si="152"/>
        <v>337.9665714285685</v>
      </c>
      <c r="AE228" s="137">
        <f t="shared" si="153"/>
        <v>619.60538095238417</v>
      </c>
      <c r="AF228" s="137">
        <f t="shared" si="144"/>
        <v>2013.4166666666667</v>
      </c>
      <c r="AG228" s="137">
        <f t="shared" si="145"/>
        <v>2019.75</v>
      </c>
      <c r="AH228" s="115">
        <f t="shared" si="146"/>
        <v>2033.4166666666667</v>
      </c>
      <c r="AI228" s="140">
        <f t="shared" si="147"/>
        <v>2018.75</v>
      </c>
      <c r="AJ228" s="140">
        <f t="shared" si="148"/>
        <v>-8.3333333333333329E-2</v>
      </c>
      <c r="AK228" s="140">
        <f t="shared" si="149"/>
        <v>2033.4166666666667</v>
      </c>
      <c r="AL228" s="140">
        <f t="shared" si="150"/>
        <v>2018.75</v>
      </c>
      <c r="AM228" s="140">
        <f t="shared" si="151"/>
        <v>-8.3333333333333329E-2</v>
      </c>
    </row>
    <row r="229" spans="1:39" x14ac:dyDescent="0.25">
      <c r="A229" s="133">
        <v>191</v>
      </c>
      <c r="B229" s="133" t="s">
        <v>497</v>
      </c>
      <c r="C229" s="133" t="s">
        <v>469</v>
      </c>
      <c r="D229" s="134">
        <v>2013</v>
      </c>
      <c r="E229" s="134">
        <v>6</v>
      </c>
      <c r="F229" s="135"/>
      <c r="G229" s="134" t="s">
        <v>312</v>
      </c>
      <c r="H229" s="134">
        <v>20</v>
      </c>
      <c r="I229" s="133">
        <f t="shared" si="134"/>
        <v>2033</v>
      </c>
      <c r="J229" s="133"/>
      <c r="K229" s="133"/>
      <c r="L229" s="133">
        <v>10</v>
      </c>
      <c r="M229" s="133">
        <f t="shared" si="154"/>
        <v>2023</v>
      </c>
      <c r="N229" s="133">
        <v>7</v>
      </c>
      <c r="O229" s="136">
        <f t="shared" si="155"/>
        <v>1079.1573333333181</v>
      </c>
      <c r="P229" s="136">
        <v>4046.84</v>
      </c>
      <c r="Q229" s="136"/>
      <c r="R229" s="136">
        <f t="shared" si="135"/>
        <v>4046.84</v>
      </c>
      <c r="S229" s="137">
        <f t="shared" si="136"/>
        <v>16.861833333333333</v>
      </c>
      <c r="T229" s="137">
        <f t="shared" si="156"/>
        <v>423.95466666666886</v>
      </c>
      <c r="U229" s="137">
        <f t="shared" si="138"/>
        <v>0</v>
      </c>
      <c r="V229" s="137">
        <f t="shared" si="139"/>
        <v>423.95466666666886</v>
      </c>
      <c r="W229" s="124">
        <v>1</v>
      </c>
      <c r="X229" s="137">
        <f t="shared" si="140"/>
        <v>423.95466666666886</v>
      </c>
      <c r="Y229" s="138"/>
      <c r="Z229" s="137">
        <f t="shared" si="141"/>
        <v>1079.1573333333181</v>
      </c>
      <c r="AA229" s="137">
        <f t="shared" si="142"/>
        <v>1079.1573333333181</v>
      </c>
      <c r="AB229" s="139">
        <v>1</v>
      </c>
      <c r="AC229" s="137">
        <f t="shared" si="143"/>
        <v>1079.1573333333181</v>
      </c>
      <c r="AD229" s="137">
        <f t="shared" si="152"/>
        <v>1503.1119999999869</v>
      </c>
      <c r="AE229" s="137">
        <f t="shared" si="153"/>
        <v>2755.7053333333479</v>
      </c>
      <c r="AF229" s="137">
        <f t="shared" si="144"/>
        <v>2013.4166666666667</v>
      </c>
      <c r="AG229" s="137">
        <f t="shared" si="145"/>
        <v>2019.75</v>
      </c>
      <c r="AH229" s="115">
        <f t="shared" si="146"/>
        <v>2033.4166666666667</v>
      </c>
      <c r="AI229" s="140">
        <f t="shared" si="147"/>
        <v>2018.75</v>
      </c>
      <c r="AJ229" s="140">
        <f t="shared" si="148"/>
        <v>-8.3333333333333329E-2</v>
      </c>
      <c r="AK229" s="140">
        <f t="shared" si="149"/>
        <v>2033.4166666666667</v>
      </c>
      <c r="AL229" s="140">
        <f t="shared" si="150"/>
        <v>2018.75</v>
      </c>
      <c r="AM229" s="140">
        <f t="shared" si="151"/>
        <v>-8.3333333333333329E-2</v>
      </c>
    </row>
    <row r="230" spans="1:39" x14ac:dyDescent="0.25">
      <c r="A230" s="133">
        <v>192</v>
      </c>
      <c r="B230" s="133" t="s">
        <v>498</v>
      </c>
      <c r="C230" s="133" t="s">
        <v>469</v>
      </c>
      <c r="D230" s="134">
        <v>2013</v>
      </c>
      <c r="E230" s="134">
        <v>6</v>
      </c>
      <c r="F230" s="135"/>
      <c r="G230" s="134" t="s">
        <v>312</v>
      </c>
      <c r="H230" s="134">
        <v>20</v>
      </c>
      <c r="I230" s="133">
        <f t="shared" si="134"/>
        <v>2033</v>
      </c>
      <c r="J230" s="133"/>
      <c r="K230" s="133"/>
      <c r="L230" s="133">
        <v>10</v>
      </c>
      <c r="M230" s="133">
        <f t="shared" si="154"/>
        <v>2023</v>
      </c>
      <c r="N230" s="133">
        <v>7</v>
      </c>
      <c r="O230" s="136">
        <f t="shared" si="155"/>
        <v>486.15733333332639</v>
      </c>
      <c r="P230" s="136">
        <v>1823.09</v>
      </c>
      <c r="Q230" s="136"/>
      <c r="R230" s="136">
        <f t="shared" si="135"/>
        <v>1823.09</v>
      </c>
      <c r="S230" s="137">
        <f t="shared" si="136"/>
        <v>7.5962083333333332</v>
      </c>
      <c r="T230" s="137">
        <f t="shared" si="156"/>
        <v>190.99038095238191</v>
      </c>
      <c r="U230" s="137">
        <f t="shared" si="138"/>
        <v>0</v>
      </c>
      <c r="V230" s="137">
        <f t="shared" si="139"/>
        <v>190.99038095238191</v>
      </c>
      <c r="W230" s="124">
        <v>1</v>
      </c>
      <c r="X230" s="137">
        <f t="shared" si="140"/>
        <v>190.99038095238191</v>
      </c>
      <c r="Y230" s="138"/>
      <c r="Z230" s="137">
        <f t="shared" si="141"/>
        <v>486.15733333332639</v>
      </c>
      <c r="AA230" s="137">
        <f t="shared" si="142"/>
        <v>486.15733333332639</v>
      </c>
      <c r="AB230" s="139">
        <v>1</v>
      </c>
      <c r="AC230" s="137">
        <f t="shared" si="143"/>
        <v>486.15733333332639</v>
      </c>
      <c r="AD230" s="137">
        <f t="shared" si="152"/>
        <v>677.14771428570828</v>
      </c>
      <c r="AE230" s="137">
        <f t="shared" si="153"/>
        <v>1241.4374761904826</v>
      </c>
      <c r="AF230" s="137">
        <f t="shared" si="144"/>
        <v>2013.4166666666667</v>
      </c>
      <c r="AG230" s="137">
        <f t="shared" si="145"/>
        <v>2019.75</v>
      </c>
      <c r="AH230" s="115">
        <f t="shared" si="146"/>
        <v>2033.4166666666667</v>
      </c>
      <c r="AI230" s="140">
        <f t="shared" si="147"/>
        <v>2018.75</v>
      </c>
      <c r="AJ230" s="140">
        <f t="shared" si="148"/>
        <v>-8.3333333333333329E-2</v>
      </c>
      <c r="AK230" s="140">
        <f t="shared" si="149"/>
        <v>2033.4166666666667</v>
      </c>
      <c r="AL230" s="140">
        <f t="shared" si="150"/>
        <v>2018.75</v>
      </c>
      <c r="AM230" s="140">
        <f t="shared" si="151"/>
        <v>-8.3333333333333329E-2</v>
      </c>
    </row>
    <row r="231" spans="1:39" x14ac:dyDescent="0.25">
      <c r="A231" s="133">
        <v>193</v>
      </c>
      <c r="B231" s="133" t="s">
        <v>499</v>
      </c>
      <c r="C231" s="133" t="s">
        <v>469</v>
      </c>
      <c r="D231" s="134">
        <v>2013</v>
      </c>
      <c r="E231" s="134">
        <v>6</v>
      </c>
      <c r="F231" s="135"/>
      <c r="G231" s="134" t="s">
        <v>312</v>
      </c>
      <c r="H231" s="134">
        <v>20</v>
      </c>
      <c r="I231" s="133">
        <f t="shared" si="134"/>
        <v>2033</v>
      </c>
      <c r="J231" s="133"/>
      <c r="K231" s="133"/>
      <c r="L231" s="133">
        <v>10</v>
      </c>
      <c r="M231" s="133">
        <f t="shared" si="154"/>
        <v>2023</v>
      </c>
      <c r="N231" s="133">
        <v>7</v>
      </c>
      <c r="O231" s="136">
        <f t="shared" si="155"/>
        <v>4444.8773333332711</v>
      </c>
      <c r="P231" s="136">
        <v>16668.29</v>
      </c>
      <c r="Q231" s="136"/>
      <c r="R231" s="136">
        <f t="shared" si="135"/>
        <v>16668.29</v>
      </c>
      <c r="S231" s="137">
        <f t="shared" si="136"/>
        <v>69.451208333333341</v>
      </c>
      <c r="T231" s="137">
        <f t="shared" si="156"/>
        <v>1746.2018095238184</v>
      </c>
      <c r="U231" s="137">
        <f t="shared" si="138"/>
        <v>0</v>
      </c>
      <c r="V231" s="137">
        <f t="shared" si="139"/>
        <v>1746.2018095238184</v>
      </c>
      <c r="W231" s="124">
        <v>1</v>
      </c>
      <c r="X231" s="137">
        <f t="shared" si="140"/>
        <v>1746.2018095238184</v>
      </c>
      <c r="Y231" s="138"/>
      <c r="Z231" s="137">
        <f t="shared" si="141"/>
        <v>4444.8773333332711</v>
      </c>
      <c r="AA231" s="137">
        <f t="shared" si="142"/>
        <v>4444.8773333332711</v>
      </c>
      <c r="AB231" s="139">
        <v>1</v>
      </c>
      <c r="AC231" s="137">
        <f t="shared" si="143"/>
        <v>4444.8773333332711</v>
      </c>
      <c r="AD231" s="137">
        <f t="shared" si="152"/>
        <v>6191.0791428570892</v>
      </c>
      <c r="AE231" s="137">
        <f t="shared" si="153"/>
        <v>11350.311761904821</v>
      </c>
      <c r="AF231" s="137">
        <f t="shared" si="144"/>
        <v>2013.4166666666667</v>
      </c>
      <c r="AG231" s="137">
        <f t="shared" si="145"/>
        <v>2019.75</v>
      </c>
      <c r="AH231" s="115">
        <f t="shared" si="146"/>
        <v>2033.4166666666667</v>
      </c>
      <c r="AI231" s="140">
        <f t="shared" si="147"/>
        <v>2018.75</v>
      </c>
      <c r="AJ231" s="140">
        <f t="shared" si="148"/>
        <v>-8.3333333333333329E-2</v>
      </c>
      <c r="AK231" s="140">
        <f t="shared" si="149"/>
        <v>2033.4166666666667</v>
      </c>
      <c r="AL231" s="140">
        <f t="shared" si="150"/>
        <v>2018.75</v>
      </c>
      <c r="AM231" s="140">
        <f t="shared" si="151"/>
        <v>-8.3333333333333329E-2</v>
      </c>
    </row>
    <row r="232" spans="1:39" x14ac:dyDescent="0.25">
      <c r="A232" s="133">
        <v>194</v>
      </c>
      <c r="B232" s="133" t="s">
        <v>500</v>
      </c>
      <c r="C232" s="133" t="s">
        <v>469</v>
      </c>
      <c r="D232" s="134">
        <v>2013</v>
      </c>
      <c r="E232" s="134">
        <v>6</v>
      </c>
      <c r="F232" s="135"/>
      <c r="G232" s="134" t="s">
        <v>312</v>
      </c>
      <c r="H232" s="134">
        <v>20</v>
      </c>
      <c r="I232" s="133">
        <f t="shared" si="134"/>
        <v>2033</v>
      </c>
      <c r="J232" s="133"/>
      <c r="K232" s="133"/>
      <c r="L232" s="133">
        <v>10</v>
      </c>
      <c r="M232" s="133">
        <f t="shared" si="154"/>
        <v>2023</v>
      </c>
      <c r="N232" s="133">
        <v>7</v>
      </c>
      <c r="O232" s="136">
        <f t="shared" si="155"/>
        <v>278.87733333332932</v>
      </c>
      <c r="P232" s="136">
        <v>1045.79</v>
      </c>
      <c r="Q232" s="136"/>
      <c r="R232" s="136">
        <f t="shared" si="135"/>
        <v>1045.79</v>
      </c>
      <c r="S232" s="137">
        <f t="shared" si="136"/>
        <v>4.3574583333333328</v>
      </c>
      <c r="T232" s="137">
        <f t="shared" si="156"/>
        <v>109.55895238095296</v>
      </c>
      <c r="U232" s="137">
        <f t="shared" si="138"/>
        <v>0</v>
      </c>
      <c r="V232" s="137">
        <f t="shared" si="139"/>
        <v>109.55895238095296</v>
      </c>
      <c r="W232" s="124">
        <v>1</v>
      </c>
      <c r="X232" s="137">
        <f t="shared" si="140"/>
        <v>109.55895238095296</v>
      </c>
      <c r="Y232" s="138"/>
      <c r="Z232" s="137">
        <f t="shared" si="141"/>
        <v>278.87733333332932</v>
      </c>
      <c r="AA232" s="137">
        <f t="shared" si="142"/>
        <v>278.87733333332932</v>
      </c>
      <c r="AB232" s="139">
        <v>1</v>
      </c>
      <c r="AC232" s="137">
        <f t="shared" si="143"/>
        <v>278.87733333332932</v>
      </c>
      <c r="AD232" s="137">
        <f t="shared" si="152"/>
        <v>388.43628571428229</v>
      </c>
      <c r="AE232" s="137">
        <f t="shared" si="153"/>
        <v>712.13319047619416</v>
      </c>
      <c r="AF232" s="137">
        <f t="shared" si="144"/>
        <v>2013.4166666666667</v>
      </c>
      <c r="AG232" s="137">
        <f t="shared" si="145"/>
        <v>2019.75</v>
      </c>
      <c r="AH232" s="115">
        <f t="shared" si="146"/>
        <v>2033.4166666666667</v>
      </c>
      <c r="AI232" s="140">
        <f t="shared" si="147"/>
        <v>2018.75</v>
      </c>
      <c r="AJ232" s="140">
        <f t="shared" si="148"/>
        <v>-8.3333333333333329E-2</v>
      </c>
      <c r="AK232" s="140">
        <f t="shared" si="149"/>
        <v>2033.4166666666667</v>
      </c>
      <c r="AL232" s="140">
        <f t="shared" si="150"/>
        <v>2018.75</v>
      </c>
      <c r="AM232" s="140">
        <f t="shared" si="151"/>
        <v>-8.3333333333333329E-2</v>
      </c>
    </row>
    <row r="233" spans="1:39" x14ac:dyDescent="0.25">
      <c r="A233" s="133">
        <v>195</v>
      </c>
      <c r="B233" s="133" t="s">
        <v>501</v>
      </c>
      <c r="C233" s="133" t="s">
        <v>469</v>
      </c>
      <c r="D233" s="134">
        <v>2013</v>
      </c>
      <c r="E233" s="134">
        <v>6</v>
      </c>
      <c r="F233" s="135"/>
      <c r="G233" s="134" t="s">
        <v>312</v>
      </c>
      <c r="H233" s="134">
        <v>20</v>
      </c>
      <c r="I233" s="133">
        <f t="shared" si="134"/>
        <v>2033</v>
      </c>
      <c r="J233" s="133"/>
      <c r="K233" s="133"/>
      <c r="L233" s="133">
        <v>10</v>
      </c>
      <c r="M233" s="133">
        <f t="shared" si="154"/>
        <v>2023</v>
      </c>
      <c r="N233" s="133">
        <v>7</v>
      </c>
      <c r="O233" s="136">
        <f t="shared" si="155"/>
        <v>5206.5466666665925</v>
      </c>
      <c r="P233" s="136">
        <v>19524.55</v>
      </c>
      <c r="Q233" s="136"/>
      <c r="R233" s="136">
        <f t="shared" si="135"/>
        <v>19524.55</v>
      </c>
      <c r="S233" s="137">
        <f t="shared" si="136"/>
        <v>81.352291666666659</v>
      </c>
      <c r="T233" s="137">
        <f t="shared" si="156"/>
        <v>2045.4290476190581</v>
      </c>
      <c r="U233" s="137">
        <f t="shared" si="138"/>
        <v>0</v>
      </c>
      <c r="V233" s="137">
        <f t="shared" si="139"/>
        <v>2045.4290476190581</v>
      </c>
      <c r="W233" s="124">
        <v>1</v>
      </c>
      <c r="X233" s="137">
        <f t="shared" si="140"/>
        <v>2045.4290476190581</v>
      </c>
      <c r="Y233" s="138"/>
      <c r="Z233" s="137">
        <f t="shared" si="141"/>
        <v>5206.5466666665925</v>
      </c>
      <c r="AA233" s="137">
        <f t="shared" si="142"/>
        <v>5206.5466666665925</v>
      </c>
      <c r="AB233" s="139">
        <v>1</v>
      </c>
      <c r="AC233" s="137">
        <f t="shared" si="143"/>
        <v>5206.5466666665925</v>
      </c>
      <c r="AD233" s="137">
        <f t="shared" si="152"/>
        <v>7251.9757142856506</v>
      </c>
      <c r="AE233" s="137">
        <f t="shared" si="153"/>
        <v>13295.288809523878</v>
      </c>
      <c r="AF233" s="137">
        <f t="shared" si="144"/>
        <v>2013.4166666666667</v>
      </c>
      <c r="AG233" s="137">
        <f t="shared" si="145"/>
        <v>2019.75</v>
      </c>
      <c r="AH233" s="115">
        <f t="shared" si="146"/>
        <v>2033.4166666666667</v>
      </c>
      <c r="AI233" s="140">
        <f t="shared" si="147"/>
        <v>2018.75</v>
      </c>
      <c r="AJ233" s="140">
        <f t="shared" si="148"/>
        <v>-8.3333333333333329E-2</v>
      </c>
      <c r="AK233" s="140">
        <f t="shared" si="149"/>
        <v>2033.4166666666667</v>
      </c>
      <c r="AL233" s="140">
        <f t="shared" si="150"/>
        <v>2018.75</v>
      </c>
      <c r="AM233" s="140">
        <f t="shared" si="151"/>
        <v>-8.3333333333333329E-2</v>
      </c>
    </row>
    <row r="234" spans="1:39" x14ac:dyDescent="0.25">
      <c r="A234" s="133">
        <v>196</v>
      </c>
      <c r="B234" s="133" t="s">
        <v>502</v>
      </c>
      <c r="C234" s="133" t="s">
        <v>469</v>
      </c>
      <c r="D234" s="134">
        <v>2013</v>
      </c>
      <c r="E234" s="134">
        <v>6</v>
      </c>
      <c r="F234" s="135"/>
      <c r="G234" s="134" t="s">
        <v>312</v>
      </c>
      <c r="H234" s="134">
        <v>20</v>
      </c>
      <c r="I234" s="133">
        <f t="shared" si="134"/>
        <v>2033</v>
      </c>
      <c r="J234" s="133"/>
      <c r="K234" s="133"/>
      <c r="L234" s="133">
        <v>10</v>
      </c>
      <c r="M234" s="133">
        <f t="shared" si="154"/>
        <v>2023</v>
      </c>
      <c r="N234" s="133">
        <v>7</v>
      </c>
      <c r="O234" s="136">
        <f t="shared" si="155"/>
        <v>1115.4026666666507</v>
      </c>
      <c r="P234" s="136">
        <v>4182.76</v>
      </c>
      <c r="Q234" s="136"/>
      <c r="R234" s="136">
        <f t="shared" si="135"/>
        <v>4182.76</v>
      </c>
      <c r="S234" s="137">
        <f t="shared" si="136"/>
        <v>17.428166666666666</v>
      </c>
      <c r="T234" s="137">
        <f t="shared" si="156"/>
        <v>438.19390476190711</v>
      </c>
      <c r="U234" s="137">
        <f t="shared" si="138"/>
        <v>0</v>
      </c>
      <c r="V234" s="137">
        <f t="shared" si="139"/>
        <v>438.19390476190711</v>
      </c>
      <c r="W234" s="124">
        <v>1</v>
      </c>
      <c r="X234" s="137">
        <f t="shared" si="140"/>
        <v>438.19390476190711</v>
      </c>
      <c r="Y234" s="138"/>
      <c r="Z234" s="137">
        <f t="shared" si="141"/>
        <v>1115.4026666666507</v>
      </c>
      <c r="AA234" s="137">
        <f t="shared" si="142"/>
        <v>1115.4026666666507</v>
      </c>
      <c r="AB234" s="139">
        <v>1</v>
      </c>
      <c r="AC234" s="137">
        <f t="shared" si="143"/>
        <v>1115.4026666666507</v>
      </c>
      <c r="AD234" s="137">
        <f t="shared" si="152"/>
        <v>1553.5965714285578</v>
      </c>
      <c r="AE234" s="137">
        <f t="shared" si="153"/>
        <v>2848.2603809523962</v>
      </c>
      <c r="AF234" s="137">
        <f t="shared" si="144"/>
        <v>2013.4166666666667</v>
      </c>
      <c r="AG234" s="137">
        <f t="shared" si="145"/>
        <v>2019.75</v>
      </c>
      <c r="AH234" s="115">
        <f t="shared" si="146"/>
        <v>2033.4166666666667</v>
      </c>
      <c r="AI234" s="140">
        <f t="shared" si="147"/>
        <v>2018.75</v>
      </c>
      <c r="AJ234" s="140">
        <f t="shared" si="148"/>
        <v>-8.3333333333333329E-2</v>
      </c>
      <c r="AK234" s="140">
        <f t="shared" si="149"/>
        <v>2033.4166666666667</v>
      </c>
      <c r="AL234" s="140">
        <f t="shared" si="150"/>
        <v>2018.75</v>
      </c>
      <c r="AM234" s="140">
        <f t="shared" si="151"/>
        <v>-8.3333333333333329E-2</v>
      </c>
    </row>
    <row r="235" spans="1:39" x14ac:dyDescent="0.25">
      <c r="A235" s="133">
        <v>197</v>
      </c>
      <c r="B235" s="133" t="s">
        <v>503</v>
      </c>
      <c r="C235" s="133" t="s">
        <v>469</v>
      </c>
      <c r="D235" s="134">
        <v>2013</v>
      </c>
      <c r="E235" s="134">
        <v>6</v>
      </c>
      <c r="F235" s="135"/>
      <c r="G235" s="134" t="s">
        <v>312</v>
      </c>
      <c r="H235" s="134">
        <v>20</v>
      </c>
      <c r="I235" s="133">
        <f t="shared" si="134"/>
        <v>2033</v>
      </c>
      <c r="J235" s="133"/>
      <c r="K235" s="133"/>
      <c r="L235" s="133">
        <v>10</v>
      </c>
      <c r="M235" s="133">
        <f t="shared" si="154"/>
        <v>2023</v>
      </c>
      <c r="N235" s="133">
        <v>7</v>
      </c>
      <c r="O235" s="136">
        <f t="shared" si="155"/>
        <v>7156.5866666665652</v>
      </c>
      <c r="P235" s="136">
        <v>26837.200000000001</v>
      </c>
      <c r="Q235" s="136"/>
      <c r="R235" s="136">
        <f t="shared" si="135"/>
        <v>26837.200000000001</v>
      </c>
      <c r="S235" s="137">
        <f t="shared" si="136"/>
        <v>111.82166666666667</v>
      </c>
      <c r="T235" s="137">
        <f t="shared" si="156"/>
        <v>2811.5161904762053</v>
      </c>
      <c r="U235" s="137">
        <f t="shared" si="138"/>
        <v>0</v>
      </c>
      <c r="V235" s="137">
        <f t="shared" si="139"/>
        <v>2811.5161904762053</v>
      </c>
      <c r="W235" s="124">
        <v>1</v>
      </c>
      <c r="X235" s="137">
        <f t="shared" si="140"/>
        <v>2811.5161904762053</v>
      </c>
      <c r="Y235" s="138"/>
      <c r="Z235" s="137">
        <f t="shared" si="141"/>
        <v>7156.5866666665652</v>
      </c>
      <c r="AA235" s="137">
        <f t="shared" si="142"/>
        <v>7156.5866666665652</v>
      </c>
      <c r="AB235" s="139">
        <v>1</v>
      </c>
      <c r="AC235" s="137">
        <f t="shared" si="143"/>
        <v>7156.5866666665652</v>
      </c>
      <c r="AD235" s="137">
        <f t="shared" si="152"/>
        <v>9968.1028571427705</v>
      </c>
      <c r="AE235" s="137">
        <f t="shared" si="153"/>
        <v>18274.855238095333</v>
      </c>
      <c r="AF235" s="137">
        <f t="shared" si="144"/>
        <v>2013.4166666666667</v>
      </c>
      <c r="AG235" s="137">
        <f t="shared" si="145"/>
        <v>2019.75</v>
      </c>
      <c r="AH235" s="115">
        <f t="shared" si="146"/>
        <v>2033.4166666666667</v>
      </c>
      <c r="AI235" s="140">
        <f t="shared" si="147"/>
        <v>2018.75</v>
      </c>
      <c r="AJ235" s="140">
        <f t="shared" si="148"/>
        <v>-8.3333333333333329E-2</v>
      </c>
      <c r="AK235" s="140">
        <f t="shared" si="149"/>
        <v>2033.4166666666667</v>
      </c>
      <c r="AL235" s="140">
        <f t="shared" si="150"/>
        <v>2018.75</v>
      </c>
      <c r="AM235" s="140">
        <f t="shared" si="151"/>
        <v>-8.3333333333333329E-2</v>
      </c>
    </row>
    <row r="236" spans="1:39" x14ac:dyDescent="0.25">
      <c r="A236" s="133">
        <v>198</v>
      </c>
      <c r="B236" s="133" t="s">
        <v>504</v>
      </c>
      <c r="C236" s="133" t="s">
        <v>469</v>
      </c>
      <c r="D236" s="134">
        <v>2013</v>
      </c>
      <c r="E236" s="134">
        <v>6</v>
      </c>
      <c r="F236" s="135"/>
      <c r="G236" s="134" t="s">
        <v>312</v>
      </c>
      <c r="H236" s="134">
        <v>20</v>
      </c>
      <c r="I236" s="133">
        <f t="shared" si="134"/>
        <v>2033</v>
      </c>
      <c r="J236" s="133"/>
      <c r="K236" s="133"/>
      <c r="L236" s="133">
        <v>10</v>
      </c>
      <c r="M236" s="133">
        <f t="shared" si="154"/>
        <v>2023</v>
      </c>
      <c r="N236" s="133">
        <v>7</v>
      </c>
      <c r="O236" s="136">
        <f t="shared" si="155"/>
        <v>730.18666666665627</v>
      </c>
      <c r="P236" s="136">
        <v>2738.2</v>
      </c>
      <c r="Q236" s="136"/>
      <c r="R236" s="136">
        <f t="shared" si="135"/>
        <v>2738.2</v>
      </c>
      <c r="S236" s="137">
        <f t="shared" si="136"/>
        <v>11.409166666666666</v>
      </c>
      <c r="T236" s="137">
        <f t="shared" si="156"/>
        <v>286.85904761904908</v>
      </c>
      <c r="U236" s="137">
        <f t="shared" si="138"/>
        <v>0</v>
      </c>
      <c r="V236" s="137">
        <f t="shared" si="139"/>
        <v>286.85904761904908</v>
      </c>
      <c r="W236" s="124">
        <v>1</v>
      </c>
      <c r="X236" s="137">
        <f t="shared" si="140"/>
        <v>286.85904761904908</v>
      </c>
      <c r="Y236" s="138"/>
      <c r="Z236" s="137">
        <f t="shared" si="141"/>
        <v>730.18666666665627</v>
      </c>
      <c r="AA236" s="137">
        <f t="shared" si="142"/>
        <v>730.18666666665627</v>
      </c>
      <c r="AB236" s="139">
        <v>1</v>
      </c>
      <c r="AC236" s="137">
        <f t="shared" si="143"/>
        <v>730.18666666665627</v>
      </c>
      <c r="AD236" s="137">
        <f t="shared" si="152"/>
        <v>1017.0457142857053</v>
      </c>
      <c r="AE236" s="137">
        <f t="shared" si="153"/>
        <v>1864.5838095238191</v>
      </c>
      <c r="AF236" s="137">
        <f t="shared" si="144"/>
        <v>2013.4166666666667</v>
      </c>
      <c r="AG236" s="137">
        <f t="shared" si="145"/>
        <v>2019.75</v>
      </c>
      <c r="AH236" s="115">
        <f t="shared" si="146"/>
        <v>2033.4166666666667</v>
      </c>
      <c r="AI236" s="140">
        <f t="shared" si="147"/>
        <v>2018.75</v>
      </c>
      <c r="AJ236" s="140">
        <f t="shared" si="148"/>
        <v>-8.3333333333333329E-2</v>
      </c>
      <c r="AK236" s="140">
        <f t="shared" si="149"/>
        <v>2033.4166666666667</v>
      </c>
      <c r="AL236" s="140">
        <f t="shared" si="150"/>
        <v>2018.75</v>
      </c>
      <c r="AM236" s="140">
        <f t="shared" si="151"/>
        <v>-8.3333333333333329E-2</v>
      </c>
    </row>
    <row r="237" spans="1:39" x14ac:dyDescent="0.25">
      <c r="A237" s="133">
        <v>199</v>
      </c>
      <c r="B237" s="133" t="s">
        <v>505</v>
      </c>
      <c r="C237" s="133" t="s">
        <v>469</v>
      </c>
      <c r="D237" s="134">
        <v>2013</v>
      </c>
      <c r="E237" s="134">
        <v>6</v>
      </c>
      <c r="F237" s="135"/>
      <c r="G237" s="134" t="s">
        <v>312</v>
      </c>
      <c r="H237" s="134">
        <v>20</v>
      </c>
      <c r="I237" s="133">
        <f t="shared" si="134"/>
        <v>2033</v>
      </c>
      <c r="J237" s="133"/>
      <c r="K237" s="133"/>
      <c r="L237" s="133">
        <v>10</v>
      </c>
      <c r="M237" s="133">
        <f t="shared" si="154"/>
        <v>2023</v>
      </c>
      <c r="N237" s="133">
        <v>7</v>
      </c>
      <c r="O237" s="136">
        <f t="shared" si="155"/>
        <v>362.66399999999481</v>
      </c>
      <c r="P237" s="136">
        <v>1359.99</v>
      </c>
      <c r="Q237" s="136"/>
      <c r="R237" s="136">
        <f t="shared" si="135"/>
        <v>1359.99</v>
      </c>
      <c r="S237" s="137">
        <f t="shared" si="136"/>
        <v>5.6666249999999998</v>
      </c>
      <c r="T237" s="137">
        <f t="shared" si="156"/>
        <v>142.4751428571436</v>
      </c>
      <c r="U237" s="137">
        <f t="shared" si="138"/>
        <v>0</v>
      </c>
      <c r="V237" s="137">
        <f t="shared" si="139"/>
        <v>142.4751428571436</v>
      </c>
      <c r="W237" s="124">
        <v>1</v>
      </c>
      <c r="X237" s="137">
        <f t="shared" si="140"/>
        <v>142.4751428571436</v>
      </c>
      <c r="Y237" s="138"/>
      <c r="Z237" s="137">
        <f t="shared" si="141"/>
        <v>362.66399999999481</v>
      </c>
      <c r="AA237" s="137">
        <f t="shared" si="142"/>
        <v>362.66399999999481</v>
      </c>
      <c r="AB237" s="139">
        <v>1</v>
      </c>
      <c r="AC237" s="137">
        <f t="shared" si="143"/>
        <v>362.66399999999481</v>
      </c>
      <c r="AD237" s="137">
        <f t="shared" si="152"/>
        <v>505.13914285713838</v>
      </c>
      <c r="AE237" s="137">
        <f t="shared" si="153"/>
        <v>926.0884285714335</v>
      </c>
      <c r="AF237" s="137">
        <f t="shared" si="144"/>
        <v>2013.4166666666667</v>
      </c>
      <c r="AG237" s="137">
        <f t="shared" si="145"/>
        <v>2019.75</v>
      </c>
      <c r="AH237" s="115">
        <f t="shared" si="146"/>
        <v>2033.4166666666667</v>
      </c>
      <c r="AI237" s="140">
        <f t="shared" si="147"/>
        <v>2018.75</v>
      </c>
      <c r="AJ237" s="140">
        <f t="shared" si="148"/>
        <v>-8.3333333333333329E-2</v>
      </c>
      <c r="AK237" s="140">
        <f t="shared" si="149"/>
        <v>2033.4166666666667</v>
      </c>
      <c r="AL237" s="140">
        <f t="shared" si="150"/>
        <v>2018.75</v>
      </c>
      <c r="AM237" s="140">
        <f t="shared" si="151"/>
        <v>-8.3333333333333329E-2</v>
      </c>
    </row>
    <row r="238" spans="1:39" x14ac:dyDescent="0.25">
      <c r="A238" s="133">
        <v>200</v>
      </c>
      <c r="B238" s="133" t="s">
        <v>506</v>
      </c>
      <c r="C238" s="133" t="s">
        <v>469</v>
      </c>
      <c r="D238" s="134">
        <v>2013</v>
      </c>
      <c r="E238" s="134">
        <v>6</v>
      </c>
      <c r="F238" s="135"/>
      <c r="G238" s="134" t="s">
        <v>312</v>
      </c>
      <c r="H238" s="134">
        <v>20</v>
      </c>
      <c r="I238" s="133">
        <f t="shared" si="134"/>
        <v>2033</v>
      </c>
      <c r="J238" s="133"/>
      <c r="K238" s="133"/>
      <c r="L238" s="133">
        <v>10</v>
      </c>
      <c r="M238" s="133">
        <f t="shared" si="154"/>
        <v>2023</v>
      </c>
      <c r="N238" s="133">
        <v>7</v>
      </c>
      <c r="O238" s="136">
        <f t="shared" si="155"/>
        <v>15519.99999999978</v>
      </c>
      <c r="P238" s="136">
        <v>58200</v>
      </c>
      <c r="Q238" s="136"/>
      <c r="R238" s="136">
        <f t="shared" si="135"/>
        <v>58200</v>
      </c>
      <c r="S238" s="137">
        <f t="shared" si="136"/>
        <v>242.5</v>
      </c>
      <c r="T238" s="137">
        <f t="shared" si="156"/>
        <v>6097.1428571428887</v>
      </c>
      <c r="U238" s="137">
        <f t="shared" si="138"/>
        <v>0</v>
      </c>
      <c r="V238" s="137">
        <f t="shared" si="139"/>
        <v>6097.1428571428887</v>
      </c>
      <c r="W238" s="124">
        <v>1</v>
      </c>
      <c r="X238" s="137">
        <f t="shared" si="140"/>
        <v>6097.1428571428887</v>
      </c>
      <c r="Y238" s="138"/>
      <c r="Z238" s="137">
        <f t="shared" si="141"/>
        <v>15519.99999999978</v>
      </c>
      <c r="AA238" s="137">
        <f t="shared" si="142"/>
        <v>15519.99999999978</v>
      </c>
      <c r="AB238" s="139">
        <v>1</v>
      </c>
      <c r="AC238" s="137">
        <f t="shared" si="143"/>
        <v>15519.99999999978</v>
      </c>
      <c r="AD238" s="137">
        <f t="shared" si="152"/>
        <v>21617.14285714267</v>
      </c>
      <c r="AE238" s="137">
        <f t="shared" si="153"/>
        <v>39631.428571428776</v>
      </c>
      <c r="AF238" s="137">
        <f t="shared" si="144"/>
        <v>2013.4166666666667</v>
      </c>
      <c r="AG238" s="137">
        <f t="shared" si="145"/>
        <v>2019.75</v>
      </c>
      <c r="AH238" s="115">
        <f t="shared" si="146"/>
        <v>2033.4166666666667</v>
      </c>
      <c r="AI238" s="140">
        <f t="shared" si="147"/>
        <v>2018.75</v>
      </c>
      <c r="AJ238" s="140">
        <f t="shared" si="148"/>
        <v>-8.3333333333333329E-2</v>
      </c>
      <c r="AK238" s="140">
        <f t="shared" si="149"/>
        <v>2033.4166666666667</v>
      </c>
      <c r="AL238" s="140">
        <f t="shared" si="150"/>
        <v>2018.75</v>
      </c>
      <c r="AM238" s="140">
        <f t="shared" si="151"/>
        <v>-8.3333333333333329E-2</v>
      </c>
    </row>
    <row r="239" spans="1:39" x14ac:dyDescent="0.25">
      <c r="A239" s="133">
        <v>201</v>
      </c>
      <c r="B239" s="133" t="s">
        <v>507</v>
      </c>
      <c r="C239" s="133" t="s">
        <v>469</v>
      </c>
      <c r="D239" s="134">
        <v>2013</v>
      </c>
      <c r="E239" s="134">
        <v>6</v>
      </c>
      <c r="F239" s="135"/>
      <c r="G239" s="134" t="s">
        <v>312</v>
      </c>
      <c r="H239" s="134">
        <v>20</v>
      </c>
      <c r="I239" s="133">
        <f t="shared" si="134"/>
        <v>2033</v>
      </c>
      <c r="J239" s="133"/>
      <c r="K239" s="133"/>
      <c r="L239" s="133">
        <v>10</v>
      </c>
      <c r="M239" s="133">
        <f t="shared" si="154"/>
        <v>2023</v>
      </c>
      <c r="N239" s="133">
        <v>7</v>
      </c>
      <c r="O239" s="136">
        <f t="shared" si="155"/>
        <v>952.87199999998643</v>
      </c>
      <c r="P239" s="136">
        <v>3573.27</v>
      </c>
      <c r="Q239" s="136"/>
      <c r="R239" s="136">
        <f t="shared" si="135"/>
        <v>3573.27</v>
      </c>
      <c r="S239" s="137">
        <f t="shared" si="136"/>
        <v>14.888624999999999</v>
      </c>
      <c r="T239" s="137">
        <f t="shared" si="156"/>
        <v>374.34257142857342</v>
      </c>
      <c r="U239" s="137">
        <f t="shared" si="138"/>
        <v>0</v>
      </c>
      <c r="V239" s="137">
        <f t="shared" si="139"/>
        <v>374.34257142857342</v>
      </c>
      <c r="W239" s="124">
        <v>1</v>
      </c>
      <c r="X239" s="137">
        <f t="shared" si="140"/>
        <v>374.34257142857342</v>
      </c>
      <c r="Y239" s="138"/>
      <c r="Z239" s="137">
        <f t="shared" si="141"/>
        <v>952.87199999998643</v>
      </c>
      <c r="AA239" s="137">
        <f t="shared" si="142"/>
        <v>952.87199999998643</v>
      </c>
      <c r="AB239" s="139">
        <v>1</v>
      </c>
      <c r="AC239" s="137">
        <f t="shared" si="143"/>
        <v>952.87199999998643</v>
      </c>
      <c r="AD239" s="137">
        <f t="shared" si="152"/>
        <v>1327.2145714285598</v>
      </c>
      <c r="AE239" s="137">
        <f t="shared" si="153"/>
        <v>2433.2267142857272</v>
      </c>
      <c r="AF239" s="137">
        <f t="shared" si="144"/>
        <v>2013.4166666666667</v>
      </c>
      <c r="AG239" s="137">
        <f t="shared" si="145"/>
        <v>2019.75</v>
      </c>
      <c r="AH239" s="115">
        <f t="shared" si="146"/>
        <v>2033.4166666666667</v>
      </c>
      <c r="AI239" s="140">
        <f t="shared" si="147"/>
        <v>2018.75</v>
      </c>
      <c r="AJ239" s="140">
        <f t="shared" si="148"/>
        <v>-8.3333333333333329E-2</v>
      </c>
      <c r="AK239" s="140">
        <f t="shared" si="149"/>
        <v>2033.4166666666667</v>
      </c>
      <c r="AL239" s="140">
        <f t="shared" si="150"/>
        <v>2018.75</v>
      </c>
      <c r="AM239" s="140">
        <f t="shared" si="151"/>
        <v>-8.3333333333333329E-2</v>
      </c>
    </row>
    <row r="240" spans="1:39" x14ac:dyDescent="0.25">
      <c r="A240" s="133">
        <v>202</v>
      </c>
      <c r="B240" s="133" t="s">
        <v>508</v>
      </c>
      <c r="C240" s="133" t="s">
        <v>469</v>
      </c>
      <c r="D240" s="134">
        <v>2013</v>
      </c>
      <c r="E240" s="134">
        <v>6</v>
      </c>
      <c r="F240" s="135"/>
      <c r="G240" s="134" t="s">
        <v>312</v>
      </c>
      <c r="H240" s="134">
        <v>20</v>
      </c>
      <c r="I240" s="133">
        <f t="shared" si="134"/>
        <v>2033</v>
      </c>
      <c r="J240" s="133"/>
      <c r="K240" s="133"/>
      <c r="L240" s="133">
        <v>10</v>
      </c>
      <c r="M240" s="133">
        <f t="shared" si="154"/>
        <v>2023</v>
      </c>
      <c r="N240" s="133">
        <v>7</v>
      </c>
      <c r="O240" s="136">
        <f t="shared" si="155"/>
        <v>2733.8586666666279</v>
      </c>
      <c r="P240" s="136">
        <v>10251.969999999999</v>
      </c>
      <c r="Q240" s="136"/>
      <c r="R240" s="136">
        <f t="shared" si="135"/>
        <v>10251.969999999999</v>
      </c>
      <c r="S240" s="137">
        <f t="shared" si="136"/>
        <v>42.716541666666664</v>
      </c>
      <c r="T240" s="137">
        <f t="shared" si="156"/>
        <v>1074.0159047619102</v>
      </c>
      <c r="U240" s="137">
        <f t="shared" si="138"/>
        <v>0</v>
      </c>
      <c r="V240" s="137">
        <f t="shared" si="139"/>
        <v>1074.0159047619102</v>
      </c>
      <c r="W240" s="124">
        <v>1</v>
      </c>
      <c r="X240" s="137">
        <f t="shared" si="140"/>
        <v>1074.0159047619102</v>
      </c>
      <c r="Y240" s="138"/>
      <c r="Z240" s="137">
        <f t="shared" si="141"/>
        <v>2733.8586666666279</v>
      </c>
      <c r="AA240" s="137">
        <f t="shared" si="142"/>
        <v>2733.8586666666279</v>
      </c>
      <c r="AB240" s="139">
        <v>1</v>
      </c>
      <c r="AC240" s="137">
        <f t="shared" si="143"/>
        <v>2733.8586666666279</v>
      </c>
      <c r="AD240" s="137">
        <f t="shared" si="152"/>
        <v>3807.8745714285378</v>
      </c>
      <c r="AE240" s="137">
        <f t="shared" si="153"/>
        <v>6981.103380952416</v>
      </c>
      <c r="AF240" s="137">
        <f t="shared" si="144"/>
        <v>2013.4166666666667</v>
      </c>
      <c r="AG240" s="137">
        <f t="shared" si="145"/>
        <v>2019.75</v>
      </c>
      <c r="AH240" s="115">
        <f t="shared" si="146"/>
        <v>2033.4166666666667</v>
      </c>
      <c r="AI240" s="140">
        <f t="shared" si="147"/>
        <v>2018.75</v>
      </c>
      <c r="AJ240" s="140">
        <f t="shared" si="148"/>
        <v>-8.3333333333333329E-2</v>
      </c>
      <c r="AK240" s="140">
        <f t="shared" si="149"/>
        <v>2033.4166666666667</v>
      </c>
      <c r="AL240" s="140">
        <f t="shared" si="150"/>
        <v>2018.75</v>
      </c>
      <c r="AM240" s="140">
        <f t="shared" si="151"/>
        <v>-8.3333333333333329E-2</v>
      </c>
    </row>
    <row r="241" spans="1:39" x14ac:dyDescent="0.25">
      <c r="A241" s="133">
        <v>203</v>
      </c>
      <c r="B241" s="133" t="s">
        <v>509</v>
      </c>
      <c r="C241" s="133" t="s">
        <v>469</v>
      </c>
      <c r="D241" s="134">
        <v>2013</v>
      </c>
      <c r="E241" s="134">
        <v>6</v>
      </c>
      <c r="F241" s="135"/>
      <c r="G241" s="134" t="s">
        <v>312</v>
      </c>
      <c r="H241" s="134">
        <v>10</v>
      </c>
      <c r="I241" s="133">
        <f t="shared" si="134"/>
        <v>2023</v>
      </c>
      <c r="J241" s="133"/>
      <c r="K241" s="133"/>
      <c r="L241" s="134" t="s">
        <v>313</v>
      </c>
      <c r="M241" s="134" t="s">
        <v>313</v>
      </c>
      <c r="N241" s="134" t="s">
        <v>313</v>
      </c>
      <c r="O241" s="134" t="s">
        <v>313</v>
      </c>
      <c r="P241" s="136">
        <v>1500</v>
      </c>
      <c r="Q241" s="136"/>
      <c r="R241" s="136">
        <f t="shared" si="135"/>
        <v>1500</v>
      </c>
      <c r="S241" s="137">
        <f t="shared" si="136"/>
        <v>12.5</v>
      </c>
      <c r="T241" s="137">
        <f t="shared" ref="T241:T254" si="157">IF(Q241&gt;0,0,IF((OR((AF241&gt;AG241),(AH241&lt;AI241))),0,IF((AND((AH241&gt;=AI241),(AH241&lt;=AG241))),S241*((AH241-AI241)*12),IF((AND((AI241&lt;=AF241),(AG241&gt;=AF241))),((AG241-AF241)*12)*S241,IF(AH241&gt;AG241,12*S241,0)))))</f>
        <v>150</v>
      </c>
      <c r="U241" s="137">
        <f t="shared" si="138"/>
        <v>0</v>
      </c>
      <c r="V241" s="137">
        <f t="shared" si="139"/>
        <v>150</v>
      </c>
      <c r="W241" s="124">
        <v>1</v>
      </c>
      <c r="X241" s="137">
        <f t="shared" si="140"/>
        <v>150</v>
      </c>
      <c r="Y241" s="138"/>
      <c r="Z241" s="137">
        <f t="shared" si="141"/>
        <v>799.99999999998863</v>
      </c>
      <c r="AA241" s="137">
        <f t="shared" si="142"/>
        <v>799.99999999998863</v>
      </c>
      <c r="AB241" s="139">
        <v>1</v>
      </c>
      <c r="AC241" s="137">
        <f t="shared" si="143"/>
        <v>799.99999999998863</v>
      </c>
      <c r="AD241" s="137">
        <f t="shared" si="152"/>
        <v>949.99999999998863</v>
      </c>
      <c r="AE241" s="137">
        <f t="shared" si="153"/>
        <v>625.00000000001137</v>
      </c>
      <c r="AF241" s="137">
        <f t="shared" si="144"/>
        <v>2013.4166666666667</v>
      </c>
      <c r="AG241" s="137">
        <f t="shared" si="145"/>
        <v>2019.75</v>
      </c>
      <c r="AH241" s="115">
        <f t="shared" si="146"/>
        <v>2023.4166666666667</v>
      </c>
      <c r="AI241" s="140">
        <f t="shared" si="147"/>
        <v>2018.75</v>
      </c>
      <c r="AJ241" s="140">
        <f t="shared" si="148"/>
        <v>-8.3333333333333329E-2</v>
      </c>
      <c r="AK241" s="140">
        <f t="shared" si="149"/>
        <v>2023.4166666666667</v>
      </c>
      <c r="AL241" s="140">
        <f t="shared" si="150"/>
        <v>2018.75</v>
      </c>
      <c r="AM241" s="140">
        <f t="shared" si="151"/>
        <v>-8.3333333333333329E-2</v>
      </c>
    </row>
    <row r="242" spans="1:39" x14ac:dyDescent="0.25">
      <c r="A242" s="133">
        <v>204</v>
      </c>
      <c r="B242" s="133" t="s">
        <v>510</v>
      </c>
      <c r="C242" s="133" t="s">
        <v>469</v>
      </c>
      <c r="D242" s="134">
        <v>2013</v>
      </c>
      <c r="E242" s="134">
        <v>6</v>
      </c>
      <c r="F242" s="135"/>
      <c r="G242" s="134" t="s">
        <v>312</v>
      </c>
      <c r="H242" s="134">
        <v>7</v>
      </c>
      <c r="I242" s="133">
        <f t="shared" si="134"/>
        <v>2020</v>
      </c>
      <c r="J242" s="133"/>
      <c r="K242" s="133"/>
      <c r="L242" s="134" t="s">
        <v>313</v>
      </c>
      <c r="M242" s="134" t="s">
        <v>313</v>
      </c>
      <c r="N242" s="134" t="s">
        <v>313</v>
      </c>
      <c r="O242" s="134" t="s">
        <v>313</v>
      </c>
      <c r="P242" s="136">
        <v>437.94</v>
      </c>
      <c r="Q242" s="136"/>
      <c r="R242" s="136">
        <f t="shared" si="135"/>
        <v>437.94</v>
      </c>
      <c r="S242" s="137">
        <f t="shared" si="136"/>
        <v>5.2135714285714281</v>
      </c>
      <c r="T242" s="137">
        <f t="shared" si="157"/>
        <v>62.562857142857141</v>
      </c>
      <c r="U242" s="137">
        <f t="shared" si="138"/>
        <v>0</v>
      </c>
      <c r="V242" s="137">
        <f t="shared" si="139"/>
        <v>62.562857142857141</v>
      </c>
      <c r="W242" s="124">
        <v>1</v>
      </c>
      <c r="X242" s="137">
        <f t="shared" si="140"/>
        <v>62.562857142857141</v>
      </c>
      <c r="Y242" s="138"/>
      <c r="Z242" s="137">
        <f t="shared" si="141"/>
        <v>333.66857142856668</v>
      </c>
      <c r="AA242" s="137">
        <f t="shared" si="142"/>
        <v>333.66857142856668</v>
      </c>
      <c r="AB242" s="139">
        <v>1</v>
      </c>
      <c r="AC242" s="137">
        <f t="shared" si="143"/>
        <v>333.66857142856668</v>
      </c>
      <c r="AD242" s="137">
        <f t="shared" si="152"/>
        <v>396.23142857142381</v>
      </c>
      <c r="AE242" s="137">
        <f t="shared" si="153"/>
        <v>72.990000000004756</v>
      </c>
      <c r="AF242" s="137">
        <f t="shared" si="144"/>
        <v>2013.4166666666667</v>
      </c>
      <c r="AG242" s="137">
        <f t="shared" si="145"/>
        <v>2019.75</v>
      </c>
      <c r="AH242" s="115">
        <f t="shared" si="146"/>
        <v>2020.4166666666667</v>
      </c>
      <c r="AI242" s="140">
        <f t="shared" si="147"/>
        <v>2018.75</v>
      </c>
      <c r="AJ242" s="140">
        <f t="shared" si="148"/>
        <v>-8.3333333333333329E-2</v>
      </c>
      <c r="AK242" s="140">
        <f t="shared" si="149"/>
        <v>2020.4166666666667</v>
      </c>
      <c r="AL242" s="140">
        <f t="shared" si="150"/>
        <v>2018.75</v>
      </c>
      <c r="AM242" s="140">
        <f t="shared" si="151"/>
        <v>-8.3333333333333329E-2</v>
      </c>
    </row>
    <row r="243" spans="1:39" x14ac:dyDescent="0.25">
      <c r="A243" s="133">
        <v>208</v>
      </c>
      <c r="B243" s="133" t="s">
        <v>511</v>
      </c>
      <c r="C243" s="133" t="s">
        <v>469</v>
      </c>
      <c r="D243" s="134">
        <v>2014</v>
      </c>
      <c r="E243" s="134">
        <v>12</v>
      </c>
      <c r="F243" s="135"/>
      <c r="G243" s="134" t="s">
        <v>312</v>
      </c>
      <c r="H243" s="134">
        <v>7</v>
      </c>
      <c r="I243" s="133">
        <f t="shared" si="134"/>
        <v>2021</v>
      </c>
      <c r="J243" s="133"/>
      <c r="K243" s="133"/>
      <c r="L243" s="134" t="s">
        <v>313</v>
      </c>
      <c r="M243" s="134" t="s">
        <v>313</v>
      </c>
      <c r="N243" s="134" t="s">
        <v>313</v>
      </c>
      <c r="O243" s="134" t="s">
        <v>313</v>
      </c>
      <c r="P243" s="136">
        <v>56144.22</v>
      </c>
      <c r="Q243" s="136"/>
      <c r="R243" s="136">
        <f t="shared" si="135"/>
        <v>56144.22</v>
      </c>
      <c r="S243" s="137">
        <f t="shared" si="136"/>
        <v>668.38357142857137</v>
      </c>
      <c r="T243" s="137">
        <f t="shared" si="157"/>
        <v>8020.602857142856</v>
      </c>
      <c r="U243" s="137">
        <f t="shared" si="138"/>
        <v>0</v>
      </c>
      <c r="V243" s="137">
        <f t="shared" si="139"/>
        <v>8020.602857142856</v>
      </c>
      <c r="W243" s="124">
        <v>1</v>
      </c>
      <c r="X243" s="137">
        <f t="shared" si="140"/>
        <v>8020.602857142856</v>
      </c>
      <c r="Y243" s="138"/>
      <c r="Z243" s="137">
        <f t="shared" si="141"/>
        <v>30745.644285713675</v>
      </c>
      <c r="AA243" s="137">
        <f t="shared" si="142"/>
        <v>30745.644285713675</v>
      </c>
      <c r="AB243" s="139">
        <v>1</v>
      </c>
      <c r="AC243" s="137">
        <f t="shared" si="143"/>
        <v>30745.644285713675</v>
      </c>
      <c r="AD243" s="137">
        <f t="shared" si="152"/>
        <v>38766.247142856533</v>
      </c>
      <c r="AE243" s="137">
        <f t="shared" si="153"/>
        <v>21388.274285714899</v>
      </c>
      <c r="AF243" s="137">
        <f t="shared" si="144"/>
        <v>2014.9166666666667</v>
      </c>
      <c r="AG243" s="137">
        <f t="shared" si="145"/>
        <v>2019.75</v>
      </c>
      <c r="AH243" s="115">
        <f t="shared" si="146"/>
        <v>2021.9166666666667</v>
      </c>
      <c r="AI243" s="140">
        <f t="shared" si="147"/>
        <v>2018.75</v>
      </c>
      <c r="AJ243" s="140">
        <f t="shared" si="148"/>
        <v>-8.3333333333333329E-2</v>
      </c>
      <c r="AK243" s="140">
        <f t="shared" si="149"/>
        <v>2021.9166666666667</v>
      </c>
      <c r="AL243" s="140">
        <f t="shared" si="150"/>
        <v>2018.75</v>
      </c>
      <c r="AM243" s="140">
        <f t="shared" si="151"/>
        <v>-8.3333333333333329E-2</v>
      </c>
    </row>
    <row r="244" spans="1:39" x14ac:dyDescent="0.25">
      <c r="A244" s="133">
        <v>209</v>
      </c>
      <c r="B244" s="133" t="s">
        <v>512</v>
      </c>
      <c r="C244" s="133" t="s">
        <v>469</v>
      </c>
      <c r="D244" s="134">
        <v>2014</v>
      </c>
      <c r="E244" s="134">
        <v>11</v>
      </c>
      <c r="F244" s="143">
        <v>1</v>
      </c>
      <c r="G244" s="134" t="s">
        <v>312</v>
      </c>
      <c r="H244" s="134">
        <v>1</v>
      </c>
      <c r="I244" s="133">
        <f t="shared" si="134"/>
        <v>2015</v>
      </c>
      <c r="J244" s="133"/>
      <c r="K244" s="133"/>
      <c r="L244" s="134" t="s">
        <v>313</v>
      </c>
      <c r="M244" s="134" t="s">
        <v>313</v>
      </c>
      <c r="N244" s="134" t="s">
        <v>313</v>
      </c>
      <c r="O244" s="134" t="s">
        <v>313</v>
      </c>
      <c r="P244" s="136">
        <v>77600</v>
      </c>
      <c r="Q244" s="136"/>
      <c r="R244" s="136">
        <f t="shared" si="135"/>
        <v>0</v>
      </c>
      <c r="S244" s="137">
        <f t="shared" si="136"/>
        <v>0</v>
      </c>
      <c r="T244" s="137">
        <f t="shared" si="157"/>
        <v>0</v>
      </c>
      <c r="U244" s="137">
        <f t="shared" si="138"/>
        <v>0</v>
      </c>
      <c r="V244" s="137">
        <f t="shared" si="139"/>
        <v>0</v>
      </c>
      <c r="W244" s="124">
        <v>1</v>
      </c>
      <c r="X244" s="137">
        <f t="shared" si="140"/>
        <v>0</v>
      </c>
      <c r="Y244" s="138"/>
      <c r="Z244" s="137">
        <f t="shared" si="141"/>
        <v>0</v>
      </c>
      <c r="AA244" s="137">
        <f t="shared" si="142"/>
        <v>0</v>
      </c>
      <c r="AB244" s="139">
        <v>1</v>
      </c>
      <c r="AC244" s="137">
        <f t="shared" si="143"/>
        <v>0</v>
      </c>
      <c r="AD244" s="137">
        <f t="shared" si="152"/>
        <v>0</v>
      </c>
      <c r="AE244" s="137">
        <f t="shared" si="153"/>
        <v>77600</v>
      </c>
      <c r="AF244" s="137">
        <f t="shared" si="144"/>
        <v>2014.8333333333333</v>
      </c>
      <c r="AG244" s="137">
        <f t="shared" si="145"/>
        <v>2019.75</v>
      </c>
      <c r="AH244" s="115">
        <f t="shared" si="146"/>
        <v>2015.8333333333333</v>
      </c>
      <c r="AI244" s="140">
        <f t="shared" si="147"/>
        <v>2018.75</v>
      </c>
      <c r="AJ244" s="140">
        <f t="shared" si="148"/>
        <v>-8.3333333333333329E-2</v>
      </c>
      <c r="AK244" s="140">
        <f t="shared" si="149"/>
        <v>2015.8333333333333</v>
      </c>
      <c r="AL244" s="140">
        <f t="shared" si="150"/>
        <v>2018.75</v>
      </c>
      <c r="AM244" s="140">
        <f t="shared" si="151"/>
        <v>-8.3333333333333329E-2</v>
      </c>
    </row>
    <row r="245" spans="1:39" x14ac:dyDescent="0.25">
      <c r="A245" s="133">
        <v>210</v>
      </c>
      <c r="B245" s="133" t="s">
        <v>513</v>
      </c>
      <c r="C245" s="133" t="s">
        <v>469</v>
      </c>
      <c r="D245" s="134">
        <v>2014</v>
      </c>
      <c r="E245" s="134">
        <v>9</v>
      </c>
      <c r="F245" s="135"/>
      <c r="G245" s="134" t="s">
        <v>312</v>
      </c>
      <c r="H245" s="134">
        <v>10</v>
      </c>
      <c r="I245" s="133">
        <f t="shared" si="134"/>
        <v>2024</v>
      </c>
      <c r="J245" s="133"/>
      <c r="K245" s="133"/>
      <c r="L245" s="134" t="s">
        <v>313</v>
      </c>
      <c r="M245" s="134" t="s">
        <v>313</v>
      </c>
      <c r="N245" s="134" t="s">
        <v>313</v>
      </c>
      <c r="O245" s="134" t="s">
        <v>313</v>
      </c>
      <c r="P245" s="136">
        <v>120911.33</v>
      </c>
      <c r="Q245" s="136"/>
      <c r="R245" s="136">
        <f t="shared" si="135"/>
        <v>120911.33</v>
      </c>
      <c r="S245" s="137">
        <f t="shared" si="136"/>
        <v>1007.5944166666667</v>
      </c>
      <c r="T245" s="137">
        <f t="shared" si="157"/>
        <v>12091.133</v>
      </c>
      <c r="U245" s="137">
        <f t="shared" si="138"/>
        <v>0</v>
      </c>
      <c r="V245" s="137">
        <f t="shared" si="139"/>
        <v>12091.133</v>
      </c>
      <c r="W245" s="124">
        <v>1</v>
      </c>
      <c r="X245" s="137">
        <f t="shared" si="140"/>
        <v>12091.133</v>
      </c>
      <c r="Y245" s="138"/>
      <c r="Z245" s="137">
        <f t="shared" si="141"/>
        <v>49372.126416665749</v>
      </c>
      <c r="AA245" s="137">
        <f t="shared" si="142"/>
        <v>49372.126416665749</v>
      </c>
      <c r="AB245" s="139">
        <v>1</v>
      </c>
      <c r="AC245" s="137">
        <f t="shared" si="143"/>
        <v>49372.126416665749</v>
      </c>
      <c r="AD245" s="137">
        <f t="shared" si="152"/>
        <v>61463.259416665751</v>
      </c>
      <c r="AE245" s="137">
        <f t="shared" si="153"/>
        <v>65493.637083334252</v>
      </c>
      <c r="AF245" s="137">
        <f t="shared" si="144"/>
        <v>2014.6666666666667</v>
      </c>
      <c r="AG245" s="137">
        <f t="shared" si="145"/>
        <v>2019.75</v>
      </c>
      <c r="AH245" s="115">
        <f t="shared" si="146"/>
        <v>2024.6666666666667</v>
      </c>
      <c r="AI245" s="140">
        <f t="shared" si="147"/>
        <v>2018.75</v>
      </c>
      <c r="AJ245" s="140">
        <f t="shared" si="148"/>
        <v>-8.3333333333333329E-2</v>
      </c>
      <c r="AK245" s="140">
        <f t="shared" si="149"/>
        <v>2024.6666666666667</v>
      </c>
      <c r="AL245" s="140">
        <f t="shared" si="150"/>
        <v>2018.75</v>
      </c>
      <c r="AM245" s="140">
        <f t="shared" si="151"/>
        <v>-8.3333333333333329E-2</v>
      </c>
    </row>
    <row r="246" spans="1:39" x14ac:dyDescent="0.25">
      <c r="A246" s="133">
        <v>222</v>
      </c>
      <c r="B246" s="133" t="s">
        <v>514</v>
      </c>
      <c r="C246" s="133" t="s">
        <v>469</v>
      </c>
      <c r="D246" s="134">
        <v>2015</v>
      </c>
      <c r="E246" s="134">
        <v>5</v>
      </c>
      <c r="F246" s="135"/>
      <c r="G246" s="134" t="s">
        <v>312</v>
      </c>
      <c r="H246" s="134">
        <v>10</v>
      </c>
      <c r="I246" s="133">
        <f t="shared" si="134"/>
        <v>2025</v>
      </c>
      <c r="J246" s="133"/>
      <c r="K246" s="133"/>
      <c r="L246" s="134" t="s">
        <v>313</v>
      </c>
      <c r="M246" s="134" t="s">
        <v>313</v>
      </c>
      <c r="N246" s="134" t="s">
        <v>313</v>
      </c>
      <c r="O246" s="134" t="s">
        <v>313</v>
      </c>
      <c r="P246" s="136">
        <v>53584</v>
      </c>
      <c r="Q246" s="136"/>
      <c r="R246" s="136">
        <f t="shared" si="135"/>
        <v>53584</v>
      </c>
      <c r="S246" s="137">
        <f t="shared" si="136"/>
        <v>446.5333333333333</v>
      </c>
      <c r="T246" s="137">
        <f t="shared" si="157"/>
        <v>5358.4</v>
      </c>
      <c r="U246" s="137">
        <f t="shared" si="138"/>
        <v>0</v>
      </c>
      <c r="V246" s="137">
        <f t="shared" si="139"/>
        <v>5358.4</v>
      </c>
      <c r="W246" s="124">
        <v>1</v>
      </c>
      <c r="X246" s="137">
        <f t="shared" si="140"/>
        <v>5358.4</v>
      </c>
      <c r="Y246" s="138"/>
      <c r="Z246" s="137">
        <f t="shared" si="141"/>
        <v>18307.866666667072</v>
      </c>
      <c r="AA246" s="137">
        <f t="shared" si="142"/>
        <v>18307.866666667072</v>
      </c>
      <c r="AB246" s="142">
        <v>1</v>
      </c>
      <c r="AC246" s="137">
        <f t="shared" si="143"/>
        <v>18307.866666667072</v>
      </c>
      <c r="AD246" s="137">
        <f t="shared" si="152"/>
        <v>23666.26666666707</v>
      </c>
      <c r="AE246" s="137">
        <f t="shared" si="153"/>
        <v>32596.933333332927</v>
      </c>
      <c r="AF246" s="137">
        <f t="shared" si="144"/>
        <v>2015.3333333333333</v>
      </c>
      <c r="AG246" s="137">
        <f t="shared" si="145"/>
        <v>2019.75</v>
      </c>
      <c r="AH246" s="115">
        <f t="shared" si="146"/>
        <v>2025.3333333333333</v>
      </c>
      <c r="AI246" s="140">
        <f t="shared" si="147"/>
        <v>2018.75</v>
      </c>
      <c r="AJ246" s="140">
        <f t="shared" si="148"/>
        <v>-8.3333333333333329E-2</v>
      </c>
      <c r="AK246" s="140">
        <f t="shared" si="149"/>
        <v>2025.3333333333333</v>
      </c>
      <c r="AL246" s="140">
        <f t="shared" si="150"/>
        <v>2018.75</v>
      </c>
      <c r="AM246" s="140">
        <f t="shared" si="151"/>
        <v>-8.3333333333333329E-2</v>
      </c>
    </row>
    <row r="247" spans="1:39" x14ac:dyDescent="0.25">
      <c r="A247" s="133">
        <v>223</v>
      </c>
      <c r="B247" s="133" t="s">
        <v>515</v>
      </c>
      <c r="C247" s="133" t="s">
        <v>469</v>
      </c>
      <c r="D247" s="134">
        <v>2015</v>
      </c>
      <c r="E247" s="134">
        <v>6</v>
      </c>
      <c r="F247" s="135"/>
      <c r="G247" s="134" t="s">
        <v>312</v>
      </c>
      <c r="H247" s="134">
        <v>10</v>
      </c>
      <c r="I247" s="133">
        <f t="shared" si="134"/>
        <v>2025</v>
      </c>
      <c r="J247" s="133"/>
      <c r="K247" s="133"/>
      <c r="L247" s="134" t="s">
        <v>313</v>
      </c>
      <c r="M247" s="134" t="s">
        <v>313</v>
      </c>
      <c r="N247" s="134" t="s">
        <v>313</v>
      </c>
      <c r="O247" s="134" t="s">
        <v>313</v>
      </c>
      <c r="P247" s="136">
        <v>148563</v>
      </c>
      <c r="Q247" s="136"/>
      <c r="R247" s="136">
        <f t="shared" si="135"/>
        <v>148563</v>
      </c>
      <c r="S247" s="137">
        <f t="shared" si="136"/>
        <v>1238.0249999999999</v>
      </c>
      <c r="T247" s="137">
        <f t="shared" si="157"/>
        <v>14856.3</v>
      </c>
      <c r="U247" s="137">
        <f t="shared" si="138"/>
        <v>0</v>
      </c>
      <c r="V247" s="137">
        <f t="shared" si="139"/>
        <v>14856.3</v>
      </c>
      <c r="W247" s="124">
        <v>1</v>
      </c>
      <c r="X247" s="137">
        <f t="shared" si="140"/>
        <v>14856.3</v>
      </c>
      <c r="Y247" s="138"/>
      <c r="Z247" s="137">
        <f t="shared" si="141"/>
        <v>49520.999999998865</v>
      </c>
      <c r="AA247" s="137">
        <f t="shared" si="142"/>
        <v>49520.999999998865</v>
      </c>
      <c r="AB247" s="142">
        <v>1</v>
      </c>
      <c r="AC247" s="137">
        <f t="shared" si="143"/>
        <v>49520.999999998865</v>
      </c>
      <c r="AD247" s="137">
        <f t="shared" si="152"/>
        <v>64377.299999998868</v>
      </c>
      <c r="AE247" s="137">
        <f t="shared" si="153"/>
        <v>91613.850000001141</v>
      </c>
      <c r="AF247" s="137">
        <f t="shared" si="144"/>
        <v>2015.4166666666667</v>
      </c>
      <c r="AG247" s="137">
        <f t="shared" si="145"/>
        <v>2019.75</v>
      </c>
      <c r="AH247" s="115">
        <f t="shared" si="146"/>
        <v>2025.4166666666667</v>
      </c>
      <c r="AI247" s="140">
        <f t="shared" si="147"/>
        <v>2018.75</v>
      </c>
      <c r="AJ247" s="140">
        <f t="shared" si="148"/>
        <v>-8.3333333333333329E-2</v>
      </c>
      <c r="AK247" s="140">
        <f t="shared" si="149"/>
        <v>2025.4166666666667</v>
      </c>
      <c r="AL247" s="140">
        <f t="shared" si="150"/>
        <v>2018.75</v>
      </c>
      <c r="AM247" s="140">
        <f t="shared" si="151"/>
        <v>-8.3333333333333329E-2</v>
      </c>
    </row>
    <row r="248" spans="1:39" x14ac:dyDescent="0.25">
      <c r="A248" s="133">
        <v>226</v>
      </c>
      <c r="B248" s="133" t="s">
        <v>516</v>
      </c>
      <c r="C248" s="133" t="s">
        <v>469</v>
      </c>
      <c r="D248" s="134">
        <v>2015</v>
      </c>
      <c r="E248" s="134">
        <v>12</v>
      </c>
      <c r="F248" s="135"/>
      <c r="G248" s="134" t="s">
        <v>312</v>
      </c>
      <c r="H248" s="134">
        <v>7</v>
      </c>
      <c r="I248" s="133">
        <f t="shared" si="134"/>
        <v>2022</v>
      </c>
      <c r="J248" s="133"/>
      <c r="K248" s="133"/>
      <c r="L248" s="134" t="s">
        <v>313</v>
      </c>
      <c r="M248" s="134" t="s">
        <v>313</v>
      </c>
      <c r="N248" s="134" t="s">
        <v>313</v>
      </c>
      <c r="O248" s="134" t="s">
        <v>313</v>
      </c>
      <c r="P248" s="136">
        <v>14309.38</v>
      </c>
      <c r="Q248" s="136"/>
      <c r="R248" s="136">
        <f t="shared" si="135"/>
        <v>14309.38</v>
      </c>
      <c r="S248" s="137">
        <f t="shared" si="136"/>
        <v>170.34976190476189</v>
      </c>
      <c r="T248" s="137">
        <f t="shared" si="157"/>
        <v>2044.1971428571428</v>
      </c>
      <c r="U248" s="137">
        <f t="shared" si="138"/>
        <v>0</v>
      </c>
      <c r="V248" s="137">
        <f t="shared" si="139"/>
        <v>2044.1971428571428</v>
      </c>
      <c r="W248" s="124">
        <v>1</v>
      </c>
      <c r="X248" s="137">
        <f t="shared" si="140"/>
        <v>2044.1971428571428</v>
      </c>
      <c r="Y248" s="138"/>
      <c r="Z248" s="137">
        <f t="shared" si="141"/>
        <v>5791.8919047617492</v>
      </c>
      <c r="AA248" s="137">
        <f t="shared" si="142"/>
        <v>5791.8919047617492</v>
      </c>
      <c r="AB248" s="142">
        <v>1</v>
      </c>
      <c r="AC248" s="137">
        <f t="shared" si="143"/>
        <v>5791.8919047617492</v>
      </c>
      <c r="AD248" s="137">
        <f t="shared" si="152"/>
        <v>7836.0890476188924</v>
      </c>
      <c r="AE248" s="137">
        <f t="shared" si="153"/>
        <v>7495.3895238096784</v>
      </c>
      <c r="AF248" s="137">
        <f t="shared" si="144"/>
        <v>2015.9166666666667</v>
      </c>
      <c r="AG248" s="137">
        <f t="shared" si="145"/>
        <v>2019.75</v>
      </c>
      <c r="AH248" s="115">
        <f t="shared" si="146"/>
        <v>2022.9166666666667</v>
      </c>
      <c r="AI248" s="140">
        <f t="shared" si="147"/>
        <v>2018.75</v>
      </c>
      <c r="AJ248" s="140">
        <f t="shared" si="148"/>
        <v>-8.3333333333333329E-2</v>
      </c>
      <c r="AK248" s="140">
        <f t="shared" si="149"/>
        <v>2022.9166666666667</v>
      </c>
      <c r="AL248" s="140">
        <f t="shared" si="150"/>
        <v>2018.75</v>
      </c>
      <c r="AM248" s="140">
        <f t="shared" si="151"/>
        <v>-8.3333333333333329E-2</v>
      </c>
    </row>
    <row r="249" spans="1:39" x14ac:dyDescent="0.25">
      <c r="A249" s="133">
        <v>228</v>
      </c>
      <c r="B249" s="133" t="s">
        <v>517</v>
      </c>
      <c r="C249" s="133" t="s">
        <v>469</v>
      </c>
      <c r="D249" s="134">
        <v>2015</v>
      </c>
      <c r="E249" s="134">
        <v>10</v>
      </c>
      <c r="F249" s="135"/>
      <c r="G249" s="134" t="s">
        <v>312</v>
      </c>
      <c r="H249" s="134">
        <v>5</v>
      </c>
      <c r="I249" s="133">
        <f t="shared" si="134"/>
        <v>2020</v>
      </c>
      <c r="J249" s="133"/>
      <c r="K249" s="133"/>
      <c r="L249" s="134" t="s">
        <v>313</v>
      </c>
      <c r="M249" s="134" t="s">
        <v>313</v>
      </c>
      <c r="N249" s="134" t="s">
        <v>313</v>
      </c>
      <c r="O249" s="134" t="s">
        <v>313</v>
      </c>
      <c r="P249" s="136">
        <v>11905</v>
      </c>
      <c r="Q249" s="136"/>
      <c r="R249" s="136">
        <f t="shared" si="135"/>
        <v>11905</v>
      </c>
      <c r="S249" s="137">
        <f t="shared" si="136"/>
        <v>198.41666666666666</v>
      </c>
      <c r="T249" s="137">
        <f t="shared" si="157"/>
        <v>2381</v>
      </c>
      <c r="U249" s="137">
        <f t="shared" si="138"/>
        <v>0</v>
      </c>
      <c r="V249" s="137">
        <f t="shared" si="139"/>
        <v>2381</v>
      </c>
      <c r="W249" s="124">
        <v>1</v>
      </c>
      <c r="X249" s="137">
        <f t="shared" si="140"/>
        <v>2381</v>
      </c>
      <c r="Y249" s="138"/>
      <c r="Z249" s="137">
        <f t="shared" si="141"/>
        <v>7143</v>
      </c>
      <c r="AA249" s="137">
        <f t="shared" si="142"/>
        <v>7143</v>
      </c>
      <c r="AB249" s="142">
        <v>1</v>
      </c>
      <c r="AC249" s="137">
        <f t="shared" si="143"/>
        <v>7143</v>
      </c>
      <c r="AD249" s="137">
        <f t="shared" si="152"/>
        <v>9524</v>
      </c>
      <c r="AE249" s="137">
        <f t="shared" si="153"/>
        <v>3571.5</v>
      </c>
      <c r="AF249" s="137">
        <f t="shared" si="144"/>
        <v>2015.75</v>
      </c>
      <c r="AG249" s="137">
        <f t="shared" si="145"/>
        <v>2019.75</v>
      </c>
      <c r="AH249" s="115">
        <f t="shared" si="146"/>
        <v>2020.75</v>
      </c>
      <c r="AI249" s="140">
        <f t="shared" si="147"/>
        <v>2018.75</v>
      </c>
      <c r="AJ249" s="140">
        <f t="shared" si="148"/>
        <v>-8.3333333333333329E-2</v>
      </c>
      <c r="AK249" s="140">
        <f t="shared" si="149"/>
        <v>2020.75</v>
      </c>
      <c r="AL249" s="140">
        <f t="shared" si="150"/>
        <v>2018.75</v>
      </c>
      <c r="AM249" s="140">
        <f t="shared" si="151"/>
        <v>-8.3333333333333329E-2</v>
      </c>
    </row>
    <row r="250" spans="1:39" x14ac:dyDescent="0.25">
      <c r="A250" s="133">
        <v>230</v>
      </c>
      <c r="B250" s="133" t="s">
        <v>518</v>
      </c>
      <c r="C250" s="133" t="s">
        <v>469</v>
      </c>
      <c r="D250" s="134">
        <v>2015</v>
      </c>
      <c r="E250" s="134">
        <v>9</v>
      </c>
      <c r="F250" s="135"/>
      <c r="G250" s="134" t="s">
        <v>312</v>
      </c>
      <c r="H250" s="134">
        <v>5</v>
      </c>
      <c r="I250" s="133">
        <f t="shared" si="134"/>
        <v>2020</v>
      </c>
      <c r="J250" s="133"/>
      <c r="K250" s="133"/>
      <c r="L250" s="134" t="s">
        <v>313</v>
      </c>
      <c r="M250" s="134" t="s">
        <v>313</v>
      </c>
      <c r="N250" s="134" t="s">
        <v>313</v>
      </c>
      <c r="O250" s="134" t="s">
        <v>313</v>
      </c>
      <c r="P250" s="136">
        <v>6982</v>
      </c>
      <c r="Q250" s="136"/>
      <c r="R250" s="136">
        <f t="shared" si="135"/>
        <v>6982</v>
      </c>
      <c r="S250" s="137">
        <f t="shared" si="136"/>
        <v>116.36666666666667</v>
      </c>
      <c r="T250" s="137">
        <f t="shared" si="157"/>
        <v>1396.4</v>
      </c>
      <c r="U250" s="137">
        <f t="shared" si="138"/>
        <v>0</v>
      </c>
      <c r="V250" s="137">
        <f t="shared" si="139"/>
        <v>1396.4</v>
      </c>
      <c r="W250" s="124">
        <v>1</v>
      </c>
      <c r="X250" s="137">
        <f t="shared" si="140"/>
        <v>1396.4</v>
      </c>
      <c r="Y250" s="138"/>
      <c r="Z250" s="137">
        <f t="shared" si="141"/>
        <v>4305.5666666665611</v>
      </c>
      <c r="AA250" s="137">
        <f t="shared" si="142"/>
        <v>4305.5666666665611</v>
      </c>
      <c r="AB250" s="142">
        <v>1</v>
      </c>
      <c r="AC250" s="137">
        <f t="shared" si="143"/>
        <v>4305.5666666665611</v>
      </c>
      <c r="AD250" s="137">
        <f t="shared" si="152"/>
        <v>5701.9666666665617</v>
      </c>
      <c r="AE250" s="137">
        <f t="shared" si="153"/>
        <v>1978.2333333334386</v>
      </c>
      <c r="AF250" s="137">
        <f t="shared" si="144"/>
        <v>2015.6666666666667</v>
      </c>
      <c r="AG250" s="137">
        <f t="shared" si="145"/>
        <v>2019.75</v>
      </c>
      <c r="AH250" s="115">
        <f t="shared" si="146"/>
        <v>2020.6666666666667</v>
      </c>
      <c r="AI250" s="140">
        <f t="shared" si="147"/>
        <v>2018.75</v>
      </c>
      <c r="AJ250" s="140">
        <f t="shared" si="148"/>
        <v>-8.3333333333333329E-2</v>
      </c>
      <c r="AK250" s="140">
        <f t="shared" si="149"/>
        <v>2020.6666666666667</v>
      </c>
      <c r="AL250" s="140">
        <f t="shared" si="150"/>
        <v>2018.75</v>
      </c>
      <c r="AM250" s="140">
        <f t="shared" si="151"/>
        <v>-8.3333333333333329E-2</v>
      </c>
    </row>
    <row r="251" spans="1:39" x14ac:dyDescent="0.25">
      <c r="A251" s="144">
        <v>232</v>
      </c>
      <c r="B251" s="144" t="s">
        <v>519</v>
      </c>
      <c r="C251" s="144" t="s">
        <v>469</v>
      </c>
      <c r="D251" s="145">
        <v>2015</v>
      </c>
      <c r="E251" s="134">
        <v>12</v>
      </c>
      <c r="F251" s="135"/>
      <c r="G251" s="134" t="s">
        <v>312</v>
      </c>
      <c r="H251" s="134">
        <v>7</v>
      </c>
      <c r="I251" s="133">
        <f t="shared" si="134"/>
        <v>2022</v>
      </c>
      <c r="J251" s="133"/>
      <c r="K251" s="133"/>
      <c r="L251" s="134" t="s">
        <v>313</v>
      </c>
      <c r="M251" s="134" t="s">
        <v>313</v>
      </c>
      <c r="N251" s="134" t="s">
        <v>313</v>
      </c>
      <c r="O251" s="134" t="s">
        <v>313</v>
      </c>
      <c r="P251" s="136">
        <v>3000</v>
      </c>
      <c r="Q251" s="136"/>
      <c r="R251" s="136">
        <f t="shared" si="135"/>
        <v>3000</v>
      </c>
      <c r="S251" s="137">
        <f t="shared" si="136"/>
        <v>35.714285714285715</v>
      </c>
      <c r="T251" s="137">
        <f t="shared" si="157"/>
        <v>428.57142857142856</v>
      </c>
      <c r="U251" s="137">
        <f t="shared" si="138"/>
        <v>0</v>
      </c>
      <c r="V251" s="137">
        <f t="shared" si="139"/>
        <v>428.57142857142856</v>
      </c>
      <c r="W251" s="124">
        <v>1</v>
      </c>
      <c r="X251" s="137">
        <f t="shared" si="140"/>
        <v>428.57142857142856</v>
      </c>
      <c r="Y251" s="138"/>
      <c r="Z251" s="137">
        <f t="shared" si="141"/>
        <v>1214.2857142856819</v>
      </c>
      <c r="AA251" s="137">
        <f t="shared" si="142"/>
        <v>1214.2857142856819</v>
      </c>
      <c r="AB251" s="142">
        <v>1</v>
      </c>
      <c r="AC251" s="137">
        <f t="shared" si="143"/>
        <v>1214.2857142856819</v>
      </c>
      <c r="AD251" s="137">
        <f t="shared" si="152"/>
        <v>1642.8571428571104</v>
      </c>
      <c r="AE251" s="137">
        <f t="shared" si="153"/>
        <v>1571.4285714286038</v>
      </c>
      <c r="AF251" s="137">
        <f t="shared" si="144"/>
        <v>2015.9166666666667</v>
      </c>
      <c r="AG251" s="137">
        <f t="shared" si="145"/>
        <v>2019.75</v>
      </c>
      <c r="AH251" s="115">
        <f t="shared" si="146"/>
        <v>2022.9166666666667</v>
      </c>
      <c r="AI251" s="140">
        <f t="shared" si="147"/>
        <v>2018.75</v>
      </c>
      <c r="AJ251" s="140">
        <f t="shared" si="148"/>
        <v>-8.3333333333333329E-2</v>
      </c>
      <c r="AK251" s="140">
        <f t="shared" si="149"/>
        <v>2022.9166666666667</v>
      </c>
      <c r="AL251" s="140">
        <f t="shared" si="150"/>
        <v>2018.75</v>
      </c>
      <c r="AM251" s="140">
        <f t="shared" si="151"/>
        <v>-8.3333333333333329E-2</v>
      </c>
    </row>
    <row r="252" spans="1:39" x14ac:dyDescent="0.25">
      <c r="A252" s="144">
        <v>238</v>
      </c>
      <c r="B252" s="144" t="s">
        <v>520</v>
      </c>
      <c r="C252" s="144" t="s">
        <v>469</v>
      </c>
      <c r="D252" s="145">
        <v>2016</v>
      </c>
      <c r="E252" s="134">
        <v>6</v>
      </c>
      <c r="F252" s="135"/>
      <c r="G252" s="134" t="s">
        <v>312</v>
      </c>
      <c r="H252" s="134">
        <v>10</v>
      </c>
      <c r="I252" s="133">
        <f t="shared" si="134"/>
        <v>2026</v>
      </c>
      <c r="J252" s="133"/>
      <c r="K252" s="133"/>
      <c r="L252" s="134" t="s">
        <v>313</v>
      </c>
      <c r="M252" s="134" t="s">
        <v>313</v>
      </c>
      <c r="N252" s="134" t="s">
        <v>313</v>
      </c>
      <c r="O252" s="134" t="s">
        <v>313</v>
      </c>
      <c r="P252" s="136">
        <v>31480</v>
      </c>
      <c r="Q252" s="136"/>
      <c r="R252" s="136">
        <f t="shared" si="135"/>
        <v>31480</v>
      </c>
      <c r="S252" s="137">
        <f t="shared" si="136"/>
        <v>262.33333333333331</v>
      </c>
      <c r="T252" s="137">
        <f t="shared" si="157"/>
        <v>3148</v>
      </c>
      <c r="U252" s="137">
        <f t="shared" si="138"/>
        <v>0</v>
      </c>
      <c r="V252" s="137">
        <f t="shared" si="139"/>
        <v>3148</v>
      </c>
      <c r="W252" s="124">
        <v>1</v>
      </c>
      <c r="X252" s="137">
        <f t="shared" si="140"/>
        <v>3148</v>
      </c>
      <c r="Y252" s="138"/>
      <c r="Z252" s="137">
        <f t="shared" si="141"/>
        <v>7345.3333333330938</v>
      </c>
      <c r="AA252" s="137">
        <f t="shared" si="142"/>
        <v>7345.3333333330938</v>
      </c>
      <c r="AB252" s="142">
        <v>1</v>
      </c>
      <c r="AC252" s="137">
        <f t="shared" si="143"/>
        <v>7345.3333333330938</v>
      </c>
      <c r="AD252" s="137">
        <f t="shared" si="152"/>
        <v>10493.333333333094</v>
      </c>
      <c r="AE252" s="137">
        <f t="shared" si="153"/>
        <v>22560.666666666904</v>
      </c>
      <c r="AF252" s="137">
        <f t="shared" si="144"/>
        <v>2016.4166666666667</v>
      </c>
      <c r="AG252" s="137">
        <f t="shared" si="145"/>
        <v>2019.75</v>
      </c>
      <c r="AH252" s="115">
        <f t="shared" si="146"/>
        <v>2026.4166666666667</v>
      </c>
      <c r="AI252" s="140">
        <f t="shared" si="147"/>
        <v>2018.75</v>
      </c>
      <c r="AJ252" s="140">
        <f t="shared" si="148"/>
        <v>-8.3333333333333329E-2</v>
      </c>
      <c r="AK252" s="140">
        <f t="shared" si="149"/>
        <v>2026.4166666666667</v>
      </c>
      <c r="AL252" s="140">
        <f t="shared" si="150"/>
        <v>2018.75</v>
      </c>
      <c r="AM252" s="140">
        <f t="shared" si="151"/>
        <v>-8.3333333333333329E-2</v>
      </c>
    </row>
    <row r="253" spans="1:39" x14ac:dyDescent="0.25">
      <c r="A253" s="133">
        <v>254</v>
      </c>
      <c r="B253" s="133" t="s">
        <v>521</v>
      </c>
      <c r="C253" s="133" t="s">
        <v>469</v>
      </c>
      <c r="D253" s="134">
        <v>2017</v>
      </c>
      <c r="E253" s="134">
        <v>6</v>
      </c>
      <c r="F253" s="135"/>
      <c r="G253" s="134" t="s">
        <v>312</v>
      </c>
      <c r="H253" s="134">
        <v>10</v>
      </c>
      <c r="I253" s="133">
        <f t="shared" si="134"/>
        <v>2027</v>
      </c>
      <c r="J253" s="133"/>
      <c r="K253" s="133"/>
      <c r="L253" s="134" t="s">
        <v>313</v>
      </c>
      <c r="M253" s="134" t="s">
        <v>313</v>
      </c>
      <c r="N253" s="134" t="s">
        <v>313</v>
      </c>
      <c r="O253" s="134" t="s">
        <v>313</v>
      </c>
      <c r="P253" s="136">
        <v>283187.58</v>
      </c>
      <c r="Q253" s="136"/>
      <c r="R253" s="136">
        <f t="shared" si="135"/>
        <v>283187.58</v>
      </c>
      <c r="S253" s="137">
        <f t="shared" si="136"/>
        <v>2359.8965000000003</v>
      </c>
      <c r="T253" s="137">
        <f t="shared" si="157"/>
        <v>28318.758000000002</v>
      </c>
      <c r="U253" s="137">
        <f t="shared" si="138"/>
        <v>0</v>
      </c>
      <c r="V253" s="137">
        <f t="shared" si="139"/>
        <v>28318.758000000002</v>
      </c>
      <c r="W253" s="124">
        <v>1</v>
      </c>
      <c r="X253" s="137">
        <f t="shared" si="140"/>
        <v>28318.758000000002</v>
      </c>
      <c r="Y253" s="138"/>
      <c r="Z253" s="137">
        <f t="shared" si="141"/>
        <v>37758.343999997858</v>
      </c>
      <c r="AA253" s="137">
        <f t="shared" si="142"/>
        <v>37758.343999997858</v>
      </c>
      <c r="AB253" s="142">
        <v>1</v>
      </c>
      <c r="AC253" s="137">
        <f t="shared" si="143"/>
        <v>37758.343999997858</v>
      </c>
      <c r="AD253" s="137">
        <f t="shared" si="152"/>
        <v>66077.10199999786</v>
      </c>
      <c r="AE253" s="137">
        <f t="shared" si="153"/>
        <v>231269.85700000217</v>
      </c>
      <c r="AF253" s="137">
        <f t="shared" si="144"/>
        <v>2017.4166666666667</v>
      </c>
      <c r="AG253" s="137">
        <f t="shared" si="145"/>
        <v>2019.75</v>
      </c>
      <c r="AH253" s="115">
        <f t="shared" si="146"/>
        <v>2027.4166666666667</v>
      </c>
      <c r="AI253" s="140">
        <f t="shared" si="147"/>
        <v>2018.75</v>
      </c>
      <c r="AJ253" s="140">
        <f t="shared" si="148"/>
        <v>-8.3333333333333329E-2</v>
      </c>
      <c r="AK253" s="140">
        <f t="shared" si="149"/>
        <v>2027.4166666666667</v>
      </c>
      <c r="AL253" s="140">
        <f t="shared" si="150"/>
        <v>2018.75</v>
      </c>
      <c r="AM253" s="140">
        <f t="shared" si="151"/>
        <v>-8.3333333333333329E-2</v>
      </c>
    </row>
    <row r="254" spans="1:39" x14ac:dyDescent="0.25">
      <c r="A254" s="133">
        <v>273</v>
      </c>
      <c r="B254" s="133" t="s">
        <v>522</v>
      </c>
      <c r="C254" s="133" t="s">
        <v>469</v>
      </c>
      <c r="D254" s="134">
        <v>2018</v>
      </c>
      <c r="E254" s="134">
        <v>5</v>
      </c>
      <c r="F254" s="135"/>
      <c r="G254" s="134" t="s">
        <v>312</v>
      </c>
      <c r="H254" s="134">
        <v>10</v>
      </c>
      <c r="I254" s="133">
        <f t="shared" si="134"/>
        <v>2028</v>
      </c>
      <c r="J254" s="133"/>
      <c r="K254" s="133"/>
      <c r="L254" s="134" t="s">
        <v>313</v>
      </c>
      <c r="M254" s="134" t="s">
        <v>313</v>
      </c>
      <c r="N254" s="134" t="s">
        <v>313</v>
      </c>
      <c r="O254" s="134" t="s">
        <v>313</v>
      </c>
      <c r="P254" s="136">
        <v>3740.93</v>
      </c>
      <c r="Q254" s="136"/>
      <c r="R254" s="136">
        <f t="shared" si="135"/>
        <v>3740.93</v>
      </c>
      <c r="S254" s="137">
        <f t="shared" si="136"/>
        <v>31.174416666666662</v>
      </c>
      <c r="T254" s="137">
        <f t="shared" si="157"/>
        <v>374.09299999999996</v>
      </c>
      <c r="U254" s="137">
        <f t="shared" si="138"/>
        <v>0</v>
      </c>
      <c r="V254" s="137">
        <f t="shared" si="139"/>
        <v>374.09299999999996</v>
      </c>
      <c r="W254" s="124">
        <v>1</v>
      </c>
      <c r="X254" s="137">
        <f t="shared" si="140"/>
        <v>374.09299999999996</v>
      </c>
      <c r="Y254" s="138"/>
      <c r="Z254" s="137">
        <f t="shared" si="141"/>
        <v>155.87208333336167</v>
      </c>
      <c r="AA254" s="137">
        <f t="shared" si="142"/>
        <v>155.87208333336167</v>
      </c>
      <c r="AB254" s="142">
        <v>1</v>
      </c>
      <c r="AC254" s="137">
        <f t="shared" si="143"/>
        <v>155.87208333336167</v>
      </c>
      <c r="AD254" s="137">
        <f t="shared" si="152"/>
        <v>529.96508333336169</v>
      </c>
      <c r="AE254" s="137">
        <f t="shared" si="153"/>
        <v>3398.0114166666381</v>
      </c>
      <c r="AF254" s="137">
        <f t="shared" si="144"/>
        <v>2018.3333333333333</v>
      </c>
      <c r="AG254" s="137">
        <f t="shared" si="145"/>
        <v>2019.75</v>
      </c>
      <c r="AH254" s="115">
        <f t="shared" si="146"/>
        <v>2028.3333333333333</v>
      </c>
      <c r="AI254" s="140">
        <f t="shared" si="147"/>
        <v>2018.75</v>
      </c>
      <c r="AJ254" s="140">
        <f t="shared" si="148"/>
        <v>-8.3333333333333329E-2</v>
      </c>
      <c r="AK254" s="140">
        <f t="shared" si="149"/>
        <v>2028.3333333333333</v>
      </c>
      <c r="AL254" s="140">
        <f t="shared" si="150"/>
        <v>2018.75</v>
      </c>
      <c r="AM254" s="140">
        <f t="shared" si="151"/>
        <v>-8.3333333333333329E-2</v>
      </c>
    </row>
    <row r="255" spans="1:39" x14ac:dyDescent="0.25">
      <c r="A255" s="133"/>
      <c r="B255" s="133" t="s">
        <v>523</v>
      </c>
      <c r="C255" s="133" t="s">
        <v>469</v>
      </c>
      <c r="D255" s="134">
        <v>2019</v>
      </c>
      <c r="E255" s="134">
        <v>6</v>
      </c>
      <c r="F255" s="135"/>
      <c r="G255" s="134" t="s">
        <v>312</v>
      </c>
      <c r="H255" s="134">
        <v>10</v>
      </c>
      <c r="I255" s="133">
        <f t="shared" si="134"/>
        <v>2029</v>
      </c>
      <c r="J255" s="133"/>
      <c r="K255" s="133"/>
      <c r="L255" s="134" t="s">
        <v>313</v>
      </c>
      <c r="M255" s="134" t="s">
        <v>313</v>
      </c>
      <c r="N255" s="134" t="s">
        <v>313</v>
      </c>
      <c r="O255" s="134" t="s">
        <v>313</v>
      </c>
      <c r="P255" s="136">
        <f>7771.5+35468.81+14953.09</f>
        <v>58193.399999999994</v>
      </c>
      <c r="Q255" s="136"/>
      <c r="R255" s="136">
        <f t="shared" si="135"/>
        <v>58193.399999999994</v>
      </c>
      <c r="S255" s="137">
        <f t="shared" si="136"/>
        <v>484.94499999999994</v>
      </c>
      <c r="T255" s="137">
        <f>+R255/10</f>
        <v>5819.3399999999992</v>
      </c>
      <c r="U255" s="137">
        <f t="shared" si="138"/>
        <v>0</v>
      </c>
      <c r="V255" s="137">
        <f t="shared" si="139"/>
        <v>5819.3399999999992</v>
      </c>
      <c r="W255" s="124">
        <v>1</v>
      </c>
      <c r="X255" s="137">
        <f t="shared" si="140"/>
        <v>5819.3399999999992</v>
      </c>
      <c r="Y255" s="138"/>
      <c r="Z255" s="137">
        <f t="shared" si="141"/>
        <v>0</v>
      </c>
      <c r="AA255" s="137">
        <f t="shared" si="142"/>
        <v>0</v>
      </c>
      <c r="AB255" s="142">
        <v>1</v>
      </c>
      <c r="AC255" s="137">
        <f t="shared" si="143"/>
        <v>0</v>
      </c>
      <c r="AD255" s="137">
        <f t="shared" si="152"/>
        <v>5819.3399999999992</v>
      </c>
      <c r="AE255" s="137">
        <f t="shared" si="153"/>
        <v>26187.03</v>
      </c>
      <c r="AF255" s="137">
        <f t="shared" si="144"/>
        <v>2019.4166666666667</v>
      </c>
      <c r="AG255" s="137">
        <f t="shared" si="145"/>
        <v>2019.75</v>
      </c>
      <c r="AH255" s="115">
        <f t="shared" si="146"/>
        <v>2029.4166666666667</v>
      </c>
      <c r="AI255" s="140">
        <f t="shared" si="147"/>
        <v>2018.75</v>
      </c>
      <c r="AJ255" s="140">
        <f t="shared" si="148"/>
        <v>-8.3333333333333329E-2</v>
      </c>
      <c r="AK255" s="140">
        <f t="shared" si="149"/>
        <v>2029.4166666666667</v>
      </c>
      <c r="AL255" s="140">
        <f t="shared" si="150"/>
        <v>2018.75</v>
      </c>
      <c r="AM255" s="140">
        <f t="shared" si="151"/>
        <v>-8.3333333333333329E-2</v>
      </c>
    </row>
    <row r="256" spans="1:39" x14ac:dyDescent="0.25">
      <c r="D256" s="27"/>
      <c r="E256" s="27"/>
      <c r="F256" s="122"/>
      <c r="H256" s="27"/>
      <c r="P256" s="29">
        <f>SUM(P195:P255)</f>
        <v>2123899.02</v>
      </c>
      <c r="Q256" s="29">
        <f>SUM(Q40:Q253)</f>
        <v>0</v>
      </c>
      <c r="R256" s="29">
        <f t="shared" ref="R256:AE256" si="158">SUM(R195:R255)</f>
        <v>2046299.0199999998</v>
      </c>
      <c r="S256" s="29">
        <f t="shared" si="158"/>
        <v>13737.533440476189</v>
      </c>
      <c r="T256" s="29">
        <f t="shared" si="158"/>
        <v>175051.96390476229</v>
      </c>
      <c r="U256" s="29">
        <f t="shared" si="158"/>
        <v>0</v>
      </c>
      <c r="V256" s="29">
        <f t="shared" si="158"/>
        <v>175051.96390476229</v>
      </c>
      <c r="W256" s="29">
        <f t="shared" si="158"/>
        <v>61</v>
      </c>
      <c r="X256" s="29">
        <f t="shared" si="158"/>
        <v>175051.96390476229</v>
      </c>
      <c r="Y256" s="29">
        <f t="shared" si="158"/>
        <v>0</v>
      </c>
      <c r="Z256" s="29">
        <f t="shared" si="158"/>
        <v>861243.01892856334</v>
      </c>
      <c r="AA256" s="29">
        <f t="shared" si="158"/>
        <v>861243.01892856334</v>
      </c>
      <c r="AB256" s="29">
        <f t="shared" si="158"/>
        <v>61</v>
      </c>
      <c r="AC256" s="29">
        <f t="shared" si="158"/>
        <v>861243.01892856334</v>
      </c>
      <c r="AD256" s="29">
        <f t="shared" si="158"/>
        <v>1036294.982833326</v>
      </c>
      <c r="AE256" s="29">
        <f t="shared" si="158"/>
        <v>1146033.3191190553</v>
      </c>
      <c r="AF256" s="115"/>
      <c r="AG256" s="115"/>
      <c r="AH256" s="115"/>
      <c r="AI256" s="117"/>
      <c r="AJ256" s="117"/>
      <c r="AK256" s="117"/>
      <c r="AL256" s="117"/>
      <c r="AM256" s="117"/>
    </row>
    <row r="257" spans="1:39" x14ac:dyDescent="0.25">
      <c r="D257" s="27"/>
      <c r="E257" s="27"/>
      <c r="F257" s="122"/>
      <c r="H257" s="27"/>
      <c r="P257" s="29"/>
      <c r="Q257" s="29"/>
      <c r="R257" s="29"/>
      <c r="S257" s="115"/>
      <c r="T257" s="115"/>
      <c r="U257" s="115"/>
      <c r="V257" s="115"/>
      <c r="W257" s="116"/>
      <c r="X257" s="115"/>
      <c r="Y257" s="113"/>
      <c r="Z257" s="115"/>
      <c r="AA257" s="115"/>
      <c r="AB257" s="113"/>
      <c r="AC257" s="115"/>
      <c r="AD257" s="115"/>
      <c r="AE257" s="115"/>
      <c r="AF257" s="115"/>
      <c r="AG257" s="115"/>
      <c r="AH257" s="115"/>
      <c r="AI257" s="117"/>
      <c r="AJ257" s="117"/>
      <c r="AK257" s="117"/>
      <c r="AL257" s="117"/>
      <c r="AM257" s="117"/>
    </row>
    <row r="258" spans="1:39" x14ac:dyDescent="0.25">
      <c r="B258" t="s">
        <v>524</v>
      </c>
      <c r="D258" s="27"/>
      <c r="E258" s="27"/>
      <c r="H258" s="27"/>
      <c r="P258" s="29">
        <f>SUM(P223:P247)+P252+P255</f>
        <v>1356596.99</v>
      </c>
      <c r="T258" s="29">
        <f>SUM(T223:T247)+T252+T255</f>
        <v>134173.13966666709</v>
      </c>
      <c r="W258" s="118"/>
    </row>
    <row r="259" spans="1:39" x14ac:dyDescent="0.25">
      <c r="D259" s="27"/>
      <c r="E259" s="27"/>
      <c r="H259" s="27"/>
      <c r="P259" s="29"/>
      <c r="S259" s="115"/>
      <c r="T259" s="115"/>
      <c r="U259" s="115"/>
      <c r="V259" s="115"/>
      <c r="W259" s="116"/>
      <c r="X259" s="115"/>
      <c r="Y259" s="113"/>
      <c r="Z259" s="115"/>
      <c r="AA259" s="115"/>
      <c r="AB259" s="113"/>
      <c r="AC259" s="115"/>
      <c r="AD259" s="115"/>
      <c r="AE259" s="115"/>
      <c r="AF259" s="115"/>
      <c r="AG259" s="115"/>
      <c r="AH259" s="115"/>
      <c r="AI259" s="117"/>
      <c r="AJ259" s="117"/>
      <c r="AK259" s="117"/>
      <c r="AL259" s="117"/>
      <c r="AM259" s="117"/>
    </row>
    <row r="260" spans="1:39" x14ac:dyDescent="0.25">
      <c r="A260">
        <v>64</v>
      </c>
      <c r="B260" t="s">
        <v>525</v>
      </c>
      <c r="C260" s="118" t="s">
        <v>311</v>
      </c>
      <c r="D260" s="27">
        <v>1999</v>
      </c>
      <c r="E260" s="27">
        <v>11</v>
      </c>
      <c r="F260" s="122"/>
      <c r="G260" s="27" t="s">
        <v>312</v>
      </c>
      <c r="H260" s="27">
        <v>7</v>
      </c>
      <c r="I260">
        <f t="shared" ref="I260:I275" si="159">+D260+H260</f>
        <v>2006</v>
      </c>
      <c r="P260" s="29">
        <v>40000</v>
      </c>
      <c r="Q260" s="29"/>
      <c r="R260" s="29">
        <f t="shared" ref="R260:R275" si="160">+P260-P260*F260</f>
        <v>40000</v>
      </c>
      <c r="S260" s="115">
        <f t="shared" ref="S260:S275" si="161">R260/H260/12</f>
        <v>476.1904761904762</v>
      </c>
      <c r="T260" s="115">
        <f t="shared" ref="T260:T275" si="162">IF(Q260&gt;0,0,IF((OR((AF260&gt;AG260),(AH260&lt;AI260))),0,IF((AND((AH260&gt;=AI260),(AH260&lt;=AG260))),S260*((AH260-AI260)*12),IF((AND((AI260&lt;=AF260),(AG260&gt;=AF260))),((AG260-AF260)*12)*S260,IF(AH260&gt;AG260,12*S260,0)))))</f>
        <v>0</v>
      </c>
      <c r="U260" s="115">
        <f t="shared" ref="U260:U275" si="163">IF(Q260=0,0,IF((AND((AJ260&gt;=AI260),(AJ260&lt;=AH260))),((AJ260-AI260)*12)*S260,0))</f>
        <v>0</v>
      </c>
      <c r="V260" s="115">
        <f t="shared" ref="V260:V275" si="164">IF(U260&gt;0,U260,T260)</f>
        <v>0</v>
      </c>
      <c r="W260" s="124">
        <v>1</v>
      </c>
      <c r="X260" s="115">
        <f t="shared" ref="X260:X275" si="165">W260*SUM(T260:U260)</f>
        <v>0</v>
      </c>
      <c r="Y260" s="113"/>
      <c r="Z260" s="115">
        <f t="shared" ref="Z260:Z275" si="166">IF(AF260&gt;AG260,0,IF(AH260&lt;AI260,R260,IF((AND((AH260&gt;=AI260),(AH260&lt;=AG260))),(R260-V260),IF((AND((AI260&lt;=AF260),(AG260&gt;=AF260))),0,IF(AH260&gt;AG260,((AI260-AF260)*12)*S260,0)))))</f>
        <v>40000</v>
      </c>
      <c r="AA260" s="115">
        <f t="shared" ref="AA260:AA275" si="167">Z260*W260</f>
        <v>40000</v>
      </c>
      <c r="AB260" s="121">
        <v>1</v>
      </c>
      <c r="AC260" s="115">
        <f t="shared" ref="AC260:AC275" si="168">AA260*AB260</f>
        <v>40000</v>
      </c>
      <c r="AD260" s="115">
        <f t="shared" ref="AD260:AD275" si="169">IF(Q260&gt;0,0,AC260+X260*AB260)*AB260</f>
        <v>40000</v>
      </c>
      <c r="AE260" s="115">
        <f t="shared" ref="AE260:AE275" si="170">IF(Q260&gt;0,(P260-AC260)/2,IF(AF260&gt;=AI260,(((P260*W260)*AB260)-AD260)/2,((((P260*W260)*AB260)-AC260)+(((P260*W260)*AB260)-AD260))/2))</f>
        <v>0</v>
      </c>
      <c r="AF260" s="115">
        <f t="shared" ref="AF260:AF275" si="171">$D260+(($E260-1)/12)</f>
        <v>1999.8333333333333</v>
      </c>
      <c r="AG260" s="115">
        <f t="shared" ref="AG260:AG275" si="172">($R$5+1)-($R$2/12)</f>
        <v>2019.75</v>
      </c>
      <c r="AH260" s="115">
        <f t="shared" ref="AH260:AH275" si="173">$I260+(($E260-1)/12)</f>
        <v>2006.8333333333333</v>
      </c>
      <c r="AI260" s="117">
        <f t="shared" ref="AI260:AI275" si="174">$R$4+($R$3/12)</f>
        <v>2018.75</v>
      </c>
      <c r="AJ260" s="117">
        <f t="shared" ref="AJ260:AJ275" si="175">$J260+(($K260-1)/12)</f>
        <v>-8.3333333333333329E-2</v>
      </c>
      <c r="AK260" s="117">
        <f t="shared" ref="AK260:AK275" si="176">$I260+(($E260-1)/12)</f>
        <v>2006.8333333333333</v>
      </c>
      <c r="AL260" s="117">
        <f t="shared" ref="AL260:AL275" si="177">$R$4+($R$3/12)</f>
        <v>2018.75</v>
      </c>
      <c r="AM260" s="117">
        <f t="shared" ref="AM260:AM275" si="178">$J260+(($K260-1)/12)</f>
        <v>-8.3333333333333329E-2</v>
      </c>
    </row>
    <row r="261" spans="1:39" x14ac:dyDescent="0.25">
      <c r="A261">
        <v>65</v>
      </c>
      <c r="B261" t="s">
        <v>526</v>
      </c>
      <c r="C261" s="118" t="s">
        <v>311</v>
      </c>
      <c r="D261" s="27">
        <v>2000</v>
      </c>
      <c r="E261" s="27">
        <v>6</v>
      </c>
      <c r="F261" s="122"/>
      <c r="G261" s="27" t="s">
        <v>312</v>
      </c>
      <c r="H261" s="27">
        <v>5</v>
      </c>
      <c r="I261">
        <f t="shared" si="159"/>
        <v>2005</v>
      </c>
      <c r="P261" s="29">
        <v>20000</v>
      </c>
      <c r="Q261" s="29"/>
      <c r="R261" s="29">
        <f t="shared" si="160"/>
        <v>20000</v>
      </c>
      <c r="S261" s="115">
        <f t="shared" si="161"/>
        <v>333.33333333333331</v>
      </c>
      <c r="T261" s="115">
        <f t="shared" si="162"/>
        <v>0</v>
      </c>
      <c r="U261" s="115">
        <f t="shared" si="163"/>
        <v>0</v>
      </c>
      <c r="V261" s="115">
        <f t="shared" si="164"/>
        <v>0</v>
      </c>
      <c r="W261" s="124">
        <v>1</v>
      </c>
      <c r="X261" s="115">
        <f t="shared" si="165"/>
        <v>0</v>
      </c>
      <c r="Y261" s="113"/>
      <c r="Z261" s="115">
        <f t="shared" si="166"/>
        <v>20000</v>
      </c>
      <c r="AA261" s="115">
        <f t="shared" si="167"/>
        <v>20000</v>
      </c>
      <c r="AB261" s="121">
        <v>1</v>
      </c>
      <c r="AC261" s="115">
        <f t="shared" si="168"/>
        <v>20000</v>
      </c>
      <c r="AD261" s="115">
        <f t="shared" si="169"/>
        <v>20000</v>
      </c>
      <c r="AE261" s="115">
        <f t="shared" si="170"/>
        <v>0</v>
      </c>
      <c r="AF261" s="115">
        <f t="shared" si="171"/>
        <v>2000.4166666666667</v>
      </c>
      <c r="AG261" s="115">
        <f t="shared" si="172"/>
        <v>2019.75</v>
      </c>
      <c r="AH261" s="115">
        <f t="shared" si="173"/>
        <v>2005.4166666666667</v>
      </c>
      <c r="AI261" s="117">
        <f t="shared" si="174"/>
        <v>2018.75</v>
      </c>
      <c r="AJ261" s="117">
        <f t="shared" si="175"/>
        <v>-8.3333333333333329E-2</v>
      </c>
      <c r="AK261" s="117">
        <f t="shared" si="176"/>
        <v>2005.4166666666667</v>
      </c>
      <c r="AL261" s="117">
        <f t="shared" si="177"/>
        <v>2018.75</v>
      </c>
      <c r="AM261" s="117">
        <f t="shared" si="178"/>
        <v>-8.3333333333333329E-2</v>
      </c>
    </row>
    <row r="262" spans="1:39" x14ac:dyDescent="0.25">
      <c r="A262">
        <v>66</v>
      </c>
      <c r="B262" t="s">
        <v>527</v>
      </c>
      <c r="C262" s="118" t="s">
        <v>311</v>
      </c>
      <c r="D262" s="27">
        <v>2003</v>
      </c>
      <c r="E262" s="27">
        <v>7</v>
      </c>
      <c r="F262" s="122"/>
      <c r="G262" s="27" t="s">
        <v>312</v>
      </c>
      <c r="H262" s="27">
        <v>10</v>
      </c>
      <c r="I262">
        <f t="shared" si="159"/>
        <v>2013</v>
      </c>
      <c r="P262" s="29">
        <v>8000</v>
      </c>
      <c r="Q262" s="29"/>
      <c r="R262" s="29">
        <f t="shared" si="160"/>
        <v>8000</v>
      </c>
      <c r="S262" s="115">
        <f t="shared" si="161"/>
        <v>66.666666666666671</v>
      </c>
      <c r="T262" s="115">
        <f t="shared" si="162"/>
        <v>0</v>
      </c>
      <c r="U262" s="115">
        <f t="shared" si="163"/>
        <v>0</v>
      </c>
      <c r="V262" s="115">
        <f t="shared" si="164"/>
        <v>0</v>
      </c>
      <c r="W262" s="124">
        <v>1</v>
      </c>
      <c r="X262" s="115">
        <f t="shared" si="165"/>
        <v>0</v>
      </c>
      <c r="Y262" s="113"/>
      <c r="Z262" s="115">
        <f t="shared" si="166"/>
        <v>8000</v>
      </c>
      <c r="AA262" s="115">
        <f t="shared" si="167"/>
        <v>8000</v>
      </c>
      <c r="AB262" s="121">
        <v>1</v>
      </c>
      <c r="AC262" s="115">
        <f t="shared" si="168"/>
        <v>8000</v>
      </c>
      <c r="AD262" s="115">
        <f t="shared" si="169"/>
        <v>8000</v>
      </c>
      <c r="AE262" s="115">
        <f t="shared" si="170"/>
        <v>0</v>
      </c>
      <c r="AF262" s="115">
        <f t="shared" si="171"/>
        <v>2003.5</v>
      </c>
      <c r="AG262" s="115">
        <f t="shared" si="172"/>
        <v>2019.75</v>
      </c>
      <c r="AH262" s="115">
        <f t="shared" si="173"/>
        <v>2013.5</v>
      </c>
      <c r="AI262" s="117">
        <f t="shared" si="174"/>
        <v>2018.75</v>
      </c>
      <c r="AJ262" s="117">
        <f t="shared" si="175"/>
        <v>-8.3333333333333329E-2</v>
      </c>
      <c r="AK262" s="117">
        <f t="shared" si="176"/>
        <v>2013.5</v>
      </c>
      <c r="AL262" s="117">
        <f t="shared" si="177"/>
        <v>2018.75</v>
      </c>
      <c r="AM262" s="117">
        <f t="shared" si="178"/>
        <v>-8.3333333333333329E-2</v>
      </c>
    </row>
    <row r="263" spans="1:39" x14ac:dyDescent="0.25">
      <c r="A263">
        <v>67</v>
      </c>
      <c r="B263" t="s">
        <v>528</v>
      </c>
      <c r="C263" s="118" t="s">
        <v>311</v>
      </c>
      <c r="D263" s="27">
        <v>2003</v>
      </c>
      <c r="E263" s="27">
        <v>8</v>
      </c>
      <c r="F263" s="122"/>
      <c r="G263" s="27" t="s">
        <v>312</v>
      </c>
      <c r="H263" s="27">
        <v>7</v>
      </c>
      <c r="I263">
        <f t="shared" si="159"/>
        <v>2010</v>
      </c>
      <c r="P263" s="29">
        <v>6000</v>
      </c>
      <c r="Q263" s="29"/>
      <c r="R263" s="29">
        <f t="shared" si="160"/>
        <v>6000</v>
      </c>
      <c r="S263" s="115">
        <f t="shared" si="161"/>
        <v>71.428571428571431</v>
      </c>
      <c r="T263" s="115">
        <f t="shared" si="162"/>
        <v>0</v>
      </c>
      <c r="U263" s="115">
        <f t="shared" si="163"/>
        <v>0</v>
      </c>
      <c r="V263" s="115">
        <f t="shared" si="164"/>
        <v>0</v>
      </c>
      <c r="W263" s="124">
        <v>1</v>
      </c>
      <c r="X263" s="115">
        <f t="shared" si="165"/>
        <v>0</v>
      </c>
      <c r="Y263" s="113"/>
      <c r="Z263" s="115">
        <f t="shared" si="166"/>
        <v>6000</v>
      </c>
      <c r="AA263" s="115">
        <f t="shared" si="167"/>
        <v>6000</v>
      </c>
      <c r="AB263" s="121">
        <v>1</v>
      </c>
      <c r="AC263" s="115">
        <f t="shared" si="168"/>
        <v>6000</v>
      </c>
      <c r="AD263" s="115">
        <f t="shared" si="169"/>
        <v>6000</v>
      </c>
      <c r="AE263" s="115">
        <f t="shared" si="170"/>
        <v>0</v>
      </c>
      <c r="AF263" s="115">
        <f t="shared" si="171"/>
        <v>2003.5833333333333</v>
      </c>
      <c r="AG263" s="115">
        <f t="shared" si="172"/>
        <v>2019.75</v>
      </c>
      <c r="AH263" s="115">
        <f t="shared" si="173"/>
        <v>2010.5833333333333</v>
      </c>
      <c r="AI263" s="117">
        <f t="shared" si="174"/>
        <v>2018.75</v>
      </c>
      <c r="AJ263" s="117">
        <f t="shared" si="175"/>
        <v>-8.3333333333333329E-2</v>
      </c>
      <c r="AK263" s="117">
        <f t="shared" si="176"/>
        <v>2010.5833333333333</v>
      </c>
      <c r="AL263" s="117">
        <f t="shared" si="177"/>
        <v>2018.75</v>
      </c>
      <c r="AM263" s="117">
        <f t="shared" si="178"/>
        <v>-8.3333333333333329E-2</v>
      </c>
    </row>
    <row r="264" spans="1:39" x14ac:dyDescent="0.25">
      <c r="A264">
        <v>144</v>
      </c>
      <c r="B264" t="s">
        <v>529</v>
      </c>
      <c r="C264" s="118" t="s">
        <v>311</v>
      </c>
      <c r="D264" s="27">
        <v>2012</v>
      </c>
      <c r="E264" s="27">
        <v>12</v>
      </c>
      <c r="F264" s="122"/>
      <c r="G264" s="27" t="s">
        <v>312</v>
      </c>
      <c r="H264" s="132">
        <v>5</v>
      </c>
      <c r="I264">
        <f t="shared" si="159"/>
        <v>2017</v>
      </c>
      <c r="P264" s="29">
        <v>33551</v>
      </c>
      <c r="Q264" s="29"/>
      <c r="R264" s="29">
        <f t="shared" si="160"/>
        <v>33551</v>
      </c>
      <c r="S264" s="115">
        <f t="shared" si="161"/>
        <v>559.18333333333328</v>
      </c>
      <c r="T264" s="115">
        <f t="shared" si="162"/>
        <v>0</v>
      </c>
      <c r="U264" s="115">
        <f t="shared" si="163"/>
        <v>0</v>
      </c>
      <c r="V264" s="115">
        <f t="shared" si="164"/>
        <v>0</v>
      </c>
      <c r="W264" s="124">
        <v>1</v>
      </c>
      <c r="X264" s="115">
        <f t="shared" si="165"/>
        <v>0</v>
      </c>
      <c r="Y264" s="113"/>
      <c r="Z264" s="115">
        <f t="shared" si="166"/>
        <v>33551</v>
      </c>
      <c r="AA264" s="115">
        <f t="shared" si="167"/>
        <v>33551</v>
      </c>
      <c r="AB264" s="121">
        <v>1</v>
      </c>
      <c r="AC264" s="115">
        <f t="shared" si="168"/>
        <v>33551</v>
      </c>
      <c r="AD264" s="115">
        <f t="shared" si="169"/>
        <v>33551</v>
      </c>
      <c r="AE264" s="115">
        <f t="shared" si="170"/>
        <v>0</v>
      </c>
      <c r="AF264" s="115">
        <f t="shared" si="171"/>
        <v>2012.9166666666667</v>
      </c>
      <c r="AG264" s="115">
        <f t="shared" si="172"/>
        <v>2019.75</v>
      </c>
      <c r="AH264" s="115">
        <f t="shared" si="173"/>
        <v>2017.9166666666667</v>
      </c>
      <c r="AI264" s="117">
        <f t="shared" si="174"/>
        <v>2018.75</v>
      </c>
      <c r="AJ264" s="117">
        <f t="shared" si="175"/>
        <v>-8.3333333333333329E-2</v>
      </c>
      <c r="AK264" s="117">
        <f t="shared" si="176"/>
        <v>2017.9166666666667</v>
      </c>
      <c r="AL264" s="117">
        <f t="shared" si="177"/>
        <v>2018.75</v>
      </c>
      <c r="AM264" s="117">
        <f t="shared" si="178"/>
        <v>-8.3333333333333329E-2</v>
      </c>
    </row>
    <row r="265" spans="1:39" x14ac:dyDescent="0.25">
      <c r="A265">
        <v>145</v>
      </c>
      <c r="B265" t="s">
        <v>530</v>
      </c>
      <c r="C265" s="118" t="s">
        <v>311</v>
      </c>
      <c r="D265" s="27">
        <v>2012</v>
      </c>
      <c r="E265" s="27">
        <v>10</v>
      </c>
      <c r="F265" s="122"/>
      <c r="G265" s="27" t="s">
        <v>312</v>
      </c>
      <c r="H265" s="132">
        <v>5</v>
      </c>
      <c r="I265">
        <f t="shared" si="159"/>
        <v>2017</v>
      </c>
      <c r="P265" s="29">
        <v>38645</v>
      </c>
      <c r="Q265" s="29"/>
      <c r="R265" s="29">
        <f t="shared" si="160"/>
        <v>38645</v>
      </c>
      <c r="S265" s="115">
        <f t="shared" si="161"/>
        <v>644.08333333333337</v>
      </c>
      <c r="T265" s="115">
        <f t="shared" si="162"/>
        <v>0</v>
      </c>
      <c r="U265" s="115">
        <f t="shared" si="163"/>
        <v>0</v>
      </c>
      <c r="V265" s="115">
        <f t="shared" si="164"/>
        <v>0</v>
      </c>
      <c r="W265" s="124">
        <v>1</v>
      </c>
      <c r="X265" s="115">
        <f t="shared" si="165"/>
        <v>0</v>
      </c>
      <c r="Y265" s="113"/>
      <c r="Z265" s="115">
        <f t="shared" si="166"/>
        <v>38645</v>
      </c>
      <c r="AA265" s="115">
        <f t="shared" si="167"/>
        <v>38645</v>
      </c>
      <c r="AB265" s="121">
        <v>1</v>
      </c>
      <c r="AC265" s="115">
        <f t="shared" si="168"/>
        <v>38645</v>
      </c>
      <c r="AD265" s="115">
        <f t="shared" si="169"/>
        <v>38645</v>
      </c>
      <c r="AE265" s="115">
        <f t="shared" si="170"/>
        <v>0</v>
      </c>
      <c r="AF265" s="115">
        <f t="shared" si="171"/>
        <v>2012.75</v>
      </c>
      <c r="AG265" s="115">
        <f t="shared" si="172"/>
        <v>2019.75</v>
      </c>
      <c r="AH265" s="115">
        <f t="shared" si="173"/>
        <v>2017.75</v>
      </c>
      <c r="AI265" s="117">
        <f t="shared" si="174"/>
        <v>2018.75</v>
      </c>
      <c r="AJ265" s="117">
        <f t="shared" si="175"/>
        <v>-8.3333333333333329E-2</v>
      </c>
      <c r="AK265" s="117">
        <f t="shared" si="176"/>
        <v>2017.75</v>
      </c>
      <c r="AL265" s="117">
        <f t="shared" si="177"/>
        <v>2018.75</v>
      </c>
      <c r="AM265" s="117">
        <f t="shared" si="178"/>
        <v>-8.3333333333333329E-2</v>
      </c>
    </row>
    <row r="266" spans="1:39" x14ac:dyDescent="0.25">
      <c r="A266">
        <v>102</v>
      </c>
      <c r="B266" t="s">
        <v>531</v>
      </c>
      <c r="C266" s="118" t="s">
        <v>311</v>
      </c>
      <c r="D266" s="27">
        <v>1973</v>
      </c>
      <c r="E266" s="27">
        <v>2</v>
      </c>
      <c r="F266" s="122"/>
      <c r="G266" s="27" t="s">
        <v>312</v>
      </c>
      <c r="H266" s="132">
        <v>3</v>
      </c>
      <c r="I266">
        <f t="shared" si="159"/>
        <v>1976</v>
      </c>
      <c r="P266" s="29">
        <v>2373</v>
      </c>
      <c r="Q266" s="29"/>
      <c r="R266" s="29">
        <f t="shared" si="160"/>
        <v>2373</v>
      </c>
      <c r="S266" s="115">
        <f t="shared" si="161"/>
        <v>65.916666666666671</v>
      </c>
      <c r="T266" s="115">
        <f t="shared" si="162"/>
        <v>0</v>
      </c>
      <c r="U266" s="115">
        <f t="shared" si="163"/>
        <v>0</v>
      </c>
      <c r="V266" s="115">
        <f t="shared" si="164"/>
        <v>0</v>
      </c>
      <c r="W266" s="124">
        <v>1</v>
      </c>
      <c r="X266" s="115">
        <f t="shared" si="165"/>
        <v>0</v>
      </c>
      <c r="Y266" s="113"/>
      <c r="Z266" s="115">
        <f t="shared" si="166"/>
        <v>2373</v>
      </c>
      <c r="AA266" s="115">
        <f t="shared" si="167"/>
        <v>2373</v>
      </c>
      <c r="AB266" s="121">
        <v>1</v>
      </c>
      <c r="AC266" s="115">
        <f t="shared" si="168"/>
        <v>2373</v>
      </c>
      <c r="AD266" s="115">
        <f t="shared" si="169"/>
        <v>2373</v>
      </c>
      <c r="AE266" s="115">
        <f t="shared" si="170"/>
        <v>0</v>
      </c>
      <c r="AF266" s="115">
        <f t="shared" si="171"/>
        <v>1973.0833333333333</v>
      </c>
      <c r="AG266" s="115">
        <f t="shared" si="172"/>
        <v>2019.75</v>
      </c>
      <c r="AH266" s="115">
        <f t="shared" si="173"/>
        <v>1976.0833333333333</v>
      </c>
      <c r="AI266" s="117">
        <f t="shared" si="174"/>
        <v>2018.75</v>
      </c>
      <c r="AJ266" s="117">
        <f t="shared" si="175"/>
        <v>-8.3333333333333329E-2</v>
      </c>
      <c r="AK266" s="117">
        <f t="shared" si="176"/>
        <v>1976.0833333333333</v>
      </c>
      <c r="AL266" s="117">
        <f t="shared" si="177"/>
        <v>2018.75</v>
      </c>
      <c r="AM266" s="117">
        <f t="shared" si="178"/>
        <v>-8.3333333333333329E-2</v>
      </c>
    </row>
    <row r="267" spans="1:39" x14ac:dyDescent="0.25">
      <c r="A267">
        <v>103</v>
      </c>
      <c r="B267" t="s">
        <v>525</v>
      </c>
      <c r="C267" s="118" t="s">
        <v>311</v>
      </c>
      <c r="D267" s="27">
        <v>2009</v>
      </c>
      <c r="E267" s="27">
        <v>1</v>
      </c>
      <c r="F267" s="122"/>
      <c r="G267" s="27" t="s">
        <v>312</v>
      </c>
      <c r="H267" s="27">
        <v>7</v>
      </c>
      <c r="I267">
        <f t="shared" si="159"/>
        <v>2016</v>
      </c>
      <c r="P267" s="29">
        <v>30000</v>
      </c>
      <c r="Q267" s="29"/>
      <c r="R267" s="29">
        <f t="shared" si="160"/>
        <v>30000</v>
      </c>
      <c r="S267" s="115">
        <f t="shared" si="161"/>
        <v>357.14285714285711</v>
      </c>
      <c r="T267" s="115">
        <f t="shared" si="162"/>
        <v>0</v>
      </c>
      <c r="U267" s="115">
        <f t="shared" si="163"/>
        <v>0</v>
      </c>
      <c r="V267" s="115">
        <f t="shared" si="164"/>
        <v>0</v>
      </c>
      <c r="W267" s="124">
        <v>1</v>
      </c>
      <c r="X267" s="115">
        <f t="shared" si="165"/>
        <v>0</v>
      </c>
      <c r="Y267" s="113"/>
      <c r="Z267" s="115">
        <f t="shared" si="166"/>
        <v>30000</v>
      </c>
      <c r="AA267" s="115">
        <f t="shared" si="167"/>
        <v>30000</v>
      </c>
      <c r="AB267" s="121">
        <v>1</v>
      </c>
      <c r="AC267" s="115">
        <f t="shared" si="168"/>
        <v>30000</v>
      </c>
      <c r="AD267" s="115">
        <f t="shared" si="169"/>
        <v>30000</v>
      </c>
      <c r="AE267" s="115">
        <f t="shared" si="170"/>
        <v>0</v>
      </c>
      <c r="AF267" s="115">
        <f t="shared" si="171"/>
        <v>2009</v>
      </c>
      <c r="AG267" s="115">
        <f t="shared" si="172"/>
        <v>2019.75</v>
      </c>
      <c r="AH267" s="115">
        <f t="shared" si="173"/>
        <v>2016</v>
      </c>
      <c r="AI267" s="117">
        <f t="shared" si="174"/>
        <v>2018.75</v>
      </c>
      <c r="AJ267" s="117">
        <f t="shared" si="175"/>
        <v>-8.3333333333333329E-2</v>
      </c>
      <c r="AK267" s="117">
        <f t="shared" si="176"/>
        <v>2016</v>
      </c>
      <c r="AL267" s="117">
        <f t="shared" si="177"/>
        <v>2018.75</v>
      </c>
      <c r="AM267" s="117">
        <f t="shared" si="178"/>
        <v>-8.3333333333333329E-2</v>
      </c>
    </row>
    <row r="268" spans="1:39" x14ac:dyDescent="0.25">
      <c r="A268">
        <v>115</v>
      </c>
      <c r="B268" t="s">
        <v>532</v>
      </c>
      <c r="C268" s="118" t="s">
        <v>311</v>
      </c>
      <c r="D268" s="27">
        <v>2010</v>
      </c>
      <c r="E268" s="27">
        <v>1</v>
      </c>
      <c r="F268" s="122"/>
      <c r="G268" s="27" t="s">
        <v>312</v>
      </c>
      <c r="H268" s="27">
        <v>5</v>
      </c>
      <c r="I268">
        <f t="shared" si="159"/>
        <v>2015</v>
      </c>
      <c r="P268" s="29">
        <v>4332</v>
      </c>
      <c r="Q268" s="29"/>
      <c r="R268" s="29">
        <f t="shared" si="160"/>
        <v>4332</v>
      </c>
      <c r="S268" s="115">
        <f t="shared" si="161"/>
        <v>72.2</v>
      </c>
      <c r="T268" s="115">
        <f t="shared" si="162"/>
        <v>0</v>
      </c>
      <c r="U268" s="115">
        <f t="shared" si="163"/>
        <v>0</v>
      </c>
      <c r="V268" s="115">
        <f t="shared" si="164"/>
        <v>0</v>
      </c>
      <c r="W268" s="124">
        <v>1</v>
      </c>
      <c r="X268" s="115">
        <f t="shared" si="165"/>
        <v>0</v>
      </c>
      <c r="Y268" s="113"/>
      <c r="Z268" s="115">
        <f t="shared" si="166"/>
        <v>4332</v>
      </c>
      <c r="AA268" s="115">
        <f t="shared" si="167"/>
        <v>4332</v>
      </c>
      <c r="AB268" s="121">
        <v>1</v>
      </c>
      <c r="AC268" s="115">
        <f t="shared" si="168"/>
        <v>4332</v>
      </c>
      <c r="AD268" s="115">
        <f t="shared" si="169"/>
        <v>4332</v>
      </c>
      <c r="AE268" s="115">
        <f t="shared" si="170"/>
        <v>0</v>
      </c>
      <c r="AF268" s="115">
        <f t="shared" si="171"/>
        <v>2010</v>
      </c>
      <c r="AG268" s="115">
        <f t="shared" si="172"/>
        <v>2019.75</v>
      </c>
      <c r="AH268" s="115">
        <f t="shared" si="173"/>
        <v>2015</v>
      </c>
      <c r="AI268" s="117">
        <f t="shared" si="174"/>
        <v>2018.75</v>
      </c>
      <c r="AJ268" s="117">
        <f t="shared" si="175"/>
        <v>-8.3333333333333329E-2</v>
      </c>
      <c r="AK268" s="117">
        <f t="shared" si="176"/>
        <v>2015</v>
      </c>
      <c r="AL268" s="117">
        <f t="shared" si="177"/>
        <v>2018.75</v>
      </c>
      <c r="AM268" s="117">
        <f t="shared" si="178"/>
        <v>-8.3333333333333329E-2</v>
      </c>
    </row>
    <row r="269" spans="1:39" x14ac:dyDescent="0.25">
      <c r="A269">
        <v>116</v>
      </c>
      <c r="B269" t="s">
        <v>533</v>
      </c>
      <c r="C269" s="118" t="s">
        <v>311</v>
      </c>
      <c r="D269" s="27">
        <v>2010</v>
      </c>
      <c r="E269" s="27">
        <v>7</v>
      </c>
      <c r="F269" s="122"/>
      <c r="G269" s="27" t="s">
        <v>312</v>
      </c>
      <c r="H269" s="27">
        <v>5</v>
      </c>
      <c r="I269">
        <f>+D269+H269</f>
        <v>2015</v>
      </c>
      <c r="P269" s="29">
        <v>60879</v>
      </c>
      <c r="Q269" s="29"/>
      <c r="R269" s="29">
        <f t="shared" si="160"/>
        <v>60879</v>
      </c>
      <c r="S269" s="115">
        <f t="shared" si="161"/>
        <v>1014.65</v>
      </c>
      <c r="T269" s="115">
        <v>0</v>
      </c>
      <c r="U269" s="115">
        <f t="shared" si="163"/>
        <v>0</v>
      </c>
      <c r="V269" s="115">
        <f t="shared" si="164"/>
        <v>0</v>
      </c>
      <c r="W269" s="124">
        <v>1</v>
      </c>
      <c r="X269" s="115">
        <f t="shared" si="165"/>
        <v>0</v>
      </c>
      <c r="Y269" s="113"/>
      <c r="Z269" s="115">
        <f t="shared" si="166"/>
        <v>60879</v>
      </c>
      <c r="AA269" s="115">
        <f t="shared" si="167"/>
        <v>60879</v>
      </c>
      <c r="AB269" s="121">
        <v>1</v>
      </c>
      <c r="AC269" s="115">
        <f t="shared" si="168"/>
        <v>60879</v>
      </c>
      <c r="AD269" s="115">
        <f t="shared" si="169"/>
        <v>60879</v>
      </c>
      <c r="AE269" s="115">
        <f t="shared" si="170"/>
        <v>0</v>
      </c>
      <c r="AF269" s="115">
        <f t="shared" si="171"/>
        <v>2010.5</v>
      </c>
      <c r="AG269" s="115">
        <f t="shared" si="172"/>
        <v>2019.75</v>
      </c>
      <c r="AH269" s="115">
        <f t="shared" si="173"/>
        <v>2015.5</v>
      </c>
      <c r="AI269" s="117">
        <f t="shared" si="174"/>
        <v>2018.75</v>
      </c>
      <c r="AJ269" s="117">
        <f t="shared" si="175"/>
        <v>-8.3333333333333329E-2</v>
      </c>
      <c r="AK269" s="117">
        <f t="shared" si="176"/>
        <v>2015.5</v>
      </c>
      <c r="AL269" s="117">
        <f t="shared" si="177"/>
        <v>2018.75</v>
      </c>
      <c r="AM269" s="117">
        <f t="shared" si="178"/>
        <v>-8.3333333333333329E-2</v>
      </c>
    </row>
    <row r="270" spans="1:39" x14ac:dyDescent="0.25">
      <c r="A270">
        <v>182</v>
      </c>
      <c r="B270" t="s">
        <v>534</v>
      </c>
      <c r="C270" s="118" t="s">
        <v>311</v>
      </c>
      <c r="D270" s="27">
        <v>2013</v>
      </c>
      <c r="E270" s="27">
        <v>4</v>
      </c>
      <c r="F270" s="122"/>
      <c r="G270" s="27" t="s">
        <v>312</v>
      </c>
      <c r="H270" s="132">
        <v>7</v>
      </c>
      <c r="I270">
        <f t="shared" si="159"/>
        <v>2020</v>
      </c>
      <c r="P270" s="29">
        <v>3500</v>
      </c>
      <c r="Q270" s="29"/>
      <c r="R270" s="29">
        <f t="shared" si="160"/>
        <v>3500</v>
      </c>
      <c r="S270" s="115">
        <f t="shared" si="161"/>
        <v>41.666666666666664</v>
      </c>
      <c r="T270" s="115">
        <f t="shared" si="162"/>
        <v>500</v>
      </c>
      <c r="U270" s="115">
        <f t="shared" si="163"/>
        <v>0</v>
      </c>
      <c r="V270" s="115">
        <f t="shared" si="164"/>
        <v>500</v>
      </c>
      <c r="W270" s="124">
        <v>1</v>
      </c>
      <c r="X270" s="115">
        <f t="shared" si="165"/>
        <v>500</v>
      </c>
      <c r="Y270" s="113"/>
      <c r="Z270" s="115">
        <f t="shared" si="166"/>
        <v>2750</v>
      </c>
      <c r="AA270" s="115">
        <f t="shared" si="167"/>
        <v>2750</v>
      </c>
      <c r="AB270" s="121">
        <v>1</v>
      </c>
      <c r="AC270" s="115">
        <f t="shared" si="168"/>
        <v>2750</v>
      </c>
      <c r="AD270" s="115">
        <f t="shared" si="169"/>
        <v>3250</v>
      </c>
      <c r="AE270" s="115">
        <f t="shared" si="170"/>
        <v>500</v>
      </c>
      <c r="AF270" s="115">
        <f t="shared" si="171"/>
        <v>2013.25</v>
      </c>
      <c r="AG270" s="115">
        <f t="shared" si="172"/>
        <v>2019.75</v>
      </c>
      <c r="AH270" s="115">
        <f t="shared" si="173"/>
        <v>2020.25</v>
      </c>
      <c r="AI270" s="117">
        <f t="shared" si="174"/>
        <v>2018.75</v>
      </c>
      <c r="AJ270" s="117">
        <f t="shared" si="175"/>
        <v>-8.3333333333333329E-2</v>
      </c>
      <c r="AK270" s="117">
        <f t="shared" si="176"/>
        <v>2020.25</v>
      </c>
      <c r="AL270" s="117">
        <f t="shared" si="177"/>
        <v>2018.75</v>
      </c>
      <c r="AM270" s="117">
        <f t="shared" si="178"/>
        <v>-8.3333333333333329E-2</v>
      </c>
    </row>
    <row r="271" spans="1:39" x14ac:dyDescent="0.25">
      <c r="A271">
        <v>176</v>
      </c>
      <c r="B271" t="s">
        <v>535</v>
      </c>
      <c r="C271" s="118" t="s">
        <v>311</v>
      </c>
      <c r="D271" s="27">
        <v>2013</v>
      </c>
      <c r="E271" s="27">
        <v>7</v>
      </c>
      <c r="F271" s="122"/>
      <c r="G271" s="27" t="s">
        <v>312</v>
      </c>
      <c r="H271" s="27">
        <v>7</v>
      </c>
      <c r="I271">
        <f t="shared" si="159"/>
        <v>2020</v>
      </c>
      <c r="P271" s="29">
        <v>72413.42</v>
      </c>
      <c r="Q271" s="29"/>
      <c r="R271" s="29">
        <f t="shared" si="160"/>
        <v>72413.42</v>
      </c>
      <c r="S271" s="115">
        <f t="shared" si="161"/>
        <v>862.06452380952385</v>
      </c>
      <c r="T271" s="115">
        <f t="shared" si="162"/>
        <v>10344.774285714286</v>
      </c>
      <c r="U271" s="115">
        <f t="shared" si="163"/>
        <v>0</v>
      </c>
      <c r="V271" s="115">
        <f t="shared" si="164"/>
        <v>10344.774285714286</v>
      </c>
      <c r="W271" s="124">
        <v>1</v>
      </c>
      <c r="X271" s="115">
        <f t="shared" si="165"/>
        <v>10344.774285714286</v>
      </c>
      <c r="Y271" s="113"/>
      <c r="Z271" s="115">
        <f t="shared" si="166"/>
        <v>54310.065000000002</v>
      </c>
      <c r="AA271" s="115">
        <f t="shared" si="167"/>
        <v>54310.065000000002</v>
      </c>
      <c r="AB271" s="121">
        <v>1</v>
      </c>
      <c r="AC271" s="115">
        <f t="shared" si="168"/>
        <v>54310.065000000002</v>
      </c>
      <c r="AD271" s="115">
        <f t="shared" si="169"/>
        <v>64654.83928571429</v>
      </c>
      <c r="AE271" s="115">
        <f t="shared" si="170"/>
        <v>12930.967857142852</v>
      </c>
      <c r="AF271" s="115">
        <f t="shared" si="171"/>
        <v>2013.5</v>
      </c>
      <c r="AG271" s="115">
        <f t="shared" si="172"/>
        <v>2019.75</v>
      </c>
      <c r="AH271" s="115">
        <f t="shared" si="173"/>
        <v>2020.5</v>
      </c>
      <c r="AI271" s="117">
        <f t="shared" si="174"/>
        <v>2018.75</v>
      </c>
      <c r="AJ271" s="117">
        <f t="shared" si="175"/>
        <v>-8.3333333333333329E-2</v>
      </c>
      <c r="AK271" s="117">
        <f t="shared" si="176"/>
        <v>2020.5</v>
      </c>
      <c r="AL271" s="117">
        <f t="shared" si="177"/>
        <v>2018.75</v>
      </c>
      <c r="AM271" s="117">
        <f t="shared" si="178"/>
        <v>-8.3333333333333329E-2</v>
      </c>
    </row>
    <row r="272" spans="1:39" x14ac:dyDescent="0.25">
      <c r="A272">
        <v>205</v>
      </c>
      <c r="B272" t="s">
        <v>536</v>
      </c>
      <c r="C272" s="118" t="s">
        <v>311</v>
      </c>
      <c r="D272" s="27">
        <v>2014</v>
      </c>
      <c r="E272" s="27">
        <v>1</v>
      </c>
      <c r="F272" s="122"/>
      <c r="G272" s="27" t="s">
        <v>312</v>
      </c>
      <c r="H272" s="27">
        <v>7</v>
      </c>
      <c r="I272">
        <f t="shared" si="159"/>
        <v>2021</v>
      </c>
      <c r="P272" s="29">
        <v>92650.45</v>
      </c>
      <c r="Q272" s="29"/>
      <c r="R272" s="29">
        <f t="shared" si="160"/>
        <v>92650.45</v>
      </c>
      <c r="S272" s="115">
        <f t="shared" si="161"/>
        <v>1102.9815476190477</v>
      </c>
      <c r="T272" s="115">
        <f t="shared" si="162"/>
        <v>13235.778571428571</v>
      </c>
      <c r="U272" s="115">
        <f t="shared" si="163"/>
        <v>0</v>
      </c>
      <c r="V272" s="115">
        <f t="shared" si="164"/>
        <v>13235.778571428571</v>
      </c>
      <c r="W272" s="124">
        <v>1</v>
      </c>
      <c r="X272" s="115">
        <f t="shared" si="165"/>
        <v>13235.778571428571</v>
      </c>
      <c r="Y272" s="113"/>
      <c r="Z272" s="115">
        <f t="shared" si="166"/>
        <v>62869.948214285716</v>
      </c>
      <c r="AA272" s="115">
        <f t="shared" si="167"/>
        <v>62869.948214285716</v>
      </c>
      <c r="AB272" s="123">
        <v>1</v>
      </c>
      <c r="AC272" s="115">
        <f t="shared" si="168"/>
        <v>62869.948214285716</v>
      </c>
      <c r="AD272" s="115">
        <f t="shared" si="169"/>
        <v>76105.726785714287</v>
      </c>
      <c r="AE272" s="115">
        <f t="shared" si="170"/>
        <v>23162.612499999996</v>
      </c>
      <c r="AF272" s="115">
        <f t="shared" si="171"/>
        <v>2014</v>
      </c>
      <c r="AG272" s="115">
        <f t="shared" si="172"/>
        <v>2019.75</v>
      </c>
      <c r="AH272" s="115">
        <f t="shared" si="173"/>
        <v>2021</v>
      </c>
      <c r="AI272" s="117">
        <f t="shared" si="174"/>
        <v>2018.75</v>
      </c>
      <c r="AJ272" s="117">
        <f t="shared" si="175"/>
        <v>-8.3333333333333329E-2</v>
      </c>
      <c r="AK272" s="117">
        <f t="shared" si="176"/>
        <v>2021</v>
      </c>
      <c r="AL272" s="117">
        <f t="shared" si="177"/>
        <v>2018.75</v>
      </c>
      <c r="AM272" s="117">
        <f t="shared" si="178"/>
        <v>-8.3333333333333329E-2</v>
      </c>
    </row>
    <row r="273" spans="1:39" x14ac:dyDescent="0.25">
      <c r="A273">
        <v>229</v>
      </c>
      <c r="B273" t="s">
        <v>537</v>
      </c>
      <c r="C273" s="118" t="s">
        <v>311</v>
      </c>
      <c r="D273" s="27">
        <v>2015</v>
      </c>
      <c r="E273" s="27">
        <v>7</v>
      </c>
      <c r="F273" s="122"/>
      <c r="G273" s="27" t="s">
        <v>312</v>
      </c>
      <c r="H273" s="27">
        <v>7</v>
      </c>
      <c r="I273">
        <f t="shared" si="159"/>
        <v>2022</v>
      </c>
      <c r="P273" s="29">
        <v>46723</v>
      </c>
      <c r="Q273" s="29"/>
      <c r="R273" s="29">
        <f t="shared" si="160"/>
        <v>46723</v>
      </c>
      <c r="S273" s="115">
        <f t="shared" si="161"/>
        <v>556.22619047619048</v>
      </c>
      <c r="T273" s="115">
        <f t="shared" si="162"/>
        <v>6674.7142857142862</v>
      </c>
      <c r="U273" s="115">
        <f t="shared" si="163"/>
        <v>0</v>
      </c>
      <c r="V273" s="115">
        <f t="shared" si="164"/>
        <v>6674.7142857142862</v>
      </c>
      <c r="W273" s="124">
        <v>1</v>
      </c>
      <c r="X273" s="115">
        <f t="shared" si="165"/>
        <v>6674.7142857142862</v>
      </c>
      <c r="Y273" s="113"/>
      <c r="Z273" s="115">
        <f t="shared" si="166"/>
        <v>21692.821428571428</v>
      </c>
      <c r="AA273" s="115">
        <f t="shared" si="167"/>
        <v>21692.821428571428</v>
      </c>
      <c r="AB273" s="123">
        <v>1</v>
      </c>
      <c r="AC273" s="115">
        <f t="shared" si="168"/>
        <v>21692.821428571428</v>
      </c>
      <c r="AD273" s="115">
        <f t="shared" si="169"/>
        <v>28367.535714285714</v>
      </c>
      <c r="AE273" s="115">
        <f t="shared" si="170"/>
        <v>21692.821428571428</v>
      </c>
      <c r="AF273" s="115">
        <f t="shared" si="171"/>
        <v>2015.5</v>
      </c>
      <c r="AG273" s="115">
        <f t="shared" si="172"/>
        <v>2019.75</v>
      </c>
      <c r="AH273" s="115">
        <f t="shared" si="173"/>
        <v>2022.5</v>
      </c>
      <c r="AI273" s="117">
        <f t="shared" si="174"/>
        <v>2018.75</v>
      </c>
      <c r="AJ273" s="117">
        <f t="shared" si="175"/>
        <v>-8.3333333333333329E-2</v>
      </c>
      <c r="AK273" s="117">
        <f t="shared" si="176"/>
        <v>2022.5</v>
      </c>
      <c r="AL273" s="117">
        <f t="shared" si="177"/>
        <v>2018.75</v>
      </c>
      <c r="AM273" s="117">
        <f t="shared" si="178"/>
        <v>-8.3333333333333329E-2</v>
      </c>
    </row>
    <row r="274" spans="1:39" x14ac:dyDescent="0.25">
      <c r="A274">
        <v>256</v>
      </c>
      <c r="B274" t="s">
        <v>538</v>
      </c>
      <c r="C274" s="118" t="s">
        <v>311</v>
      </c>
      <c r="D274" s="27">
        <v>2017</v>
      </c>
      <c r="E274" s="27">
        <v>12</v>
      </c>
      <c r="F274" s="122"/>
      <c r="G274" s="27" t="s">
        <v>312</v>
      </c>
      <c r="H274" s="27">
        <v>7</v>
      </c>
      <c r="I274">
        <f t="shared" si="159"/>
        <v>2024</v>
      </c>
      <c r="P274" s="29">
        <v>11450</v>
      </c>
      <c r="Q274" s="29"/>
      <c r="R274" s="29">
        <f t="shared" si="160"/>
        <v>11450</v>
      </c>
      <c r="S274" s="115">
        <f t="shared" si="161"/>
        <v>136.30952380952382</v>
      </c>
      <c r="T274" s="115">
        <f t="shared" si="162"/>
        <v>1635.7142857142858</v>
      </c>
      <c r="U274" s="115">
        <f t="shared" si="163"/>
        <v>0</v>
      </c>
      <c r="V274" s="115">
        <f t="shared" si="164"/>
        <v>1635.7142857142858</v>
      </c>
      <c r="W274" s="124">
        <v>1</v>
      </c>
      <c r="X274" s="115">
        <f t="shared" si="165"/>
        <v>1635.7142857142858</v>
      </c>
      <c r="Y274" s="113"/>
      <c r="Z274" s="115">
        <f t="shared" si="166"/>
        <v>1363.0952380951144</v>
      </c>
      <c r="AA274" s="115">
        <f t="shared" si="167"/>
        <v>1363.0952380951144</v>
      </c>
      <c r="AB274" s="123">
        <v>1</v>
      </c>
      <c r="AC274" s="115">
        <f t="shared" si="168"/>
        <v>1363.0952380951144</v>
      </c>
      <c r="AD274" s="115">
        <f t="shared" si="169"/>
        <v>2998.8095238094002</v>
      </c>
      <c r="AE274" s="115">
        <f t="shared" si="170"/>
        <v>9269.047619047742</v>
      </c>
      <c r="AF274" s="115">
        <f t="shared" si="171"/>
        <v>2017.9166666666667</v>
      </c>
      <c r="AG274" s="115">
        <f t="shared" si="172"/>
        <v>2019.75</v>
      </c>
      <c r="AH274" s="115">
        <f t="shared" si="173"/>
        <v>2024.9166666666667</v>
      </c>
      <c r="AI274" s="117">
        <f t="shared" si="174"/>
        <v>2018.75</v>
      </c>
      <c r="AJ274" s="117">
        <f t="shared" si="175"/>
        <v>-8.3333333333333329E-2</v>
      </c>
      <c r="AK274" s="117">
        <f t="shared" si="176"/>
        <v>2024.9166666666667</v>
      </c>
      <c r="AL274" s="117">
        <f t="shared" si="177"/>
        <v>2018.75</v>
      </c>
      <c r="AM274" s="117">
        <f t="shared" si="178"/>
        <v>-8.3333333333333329E-2</v>
      </c>
    </row>
    <row r="275" spans="1:39" x14ac:dyDescent="0.25">
      <c r="A275">
        <v>276</v>
      </c>
      <c r="B275" t="s">
        <v>539</v>
      </c>
      <c r="C275" s="118" t="s">
        <v>311</v>
      </c>
      <c r="D275" s="27">
        <v>2018</v>
      </c>
      <c r="E275" s="27">
        <v>7</v>
      </c>
      <c r="F275" s="122"/>
      <c r="G275" s="27" t="s">
        <v>312</v>
      </c>
      <c r="H275" s="27">
        <v>7</v>
      </c>
      <c r="I275">
        <f t="shared" si="159"/>
        <v>2025</v>
      </c>
      <c r="P275" s="125">
        <v>13067</v>
      </c>
      <c r="Q275" s="125"/>
      <c r="R275" s="125">
        <f t="shared" si="160"/>
        <v>13067</v>
      </c>
      <c r="S275" s="126">
        <f t="shared" si="161"/>
        <v>155.55952380952382</v>
      </c>
      <c r="T275" s="126">
        <f t="shared" si="162"/>
        <v>1866.7142857142858</v>
      </c>
      <c r="U275" s="115">
        <f t="shared" si="163"/>
        <v>0</v>
      </c>
      <c r="V275" s="115">
        <f t="shared" si="164"/>
        <v>1866.7142857142858</v>
      </c>
      <c r="W275" s="124">
        <v>1</v>
      </c>
      <c r="X275" s="115">
        <f t="shared" si="165"/>
        <v>1866.7142857142858</v>
      </c>
      <c r="Y275" s="113"/>
      <c r="Z275" s="126">
        <f t="shared" si="166"/>
        <v>466.67857142857144</v>
      </c>
      <c r="AA275" s="126">
        <f t="shared" si="167"/>
        <v>466.67857142857144</v>
      </c>
      <c r="AB275" s="129">
        <v>1</v>
      </c>
      <c r="AC275" s="126">
        <f t="shared" si="168"/>
        <v>466.67857142857144</v>
      </c>
      <c r="AD275" s="126">
        <f t="shared" si="169"/>
        <v>2333.3928571428573</v>
      </c>
      <c r="AE275" s="126">
        <f t="shared" si="170"/>
        <v>11666.964285714286</v>
      </c>
      <c r="AF275" s="115">
        <f t="shared" si="171"/>
        <v>2018.5</v>
      </c>
      <c r="AG275" s="115">
        <f t="shared" si="172"/>
        <v>2019.75</v>
      </c>
      <c r="AH275" s="115">
        <f t="shared" si="173"/>
        <v>2025.5</v>
      </c>
      <c r="AI275" s="117">
        <f t="shared" si="174"/>
        <v>2018.75</v>
      </c>
      <c r="AJ275" s="117">
        <f t="shared" si="175"/>
        <v>-8.3333333333333329E-2</v>
      </c>
      <c r="AK275" s="117">
        <f t="shared" si="176"/>
        <v>2025.5</v>
      </c>
      <c r="AL275" s="117">
        <f t="shared" si="177"/>
        <v>2018.75</v>
      </c>
      <c r="AM275" s="117">
        <f t="shared" si="178"/>
        <v>-8.3333333333333329E-2</v>
      </c>
    </row>
    <row r="276" spans="1:39" x14ac:dyDescent="0.25">
      <c r="D276" s="27"/>
      <c r="E276" s="27"/>
      <c r="H276" s="27"/>
      <c r="P276" s="29">
        <f>SUM(P260:P275)</f>
        <v>483583.87</v>
      </c>
      <c r="Q276" s="29">
        <f>SUM(Q260:Q273)</f>
        <v>0</v>
      </c>
      <c r="R276" s="29">
        <f t="shared" ref="R276:T276" si="179">SUM(R260:R275)</f>
        <v>483583.87</v>
      </c>
      <c r="S276" s="29">
        <f t="shared" si="179"/>
        <v>6515.6032142857148</v>
      </c>
      <c r="T276" s="29">
        <f t="shared" si="179"/>
        <v>34257.695714285714</v>
      </c>
      <c r="U276" s="29">
        <f>SUM(U260:U273)</f>
        <v>0</v>
      </c>
      <c r="V276" s="29">
        <f>SUM(V260:V273)</f>
        <v>30755.267142857145</v>
      </c>
      <c r="W276" s="130">
        <f>SUM(W260:W275)</f>
        <v>16</v>
      </c>
      <c r="X276" s="29">
        <f t="shared" ref="X276" si="180">SUM(X260:X275)</f>
        <v>34257.695714285714</v>
      </c>
      <c r="Y276" s="29">
        <f>SUM(Y260:Y273)</f>
        <v>0</v>
      </c>
      <c r="Z276" s="29">
        <f t="shared" ref="Z276:AE276" si="181">SUM(Z260:Z275)</f>
        <v>387232.60845238081</v>
      </c>
      <c r="AA276" s="29">
        <f t="shared" si="181"/>
        <v>387232.60845238081</v>
      </c>
      <c r="AB276" s="29">
        <f t="shared" si="181"/>
        <v>16</v>
      </c>
      <c r="AC276" s="29">
        <f t="shared" si="181"/>
        <v>387232.60845238081</v>
      </c>
      <c r="AD276" s="29">
        <f t="shared" si="181"/>
        <v>421490.30416666658</v>
      </c>
      <c r="AE276" s="29">
        <f t="shared" si="181"/>
        <v>79222.4136904763</v>
      </c>
      <c r="AF276" s="115"/>
      <c r="AG276" s="115"/>
      <c r="AH276" s="115"/>
      <c r="AI276" s="117"/>
      <c r="AJ276" s="117"/>
      <c r="AK276" s="117"/>
      <c r="AL276" s="117"/>
      <c r="AM276" s="117"/>
    </row>
    <row r="277" spans="1:39" x14ac:dyDescent="0.25">
      <c r="D277" s="27"/>
      <c r="E277" s="27"/>
      <c r="H277" s="27"/>
      <c r="S277" s="115"/>
      <c r="T277" s="115"/>
      <c r="U277" s="115"/>
      <c r="V277" s="115"/>
      <c r="W277" s="116"/>
      <c r="X277" s="115"/>
      <c r="Y277" s="113"/>
      <c r="Z277" s="115"/>
      <c r="AA277" s="115"/>
      <c r="AB277" s="113"/>
      <c r="AC277" s="115"/>
      <c r="AD277" s="115"/>
      <c r="AE277" s="115"/>
      <c r="AF277" s="115"/>
      <c r="AG277" s="115"/>
      <c r="AH277" s="115"/>
      <c r="AI277" s="117"/>
      <c r="AJ277" s="117"/>
      <c r="AK277" s="117"/>
      <c r="AL277" s="117"/>
      <c r="AM277" s="117"/>
    </row>
    <row r="278" spans="1:39" x14ac:dyDescent="0.25">
      <c r="D278" s="27"/>
      <c r="E278" s="27"/>
      <c r="H278" s="27"/>
      <c r="S278" s="115"/>
      <c r="T278" s="115"/>
      <c r="U278" s="115"/>
      <c r="V278" s="115"/>
      <c r="W278" s="116"/>
      <c r="X278" s="115"/>
      <c r="Y278" s="113"/>
      <c r="Z278" s="115"/>
      <c r="AA278" s="115"/>
      <c r="AB278" s="113"/>
      <c r="AC278" s="115"/>
      <c r="AD278" s="115"/>
      <c r="AE278" s="115"/>
      <c r="AF278" s="115"/>
      <c r="AG278" s="115"/>
      <c r="AH278" s="115"/>
      <c r="AI278" s="117"/>
      <c r="AJ278" s="117"/>
      <c r="AK278" s="117"/>
      <c r="AL278" s="117"/>
      <c r="AM278" s="117"/>
    </row>
    <row r="279" spans="1:39" x14ac:dyDescent="0.25">
      <c r="A279">
        <v>139</v>
      </c>
      <c r="B279" t="s">
        <v>540</v>
      </c>
      <c r="C279" s="118" t="s">
        <v>311</v>
      </c>
      <c r="D279" s="27">
        <v>2011</v>
      </c>
      <c r="E279" s="27">
        <v>4</v>
      </c>
      <c r="F279" s="122"/>
      <c r="G279" s="27" t="s">
        <v>312</v>
      </c>
      <c r="H279" s="132">
        <v>10</v>
      </c>
      <c r="I279">
        <f>+D279+H279</f>
        <v>2021</v>
      </c>
      <c r="P279" s="29">
        <v>4982</v>
      </c>
      <c r="Q279" s="29"/>
      <c r="R279" s="29">
        <f>+P279-P279*F279</f>
        <v>4982</v>
      </c>
      <c r="S279" s="115">
        <f>R279/H279/12</f>
        <v>41.516666666666666</v>
      </c>
      <c r="T279" s="115">
        <f>IF(Q279&gt;0,0,IF((OR((AF279&gt;AG279),(AH279&lt;AI279))),0,IF((AND((AH279&gt;=AI279),(AH279&lt;=AG279))),S279*((AH279-AI279)*12),IF((AND((AI279&lt;=AF279),(AG279&gt;=AF279))),((AG279-AF279)*12)*S279,IF(AH279&gt;AG279,12*S279,0)))))</f>
        <v>498.2</v>
      </c>
      <c r="U279" s="115">
        <f>IF(Q279=0,0,IF((AND((AJ279&gt;=AI279),(AJ279&lt;=AH279))),((AJ279-AI279)*12)*S279,0))</f>
        <v>0</v>
      </c>
      <c r="V279" s="115">
        <f>IF(U279&gt;0,U279,T279)</f>
        <v>498.2</v>
      </c>
      <c r="W279" s="124">
        <v>1</v>
      </c>
      <c r="X279" s="115">
        <f>W279*SUM(T279:U279)</f>
        <v>498.2</v>
      </c>
      <c r="Y279" s="113"/>
      <c r="Z279" s="115">
        <f>IF(AF279&gt;AG279,0,IF(AH279&lt;AI279,R279,IF((AND((AH279&gt;=AI279),(AH279&lt;=AG279))),(R279-V279),IF((AND((AI279&lt;=AF279),(AG279&gt;=AF279))),0,IF(AH279&gt;AG279,((AI279-AF279)*12)*S279,0)))))</f>
        <v>3736.5</v>
      </c>
      <c r="AA279" s="115">
        <f>Z279*W279</f>
        <v>3736.5</v>
      </c>
      <c r="AB279" s="121">
        <v>1</v>
      </c>
      <c r="AC279" s="115">
        <f>AA279*AB279</f>
        <v>3736.5</v>
      </c>
      <c r="AD279" s="115">
        <f>IF(Q279&gt;0,0,AC279+X279*AB279)*AB279</f>
        <v>4234.7</v>
      </c>
      <c r="AE279" s="115">
        <f>IF(Q279&gt;0,(P279-AC279)/2,IF(AF279&gt;=AI279,(((P279*W279)*AB279)-AD279)/2,((((P279*W279)*AB279)-AC279)+(((P279*W279)*AB279)-AD279))/2))</f>
        <v>996.40000000000009</v>
      </c>
      <c r="AF279" s="115">
        <f>$D279+(($E279-1)/12)</f>
        <v>2011.25</v>
      </c>
      <c r="AG279" s="115">
        <f>($R$5+1)-($R$2/12)</f>
        <v>2019.75</v>
      </c>
      <c r="AH279" s="115">
        <f>$I279+(($E279-1)/12)</f>
        <v>2021.25</v>
      </c>
      <c r="AI279" s="117">
        <f>$R$4+($R$3/12)</f>
        <v>2018.75</v>
      </c>
      <c r="AJ279" s="117">
        <f>$J279+(($K279-1)/12)</f>
        <v>-8.3333333333333329E-2</v>
      </c>
      <c r="AK279" s="117">
        <f>$I279+(($E279-1)/12)</f>
        <v>2021.25</v>
      </c>
      <c r="AL279" s="117">
        <f>$R$4+($R$3/12)</f>
        <v>2018.75</v>
      </c>
      <c r="AM279" s="117">
        <f>$J279+(($K279-1)/12)</f>
        <v>-8.3333333333333329E-2</v>
      </c>
    </row>
    <row r="280" spans="1:39" x14ac:dyDescent="0.25">
      <c r="A280">
        <v>140</v>
      </c>
      <c r="B280" t="s">
        <v>540</v>
      </c>
      <c r="C280" s="118" t="s">
        <v>311</v>
      </c>
      <c r="D280" s="27">
        <v>2011</v>
      </c>
      <c r="E280" s="27">
        <v>7</v>
      </c>
      <c r="F280" s="122"/>
      <c r="G280" s="27" t="s">
        <v>312</v>
      </c>
      <c r="H280" s="132">
        <v>10</v>
      </c>
      <c r="I280">
        <f>+D280+H280</f>
        <v>2021</v>
      </c>
      <c r="P280" s="29">
        <v>251</v>
      </c>
      <c r="Q280" s="29"/>
      <c r="R280" s="29">
        <f>+P280-P280*F280</f>
        <v>251</v>
      </c>
      <c r="S280" s="115">
        <f>R280/H280/12</f>
        <v>2.0916666666666668</v>
      </c>
      <c r="T280" s="115">
        <f>IF(Q280&gt;0,0,IF((OR((AF280&gt;AG280),(AH280&lt;AI280))),0,IF((AND((AH280&gt;=AI280),(AH280&lt;=AG280))),S280*((AH280-AI280)*12),IF((AND((AI280&lt;=AF280),(AG280&gt;=AF280))),((AG280-AF280)*12)*S280,IF(AH280&gt;AG280,12*S280,0)))))</f>
        <v>25.1</v>
      </c>
      <c r="U280" s="115">
        <f>IF(Q280=0,0,IF((AND((AJ280&gt;=AI280),(AJ280&lt;=AH280))),((AJ280-AI280)*12)*S280,0))</f>
        <v>0</v>
      </c>
      <c r="V280" s="115">
        <f>IF(U280&gt;0,U280,T280)</f>
        <v>25.1</v>
      </c>
      <c r="W280" s="124">
        <v>1</v>
      </c>
      <c r="X280" s="115">
        <f>W280*SUM(T280:U280)</f>
        <v>25.1</v>
      </c>
      <c r="Y280" s="113"/>
      <c r="Z280" s="115">
        <f>IF(AF280&gt;AG280,0,IF(AH280&lt;AI280,R280,IF((AND((AH280&gt;=AI280),(AH280&lt;=AG280))),(R280-V280),IF((AND((AI280&lt;=AF280),(AG280&gt;=AF280))),0,IF(AH280&gt;AG280,((AI280-AF280)*12)*S280,0)))))</f>
        <v>181.97500000000002</v>
      </c>
      <c r="AA280" s="115">
        <f>Z280*W280</f>
        <v>181.97500000000002</v>
      </c>
      <c r="AB280" s="121">
        <v>1</v>
      </c>
      <c r="AC280" s="115">
        <f>AA280*AB280</f>
        <v>181.97500000000002</v>
      </c>
      <c r="AD280" s="115">
        <f>IF(Q280&gt;0,0,AC280+X280*AB280)*AB280</f>
        <v>207.07500000000002</v>
      </c>
      <c r="AE280" s="115">
        <f>IF(Q280&gt;0,(P280-AC280)/2,IF(AF280&gt;=AI280,(((P280*W280)*AB280)-AD280)/2,((((P280*W280)*AB280)-AC280)+(((P280*W280)*AB280)-AD280))/2))</f>
        <v>56.47499999999998</v>
      </c>
      <c r="AF280" s="115">
        <f>$D280+(($E280-1)/12)</f>
        <v>2011.5</v>
      </c>
      <c r="AG280" s="115">
        <f>($R$5+1)-($R$2/12)</f>
        <v>2019.75</v>
      </c>
      <c r="AH280" s="115">
        <f>$I280+(($E280-1)/12)</f>
        <v>2021.5</v>
      </c>
      <c r="AI280" s="117">
        <f>$R$4+($R$3/12)</f>
        <v>2018.75</v>
      </c>
      <c r="AJ280" s="117">
        <f>$J280+(($K280-1)/12)</f>
        <v>-8.3333333333333329E-2</v>
      </c>
      <c r="AK280" s="117">
        <f>$I280+(($E280-1)/12)</f>
        <v>2021.5</v>
      </c>
      <c r="AL280" s="117">
        <f>$R$4+($R$3/12)</f>
        <v>2018.75</v>
      </c>
      <c r="AM280" s="117">
        <f>$J280+(($K280-1)/12)</f>
        <v>-8.3333333333333329E-2</v>
      </c>
    </row>
    <row r="281" spans="1:39" x14ac:dyDescent="0.25">
      <c r="A281">
        <v>141</v>
      </c>
      <c r="B281" t="s">
        <v>541</v>
      </c>
      <c r="C281" s="118" t="s">
        <v>311</v>
      </c>
      <c r="D281" s="27">
        <v>2011</v>
      </c>
      <c r="E281" s="27">
        <v>4</v>
      </c>
      <c r="F281" s="122"/>
      <c r="G281" s="27" t="s">
        <v>312</v>
      </c>
      <c r="H281" s="132">
        <v>10</v>
      </c>
      <c r="I281">
        <f>+D281+H281</f>
        <v>2021</v>
      </c>
      <c r="P281" s="29">
        <v>2000</v>
      </c>
      <c r="Q281" s="29"/>
      <c r="R281" s="29">
        <f>+P281-P281*F281</f>
        <v>2000</v>
      </c>
      <c r="S281" s="115">
        <f>R281/H281/12</f>
        <v>16.666666666666668</v>
      </c>
      <c r="T281" s="115">
        <f>IF(Q281&gt;0,0,IF((OR((AF281&gt;AG281),(AH281&lt;AI281))),0,IF((AND((AH281&gt;=AI281),(AH281&lt;=AG281))),S281*((AH281-AI281)*12),IF((AND((AI281&lt;=AF281),(AG281&gt;=AF281))),((AG281-AF281)*12)*S281,IF(AH281&gt;AG281,12*S281,0)))))</f>
        <v>200</v>
      </c>
      <c r="U281" s="115">
        <f>IF(Q281=0,0,IF((AND((AJ281&gt;=AI281),(AJ281&lt;=AH281))),((AJ281-AI281)*12)*S281,0))</f>
        <v>0</v>
      </c>
      <c r="V281" s="115">
        <f>IF(U281&gt;0,U281,T281)</f>
        <v>200</v>
      </c>
      <c r="W281" s="124">
        <v>1</v>
      </c>
      <c r="X281" s="115">
        <f>W281*SUM(T281:U281)</f>
        <v>200</v>
      </c>
      <c r="Y281" s="113"/>
      <c r="Z281" s="115">
        <f>IF(AF281&gt;AG281,0,IF(AH281&lt;AI281,R281,IF((AND((AH281&gt;=AI281),(AH281&lt;=AG281))),(R281-V281),IF((AND((AI281&lt;=AF281),(AG281&gt;=AF281))),0,IF(AH281&gt;AG281,((AI281-AF281)*12)*S281,0)))))</f>
        <v>1500</v>
      </c>
      <c r="AA281" s="115">
        <f>Z281*W281</f>
        <v>1500</v>
      </c>
      <c r="AB281" s="121">
        <v>1</v>
      </c>
      <c r="AC281" s="115">
        <f>AA281*AB281</f>
        <v>1500</v>
      </c>
      <c r="AD281" s="115">
        <f>IF(Q281&gt;0,0,AC281+X281*AB281)*AB281</f>
        <v>1700</v>
      </c>
      <c r="AE281" s="115">
        <f>IF(Q281&gt;0,(P281-AC281)/2,IF(AF281&gt;=AI281,(((P281*W281)*AB281)-AD281)/2,((((P281*W281)*AB281)-AC281)+(((P281*W281)*AB281)-AD281))/2))</f>
        <v>400</v>
      </c>
      <c r="AF281" s="115">
        <f>$D281+(($E281-1)/12)</f>
        <v>2011.25</v>
      </c>
      <c r="AG281" s="115">
        <f>($R$5+1)-($R$2/12)</f>
        <v>2019.75</v>
      </c>
      <c r="AH281" s="115">
        <f>$I281+(($E281-1)/12)</f>
        <v>2021.25</v>
      </c>
      <c r="AI281" s="117">
        <f>$R$4+($R$3/12)</f>
        <v>2018.75</v>
      </c>
      <c r="AJ281" s="117">
        <f>$J281+(($K281-1)/12)</f>
        <v>-8.3333333333333329E-2</v>
      </c>
      <c r="AK281" s="117">
        <f>$I281+(($E281-1)/12)</f>
        <v>2021.25</v>
      </c>
      <c r="AL281" s="117">
        <f>$R$4+($R$3/12)</f>
        <v>2018.75</v>
      </c>
      <c r="AM281" s="117">
        <f>$J281+(($K281-1)/12)</f>
        <v>-8.3333333333333329E-2</v>
      </c>
    </row>
    <row r="282" spans="1:39" x14ac:dyDescent="0.25">
      <c r="A282">
        <v>169</v>
      </c>
      <c r="B282" t="s">
        <v>542</v>
      </c>
      <c r="C282" s="118" t="s">
        <v>311</v>
      </c>
      <c r="D282" s="27">
        <v>2012</v>
      </c>
      <c r="E282" s="27">
        <v>8</v>
      </c>
      <c r="F282" s="122"/>
      <c r="G282" s="27" t="s">
        <v>312</v>
      </c>
      <c r="H282" s="132">
        <v>7</v>
      </c>
      <c r="I282">
        <f>+D282+H282</f>
        <v>2019</v>
      </c>
      <c r="P282" s="29">
        <v>10000</v>
      </c>
      <c r="Q282" s="29"/>
      <c r="R282" s="29">
        <f>+P282-P282*F282</f>
        <v>10000</v>
      </c>
      <c r="S282" s="115">
        <f>R282/H282/12</f>
        <v>119.04761904761905</v>
      </c>
      <c r="T282" s="115">
        <f>IF(Q282&gt;0,0,IF((OR((AF282&gt;AG282),(AH282&lt;AI282))),0,IF((AND((AH282&gt;=AI282),(AH282&lt;=AG282))),S282*((AH282-AI282)*12),IF((AND((AI282&lt;=AF282),(AG282&gt;=AF282))),((AG282-AF282)*12)*S282,IF(AH282&gt;AG282,12*S282,0)))))</f>
        <v>1190.4761904760821</v>
      </c>
      <c r="U282" s="115">
        <f>IF(Q282=0,0,IF((AND((AJ282&gt;=AI282),(AJ282&lt;=AH282))),((AJ282-AI282)*12)*S282,0))</f>
        <v>0</v>
      </c>
      <c r="V282" s="115">
        <f>IF(U282&gt;0,U282,T282)</f>
        <v>1190.4761904760821</v>
      </c>
      <c r="W282" s="124">
        <v>1</v>
      </c>
      <c r="X282" s="115">
        <f>W282*SUM(T282:U282)</f>
        <v>1190.4761904760821</v>
      </c>
      <c r="Y282" s="113"/>
      <c r="Z282" s="115">
        <f>IF(AF282&gt;AG282,0,IF(AH282&lt;AI282,R282,IF((AND((AH282&gt;=AI282),(AH282&lt;=AG282))),(R282-V282),IF((AND((AI282&lt;=AF282),(AG282&gt;=AF282))),0,IF(AH282&gt;AG282,((AI282-AF282)*12)*S282,0)))))</f>
        <v>8809.5238095239183</v>
      </c>
      <c r="AA282" s="115">
        <f>Z282*W282</f>
        <v>8809.5238095239183</v>
      </c>
      <c r="AB282" s="121">
        <v>1</v>
      </c>
      <c r="AC282" s="115">
        <f>AA282*AB282</f>
        <v>8809.5238095239183</v>
      </c>
      <c r="AD282" s="115">
        <f>IF(Q282&gt;0,0,AC282+X282*AB282)*AB282</f>
        <v>10000</v>
      </c>
      <c r="AE282" s="115">
        <f>IF(Q282&gt;0,(P282-AC282)/2,IF(AF282&gt;=AI282,(((P282*W282)*AB282)-AD282)/2,((((P282*W282)*AB282)-AC282)+(((P282*W282)*AB282)-AD282))/2))</f>
        <v>595.23809523804084</v>
      </c>
      <c r="AF282" s="115">
        <f>$D282+(($E282-1)/12)</f>
        <v>2012.5833333333333</v>
      </c>
      <c r="AG282" s="115">
        <f>($R$5+1)-($R$2/12)</f>
        <v>2019.75</v>
      </c>
      <c r="AH282" s="115">
        <f>$I282+(($E282-1)/12)</f>
        <v>2019.5833333333333</v>
      </c>
      <c r="AI282" s="117">
        <f>$R$4+($R$3/12)</f>
        <v>2018.75</v>
      </c>
      <c r="AJ282" s="117">
        <f>$J282+(($K282-1)/12)</f>
        <v>-8.3333333333333329E-2</v>
      </c>
      <c r="AK282" s="117">
        <f>$I282+(($E282-1)/12)</f>
        <v>2019.5833333333333</v>
      </c>
      <c r="AL282" s="117">
        <f>$R$4+($R$3/12)</f>
        <v>2018.75</v>
      </c>
      <c r="AM282" s="117">
        <f>$J282+(($K282-1)/12)</f>
        <v>-8.3333333333333329E-2</v>
      </c>
    </row>
    <row r="283" spans="1:39" x14ac:dyDescent="0.25">
      <c r="A283">
        <v>165</v>
      </c>
      <c r="B283" t="s">
        <v>543</v>
      </c>
      <c r="C283" s="118" t="s">
        <v>311</v>
      </c>
      <c r="D283" s="27">
        <v>2012</v>
      </c>
      <c r="E283" s="27">
        <v>10</v>
      </c>
      <c r="F283" s="122"/>
      <c r="G283" s="27" t="s">
        <v>312</v>
      </c>
      <c r="H283" s="132">
        <v>7</v>
      </c>
      <c r="I283">
        <f>+D283+H283</f>
        <v>2019</v>
      </c>
      <c r="P283" s="29">
        <v>1303</v>
      </c>
      <c r="Q283" s="29"/>
      <c r="R283" s="29">
        <f>+P283-P283*F283</f>
        <v>1303</v>
      </c>
      <c r="S283" s="115">
        <f>R283/H283/12</f>
        <v>15.511904761904761</v>
      </c>
      <c r="T283" s="115">
        <f>IF(Q283&gt;0,0,IF((OR((AF283&gt;AG283),(AH283&lt;AI283))),0,IF((AND((AH283&gt;=AI283),(AH283&lt;=AG283))),S283*((AH283-AI283)*12),IF((AND((AI283&lt;=AF283),(AG283&gt;=AF283))),((AG283-AF283)*12)*S283,IF(AH283&gt;AG283,12*S283,0)))))</f>
        <v>186.14285714285714</v>
      </c>
      <c r="U283" s="115">
        <f>IF(Q283=0,0,IF((AND((AJ283&gt;=AI283),(AJ283&lt;=AH283))),((AJ283-AI283)*12)*S283,0))</f>
        <v>0</v>
      </c>
      <c r="V283" s="115">
        <f>IF(U283&gt;0,U283,T283)</f>
        <v>186.14285714285714</v>
      </c>
      <c r="W283" s="124">
        <v>1</v>
      </c>
      <c r="X283" s="115">
        <f>W283*SUM(T283:U283)</f>
        <v>186.14285714285714</v>
      </c>
      <c r="Y283" s="113"/>
      <c r="Z283" s="115">
        <f>IF(AF283&gt;AG283,0,IF(AH283&lt;AI283,R283,IF((AND((AH283&gt;=AI283),(AH283&lt;=AG283))),(R283-V283),IF((AND((AI283&lt;=AF283),(AG283&gt;=AF283))),0,IF(AH283&gt;AG283,((AI283-AF283)*12)*S283,0)))))</f>
        <v>1116.8571428571429</v>
      </c>
      <c r="AA283" s="115">
        <f>Z283*W283</f>
        <v>1116.8571428571429</v>
      </c>
      <c r="AB283" s="123">
        <v>1</v>
      </c>
      <c r="AC283" s="115">
        <f>AA283*AB283</f>
        <v>1116.8571428571429</v>
      </c>
      <c r="AD283" s="115">
        <f>IF(Q283&gt;0,0,AC283+X283*AB283)*AB283</f>
        <v>1303</v>
      </c>
      <c r="AE283" s="115">
        <f>IF(Q283&gt;0,(P283-AC283)/2,IF(AF283&gt;=AI283,(((P283*W283)*AB283)-AD283)/2,((((P283*W283)*AB283)-AC283)+(((P283*W283)*AB283)-AD283))/2))</f>
        <v>93.071428571428555</v>
      </c>
      <c r="AF283" s="115">
        <f>$D283+(($E283-1)/12)</f>
        <v>2012.75</v>
      </c>
      <c r="AG283" s="115">
        <f>($R$5+1)-($R$2/12)</f>
        <v>2019.75</v>
      </c>
      <c r="AH283" s="115">
        <f>$I283+(($E283-1)/12)</f>
        <v>2019.75</v>
      </c>
      <c r="AI283" s="117">
        <f>$R$4+($R$3/12)</f>
        <v>2018.75</v>
      </c>
      <c r="AJ283" s="117">
        <f>$J283+(($K283-1)/12)</f>
        <v>-8.3333333333333329E-2</v>
      </c>
      <c r="AK283" s="117">
        <f>$I283+(($E283-1)/12)</f>
        <v>2019.75</v>
      </c>
      <c r="AL283" s="117">
        <f>$R$4+($R$3/12)</f>
        <v>2018.75</v>
      </c>
      <c r="AM283" s="117">
        <f>$J283+(($K283-1)/12)</f>
        <v>-8.3333333333333329E-2</v>
      </c>
    </row>
    <row r="284" spans="1:39" x14ac:dyDescent="0.25">
      <c r="A284">
        <v>234</v>
      </c>
      <c r="B284" t="s">
        <v>544</v>
      </c>
      <c r="C284" s="118" t="s">
        <v>311</v>
      </c>
      <c r="D284" s="27">
        <v>2015</v>
      </c>
      <c r="E284" s="27">
        <v>4</v>
      </c>
      <c r="F284" s="122"/>
      <c r="G284" s="27" t="s">
        <v>312</v>
      </c>
      <c r="H284" s="27">
        <v>10</v>
      </c>
      <c r="I284">
        <f t="shared" ref="I284:I289" si="182">+D284+H284</f>
        <v>2025</v>
      </c>
      <c r="P284" s="29">
        <v>6179</v>
      </c>
      <c r="Q284" s="29"/>
      <c r="R284" s="29">
        <f t="shared" ref="R284:R289" si="183">+P284-P284*F284</f>
        <v>6179</v>
      </c>
      <c r="S284" s="115">
        <f t="shared" ref="S284:S289" si="184">R284/H284/12</f>
        <v>51.491666666666667</v>
      </c>
      <c r="T284" s="115">
        <f t="shared" ref="T284:T289" si="185">IF(Q284&gt;0,0,IF((OR((AF284&gt;AG284),(AH284&lt;AI284))),0,IF((AND((AH284&gt;=AI284),(AH284&lt;=AG284))),S284*((AH284-AI284)*12),IF((AND((AI284&lt;=AF284),(AG284&gt;=AF284))),((AG284-AF284)*12)*S284,IF(AH284&gt;AG284,12*S284,0)))))</f>
        <v>617.9</v>
      </c>
      <c r="U284" s="115">
        <f t="shared" ref="U284:U289" si="186">IF(Q284=0,0,IF((AND((AJ284&gt;=AI284),(AJ284&lt;=AH284))),((AJ284-AI284)*12)*S284,0))</f>
        <v>0</v>
      </c>
      <c r="V284" s="115">
        <f t="shared" ref="V284:V289" si="187">IF(U284&gt;0,U284,T284)</f>
        <v>617.9</v>
      </c>
      <c r="W284" s="124">
        <v>1</v>
      </c>
      <c r="X284" s="115">
        <f t="shared" ref="X284:X289" si="188">W284*SUM(T284:U284)</f>
        <v>617.9</v>
      </c>
      <c r="Y284" s="113"/>
      <c r="Z284" s="115">
        <f t="shared" ref="Z284:Z289" si="189">IF(AF284&gt;AG284,0,IF(AH284&lt;AI284,R284,IF((AND((AH284&gt;=AI284),(AH284&lt;=AG284))),(R284-V284),IF((AND((AI284&lt;=AF284),(AG284&gt;=AF284))),0,IF(AH284&gt;AG284,((AI284-AF284)*12)*S284,0)))))</f>
        <v>2162.65</v>
      </c>
      <c r="AA284" s="115">
        <f t="shared" ref="AA284:AA289" si="190">Z284*W284</f>
        <v>2162.65</v>
      </c>
      <c r="AB284" s="123">
        <v>1</v>
      </c>
      <c r="AC284" s="115">
        <f t="shared" ref="AC284:AC289" si="191">AA284*AB284</f>
        <v>2162.65</v>
      </c>
      <c r="AD284" s="115">
        <f t="shared" ref="AD284:AD289" si="192">IF(Q284&gt;0,0,AC284+X284*AB284)*AB284</f>
        <v>2780.55</v>
      </c>
      <c r="AE284" s="115">
        <f t="shared" ref="AE284:AE289" si="193">IF(Q284&gt;0,(P284-AC284)/2,IF(AF284&gt;=AI284,(((P284*W284)*AB284)-AD284)/2,((((P284*W284)*AB284)-AC284)+(((P284*W284)*AB284)-AD284))/2))</f>
        <v>3707.3999999999996</v>
      </c>
      <c r="AF284" s="115">
        <f t="shared" ref="AF284:AF289" si="194">$D284+(($E284-1)/12)</f>
        <v>2015.25</v>
      </c>
      <c r="AG284" s="115">
        <f t="shared" ref="AG284:AG289" si="195">($R$5+1)-($R$2/12)</f>
        <v>2019.75</v>
      </c>
      <c r="AH284" s="115">
        <f t="shared" ref="AH284:AH289" si="196">$I284+(($E284-1)/12)</f>
        <v>2025.25</v>
      </c>
      <c r="AI284" s="117">
        <f t="shared" ref="AI284:AI289" si="197">$R$4+($R$3/12)</f>
        <v>2018.75</v>
      </c>
      <c r="AJ284" s="117">
        <f t="shared" ref="AJ284:AJ289" si="198">$J284+(($K284-1)/12)</f>
        <v>-8.3333333333333329E-2</v>
      </c>
      <c r="AK284" s="117">
        <f t="shared" ref="AK284:AK289" si="199">$I284+(($E284-1)/12)</f>
        <v>2025.25</v>
      </c>
      <c r="AL284" s="117">
        <f t="shared" ref="AL284:AL289" si="200">$R$4+($R$3/12)</f>
        <v>2018.75</v>
      </c>
      <c r="AM284" s="117">
        <f t="shared" ref="AM284:AM289" si="201">$J284+(($K284-1)/12)</f>
        <v>-8.3333333333333329E-2</v>
      </c>
    </row>
    <row r="285" spans="1:39" x14ac:dyDescent="0.25">
      <c r="A285">
        <v>245</v>
      </c>
      <c r="B285" t="s">
        <v>544</v>
      </c>
      <c r="C285" s="118" t="s">
        <v>311</v>
      </c>
      <c r="D285" s="27">
        <v>2016</v>
      </c>
      <c r="E285" s="27">
        <v>4</v>
      </c>
      <c r="F285" s="122"/>
      <c r="G285" s="27" t="s">
        <v>312</v>
      </c>
      <c r="H285" s="27">
        <v>10</v>
      </c>
      <c r="I285">
        <f t="shared" si="182"/>
        <v>2026</v>
      </c>
      <c r="P285" s="29">
        <v>11010</v>
      </c>
      <c r="Q285" s="29"/>
      <c r="R285" s="29">
        <f t="shared" si="183"/>
        <v>11010</v>
      </c>
      <c r="S285" s="115">
        <f t="shared" si="184"/>
        <v>91.75</v>
      </c>
      <c r="T285" s="115">
        <f t="shared" si="185"/>
        <v>1101</v>
      </c>
      <c r="U285" s="115">
        <f t="shared" si="186"/>
        <v>0</v>
      </c>
      <c r="V285" s="115">
        <f t="shared" si="187"/>
        <v>1101</v>
      </c>
      <c r="W285" s="124">
        <v>1</v>
      </c>
      <c r="X285" s="115">
        <f t="shared" si="188"/>
        <v>1101</v>
      </c>
      <c r="Y285" s="113"/>
      <c r="Z285" s="115">
        <f t="shared" si="189"/>
        <v>2752.5</v>
      </c>
      <c r="AA285" s="115">
        <f t="shared" si="190"/>
        <v>2752.5</v>
      </c>
      <c r="AB285" s="123">
        <v>1</v>
      </c>
      <c r="AC285" s="115">
        <f t="shared" si="191"/>
        <v>2752.5</v>
      </c>
      <c r="AD285" s="115">
        <f t="shared" si="192"/>
        <v>3853.5</v>
      </c>
      <c r="AE285" s="115">
        <f t="shared" si="193"/>
        <v>7707</v>
      </c>
      <c r="AF285" s="115">
        <f t="shared" si="194"/>
        <v>2016.25</v>
      </c>
      <c r="AG285" s="115">
        <f t="shared" si="195"/>
        <v>2019.75</v>
      </c>
      <c r="AH285" s="115">
        <f t="shared" si="196"/>
        <v>2026.25</v>
      </c>
      <c r="AI285" s="117">
        <f t="shared" si="197"/>
        <v>2018.75</v>
      </c>
      <c r="AJ285" s="117">
        <f t="shared" si="198"/>
        <v>-8.3333333333333329E-2</v>
      </c>
      <c r="AK285" s="117">
        <f t="shared" si="199"/>
        <v>2026.25</v>
      </c>
      <c r="AL285" s="117">
        <f t="shared" si="200"/>
        <v>2018.75</v>
      </c>
      <c r="AM285" s="117">
        <f t="shared" si="201"/>
        <v>-8.3333333333333329E-2</v>
      </c>
    </row>
    <row r="286" spans="1:39" ht="15.75" x14ac:dyDescent="0.25">
      <c r="A286">
        <v>249</v>
      </c>
      <c r="B286" s="131" t="s">
        <v>545</v>
      </c>
      <c r="C286" s="118" t="s">
        <v>311</v>
      </c>
      <c r="D286" s="27">
        <v>2016</v>
      </c>
      <c r="E286" s="27">
        <v>4</v>
      </c>
      <c r="F286" s="122"/>
      <c r="G286" s="27" t="s">
        <v>312</v>
      </c>
      <c r="H286" s="27">
        <v>5</v>
      </c>
      <c r="I286">
        <f t="shared" si="182"/>
        <v>2021</v>
      </c>
      <c r="P286" s="29">
        <v>29978</v>
      </c>
      <c r="Q286" s="29"/>
      <c r="R286" s="29">
        <f t="shared" si="183"/>
        <v>29978</v>
      </c>
      <c r="S286" s="115">
        <f t="shared" si="184"/>
        <v>499.63333333333338</v>
      </c>
      <c r="T286" s="115">
        <f t="shared" si="185"/>
        <v>5995.6</v>
      </c>
      <c r="U286" s="115">
        <f t="shared" si="186"/>
        <v>0</v>
      </c>
      <c r="V286" s="115">
        <f t="shared" si="187"/>
        <v>5995.6</v>
      </c>
      <c r="W286" s="124">
        <v>1</v>
      </c>
      <c r="X286" s="115">
        <f t="shared" si="188"/>
        <v>5995.6</v>
      </c>
      <c r="Y286" s="113"/>
      <c r="Z286" s="115">
        <f t="shared" si="189"/>
        <v>14989.000000000002</v>
      </c>
      <c r="AA286" s="115">
        <f t="shared" si="190"/>
        <v>14989.000000000002</v>
      </c>
      <c r="AB286" s="123">
        <v>1</v>
      </c>
      <c r="AC286" s="115">
        <f t="shared" si="191"/>
        <v>14989.000000000002</v>
      </c>
      <c r="AD286" s="115">
        <f t="shared" si="192"/>
        <v>20984.600000000002</v>
      </c>
      <c r="AE286" s="115">
        <f t="shared" si="193"/>
        <v>11991.199999999997</v>
      </c>
      <c r="AF286" s="115">
        <f t="shared" si="194"/>
        <v>2016.25</v>
      </c>
      <c r="AG286" s="115">
        <f t="shared" si="195"/>
        <v>2019.75</v>
      </c>
      <c r="AH286" s="115">
        <f t="shared" si="196"/>
        <v>2021.25</v>
      </c>
      <c r="AI286" s="117">
        <f t="shared" si="197"/>
        <v>2018.75</v>
      </c>
      <c r="AJ286" s="117">
        <f t="shared" si="198"/>
        <v>-8.3333333333333329E-2</v>
      </c>
      <c r="AK286" s="117">
        <f t="shared" si="199"/>
        <v>2021.25</v>
      </c>
      <c r="AL286" s="117">
        <f t="shared" si="200"/>
        <v>2018.75</v>
      </c>
      <c r="AM286" s="117">
        <f t="shared" si="201"/>
        <v>-8.3333333333333329E-2</v>
      </c>
    </row>
    <row r="287" spans="1:39" ht="15.75" x14ac:dyDescent="0.25">
      <c r="A287">
        <v>248</v>
      </c>
      <c r="B287" s="131" t="s">
        <v>546</v>
      </c>
      <c r="C287" s="118" t="s">
        <v>311</v>
      </c>
      <c r="D287" s="27">
        <v>2016</v>
      </c>
      <c r="E287" s="27">
        <v>5</v>
      </c>
      <c r="F287" s="122"/>
      <c r="G287" s="27" t="s">
        <v>312</v>
      </c>
      <c r="H287" s="27">
        <v>8</v>
      </c>
      <c r="I287">
        <f t="shared" si="182"/>
        <v>2024</v>
      </c>
      <c r="P287" s="29">
        <v>129406</v>
      </c>
      <c r="Q287" s="29"/>
      <c r="R287" s="29">
        <f t="shared" si="183"/>
        <v>129406</v>
      </c>
      <c r="S287" s="115">
        <f t="shared" si="184"/>
        <v>1347.9791666666667</v>
      </c>
      <c r="T287" s="115">
        <f t="shared" si="185"/>
        <v>16175.75</v>
      </c>
      <c r="U287" s="115">
        <f t="shared" si="186"/>
        <v>0</v>
      </c>
      <c r="V287" s="115">
        <f t="shared" si="187"/>
        <v>16175.75</v>
      </c>
      <c r="W287" s="124">
        <v>1</v>
      </c>
      <c r="X287" s="115">
        <f t="shared" si="188"/>
        <v>16175.75</v>
      </c>
      <c r="Y287" s="113"/>
      <c r="Z287" s="115">
        <f t="shared" si="189"/>
        <v>39091.395833334558</v>
      </c>
      <c r="AA287" s="115">
        <f t="shared" si="190"/>
        <v>39091.395833334558</v>
      </c>
      <c r="AB287" s="123">
        <v>1</v>
      </c>
      <c r="AC287" s="115">
        <f t="shared" si="191"/>
        <v>39091.395833334558</v>
      </c>
      <c r="AD287" s="115">
        <f t="shared" si="192"/>
        <v>55267.145833334558</v>
      </c>
      <c r="AE287" s="115">
        <f t="shared" si="193"/>
        <v>82226.729166665435</v>
      </c>
      <c r="AF287" s="115">
        <f t="shared" si="194"/>
        <v>2016.3333333333333</v>
      </c>
      <c r="AG287" s="115">
        <f t="shared" si="195"/>
        <v>2019.75</v>
      </c>
      <c r="AH287" s="115">
        <f t="shared" si="196"/>
        <v>2024.3333333333333</v>
      </c>
      <c r="AI287" s="117">
        <f t="shared" si="197"/>
        <v>2018.75</v>
      </c>
      <c r="AJ287" s="117">
        <f t="shared" si="198"/>
        <v>-8.3333333333333329E-2</v>
      </c>
      <c r="AK287" s="117">
        <f t="shared" si="199"/>
        <v>2024.3333333333333</v>
      </c>
      <c r="AL287" s="117">
        <f t="shared" si="200"/>
        <v>2018.75</v>
      </c>
      <c r="AM287" s="117">
        <f t="shared" si="201"/>
        <v>-8.3333333333333329E-2</v>
      </c>
    </row>
    <row r="288" spans="1:39" x14ac:dyDescent="0.25">
      <c r="A288">
        <v>250</v>
      </c>
      <c r="B288" t="s">
        <v>544</v>
      </c>
      <c r="C288" s="118" t="s">
        <v>311</v>
      </c>
      <c r="D288" s="27">
        <v>2016</v>
      </c>
      <c r="E288" s="27">
        <v>6</v>
      </c>
      <c r="F288" s="122"/>
      <c r="G288" s="27" t="s">
        <v>312</v>
      </c>
      <c r="H288" s="27">
        <v>10</v>
      </c>
      <c r="I288">
        <f t="shared" si="182"/>
        <v>2026</v>
      </c>
      <c r="P288" s="29">
        <v>9207</v>
      </c>
      <c r="Q288" s="29"/>
      <c r="R288" s="29">
        <f t="shared" si="183"/>
        <v>9207</v>
      </c>
      <c r="S288" s="115">
        <f t="shared" si="184"/>
        <v>76.725000000000009</v>
      </c>
      <c r="T288" s="115">
        <f t="shared" si="185"/>
        <v>920.7</v>
      </c>
      <c r="U288" s="115">
        <f t="shared" si="186"/>
        <v>0</v>
      </c>
      <c r="V288" s="115">
        <f t="shared" si="187"/>
        <v>920.7</v>
      </c>
      <c r="W288" s="124">
        <v>1</v>
      </c>
      <c r="X288" s="115">
        <f t="shared" si="188"/>
        <v>920.7</v>
      </c>
      <c r="Y288" s="113"/>
      <c r="Z288" s="115">
        <f t="shared" si="189"/>
        <v>2148.2999999999306</v>
      </c>
      <c r="AA288" s="115">
        <f t="shared" si="190"/>
        <v>2148.2999999999306</v>
      </c>
      <c r="AB288" s="123">
        <v>1</v>
      </c>
      <c r="AC288" s="115">
        <f t="shared" si="191"/>
        <v>2148.2999999999306</v>
      </c>
      <c r="AD288" s="115">
        <f t="shared" si="192"/>
        <v>3068.9999999999309</v>
      </c>
      <c r="AE288" s="115">
        <f t="shared" si="193"/>
        <v>6598.3500000000695</v>
      </c>
      <c r="AF288" s="115">
        <f t="shared" si="194"/>
        <v>2016.4166666666667</v>
      </c>
      <c r="AG288" s="115">
        <f t="shared" si="195"/>
        <v>2019.75</v>
      </c>
      <c r="AH288" s="115">
        <f t="shared" si="196"/>
        <v>2026.4166666666667</v>
      </c>
      <c r="AI288" s="117">
        <f t="shared" si="197"/>
        <v>2018.75</v>
      </c>
      <c r="AJ288" s="117">
        <f t="shared" si="198"/>
        <v>-8.3333333333333329E-2</v>
      </c>
      <c r="AK288" s="117">
        <f t="shared" si="199"/>
        <v>2026.4166666666667</v>
      </c>
      <c r="AL288" s="117">
        <f t="shared" si="200"/>
        <v>2018.75</v>
      </c>
      <c r="AM288" s="117">
        <f t="shared" si="201"/>
        <v>-8.3333333333333329E-2</v>
      </c>
    </row>
    <row r="289" spans="1:39" ht="15.75" x14ac:dyDescent="0.25">
      <c r="A289">
        <v>241</v>
      </c>
      <c r="B289" s="131" t="s">
        <v>545</v>
      </c>
      <c r="C289" s="118" t="s">
        <v>311</v>
      </c>
      <c r="D289" s="27">
        <v>2016</v>
      </c>
      <c r="E289" s="27">
        <v>10</v>
      </c>
      <c r="F289" s="122"/>
      <c r="G289" s="27" t="s">
        <v>312</v>
      </c>
      <c r="H289" s="27">
        <v>5</v>
      </c>
      <c r="I289">
        <f t="shared" si="182"/>
        <v>2021</v>
      </c>
      <c r="P289" s="125">
        <v>28158</v>
      </c>
      <c r="Q289" s="125"/>
      <c r="R289" s="125">
        <f t="shared" si="183"/>
        <v>28158</v>
      </c>
      <c r="S289" s="126">
        <f t="shared" si="184"/>
        <v>469.3</v>
      </c>
      <c r="T289" s="126">
        <f t="shared" si="185"/>
        <v>5631.6</v>
      </c>
      <c r="U289" s="126">
        <f t="shared" si="186"/>
        <v>0</v>
      </c>
      <c r="V289" s="126">
        <f t="shared" si="187"/>
        <v>5631.6</v>
      </c>
      <c r="W289" s="124">
        <v>1</v>
      </c>
      <c r="X289" s="126">
        <f t="shared" si="188"/>
        <v>5631.6</v>
      </c>
      <c r="Y289" s="128"/>
      <c r="Z289" s="126">
        <f t="shared" si="189"/>
        <v>11263.2</v>
      </c>
      <c r="AA289" s="126">
        <f t="shared" si="190"/>
        <v>11263.2</v>
      </c>
      <c r="AB289" s="129">
        <v>1</v>
      </c>
      <c r="AC289" s="126">
        <f t="shared" si="191"/>
        <v>11263.2</v>
      </c>
      <c r="AD289" s="126">
        <f t="shared" si="192"/>
        <v>16894.800000000003</v>
      </c>
      <c r="AE289" s="126">
        <f t="shared" si="193"/>
        <v>14078.999999999998</v>
      </c>
      <c r="AF289" s="115">
        <f t="shared" si="194"/>
        <v>2016.75</v>
      </c>
      <c r="AG289" s="115">
        <f t="shared" si="195"/>
        <v>2019.75</v>
      </c>
      <c r="AH289" s="115">
        <f t="shared" si="196"/>
        <v>2021.75</v>
      </c>
      <c r="AI289" s="117">
        <f t="shared" si="197"/>
        <v>2018.75</v>
      </c>
      <c r="AJ289" s="117">
        <f t="shared" si="198"/>
        <v>-8.3333333333333329E-2</v>
      </c>
      <c r="AK289" s="117">
        <f t="shared" si="199"/>
        <v>2021.75</v>
      </c>
      <c r="AL289" s="117">
        <f t="shared" si="200"/>
        <v>2018.75</v>
      </c>
      <c r="AM289" s="117">
        <f t="shared" si="201"/>
        <v>-8.3333333333333329E-2</v>
      </c>
    </row>
    <row r="290" spans="1:39" x14ac:dyDescent="0.25">
      <c r="D290" s="27"/>
      <c r="E290" s="27"/>
      <c r="H290" s="27"/>
      <c r="P290" s="29">
        <f>SUM(P279:P289)</f>
        <v>232474</v>
      </c>
      <c r="Q290" s="29">
        <f t="shared" ref="Q290:AE290" si="202">SUM(Q279:Q289)</f>
        <v>0</v>
      </c>
      <c r="R290" s="29">
        <f t="shared" si="202"/>
        <v>232474</v>
      </c>
      <c r="S290" s="29">
        <f t="shared" si="202"/>
        <v>2731.7136904761905</v>
      </c>
      <c r="T290" s="29">
        <f t="shared" si="202"/>
        <v>32542.469047618943</v>
      </c>
      <c r="U290" s="29">
        <f t="shared" si="202"/>
        <v>0</v>
      </c>
      <c r="V290" s="29">
        <f t="shared" si="202"/>
        <v>32542.469047618943</v>
      </c>
      <c r="W290" s="130">
        <f t="shared" si="202"/>
        <v>11</v>
      </c>
      <c r="X290" s="29">
        <f t="shared" si="202"/>
        <v>32542.469047618943</v>
      </c>
      <c r="Y290" s="29">
        <f t="shared" si="202"/>
        <v>0</v>
      </c>
      <c r="Z290" s="29">
        <f t="shared" si="202"/>
        <v>87751.901785715556</v>
      </c>
      <c r="AA290" s="29">
        <f t="shared" si="202"/>
        <v>87751.901785715556</v>
      </c>
      <c r="AB290" s="29">
        <f t="shared" si="202"/>
        <v>11</v>
      </c>
      <c r="AC290" s="29">
        <f t="shared" si="202"/>
        <v>87751.901785715556</v>
      </c>
      <c r="AD290" s="29">
        <f t="shared" si="202"/>
        <v>120294.37083333448</v>
      </c>
      <c r="AE290" s="29">
        <f t="shared" si="202"/>
        <v>128450.86369047497</v>
      </c>
      <c r="AF290" s="115"/>
      <c r="AG290" s="115"/>
      <c r="AH290" s="115"/>
      <c r="AI290" s="117"/>
      <c r="AJ290" s="117"/>
      <c r="AK290" s="117"/>
      <c r="AL290" s="117"/>
      <c r="AM290" s="117"/>
    </row>
    <row r="291" spans="1:39" x14ac:dyDescent="0.25">
      <c r="D291" s="27"/>
      <c r="E291" s="27"/>
      <c r="H291" s="27"/>
      <c r="S291" s="115"/>
      <c r="T291" s="115"/>
      <c r="U291" s="115"/>
      <c r="V291" s="115"/>
      <c r="W291" s="116"/>
      <c r="X291" s="115"/>
      <c r="Y291" s="113"/>
      <c r="Z291" s="115"/>
      <c r="AA291" s="115"/>
      <c r="AB291" s="113"/>
      <c r="AC291" s="115"/>
      <c r="AD291" s="115"/>
      <c r="AE291" s="115"/>
      <c r="AF291" s="115"/>
      <c r="AG291" s="115"/>
      <c r="AH291" s="115"/>
      <c r="AI291" s="117"/>
      <c r="AJ291" s="117"/>
      <c r="AK291" s="117"/>
      <c r="AL291" s="117"/>
      <c r="AM291" s="117"/>
    </row>
    <row r="292" spans="1:39" x14ac:dyDescent="0.25">
      <c r="A292">
        <v>117</v>
      </c>
      <c r="B292" t="s">
        <v>547</v>
      </c>
      <c r="D292" s="27">
        <v>1989</v>
      </c>
      <c r="E292" s="27">
        <v>10</v>
      </c>
      <c r="F292" s="122"/>
      <c r="H292" s="27"/>
      <c r="I292">
        <f>+D292+H292</f>
        <v>1989</v>
      </c>
      <c r="P292" s="29">
        <v>25000</v>
      </c>
      <c r="Q292" s="29"/>
      <c r="R292" s="29">
        <f>+P292-P292*F292</f>
        <v>25000</v>
      </c>
      <c r="S292" s="115"/>
      <c r="T292" s="115">
        <f>IF(Q292&gt;0,0,IF((OR((AF292&gt;AG292),(AH292&lt;AI292))),0,IF((AND((AH292&gt;=AI292),(AH292&lt;=AG292))),S292*((AH292-AI292)*12),IF((AND((AI292&lt;=AF292),(AG292&gt;=AF292))),((AG292-AF292)*12)*S292,IF(AH292&gt;AG292,12*S292,0)))))</f>
        <v>0</v>
      </c>
      <c r="U292" s="115">
        <f>IF(Q292=0,0,IF((AND((AJ292&gt;=AI292),(AJ292&lt;=AH292))),((AJ292-AI292)*12)*S292,0))</f>
        <v>0</v>
      </c>
      <c r="V292" s="115">
        <f>IF(U292&gt;0,U292,T292)</f>
        <v>0</v>
      </c>
      <c r="W292" s="120">
        <v>0</v>
      </c>
      <c r="X292" s="115">
        <f>W292*SUM(T292:U292)</f>
        <v>0</v>
      </c>
      <c r="Y292" s="113"/>
      <c r="Z292" s="115"/>
      <c r="AA292" s="115">
        <f>Z292*W292</f>
        <v>0</v>
      </c>
      <c r="AB292" s="113">
        <v>1</v>
      </c>
      <c r="AC292" s="115">
        <f>AA292*AB292</f>
        <v>0</v>
      </c>
      <c r="AD292" s="115">
        <f>IF(Q292&gt;0,0,AC292+X292*AB292)*AB292</f>
        <v>0</v>
      </c>
      <c r="AE292" s="115"/>
      <c r="AF292" s="115">
        <f>$D292+(($E292-1)/12)</f>
        <v>1989.75</v>
      </c>
      <c r="AG292" s="115">
        <f>($R$5+1)-($R$2/12)</f>
        <v>2019.75</v>
      </c>
      <c r="AH292" s="115">
        <f>$I292+(($E292-1)/12)</f>
        <v>1989.75</v>
      </c>
      <c r="AI292" s="117">
        <f>$R$4+($R$3/12)</f>
        <v>2018.75</v>
      </c>
      <c r="AJ292" s="117">
        <f>$J292+(($K292-1)/12)</f>
        <v>-8.3333333333333329E-2</v>
      </c>
      <c r="AK292" s="117">
        <f>$I292+(($E292-1)/12)</f>
        <v>1989.75</v>
      </c>
      <c r="AL292" s="117">
        <f>$R$4+($R$3/12)</f>
        <v>2018.75</v>
      </c>
      <c r="AM292" s="117">
        <f>$J292+(($K292-1)/12)</f>
        <v>-8.3333333333333329E-2</v>
      </c>
    </row>
    <row r="293" spans="1:39" x14ac:dyDescent="0.25">
      <c r="A293">
        <v>118</v>
      </c>
      <c r="B293" t="s">
        <v>548</v>
      </c>
      <c r="D293" s="27">
        <v>1997</v>
      </c>
      <c r="E293" s="27">
        <v>9</v>
      </c>
      <c r="F293" s="122"/>
      <c r="H293" s="27"/>
      <c r="I293">
        <f>+D293+H293</f>
        <v>1997</v>
      </c>
      <c r="P293" s="125">
        <v>154649</v>
      </c>
      <c r="Q293" s="29"/>
      <c r="R293" s="125">
        <v>154649</v>
      </c>
      <c r="S293" s="115"/>
      <c r="T293" s="115">
        <f>IF(Q293&gt;0,0,IF((OR((AF293&gt;AG293),(AH293&lt;AI293))),0,IF((AND((AH293&gt;=AI293),(AH293&lt;=AG293))),S293*((AH293-AI293)*12),IF((AND((AI293&lt;=AF293),(AG293&gt;=AF293))),((AG293-AF293)*12)*S293,IF(AH293&gt;AG293,12*S293,0)))))</f>
        <v>0</v>
      </c>
      <c r="U293" s="115">
        <f>IF(Q293=0,0,IF((AND((AJ293&gt;=AI293),(AJ293&lt;=AH293))),((AJ293-AI293)*12)*S293,0))</f>
        <v>0</v>
      </c>
      <c r="V293" s="115">
        <f>IF(U293&gt;0,U293,T293)</f>
        <v>0</v>
      </c>
      <c r="W293" s="120">
        <v>0</v>
      </c>
      <c r="X293" s="115">
        <f>W293*SUM(T293:U293)</f>
        <v>0</v>
      </c>
      <c r="Y293" s="113"/>
      <c r="Z293" s="125"/>
      <c r="AA293" s="125">
        <v>154649</v>
      </c>
      <c r="AB293" s="125">
        <v>154649</v>
      </c>
      <c r="AC293" s="125">
        <v>154649</v>
      </c>
      <c r="AD293" s="125"/>
      <c r="AE293" s="115"/>
      <c r="AF293" s="115">
        <f>$D293+(($E293-1)/12)</f>
        <v>1997.6666666666667</v>
      </c>
      <c r="AG293" s="115">
        <f>($R$5+1)-($R$2/12)</f>
        <v>2019.75</v>
      </c>
      <c r="AH293" s="115">
        <f>$I293+(($E293-1)/12)</f>
        <v>1997.6666666666667</v>
      </c>
      <c r="AI293" s="117">
        <f>$R$4+($R$3/12)</f>
        <v>2018.75</v>
      </c>
      <c r="AJ293" s="117">
        <f>$J293+(($K293-1)/12)</f>
        <v>-8.3333333333333329E-2</v>
      </c>
      <c r="AK293" s="117">
        <f>$I293+(($E293-1)/12)</f>
        <v>1997.6666666666667</v>
      </c>
      <c r="AL293" s="117">
        <f>$R$4+($R$3/12)</f>
        <v>2018.75</v>
      </c>
      <c r="AM293" s="117">
        <f>$J293+(($K293-1)/12)</f>
        <v>-8.3333333333333329E-2</v>
      </c>
    </row>
    <row r="294" spans="1:39" x14ac:dyDescent="0.25">
      <c r="H294" s="27"/>
      <c r="P294" s="29">
        <f>SUM(P292:P293)</f>
        <v>179649</v>
      </c>
      <c r="R294" s="29">
        <f>SUM(R292:R293)</f>
        <v>179649</v>
      </c>
      <c r="S294" s="115"/>
      <c r="T294" s="115"/>
      <c r="U294" s="115"/>
      <c r="V294" s="115"/>
      <c r="W294" s="116"/>
      <c r="X294" s="115"/>
      <c r="Y294" s="113"/>
      <c r="Z294" s="29">
        <f t="shared" ref="Z294:AD294" si="203">SUM(Z292:Z293)</f>
        <v>0</v>
      </c>
      <c r="AA294" s="29">
        <f t="shared" si="203"/>
        <v>154649</v>
      </c>
      <c r="AB294" s="29">
        <f t="shared" si="203"/>
        <v>154650</v>
      </c>
      <c r="AC294" s="29">
        <f t="shared" si="203"/>
        <v>154649</v>
      </c>
      <c r="AD294" s="29">
        <f t="shared" si="203"/>
        <v>0</v>
      </c>
      <c r="AE294" s="115"/>
      <c r="AF294" s="115"/>
      <c r="AG294" s="115"/>
      <c r="AH294" s="115"/>
      <c r="AI294" s="117"/>
      <c r="AJ294" s="117"/>
      <c r="AK294" s="117"/>
      <c r="AL294" s="117"/>
      <c r="AM294" s="117"/>
    </row>
    <row r="295" spans="1:39" x14ac:dyDescent="0.25">
      <c r="H295" s="27"/>
      <c r="S295" s="115"/>
      <c r="T295" s="115"/>
      <c r="U295" s="115"/>
      <c r="V295" s="115"/>
      <c r="W295" s="116"/>
      <c r="X295" s="115"/>
      <c r="Y295" s="113"/>
      <c r="Z295" s="115"/>
      <c r="AA295" s="115"/>
      <c r="AB295" s="113"/>
      <c r="AC295" s="115"/>
      <c r="AD295" s="115"/>
      <c r="AE295" s="115"/>
      <c r="AF295" s="115"/>
      <c r="AG295" s="115"/>
      <c r="AH295" s="115"/>
      <c r="AI295" s="117"/>
      <c r="AJ295" s="117"/>
      <c r="AK295" s="117"/>
      <c r="AL295" s="117"/>
      <c r="AM295" s="117"/>
    </row>
    <row r="296" spans="1:39" x14ac:dyDescent="0.25">
      <c r="B296" t="s">
        <v>549</v>
      </c>
      <c r="H296" s="27"/>
      <c r="P296" s="29">
        <f>+P38+P85+P192+P256+P276+P290+P294</f>
        <v>6223589.79</v>
      </c>
      <c r="R296" s="29">
        <f>+R38+R85+R192+R256+R276+R290+R294</f>
        <v>6145989.79</v>
      </c>
      <c r="S296" s="29">
        <f>+S38+S85+S192+S256+S276+S290+S294</f>
        <v>49426.677521825397</v>
      </c>
      <c r="T296" s="29">
        <f>+T38+T85+T192+T256+T276+T290+T294</f>
        <v>462616.75617857196</v>
      </c>
      <c r="U296" s="29">
        <f>+U38+U85+U192+U256+U276+U290</f>
        <v>0</v>
      </c>
      <c r="V296" s="29">
        <f>+V38+V85+V192+V256+V276+V290</f>
        <v>451728.69427381002</v>
      </c>
      <c r="W296" s="130">
        <f>+W38+W85+W192+W256+W276+W290</f>
        <v>253</v>
      </c>
      <c r="X296" s="29">
        <f>+X38+X85+X192+X256+X276+X290+X294</f>
        <v>462616.75617857196</v>
      </c>
      <c r="Y296" s="29">
        <f>+Y38+Y85+Y192+Y256+Y276+Y290</f>
        <v>0</v>
      </c>
      <c r="Z296" s="29">
        <f>+Z38+Z85+Z192+Z256+Z276+Z290+Z294</f>
        <v>3167220.3685515742</v>
      </c>
      <c r="AA296" s="29">
        <f>+AA38+AA85+AA192+AA256+AA276+AA290</f>
        <v>3167220.3685515742</v>
      </c>
      <c r="AB296" s="29">
        <f>+AB38+AB85+AB192+AB256+AB276+AB290</f>
        <v>262</v>
      </c>
      <c r="AC296" s="29">
        <f>+AC38+AC85+AC192+AC256+AC276+AC290</f>
        <v>3167220.3685515742</v>
      </c>
      <c r="AD296" s="29">
        <f>+AD38+AD85+AD192+AD256+AD276+AD290+AD294</f>
        <v>3629837.124730147</v>
      </c>
      <c r="AE296" s="29">
        <f>+AE38+AE85+AE192+AE256+AE276+AE290+AE294</f>
        <v>2580898.0733591388</v>
      </c>
      <c r="AF296" s="115"/>
      <c r="AG296" s="115"/>
      <c r="AH296" s="115"/>
      <c r="AI296" s="117"/>
      <c r="AJ296" s="117"/>
      <c r="AK296" s="117"/>
      <c r="AL296" s="117"/>
      <c r="AM296" s="117"/>
    </row>
    <row r="297" spans="1:39" x14ac:dyDescent="0.25">
      <c r="H297" s="27"/>
      <c r="M297" t="s">
        <v>153</v>
      </c>
      <c r="N297" t="s">
        <v>551</v>
      </c>
      <c r="S297" s="115"/>
      <c r="T297" s="115"/>
      <c r="U297" s="115"/>
      <c r="V297" s="115"/>
      <c r="W297" s="116"/>
      <c r="X297" s="115"/>
      <c r="Y297" s="113"/>
      <c r="Z297" s="115"/>
      <c r="AA297" s="115"/>
      <c r="AB297" s="113"/>
      <c r="AC297" s="115"/>
      <c r="AD297" s="115"/>
      <c r="AE297" s="115"/>
      <c r="AF297" s="115"/>
      <c r="AG297" s="115"/>
      <c r="AH297" s="115"/>
      <c r="AI297" s="117"/>
      <c r="AJ297" s="117"/>
      <c r="AK297" s="117"/>
      <c r="AL297" s="117"/>
      <c r="AM297" s="117"/>
    </row>
    <row r="298" spans="1:39" x14ac:dyDescent="0.25">
      <c r="H298" s="27"/>
      <c r="P298" s="29" t="s">
        <v>153</v>
      </c>
      <c r="R298" s="29" t="s">
        <v>551</v>
      </c>
      <c r="S298" s="29"/>
      <c r="T298" s="29"/>
      <c r="U298" s="29"/>
      <c r="V298" s="29"/>
      <c r="W298" s="130"/>
      <c r="X298" s="29"/>
      <c r="Y298" s="29"/>
      <c r="Z298" s="29"/>
      <c r="AA298" s="29"/>
      <c r="AB298" s="29"/>
      <c r="AC298" s="29"/>
      <c r="AD298" s="29"/>
      <c r="AE298" s="29"/>
      <c r="AF298" s="115"/>
      <c r="AG298" s="115"/>
      <c r="AH298" s="115"/>
      <c r="AI298" s="117"/>
      <c r="AJ298" s="117"/>
      <c r="AK298" s="117"/>
      <c r="AL298" s="117"/>
      <c r="AM298" s="117"/>
    </row>
    <row r="299" spans="1:39" x14ac:dyDescent="0.25">
      <c r="B299" t="s">
        <v>550</v>
      </c>
      <c r="C299" t="s">
        <v>552</v>
      </c>
      <c r="H299" s="27"/>
      <c r="M299" s="29">
        <f>+X192</f>
        <v>192408.520369048</v>
      </c>
      <c r="N299" s="29">
        <f>+T256</f>
        <v>175051.96390476229</v>
      </c>
      <c r="O299" s="29">
        <f>+M299+N299</f>
        <v>367460.48427381029</v>
      </c>
      <c r="P299" s="29">
        <f>+T192</f>
        <v>192408.520369048</v>
      </c>
      <c r="Q299" s="29"/>
      <c r="R299" s="29">
        <f>+T256</f>
        <v>175051.96390476229</v>
      </c>
      <c r="T299" s="29"/>
      <c r="W299" s="118"/>
    </row>
    <row r="300" spans="1:39" x14ac:dyDescent="0.25">
      <c r="B300" t="s">
        <v>553</v>
      </c>
      <c r="C300" t="s">
        <v>554</v>
      </c>
      <c r="H300" s="27"/>
      <c r="M300" s="29">
        <f>+T85*0.87</f>
        <v>16105.189357142746</v>
      </c>
      <c r="N300" s="29">
        <f>+T85-M300</f>
        <v>2406.5225476190317</v>
      </c>
      <c r="P300" s="29">
        <f>+T85*0.87</f>
        <v>16105.189357142746</v>
      </c>
      <c r="Q300" s="29"/>
      <c r="R300" s="29">
        <f>+T85-P300</f>
        <v>2406.5225476190317</v>
      </c>
      <c r="T300" s="29"/>
      <c r="W300" s="118"/>
    </row>
    <row r="301" spans="1:39" x14ac:dyDescent="0.25">
      <c r="B301" t="s">
        <v>555</v>
      </c>
      <c r="C301" t="s">
        <v>554</v>
      </c>
      <c r="M301" s="29">
        <f>+T38*0.87</f>
        <v>8564.6238571428457</v>
      </c>
      <c r="N301" s="29">
        <f>T38-M301</f>
        <v>1279.7713809523793</v>
      </c>
      <c r="P301" s="29">
        <f>+T38*0.87</f>
        <v>8564.6238571428457</v>
      </c>
      <c r="R301" s="29">
        <f>+T38-P301</f>
        <v>1279.7713809523793</v>
      </c>
      <c r="T301" s="29"/>
      <c r="W301" s="118"/>
    </row>
    <row r="302" spans="1:39" x14ac:dyDescent="0.25">
      <c r="B302" t="s">
        <v>556</v>
      </c>
      <c r="C302" t="s">
        <v>554</v>
      </c>
      <c r="M302" s="29">
        <f>+T276*0.87</f>
        <v>29804.195271428569</v>
      </c>
      <c r="N302" s="29">
        <f>+T276-M302</f>
        <v>4453.5004428571447</v>
      </c>
      <c r="P302" s="29">
        <f>+T276*0.87</f>
        <v>29804.195271428569</v>
      </c>
      <c r="Q302" s="29"/>
      <c r="R302" s="29">
        <f>+T276-P302</f>
        <v>4453.5004428571447</v>
      </c>
      <c r="T302" s="29"/>
      <c r="W302" s="118"/>
    </row>
    <row r="303" spans="1:39" x14ac:dyDescent="0.25">
      <c r="B303" t="s">
        <v>557</v>
      </c>
      <c r="C303" t="s">
        <v>554</v>
      </c>
      <c r="M303" s="125">
        <f>+T290*0.87</f>
        <v>28311.94807142848</v>
      </c>
      <c r="N303" s="125">
        <f>+T290-M303</f>
        <v>4230.5209761904625</v>
      </c>
      <c r="P303" s="125">
        <f>+T290*0.87</f>
        <v>28311.94807142848</v>
      </c>
      <c r="Q303" s="125"/>
      <c r="R303" s="125">
        <f>+T290-P303</f>
        <v>4230.5209761904625</v>
      </c>
      <c r="W303" s="118"/>
    </row>
    <row r="304" spans="1:39" x14ac:dyDescent="0.25">
      <c r="M304" s="29">
        <f t="shared" ref="M304:N304" si="204">SUM(M299:M303)</f>
        <v>275194.4769261906</v>
      </c>
      <c r="N304" s="29">
        <f t="shared" si="204"/>
        <v>187422.27925238133</v>
      </c>
      <c r="O304" s="29"/>
      <c r="P304" s="29">
        <f>SUM(P299:P303)</f>
        <v>275194.4769261906</v>
      </c>
      <c r="R304" s="29">
        <f>SUM(R299:R303)</f>
        <v>187422.27925238133</v>
      </c>
      <c r="S304" s="29">
        <f>SUM(P304:R304)</f>
        <v>462616.75617857196</v>
      </c>
      <c r="W304" s="118"/>
    </row>
    <row r="305" spans="13:23" x14ac:dyDescent="0.25">
      <c r="M305" s="29"/>
      <c r="N305" s="29"/>
      <c r="P305" s="119">
        <f>+P304/S304</f>
        <v>0.59486491410173736</v>
      </c>
      <c r="R305" s="119">
        <f>+R304/S304</f>
        <v>0.40513508589826253</v>
      </c>
      <c r="W305" s="118"/>
    </row>
    <row r="306" spans="13:23" x14ac:dyDescent="0.25">
      <c r="M306" s="37">
        <f>M304/T296</f>
        <v>0.59486491410173736</v>
      </c>
      <c r="N306" s="37">
        <f>+N304/T296</f>
        <v>0.40513508589826253</v>
      </c>
      <c r="W306" s="118"/>
    </row>
    <row r="307" spans="13:23" x14ac:dyDescent="0.25">
      <c r="M307" s="29"/>
      <c r="N307" s="29"/>
      <c r="W307" s="118"/>
    </row>
    <row r="308" spans="13:23" x14ac:dyDescent="0.25">
      <c r="M308" s="29"/>
      <c r="N308" s="29"/>
      <c r="W308" s="118"/>
    </row>
  </sheetData>
  <pageMargins left="0.25" right="0.25" top="0.75" bottom="0.75" header="0.3" footer="0.3"/>
  <pageSetup scale="38" fitToHeight="0" orientation="landscape" r:id="rId1"/>
  <headerFooter>
    <oddFooter>&amp;L&amp;D&amp;C&amp;F    &amp;A&amp;RPage &amp;P of &amp;N</oddFoot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3EFFE5-09B3-47AD-A333-CE51D85BFB55}">
  <dimension ref="A1:H26"/>
  <sheetViews>
    <sheetView workbookViewId="0">
      <selection activeCell="A28" sqref="A28"/>
    </sheetView>
  </sheetViews>
  <sheetFormatPr defaultRowHeight="15" x14ac:dyDescent="0.25"/>
  <cols>
    <col min="1" max="1" width="12.28515625" customWidth="1"/>
    <col min="4" max="4" width="14.140625" customWidth="1"/>
    <col min="6" max="6" width="11.5703125" customWidth="1"/>
  </cols>
  <sheetData>
    <row r="1" spans="1:8" ht="18.75" x14ac:dyDescent="0.3">
      <c r="A1" s="32" t="s">
        <v>158</v>
      </c>
      <c r="B1" s="33"/>
      <c r="C1" s="33"/>
      <c r="D1" s="33"/>
      <c r="E1" s="33"/>
      <c r="F1" s="33"/>
      <c r="G1" s="33"/>
      <c r="H1" s="33"/>
    </row>
    <row r="2" spans="1:8" ht="18.75" x14ac:dyDescent="0.3">
      <c r="A2" s="32" t="s">
        <v>202</v>
      </c>
      <c r="B2" s="33"/>
      <c r="C2" s="33"/>
      <c r="D2" s="33"/>
      <c r="E2" s="33"/>
      <c r="F2" s="33"/>
      <c r="G2" s="33"/>
      <c r="H2" s="33"/>
    </row>
    <row r="3" spans="1:8" ht="18.75" x14ac:dyDescent="0.3">
      <c r="A3" s="32" t="s">
        <v>219</v>
      </c>
      <c r="B3" s="33"/>
      <c r="C3" s="33"/>
      <c r="D3" s="33"/>
      <c r="E3" s="33"/>
      <c r="F3" s="33"/>
      <c r="G3" s="33"/>
      <c r="H3" s="33"/>
    </row>
    <row r="4" spans="1:8" ht="30" x14ac:dyDescent="0.25">
      <c r="A4" s="34"/>
      <c r="D4" s="35" t="s">
        <v>153</v>
      </c>
      <c r="E4" s="27"/>
      <c r="F4" s="36" t="s">
        <v>163</v>
      </c>
      <c r="G4" s="27"/>
      <c r="H4" s="27"/>
    </row>
    <row r="5" spans="1:8" x14ac:dyDescent="0.25">
      <c r="A5" s="34"/>
      <c r="D5" s="29"/>
      <c r="E5" s="29"/>
      <c r="F5" s="29"/>
      <c r="G5" s="29"/>
      <c r="H5" s="29"/>
    </row>
    <row r="6" spans="1:8" x14ac:dyDescent="0.25">
      <c r="A6" s="146" t="s">
        <v>564</v>
      </c>
      <c r="D6" s="37">
        <f>+'Regulatory Depreciation'!M299/'Regulatory Depreciation'!O299</f>
        <v>0.52361690196237887</v>
      </c>
      <c r="F6" s="37">
        <f>+'Regulatory Depreciation'!N299/'Regulatory Depreciation'!O299</f>
        <v>0.47638309803762108</v>
      </c>
    </row>
    <row r="7" spans="1:8" x14ac:dyDescent="0.25">
      <c r="D7" s="29"/>
      <c r="E7" s="29"/>
      <c r="F7" s="29"/>
      <c r="G7" s="29"/>
      <c r="H7" s="29"/>
    </row>
    <row r="8" spans="1:8" x14ac:dyDescent="0.25">
      <c r="A8" s="34" t="s">
        <v>203</v>
      </c>
      <c r="D8" s="37">
        <f>+'Engine Hours'!J5</f>
        <v>0.86853079920694609</v>
      </c>
      <c r="F8" s="37">
        <f>+'Engine Hours'!J15</f>
        <v>0.13146920079305394</v>
      </c>
    </row>
    <row r="10" spans="1:8" x14ac:dyDescent="0.25">
      <c r="A10" s="34" t="s">
        <v>204</v>
      </c>
      <c r="D10" s="37">
        <f>+'Crew Labor Hours'!E16</f>
        <v>0.83684768089908346</v>
      </c>
      <c r="F10" s="37">
        <f>+'Crew Labor Hours'!E9</f>
        <v>0.1631523191009166</v>
      </c>
    </row>
    <row r="11" spans="1:8" x14ac:dyDescent="0.25">
      <c r="D11" s="37"/>
      <c r="F11" s="37"/>
    </row>
    <row r="12" spans="1:8" x14ac:dyDescent="0.25">
      <c r="A12" s="34" t="s">
        <v>205</v>
      </c>
      <c r="D12" s="37">
        <f>+'Pro Forma with Allocations'!K15</f>
        <v>0.78190706691095735</v>
      </c>
      <c r="F12" s="37">
        <f>+'Pro Forma with Allocations'!J15</f>
        <v>0.21809293308904268</v>
      </c>
    </row>
    <row r="13" spans="1:8" x14ac:dyDescent="0.25">
      <c r="D13" s="37"/>
      <c r="F13" s="37"/>
    </row>
    <row r="14" spans="1:8" x14ac:dyDescent="0.25">
      <c r="A14" s="34" t="s">
        <v>206</v>
      </c>
      <c r="D14" s="37">
        <f>(+D6+D8+D10)/3</f>
        <v>0.7429984606894694</v>
      </c>
      <c r="F14" s="37">
        <f>(+F6+F8+F10)/3</f>
        <v>0.25700153931053055</v>
      </c>
    </row>
    <row r="16" spans="1:8" x14ac:dyDescent="0.25">
      <c r="A16" s="38" t="s">
        <v>207</v>
      </c>
      <c r="B16" t="s">
        <v>208</v>
      </c>
    </row>
    <row r="18" spans="1:2" x14ac:dyDescent="0.25">
      <c r="A18" s="38" t="s">
        <v>209</v>
      </c>
      <c r="B18" t="s">
        <v>210</v>
      </c>
    </row>
    <row r="20" spans="1:2" x14ac:dyDescent="0.25">
      <c r="A20" s="38" t="s">
        <v>211</v>
      </c>
      <c r="B20" t="s">
        <v>212</v>
      </c>
    </row>
    <row r="21" spans="1:2" x14ac:dyDescent="0.25">
      <c r="B21" t="s">
        <v>213</v>
      </c>
    </row>
    <row r="23" spans="1:2" x14ac:dyDescent="0.25">
      <c r="A23" s="38" t="s">
        <v>214</v>
      </c>
      <c r="B23" t="s">
        <v>215</v>
      </c>
    </row>
    <row r="24" spans="1:2" x14ac:dyDescent="0.25">
      <c r="B24" t="s">
        <v>216</v>
      </c>
    </row>
    <row r="26" spans="1:2" x14ac:dyDescent="0.25">
      <c r="A26" s="38" t="s">
        <v>217</v>
      </c>
      <c r="B26" t="s">
        <v>218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063F42-3F2E-46AC-A933-AD5C44988F19}">
  <sheetPr>
    <pageSetUpPr fitToPage="1"/>
  </sheetPr>
  <dimension ref="A1:P22"/>
  <sheetViews>
    <sheetView topLeftCell="B1" workbookViewId="0">
      <selection activeCell="M19" sqref="M19"/>
    </sheetView>
  </sheetViews>
  <sheetFormatPr defaultRowHeight="15" x14ac:dyDescent="0.25"/>
  <cols>
    <col min="1" max="1" width="15.42578125" customWidth="1"/>
    <col min="2" max="2" width="33.140625" customWidth="1"/>
    <col min="4" max="4" width="11.7109375" customWidth="1"/>
    <col min="5" max="5" width="11.42578125" customWidth="1"/>
    <col min="7" max="7" width="11.140625" customWidth="1"/>
    <col min="8" max="8" width="14.28515625" bestFit="1" customWidth="1"/>
    <col min="9" max="9" width="13.85546875" customWidth="1"/>
    <col min="10" max="10" width="5.85546875" customWidth="1"/>
    <col min="11" max="11" width="16" customWidth="1"/>
    <col min="12" max="12" width="4.5703125" customWidth="1"/>
    <col min="13" max="13" width="14.42578125" customWidth="1"/>
    <col min="14" max="14" width="15" customWidth="1"/>
  </cols>
  <sheetData>
    <row r="1" spans="1:16" ht="23.25" x14ac:dyDescent="0.35">
      <c r="A1" s="349" t="s">
        <v>158</v>
      </c>
      <c r="B1" s="349"/>
      <c r="C1" s="349"/>
      <c r="D1" s="349"/>
      <c r="E1" s="349"/>
      <c r="F1" s="349"/>
      <c r="G1" s="349"/>
      <c r="H1" s="349"/>
      <c r="I1" s="349"/>
      <c r="J1" s="349"/>
    </row>
    <row r="2" spans="1:16" ht="15.75" thickBot="1" x14ac:dyDescent="0.3"/>
    <row r="3" spans="1:16" ht="18.75" x14ac:dyDescent="0.3">
      <c r="B3" s="147" t="s">
        <v>565</v>
      </c>
      <c r="D3" s="148"/>
      <c r="F3" s="350" t="s">
        <v>566</v>
      </c>
      <c r="G3" s="351"/>
      <c r="H3" s="351"/>
      <c r="I3" s="352"/>
    </row>
    <row r="4" spans="1:16" ht="45" x14ac:dyDescent="0.25">
      <c r="A4" s="149"/>
      <c r="B4" s="150" t="s">
        <v>567</v>
      </c>
      <c r="D4" s="151" t="s">
        <v>568</v>
      </c>
      <c r="E4" s="152" t="s">
        <v>569</v>
      </c>
      <c r="F4" s="353" t="s">
        <v>570</v>
      </c>
      <c r="G4" s="354"/>
      <c r="H4" s="150" t="s">
        <v>230</v>
      </c>
      <c r="I4" s="153"/>
      <c r="K4" s="154" t="s">
        <v>571</v>
      </c>
      <c r="M4" s="154" t="s">
        <v>572</v>
      </c>
    </row>
    <row r="5" spans="1:16" x14ac:dyDescent="0.25">
      <c r="B5" s="155" t="s">
        <v>573</v>
      </c>
      <c r="D5" s="156">
        <v>262.25</v>
      </c>
      <c r="E5" s="157">
        <v>318.5</v>
      </c>
      <c r="F5" s="242">
        <v>9971.25</v>
      </c>
      <c r="G5" s="258">
        <f>+E5/D5-1</f>
        <v>0.21448999046711159</v>
      </c>
      <c r="H5" s="246">
        <f>+F5*D5</f>
        <v>2614960.3125</v>
      </c>
      <c r="I5" s="247"/>
      <c r="K5" s="43">
        <f>H5</f>
        <v>2614960.3125</v>
      </c>
      <c r="M5" s="43">
        <f>+F5*E5</f>
        <v>3175843.125</v>
      </c>
      <c r="P5" s="37"/>
    </row>
    <row r="6" spans="1:16" x14ac:dyDescent="0.25">
      <c r="B6" s="155" t="s">
        <v>574</v>
      </c>
      <c r="D6" s="156">
        <f>+D5*1.5</f>
        <v>393.375</v>
      </c>
      <c r="E6" s="157">
        <f>+E5*1.5</f>
        <v>477.75</v>
      </c>
      <c r="F6" s="242">
        <v>1416.25</v>
      </c>
      <c r="G6" s="158"/>
      <c r="H6" s="246">
        <f>+F6*D6</f>
        <v>557117.34375</v>
      </c>
      <c r="I6" s="247"/>
      <c r="K6" s="43">
        <f>H6</f>
        <v>557117.34375</v>
      </c>
      <c r="M6" s="43">
        <f t="shared" ref="M6:M8" si="0">+F6*E6</f>
        <v>676613.4375</v>
      </c>
    </row>
    <row r="7" spans="1:16" x14ac:dyDescent="0.25">
      <c r="B7" s="155" t="s">
        <v>575</v>
      </c>
      <c r="D7" s="156">
        <f>+D5*2</f>
        <v>524.5</v>
      </c>
      <c r="E7" s="157">
        <f>+E5*2</f>
        <v>637</v>
      </c>
      <c r="F7" s="242">
        <v>224.25</v>
      </c>
      <c r="G7" s="158"/>
      <c r="H7" s="246">
        <f>+F7*D7</f>
        <v>117619.125</v>
      </c>
      <c r="I7" s="247"/>
      <c r="K7" s="43">
        <f>H7</f>
        <v>117619.125</v>
      </c>
      <c r="M7" s="43">
        <f t="shared" si="0"/>
        <v>142847.25</v>
      </c>
    </row>
    <row r="8" spans="1:16" ht="15.75" thickBot="1" x14ac:dyDescent="0.3">
      <c r="A8" s="160"/>
      <c r="B8" s="161" t="s">
        <v>576</v>
      </c>
      <c r="D8" s="162">
        <f>+D5*3</f>
        <v>786.75</v>
      </c>
      <c r="E8" s="163">
        <f>+E5*3</f>
        <v>955.5</v>
      </c>
      <c r="F8" s="243">
        <v>20.75</v>
      </c>
      <c r="G8" s="164"/>
      <c r="H8" s="248">
        <f>+F8*D8</f>
        <v>16325.0625</v>
      </c>
      <c r="I8" s="249"/>
      <c r="K8" s="168">
        <f>H8</f>
        <v>16325.0625</v>
      </c>
      <c r="L8" s="253"/>
      <c r="M8" s="168">
        <f t="shared" si="0"/>
        <v>19826.625</v>
      </c>
    </row>
    <row r="9" spans="1:16" x14ac:dyDescent="0.25">
      <c r="B9" s="165" t="s">
        <v>577</v>
      </c>
      <c r="D9" s="156"/>
      <c r="E9" s="166"/>
      <c r="F9" s="244"/>
      <c r="G9" s="167"/>
      <c r="H9" s="250"/>
      <c r="I9" s="251">
        <f>SUM(H5:H8)</f>
        <v>3306021.84375</v>
      </c>
      <c r="K9" s="43">
        <f>SUM(K5:K8)</f>
        <v>3306021.84375</v>
      </c>
      <c r="M9" s="43">
        <f>SUM(M5:M8)</f>
        <v>4015130.4375</v>
      </c>
    </row>
    <row r="10" spans="1:16" x14ac:dyDescent="0.25">
      <c r="D10" s="156"/>
      <c r="E10" s="166"/>
      <c r="F10" s="245"/>
      <c r="G10" s="158"/>
      <c r="H10" s="252"/>
      <c r="I10" s="247"/>
      <c r="K10" s="43"/>
      <c r="M10" s="43"/>
    </row>
    <row r="11" spans="1:16" x14ac:dyDescent="0.25">
      <c r="B11" s="155" t="s">
        <v>578</v>
      </c>
      <c r="D11" s="156">
        <v>50</v>
      </c>
      <c r="E11" s="157">
        <v>64.5</v>
      </c>
      <c r="F11" s="242">
        <v>12663</v>
      </c>
      <c r="G11" s="258">
        <f>+E11/D11-1</f>
        <v>0.29000000000000004</v>
      </c>
      <c r="H11" s="246">
        <f>+F11*D11</f>
        <v>633150</v>
      </c>
      <c r="I11" s="247"/>
      <c r="K11" s="43">
        <f>H11</f>
        <v>633150</v>
      </c>
      <c r="M11" s="43">
        <f t="shared" ref="M11:M14" si="1">+F11*E11</f>
        <v>816763.5</v>
      </c>
      <c r="P11" s="37"/>
    </row>
    <row r="12" spans="1:16" x14ac:dyDescent="0.25">
      <c r="B12" s="155" t="s">
        <v>579</v>
      </c>
      <c r="D12" s="156">
        <f>+D11*1.5</f>
        <v>75</v>
      </c>
      <c r="E12" s="157">
        <f>+E11*1.5</f>
        <v>96.75</v>
      </c>
      <c r="F12" s="242">
        <v>1652.5</v>
      </c>
      <c r="G12" s="158"/>
      <c r="H12" s="246">
        <f>+F12*D12</f>
        <v>123937.5</v>
      </c>
      <c r="I12" s="247"/>
      <c r="K12" s="43">
        <f>H12</f>
        <v>123937.5</v>
      </c>
      <c r="M12" s="43">
        <f t="shared" si="1"/>
        <v>159879.375</v>
      </c>
    </row>
    <row r="13" spans="1:16" x14ac:dyDescent="0.25">
      <c r="B13" s="155" t="s">
        <v>580</v>
      </c>
      <c r="D13" s="156">
        <f>50*2</f>
        <v>100</v>
      </c>
      <c r="E13" s="157">
        <f>E11*2</f>
        <v>129</v>
      </c>
      <c r="F13" s="242">
        <v>281.25</v>
      </c>
      <c r="G13" s="158"/>
      <c r="H13" s="246">
        <f>+F13*D13</f>
        <v>28125</v>
      </c>
      <c r="I13" s="247"/>
      <c r="K13" s="43">
        <f>H13</f>
        <v>28125</v>
      </c>
      <c r="M13" s="43">
        <f t="shared" si="1"/>
        <v>36281.25</v>
      </c>
    </row>
    <row r="14" spans="1:16" ht="15.75" thickBot="1" x14ac:dyDescent="0.3">
      <c r="A14" s="160"/>
      <c r="B14" s="161" t="s">
        <v>581</v>
      </c>
      <c r="D14" s="162">
        <f>+D11*3</f>
        <v>150</v>
      </c>
      <c r="E14" s="255">
        <f>+E11*3</f>
        <v>193.5</v>
      </c>
      <c r="F14" s="243">
        <v>40.25</v>
      </c>
      <c r="G14" s="164"/>
      <c r="H14" s="248">
        <f>+F14*D14</f>
        <v>6037.5</v>
      </c>
      <c r="I14" s="249"/>
      <c r="K14" s="168">
        <f>H14</f>
        <v>6037.5</v>
      </c>
      <c r="L14" s="253"/>
      <c r="M14" s="168">
        <f t="shared" si="1"/>
        <v>7788.375</v>
      </c>
    </row>
    <row r="15" spans="1:16" x14ac:dyDescent="0.25">
      <c r="B15" s="165" t="s">
        <v>582</v>
      </c>
      <c r="D15" s="257"/>
      <c r="E15" s="253"/>
      <c r="F15" s="254"/>
      <c r="G15" s="167"/>
      <c r="H15" s="250"/>
      <c r="I15" s="256">
        <f>SUM(H11:H14)</f>
        <v>791250</v>
      </c>
      <c r="K15" s="168">
        <f>SUM(K11:K14)</f>
        <v>791250</v>
      </c>
      <c r="M15" s="168">
        <f>SUM(M11:M14)</f>
        <v>1020712.5</v>
      </c>
    </row>
    <row r="16" spans="1:16" x14ac:dyDescent="0.25">
      <c r="A16" t="s">
        <v>583</v>
      </c>
      <c r="D16" s="257"/>
      <c r="E16" s="253"/>
      <c r="F16" s="253"/>
      <c r="G16" s="158"/>
      <c r="H16" s="252"/>
      <c r="I16" s="252">
        <f>+I9+I15</f>
        <v>4097271.84375</v>
      </c>
      <c r="K16" s="43">
        <f>+K9+K15</f>
        <v>4097271.84375</v>
      </c>
      <c r="L16" s="43"/>
      <c r="M16" s="43">
        <f>+M9+M15</f>
        <v>5035842.9375</v>
      </c>
      <c r="N16" s="43">
        <f>+M16-K16</f>
        <v>938571.09375</v>
      </c>
    </row>
    <row r="17" spans="1:14" x14ac:dyDescent="0.25">
      <c r="A17" t="s">
        <v>584</v>
      </c>
      <c r="D17" s="257"/>
      <c r="E17" s="253"/>
      <c r="F17" s="253"/>
      <c r="G17" s="158"/>
      <c r="H17" s="252"/>
      <c r="I17" s="252">
        <f>+'Pro Forma with Allocations'!K14</f>
        <v>4122426.54</v>
      </c>
      <c r="K17" s="159"/>
      <c r="M17" s="159"/>
    </row>
    <row r="18" spans="1:14" x14ac:dyDescent="0.25">
      <c r="A18" t="s">
        <v>585</v>
      </c>
      <c r="D18" s="257"/>
      <c r="E18" s="253"/>
      <c r="F18" s="253"/>
      <c r="G18" s="158"/>
      <c r="H18" s="252"/>
      <c r="I18" s="252">
        <f>+I17-I16</f>
        <v>25154.696250000037</v>
      </c>
      <c r="K18" s="159"/>
      <c r="M18" s="159"/>
    </row>
    <row r="19" spans="1:14" x14ac:dyDescent="0.25">
      <c r="A19" t="s">
        <v>586</v>
      </c>
      <c r="I19" s="169">
        <f>+I18/I16</f>
        <v>6.1393769340374969E-3</v>
      </c>
      <c r="M19" s="169"/>
    </row>
    <row r="20" spans="1:14" x14ac:dyDescent="0.25">
      <c r="N20" s="43"/>
    </row>
    <row r="21" spans="1:14" x14ac:dyDescent="0.25">
      <c r="A21" t="s">
        <v>1103</v>
      </c>
      <c r="M21" s="29"/>
      <c r="N21" s="43"/>
    </row>
    <row r="22" spans="1:14" x14ac:dyDescent="0.25">
      <c r="N22" s="43"/>
    </row>
  </sheetData>
  <mergeCells count="3">
    <mergeCell ref="A1:J1"/>
    <mergeCell ref="F3:I3"/>
    <mergeCell ref="F4:G4"/>
  </mergeCells>
  <pageMargins left="0.25" right="0.25" top="0.75" bottom="0.75" header="0.3" footer="0.3"/>
  <pageSetup scale="72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558668-A61C-4048-B437-4BEEF8796AA3}">
  <dimension ref="A1:J24"/>
  <sheetViews>
    <sheetView workbookViewId="0">
      <selection activeCell="J5" sqref="J5"/>
    </sheetView>
  </sheetViews>
  <sheetFormatPr defaultRowHeight="15" x14ac:dyDescent="0.25"/>
  <cols>
    <col min="1" max="1" width="11.85546875" customWidth="1"/>
    <col min="8" max="8" width="30.5703125" customWidth="1"/>
  </cols>
  <sheetData>
    <row r="1" spans="1:10" ht="18.75" x14ac:dyDescent="0.3">
      <c r="A1" s="32" t="s">
        <v>158</v>
      </c>
      <c r="B1" s="32"/>
      <c r="C1" s="32"/>
      <c r="D1" s="32"/>
      <c r="E1" s="32"/>
      <c r="F1" s="32"/>
      <c r="G1" s="32"/>
      <c r="H1" s="32"/>
      <c r="I1" s="32"/>
      <c r="J1" s="32"/>
    </row>
    <row r="2" spans="1:10" ht="15.75" x14ac:dyDescent="0.25">
      <c r="A2" s="170" t="s">
        <v>587</v>
      </c>
      <c r="B2" s="170"/>
      <c r="C2" s="170"/>
      <c r="D2" s="170"/>
      <c r="E2" s="170"/>
      <c r="F2" s="170"/>
      <c r="G2" s="170"/>
      <c r="H2" s="170"/>
      <c r="I2" s="33"/>
      <c r="J2" s="33"/>
    </row>
    <row r="3" spans="1:10" ht="15.75" thickBot="1" x14ac:dyDescent="0.3">
      <c r="B3" s="27" t="s">
        <v>588</v>
      </c>
      <c r="C3" s="27" t="s">
        <v>589</v>
      </c>
      <c r="D3" s="27" t="s">
        <v>588</v>
      </c>
      <c r="E3" s="27" t="s">
        <v>589</v>
      </c>
      <c r="F3" s="27" t="s">
        <v>588</v>
      </c>
      <c r="G3" s="27" t="s">
        <v>589</v>
      </c>
      <c r="H3" s="27" t="s">
        <v>590</v>
      </c>
    </row>
    <row r="4" spans="1:10" x14ac:dyDescent="0.25">
      <c r="A4" s="171" t="s">
        <v>591</v>
      </c>
      <c r="B4" s="355" t="s">
        <v>592</v>
      </c>
      <c r="C4" s="356"/>
      <c r="D4" s="355" t="s">
        <v>593</v>
      </c>
      <c r="E4" s="356"/>
      <c r="F4" s="355" t="s">
        <v>594</v>
      </c>
      <c r="G4" s="356"/>
      <c r="H4" s="172" t="s">
        <v>595</v>
      </c>
      <c r="I4" s="173" t="s">
        <v>596</v>
      </c>
      <c r="J4" s="174" t="s">
        <v>597</v>
      </c>
    </row>
    <row r="5" spans="1:10" x14ac:dyDescent="0.25">
      <c r="A5" t="s">
        <v>598</v>
      </c>
      <c r="B5" s="175">
        <v>5862</v>
      </c>
      <c r="C5" s="176">
        <v>1787</v>
      </c>
      <c r="D5" s="175">
        <v>6074</v>
      </c>
      <c r="E5" s="176">
        <v>2074</v>
      </c>
      <c r="F5" s="175">
        <f>D5-B5</f>
        <v>212</v>
      </c>
      <c r="G5" s="176">
        <f>E5-C5</f>
        <v>287</v>
      </c>
      <c r="H5" s="177">
        <f>SUM(F5:G5)</f>
        <v>499</v>
      </c>
      <c r="I5" s="357">
        <f>SUM(H5:H14)</f>
        <v>12704</v>
      </c>
      <c r="J5" s="211">
        <f>I5/H17</f>
        <v>0.86853079920694609</v>
      </c>
    </row>
    <row r="6" spans="1:10" x14ac:dyDescent="0.25">
      <c r="A6" t="s">
        <v>599</v>
      </c>
      <c r="B6" s="175">
        <v>8711</v>
      </c>
      <c r="C6" s="176">
        <v>8739</v>
      </c>
      <c r="D6" s="175">
        <v>9333</v>
      </c>
      <c r="E6" s="176">
        <v>9362</v>
      </c>
      <c r="F6" s="175">
        <f t="shared" ref="F6:G16" si="0">D6-B6</f>
        <v>622</v>
      </c>
      <c r="G6" s="176">
        <f t="shared" si="0"/>
        <v>623</v>
      </c>
      <c r="H6" s="177">
        <f t="shared" ref="H6:H16" si="1">SUM(F6:G6)</f>
        <v>1245</v>
      </c>
      <c r="I6" s="358"/>
      <c r="J6" s="211"/>
    </row>
    <row r="7" spans="1:10" x14ac:dyDescent="0.25">
      <c r="A7" t="s">
        <v>600</v>
      </c>
      <c r="B7" s="175">
        <v>1859</v>
      </c>
      <c r="C7" s="176">
        <v>2447</v>
      </c>
      <c r="D7" s="175">
        <v>2328</v>
      </c>
      <c r="E7" s="176">
        <v>3009</v>
      </c>
      <c r="F7" s="175">
        <f t="shared" si="0"/>
        <v>469</v>
      </c>
      <c r="G7" s="176">
        <f t="shared" si="0"/>
        <v>562</v>
      </c>
      <c r="H7" s="177">
        <f t="shared" si="1"/>
        <v>1031</v>
      </c>
      <c r="I7" s="358"/>
      <c r="J7" s="211"/>
    </row>
    <row r="8" spans="1:10" x14ac:dyDescent="0.25">
      <c r="A8" t="s">
        <v>601</v>
      </c>
      <c r="B8" s="175">
        <v>3329</v>
      </c>
      <c r="C8" s="178"/>
      <c r="D8" s="175">
        <v>3463</v>
      </c>
      <c r="E8" s="178"/>
      <c r="F8" s="175">
        <f t="shared" si="0"/>
        <v>134</v>
      </c>
      <c r="G8" s="178"/>
      <c r="H8" s="177">
        <f t="shared" si="1"/>
        <v>134</v>
      </c>
      <c r="I8" s="358"/>
      <c r="J8" s="211"/>
    </row>
    <row r="9" spans="1:10" x14ac:dyDescent="0.25">
      <c r="A9" t="s">
        <v>602</v>
      </c>
      <c r="B9" s="175">
        <v>0</v>
      </c>
      <c r="C9" s="176">
        <v>1632</v>
      </c>
      <c r="D9" s="179">
        <f>450+54</f>
        <v>504</v>
      </c>
      <c r="E9" s="176">
        <v>2133</v>
      </c>
      <c r="F9" s="175">
        <f t="shared" si="0"/>
        <v>504</v>
      </c>
      <c r="G9" s="176">
        <f t="shared" si="0"/>
        <v>501</v>
      </c>
      <c r="H9" s="177">
        <f t="shared" si="1"/>
        <v>1005</v>
      </c>
      <c r="I9" s="358"/>
      <c r="J9" s="211"/>
    </row>
    <row r="10" spans="1:10" x14ac:dyDescent="0.25">
      <c r="A10" t="s">
        <v>603</v>
      </c>
      <c r="B10" s="175">
        <v>3699</v>
      </c>
      <c r="C10" s="176">
        <v>3820</v>
      </c>
      <c r="D10" s="175">
        <v>4609</v>
      </c>
      <c r="E10" s="176">
        <v>4729</v>
      </c>
      <c r="F10" s="175">
        <f t="shared" si="0"/>
        <v>910</v>
      </c>
      <c r="G10" s="176">
        <f t="shared" si="0"/>
        <v>909</v>
      </c>
      <c r="H10" s="177">
        <f t="shared" si="1"/>
        <v>1819</v>
      </c>
      <c r="I10" s="358"/>
      <c r="J10" s="211"/>
    </row>
    <row r="11" spans="1:10" x14ac:dyDescent="0.25">
      <c r="A11" t="s">
        <v>604</v>
      </c>
      <c r="B11" s="175">
        <v>2322</v>
      </c>
      <c r="C11" s="176">
        <v>3224</v>
      </c>
      <c r="D11" s="175">
        <v>3559</v>
      </c>
      <c r="E11" s="176">
        <v>4465</v>
      </c>
      <c r="F11" s="175">
        <f t="shared" si="0"/>
        <v>1237</v>
      </c>
      <c r="G11" s="176">
        <f t="shared" si="0"/>
        <v>1241</v>
      </c>
      <c r="H11" s="177">
        <f t="shared" si="1"/>
        <v>2478</v>
      </c>
      <c r="I11" s="358"/>
      <c r="J11" s="211"/>
    </row>
    <row r="12" spans="1:10" x14ac:dyDescent="0.25">
      <c r="A12" t="s">
        <v>605</v>
      </c>
      <c r="B12" s="175">
        <v>1895</v>
      </c>
      <c r="C12" s="178"/>
      <c r="D12" s="175">
        <v>2048</v>
      </c>
      <c r="E12" s="178"/>
      <c r="F12" s="175">
        <f t="shared" si="0"/>
        <v>153</v>
      </c>
      <c r="G12" s="178"/>
      <c r="H12" s="177">
        <f t="shared" si="1"/>
        <v>153</v>
      </c>
      <c r="I12" s="358"/>
      <c r="J12" s="211"/>
    </row>
    <row r="13" spans="1:10" x14ac:dyDescent="0.25">
      <c r="A13" t="s">
        <v>606</v>
      </c>
      <c r="B13" s="175">
        <v>9705</v>
      </c>
      <c r="C13" s="176">
        <v>9685</v>
      </c>
      <c r="D13" s="175">
        <f>9999+606</f>
        <v>10605</v>
      </c>
      <c r="E13" s="176">
        <f>9999+725</f>
        <v>10724</v>
      </c>
      <c r="F13" s="175">
        <f t="shared" si="0"/>
        <v>900</v>
      </c>
      <c r="G13" s="176">
        <f t="shared" si="0"/>
        <v>1039</v>
      </c>
      <c r="H13" s="177">
        <f t="shared" si="1"/>
        <v>1939</v>
      </c>
      <c r="I13" s="358"/>
      <c r="J13" s="211"/>
    </row>
    <row r="14" spans="1:10" x14ac:dyDescent="0.25">
      <c r="A14" t="s">
        <v>607</v>
      </c>
      <c r="B14" s="175">
        <v>6568</v>
      </c>
      <c r="C14" s="176">
        <v>2806</v>
      </c>
      <c r="D14" s="175">
        <v>7730</v>
      </c>
      <c r="E14" s="176">
        <v>4045</v>
      </c>
      <c r="F14" s="175">
        <f t="shared" si="0"/>
        <v>1162</v>
      </c>
      <c r="G14" s="176">
        <f t="shared" si="0"/>
        <v>1239</v>
      </c>
      <c r="H14" s="177">
        <f t="shared" si="1"/>
        <v>2401</v>
      </c>
      <c r="I14" s="358"/>
      <c r="J14" s="211"/>
    </row>
    <row r="15" spans="1:10" x14ac:dyDescent="0.25">
      <c r="A15" t="s">
        <v>608</v>
      </c>
      <c r="B15" s="175">
        <v>5274</v>
      </c>
      <c r="C15" s="176">
        <v>5170</v>
      </c>
      <c r="D15" s="175">
        <v>5850</v>
      </c>
      <c r="E15" s="176">
        <v>5733</v>
      </c>
      <c r="F15" s="175">
        <f t="shared" si="0"/>
        <v>576</v>
      </c>
      <c r="G15" s="176">
        <f t="shared" si="0"/>
        <v>563</v>
      </c>
      <c r="H15" s="177">
        <f t="shared" si="1"/>
        <v>1139</v>
      </c>
      <c r="I15" s="357">
        <f>SUM(H15:H16)</f>
        <v>1923</v>
      </c>
      <c r="J15" s="211">
        <f>I15/H17</f>
        <v>0.13146920079305394</v>
      </c>
    </row>
    <row r="16" spans="1:10" ht="15.75" thickBot="1" x14ac:dyDescent="0.3">
      <c r="A16" t="s">
        <v>609</v>
      </c>
      <c r="B16" s="180">
        <v>2392</v>
      </c>
      <c r="C16" s="181">
        <v>2392</v>
      </c>
      <c r="D16" s="180">
        <v>2784</v>
      </c>
      <c r="E16" s="181">
        <v>2784</v>
      </c>
      <c r="F16" s="180">
        <f t="shared" si="0"/>
        <v>392</v>
      </c>
      <c r="G16" s="181">
        <f t="shared" si="0"/>
        <v>392</v>
      </c>
      <c r="H16" s="182">
        <f t="shared" si="1"/>
        <v>784</v>
      </c>
      <c r="I16" s="359"/>
      <c r="J16" s="212"/>
    </row>
    <row r="17" spans="1:8" ht="15.75" thickBot="1" x14ac:dyDescent="0.3">
      <c r="B17" s="183"/>
      <c r="C17" s="183"/>
      <c r="D17" s="183"/>
      <c r="E17" s="183"/>
      <c r="F17" s="184">
        <f>SUM(F5:F16)</f>
        <v>7271</v>
      </c>
      <c r="G17" s="184">
        <f>SUM(G5:G16)</f>
        <v>7356</v>
      </c>
      <c r="H17" s="185">
        <f>SUM(H5:H16)</f>
        <v>14627</v>
      </c>
    </row>
    <row r="19" spans="1:8" x14ac:dyDescent="0.25">
      <c r="A19" t="s">
        <v>610</v>
      </c>
      <c r="B19" s="186" t="s">
        <v>611</v>
      </c>
      <c r="H19" s="187"/>
    </row>
    <row r="20" spans="1:8" x14ac:dyDescent="0.25">
      <c r="H20" s="187"/>
    </row>
    <row r="23" spans="1:8" x14ac:dyDescent="0.25">
      <c r="A23" t="s">
        <v>612</v>
      </c>
    </row>
    <row r="24" spans="1:8" x14ac:dyDescent="0.25">
      <c r="A24" t="s">
        <v>613</v>
      </c>
    </row>
  </sheetData>
  <mergeCells count="5">
    <mergeCell ref="B4:C4"/>
    <mergeCell ref="D4:E4"/>
    <mergeCell ref="F4:G4"/>
    <mergeCell ref="I5:I14"/>
    <mergeCell ref="I15:I16"/>
  </mergeCells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FB0A8C216F64534ABE15A8A00720E091" ma:contentTypeVersion="52" ma:contentTypeDescription="" ma:contentTypeScope="" ma:versionID="9b73fc7077e02038872e38f8af0e2506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TS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216</IndustryCode>
    <CaseStatus xmlns="dc463f71-b30c-4ab2-9473-d307f9d35888">Closed</CaseStatus>
    <OpenedDate xmlns="dc463f71-b30c-4ab2-9473-d307f9d35888">2020-01-29T08:00:00+00:00</OpenedDate>
    <SignificantOrder xmlns="dc463f71-b30c-4ab2-9473-d307f9d35888">false</SignificantOrder>
    <Date1 xmlns="dc463f71-b30c-4ab2-9473-d307f9d35888">2020-01-29T08:00:00+00:00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ARROW LAUNCH SERVICE, INC.</CaseCompanyNames>
    <Nickname xmlns="http://schemas.microsoft.com/sharepoint/v3" xsi:nil="true"/>
    <DocketNumber xmlns="dc463f71-b30c-4ab2-9473-d307f9d35888">200065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E655E4BB-8EE8-48ED-B8C8-29D2FE39CAAC}"/>
</file>

<file path=customXml/itemProps2.xml><?xml version="1.0" encoding="utf-8"?>
<ds:datastoreItem xmlns:ds="http://schemas.openxmlformats.org/officeDocument/2006/customXml" ds:itemID="{EE0B9347-A21D-4BFC-A693-4FC3E80D7444}"/>
</file>

<file path=customXml/itemProps3.xml><?xml version="1.0" encoding="utf-8"?>
<ds:datastoreItem xmlns:ds="http://schemas.openxmlformats.org/officeDocument/2006/customXml" ds:itemID="{61E991E1-A87C-45A3-988E-114F92183EEF}"/>
</file>

<file path=customXml/itemProps4.xml><?xml version="1.0" encoding="utf-8"?>
<ds:datastoreItem xmlns:ds="http://schemas.openxmlformats.org/officeDocument/2006/customXml" ds:itemID="{D75704AF-65A8-4968-9FBA-157261567AA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18</vt:i4>
      </vt:variant>
    </vt:vector>
  </HeadingPairs>
  <TitlesOfParts>
    <vt:vector size="36" baseType="lpstr">
      <vt:lpstr>ALS Income</vt:lpstr>
      <vt:lpstr>Pro Forma with Allocations</vt:lpstr>
      <vt:lpstr>Restating Entries</vt:lpstr>
      <vt:lpstr>Pro Fomra</vt:lpstr>
      <vt:lpstr>Payroll Worksheet</vt:lpstr>
      <vt:lpstr>Regulatory Depreciation</vt:lpstr>
      <vt:lpstr>Allocation Worksheet</vt:lpstr>
      <vt:lpstr>Price Out Worksheet</vt:lpstr>
      <vt:lpstr>Engine Hours</vt:lpstr>
      <vt:lpstr>Crew Labor Hours</vt:lpstr>
      <vt:lpstr>Accounting-MEI-Current Case</vt:lpstr>
      <vt:lpstr>Attorney Costs MEI Amort</vt:lpstr>
      <vt:lpstr>Rents</vt:lpstr>
      <vt:lpstr>Moorage Costs</vt:lpstr>
      <vt:lpstr>Health Care Cost Increase</vt:lpstr>
      <vt:lpstr>Insurance 2018-2019</vt:lpstr>
      <vt:lpstr>Insurnace 2019-2020</vt:lpstr>
      <vt:lpstr>GL Insurnace Account</vt:lpstr>
      <vt:lpstr>'ALS Income'!Print_Area</vt:lpstr>
      <vt:lpstr>'GL Insurnace Account'!Print_Area</vt:lpstr>
      <vt:lpstr>'Health Care Cost Increase'!Print_Area</vt:lpstr>
      <vt:lpstr>'Insurance 2018-2019'!Print_Area</vt:lpstr>
      <vt:lpstr>'Insurnace 2019-2020'!Print_Area</vt:lpstr>
      <vt:lpstr>'Moorage Costs'!Print_Area</vt:lpstr>
      <vt:lpstr>'Payroll Worksheet'!Print_Area</vt:lpstr>
      <vt:lpstr>'Pro Forma with Allocations'!Print_Area</vt:lpstr>
      <vt:lpstr>'Regulatory Depreciation'!Print_Area</vt:lpstr>
      <vt:lpstr>Rents!Print_Area</vt:lpstr>
      <vt:lpstr>'Restating Entries'!Print_Area</vt:lpstr>
      <vt:lpstr>'ALS Income'!Print_Titles</vt:lpstr>
      <vt:lpstr>'Moorage Costs'!Print_Titles</vt:lpstr>
      <vt:lpstr>'Payroll Worksheet'!Print_Titles</vt:lpstr>
      <vt:lpstr>'Pro Forma with Allocations'!Print_Titles</vt:lpstr>
      <vt:lpstr>'Regulatory Depreciation'!Print_Titles</vt:lpstr>
      <vt:lpstr>Rents!Print_Titles</vt:lpstr>
      <vt:lpstr>'Restating Entries'!Print_Titles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Gabi Johnson</dc:creator>
  <cp:lastModifiedBy>Weldon Burton</cp:lastModifiedBy>
  <cp:lastPrinted>2020-01-29T22:45:54Z</cp:lastPrinted>
  <dcterms:created xsi:type="dcterms:W3CDTF">2019-08-13T17:56:19Z</dcterms:created>
  <dcterms:modified xsi:type="dcterms:W3CDTF">2020-01-29T23:05:38Z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0x0101006E56B4D1795A2E4DB2F0B01679ED314A00FB0A8C216F64534ABE15A8A00720E091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