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ariffs\1. Open Advices\2019-41 Electric Schedule 137 - Temporary Customer Charge or Credit (UE-19xxxx) (Eff. 01-01-20)\Sent to UTC 11-27-19\"/>
    </mc:Choice>
  </mc:AlternateContent>
  <bookViews>
    <workbookView xWindow="-15" yWindow="45" windowWidth="14520" windowHeight="13545" tabRatio="762"/>
  </bookViews>
  <sheets>
    <sheet name="Revenue Requirement" sheetId="1" r:id="rId1"/>
    <sheet name="Tracking Accounts" sheetId="2" r:id="rId2"/>
    <sheet name="Intrst Review for Nov '19 entry" sheetId="6" r:id="rId3"/>
    <sheet name="Interest exptected 2020 Period" sheetId="11" r:id="rId4"/>
    <sheet name="Conv F and COC UE-180282" sheetId="5" r:id="rId5"/>
  </sheets>
  <externalReferences>
    <externalReference r:id="rId6"/>
    <externalReference r:id="rId7"/>
  </externalReferences>
  <definedNames>
    <definedName name="_Testyear">'[1]KJB-6,13 Cmn Adj'!$B$7</definedName>
    <definedName name="k_FITrate" localSheetId="3">'[2]Conv Factor'!$L$20</definedName>
    <definedName name="k_FITrate" localSheetId="2">'[2]Conv Factor'!$L$20</definedName>
    <definedName name="k_FITrate">'Conv F and COC UE-180282'!$L$20</definedName>
    <definedName name="_xlnm.Print_Area" localSheetId="0">'Revenue Requirement'!$A$1:$D$16</definedName>
  </definedNames>
  <calcPr calcId="162913"/>
</workbook>
</file>

<file path=xl/calcChain.xml><?xml version="1.0" encoding="utf-8"?>
<calcChain xmlns="http://schemas.openxmlformats.org/spreadsheetml/2006/main">
  <c r="M45" i="2" l="1"/>
  <c r="E45" i="2"/>
  <c r="B11" i="1" l="1"/>
  <c r="G58" i="2" l="1"/>
  <c r="B6" i="11"/>
  <c r="B5" i="11"/>
  <c r="I28" i="6" l="1"/>
  <c r="I27" i="6"/>
  <c r="M4" i="6"/>
  <c r="G19" i="2"/>
  <c r="H20" i="6"/>
  <c r="R20" i="6"/>
  <c r="Q7" i="6"/>
  <c r="P6" i="6"/>
  <c r="M6" i="6"/>
  <c r="N6" i="6" s="1"/>
  <c r="P5" i="6"/>
  <c r="M5" i="6"/>
  <c r="N5" i="6" s="1"/>
  <c r="Q6" i="6" l="1"/>
  <c r="S6" i="6" s="1"/>
  <c r="E5" i="6" l="1"/>
  <c r="C6" i="6"/>
  <c r="D6" i="6" s="1"/>
  <c r="C5" i="6"/>
  <c r="D5" i="6" s="1"/>
  <c r="B16" i="6"/>
  <c r="B15" i="6"/>
  <c r="B14" i="6"/>
  <c r="B13" i="6"/>
  <c r="B12" i="6"/>
  <c r="B11" i="6"/>
  <c r="B10" i="6"/>
  <c r="B9" i="6"/>
  <c r="B8" i="6"/>
  <c r="C4" i="6"/>
  <c r="D19" i="11" l="1"/>
  <c r="G4" i="11" l="1"/>
  <c r="G15" i="11"/>
  <c r="G16" i="11"/>
  <c r="G17" i="11"/>
  <c r="G18" i="11"/>
  <c r="B38" i="11" l="1"/>
  <c r="C31" i="11" s="1"/>
  <c r="M18" i="6"/>
  <c r="M17" i="6"/>
  <c r="C18" i="6"/>
  <c r="C17" i="6"/>
  <c r="G6" i="11"/>
  <c r="G7" i="11"/>
  <c r="G8" i="11"/>
  <c r="G9" i="11"/>
  <c r="G10" i="11"/>
  <c r="G11" i="11"/>
  <c r="G12" i="11"/>
  <c r="G13" i="11"/>
  <c r="G14" i="11"/>
  <c r="G5" i="11"/>
  <c r="C7" i="6"/>
  <c r="C32" i="11" l="1"/>
  <c r="C33" i="11"/>
  <c r="C26" i="11"/>
  <c r="C34" i="11"/>
  <c r="C27" i="11"/>
  <c r="C35" i="11"/>
  <c r="C28" i="11"/>
  <c r="C36" i="11"/>
  <c r="C29" i="11"/>
  <c r="C37" i="11"/>
  <c r="C30" i="11"/>
  <c r="C38" i="11" l="1"/>
  <c r="P18" i="6"/>
  <c r="P17" i="6"/>
  <c r="P16" i="6"/>
  <c r="P15" i="6"/>
  <c r="P14" i="6"/>
  <c r="P13" i="6"/>
  <c r="P12" i="6"/>
  <c r="P11" i="6"/>
  <c r="P10" i="6"/>
  <c r="P9" i="6"/>
  <c r="P8" i="6"/>
  <c r="P7" i="6"/>
  <c r="D38" i="5" l="1"/>
  <c r="E34" i="5"/>
  <c r="D37" i="5"/>
  <c r="C35" i="5"/>
  <c r="R19" i="6"/>
  <c r="H19" i="6"/>
  <c r="N18" i="6"/>
  <c r="K18" i="6"/>
  <c r="D18" i="6"/>
  <c r="S17" i="6"/>
  <c r="N17" i="6"/>
  <c r="K17" i="6"/>
  <c r="D17" i="6"/>
  <c r="K16" i="6"/>
  <c r="K15" i="6"/>
  <c r="K14" i="6"/>
  <c r="K13" i="6"/>
  <c r="K12" i="6"/>
  <c r="K11" i="6"/>
  <c r="K10" i="6"/>
  <c r="K9" i="6"/>
  <c r="K8" i="6"/>
  <c r="M7" i="6"/>
  <c r="K7" i="6"/>
  <c r="D7" i="6"/>
  <c r="N4" i="6"/>
  <c r="Q5" i="6" s="1"/>
  <c r="S5" i="6" s="1"/>
  <c r="D4" i="6"/>
  <c r="G5" i="6" s="1"/>
  <c r="I5" i="6" s="1"/>
  <c r="M9" i="6" l="1"/>
  <c r="M8" i="6"/>
  <c r="C8" i="6"/>
  <c r="D8" i="6" s="1"/>
  <c r="C38" i="5"/>
  <c r="E38" i="5" s="1"/>
  <c r="C37" i="5"/>
  <c r="C39" i="5" s="1"/>
  <c r="E33" i="5"/>
  <c r="Q18" i="6"/>
  <c r="S18" i="6" s="1"/>
  <c r="N9" i="6"/>
  <c r="C9" i="6"/>
  <c r="N8" i="6"/>
  <c r="N7" i="6"/>
  <c r="M10" i="6" l="1"/>
  <c r="Q9" i="6"/>
  <c r="S9" i="6" s="1"/>
  <c r="E37" i="5"/>
  <c r="E39" i="5" s="1"/>
  <c r="E35" i="5"/>
  <c r="S7" i="6"/>
  <c r="C10" i="6"/>
  <c r="D9" i="6"/>
  <c r="Q8" i="6"/>
  <c r="S8" i="6" s="1"/>
  <c r="S19" i="6" s="1"/>
  <c r="M11" i="6" l="1"/>
  <c r="N10" i="6"/>
  <c r="Q10" i="6" s="1"/>
  <c r="S10" i="6" s="1"/>
  <c r="F4" i="11"/>
  <c r="F18" i="11"/>
  <c r="F15" i="11"/>
  <c r="F16" i="11"/>
  <c r="F17" i="11"/>
  <c r="F14" i="11"/>
  <c r="F6" i="11"/>
  <c r="F10" i="11"/>
  <c r="F13" i="11"/>
  <c r="F12" i="11"/>
  <c r="F5" i="11"/>
  <c r="F11" i="11"/>
  <c r="F8" i="11"/>
  <c r="F9" i="11"/>
  <c r="F7" i="11"/>
  <c r="E6" i="6"/>
  <c r="G6" i="6" s="1"/>
  <c r="I6" i="6" s="1"/>
  <c r="E15" i="6"/>
  <c r="E17" i="6"/>
  <c r="E12" i="6"/>
  <c r="E8" i="6"/>
  <c r="G8" i="6" s="1"/>
  <c r="I8" i="6" s="1"/>
  <c r="E16" i="6"/>
  <c r="E11" i="6"/>
  <c r="E13" i="6"/>
  <c r="E9" i="6"/>
  <c r="G9" i="6" s="1"/>
  <c r="I9" i="6" s="1"/>
  <c r="E10" i="6"/>
  <c r="E18" i="6"/>
  <c r="G18" i="6" s="1"/>
  <c r="I18" i="6" s="1"/>
  <c r="E7" i="6"/>
  <c r="G7" i="6" s="1"/>
  <c r="I7" i="6" s="1"/>
  <c r="E14" i="6"/>
  <c r="C11" i="6"/>
  <c r="D10" i="6"/>
  <c r="G10" i="6" s="1"/>
  <c r="M12" i="6"/>
  <c r="N11" i="6"/>
  <c r="Q11" i="6" s="1"/>
  <c r="I19" i="6" l="1"/>
  <c r="I10" i="6"/>
  <c r="S11" i="6"/>
  <c r="C12" i="6"/>
  <c r="D11" i="6"/>
  <c r="G11" i="6" s="1"/>
  <c r="I11" i="6" s="1"/>
  <c r="M13" i="6"/>
  <c r="N12" i="6"/>
  <c r="Q12" i="6" s="1"/>
  <c r="S12" i="6" s="1"/>
  <c r="I25" i="6" l="1"/>
  <c r="I26" i="6" s="1"/>
  <c r="M14" i="6"/>
  <c r="N13" i="6"/>
  <c r="Q13" i="6" s="1"/>
  <c r="D12" i="6"/>
  <c r="G12" i="6" s="1"/>
  <c r="I12" i="6" s="1"/>
  <c r="C13" i="6"/>
  <c r="S13" i="6" l="1"/>
  <c r="D13" i="6"/>
  <c r="G13" i="6" s="1"/>
  <c r="I13" i="6" s="1"/>
  <c r="C14" i="6"/>
  <c r="M15" i="6"/>
  <c r="N14" i="6"/>
  <c r="Q14" i="6" s="1"/>
  <c r="S14" i="6" s="1"/>
  <c r="N15" i="6" l="1"/>
  <c r="Q15" i="6" s="1"/>
  <c r="S15" i="6" s="1"/>
  <c r="M16" i="6"/>
  <c r="C15" i="6"/>
  <c r="D14" i="6"/>
  <c r="G14" i="6" s="1"/>
  <c r="I14" i="6" s="1"/>
  <c r="C16" i="6" l="1"/>
  <c r="D15" i="6"/>
  <c r="G15" i="6" s="1"/>
  <c r="I15" i="6" s="1"/>
  <c r="N16" i="6"/>
  <c r="Q16" i="6" s="1"/>
  <c r="S50" i="6"/>
  <c r="S16" i="6" l="1"/>
  <c r="Q19" i="6"/>
  <c r="I50" i="6"/>
  <c r="D16" i="6"/>
  <c r="G16" i="6" s="1"/>
  <c r="I16" i="6" l="1"/>
  <c r="G19" i="6"/>
  <c r="B21" i="5" l="1"/>
  <c r="B20" i="5"/>
  <c r="B19" i="5"/>
  <c r="B15" i="5"/>
  <c r="E15" i="5" l="1"/>
  <c r="E17" i="5" s="1"/>
  <c r="E19" i="5" s="1"/>
  <c r="E20" i="5" s="1"/>
  <c r="E21" i="5" l="1"/>
  <c r="N45" i="2" l="1"/>
  <c r="M51" i="2" l="1"/>
  <c r="L51" i="2"/>
  <c r="N50" i="2"/>
  <c r="N49" i="2"/>
  <c r="N48" i="2"/>
  <c r="N47" i="2"/>
  <c r="N46" i="2"/>
  <c r="E51" i="2"/>
  <c r="D51" i="2"/>
  <c r="F50" i="2"/>
  <c r="F49" i="2"/>
  <c r="F48" i="2"/>
  <c r="F47" i="2"/>
  <c r="F46" i="2"/>
  <c r="F45" i="2"/>
  <c r="N51" i="2" l="1"/>
  <c r="O45" i="2"/>
  <c r="G60" i="2" s="1"/>
  <c r="G45" i="2"/>
  <c r="F51" i="2"/>
  <c r="O46" i="2" l="1"/>
  <c r="O47" i="2" s="1"/>
  <c r="O48" i="2" s="1"/>
  <c r="O49" i="2" s="1"/>
  <c r="O50" i="2" s="1"/>
  <c r="O51" i="2" s="1"/>
  <c r="G46" i="2"/>
  <c r="G47" i="2" s="1"/>
  <c r="G48" i="2" s="1"/>
  <c r="G49" i="2" s="1"/>
  <c r="G50" i="2" s="1"/>
  <c r="G51" i="2" s="1"/>
  <c r="C4" i="11" l="1"/>
  <c r="B9" i="1"/>
  <c r="B10" i="1"/>
  <c r="C5" i="11" l="1"/>
  <c r="D4" i="11"/>
  <c r="E4" i="11" s="1"/>
  <c r="C9" i="1"/>
  <c r="C6" i="11" l="1"/>
  <c r="D5" i="11"/>
  <c r="E5" i="11" s="1"/>
  <c r="H5" i="11" s="1"/>
  <c r="B14" i="1"/>
  <c r="B18" i="11" l="1"/>
  <c r="B10" i="11"/>
  <c r="B17" i="11"/>
  <c r="B9" i="11"/>
  <c r="B16" i="11"/>
  <c r="B8" i="11"/>
  <c r="B15" i="11"/>
  <c r="B7" i="11"/>
  <c r="C7" i="11" s="1"/>
  <c r="B13" i="11"/>
  <c r="B14" i="11"/>
  <c r="B12" i="11"/>
  <c r="B11" i="11"/>
  <c r="D6" i="11"/>
  <c r="E6" i="11" s="1"/>
  <c r="H6" i="11" s="1"/>
  <c r="H20" i="11" s="1"/>
  <c r="B12" i="1" l="1"/>
  <c r="C8" i="11"/>
  <c r="D7" i="11"/>
  <c r="E7" i="11" s="1"/>
  <c r="H7" i="11" s="1"/>
  <c r="C9" i="11" l="1"/>
  <c r="D8" i="11"/>
  <c r="E8" i="11"/>
  <c r="H8" i="11" s="1"/>
  <c r="C10" i="11" l="1"/>
  <c r="D9" i="11"/>
  <c r="E9" i="11" s="1"/>
  <c r="H9" i="11" s="1"/>
  <c r="C11" i="11" l="1"/>
  <c r="D10" i="11"/>
  <c r="E10" i="11" s="1"/>
  <c r="H10" i="11" s="1"/>
  <c r="D11" i="11" l="1"/>
  <c r="E11" i="11" s="1"/>
  <c r="H11" i="11" s="1"/>
  <c r="C12" i="11"/>
  <c r="D12" i="11" l="1"/>
  <c r="E12" i="11" s="1"/>
  <c r="H12" i="11" s="1"/>
  <c r="C13" i="11"/>
  <c r="C14" i="11" l="1"/>
  <c r="D13" i="11"/>
  <c r="E13" i="11" s="1"/>
  <c r="H13" i="11" s="1"/>
  <c r="C15" i="11" l="1"/>
  <c r="D14" i="11"/>
  <c r="E14" i="11" s="1"/>
  <c r="H14" i="11" s="1"/>
  <c r="C16" i="11" l="1"/>
  <c r="D15" i="11"/>
  <c r="E15" i="11" s="1"/>
  <c r="H15" i="11" s="1"/>
  <c r="D16" i="11" l="1"/>
  <c r="E16" i="11" s="1"/>
  <c r="H16" i="11" s="1"/>
  <c r="C17" i="11"/>
  <c r="D17" i="11" l="1"/>
  <c r="E17" i="11" s="1"/>
  <c r="H17" i="11" s="1"/>
  <c r="C18" i="11"/>
  <c r="D18" i="11" s="1"/>
  <c r="E18" i="11" s="1"/>
  <c r="H18" i="11" l="1"/>
  <c r="H21" i="11" s="1"/>
  <c r="H22" i="11" s="1"/>
  <c r="B13" i="1" l="1"/>
  <c r="C11" i="1"/>
  <c r="C13" i="1" s="1"/>
  <c r="D11" i="1" s="1"/>
  <c r="B15" i="1" l="1"/>
  <c r="D9" i="1"/>
  <c r="D13" i="1" s="1"/>
</calcChain>
</file>

<file path=xl/sharedStrings.xml><?xml version="1.0" encoding="utf-8"?>
<sst xmlns="http://schemas.openxmlformats.org/spreadsheetml/2006/main" count="189" uniqueCount="104">
  <si>
    <t>Gross up for revenue sensitive items</t>
  </si>
  <si>
    <t>Over / under pass back of proceeds from prior rate period</t>
  </si>
  <si>
    <t>Over / under pass back of interest from prior rate period</t>
  </si>
  <si>
    <t>Revenue Requirement</t>
  </si>
  <si>
    <t>Description</t>
  </si>
  <si>
    <t>New net proceeds to be passed back</t>
  </si>
  <si>
    <t>Period</t>
  </si>
  <si>
    <t>Debit</t>
  </si>
  <si>
    <t>Credit</t>
  </si>
  <si>
    <t>Balance</t>
  </si>
  <si>
    <t>Cumulative balance</t>
  </si>
  <si>
    <t>Balance Carryforward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</si>
  <si>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</si>
  <si>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</si>
  <si>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</si>
  <si>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</si>
  <si>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</si>
  <si>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</si>
  <si>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</si>
  <si>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</si>
  <si>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</si>
  <si>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</si>
  <si>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Total</t>
  </si>
  <si>
    <t>PUGET SOUND ENERGY-ELECTRIC</t>
  </si>
  <si>
    <t>CONVERSION FACTOR</t>
  </si>
  <si>
    <t>COMMISSION BASIS REPORT</t>
  </si>
  <si>
    <t>LINE</t>
  </si>
  <si>
    <t>NO.</t>
  </si>
  <si>
    <t>DESCRIPTION</t>
  </si>
  <si>
    <t>RATE</t>
  </si>
  <si>
    <t>BAD DEBTS</t>
  </si>
  <si>
    <t>ANNUAL FILING FEE</t>
  </si>
  <si>
    <t>SUM OF TAXES OTHER</t>
  </si>
  <si>
    <t>25400291 Proceeds Already Set in Rates - Currently Amortizing</t>
  </si>
  <si>
    <t>25400221 REC Current Proceeds Not in Rates</t>
  </si>
  <si>
    <t>Revenue Requirement for Schedule 137</t>
  </si>
  <si>
    <t>REC</t>
  </si>
  <si>
    <t>Sched 137</t>
  </si>
  <si>
    <t>Allocation b/w</t>
  </si>
  <si>
    <t>Prin and Int</t>
  </si>
  <si>
    <t>25400301 Interest on RECs IN RATES</t>
  </si>
  <si>
    <t>25400311 Interest on RECs NOT In Rates</t>
  </si>
  <si>
    <t>FOR THE TWELVE MONTHS ENDED SEPTEMBER 30, 2016</t>
  </si>
  <si>
    <t>Tax Reform 17GRC Filing in UE-180282</t>
  </si>
  <si>
    <t>Interest Review for REC proceeds in and not-yet-in rates:  Account # 25400221 and 25400291</t>
  </si>
  <si>
    <t>Date</t>
  </si>
  <si>
    <t>Accumulated DFIT</t>
  </si>
  <si>
    <t>Proceeds net of DFIT</t>
  </si>
  <si>
    <t>Interest %</t>
  </si>
  <si>
    <t>FIT Grossup Factor</t>
  </si>
  <si>
    <t>Monthly Interest on 25400221 S/B CR to 25400311 DR to 43100181</t>
  </si>
  <si>
    <t>Actually Recorded to 25400311</t>
  </si>
  <si>
    <t>Difference S/B recorded to 25400301</t>
  </si>
  <si>
    <t>Net Balance</t>
  </si>
  <si>
    <t>Monthly Interest on 25400291 S/B  CR to 25400301 DR to 43100141</t>
  </si>
  <si>
    <t>Actually Recorded to 25400301</t>
  </si>
  <si>
    <t>Proceeds Not in Rates</t>
  </si>
  <si>
    <t>Proceeds in Rates</t>
  </si>
  <si>
    <t>(a)</t>
  </si>
  <si>
    <t>PRO FORMA COST OF CAPITAL</t>
  </si>
  <si>
    <t>GENERAL RATE CASE</t>
  </si>
  <si>
    <t>PRO FORMA</t>
  </si>
  <si>
    <t>COST</t>
  </si>
  <si>
    <t>COST OF</t>
  </si>
  <si>
    <t>CAPITAL %</t>
  </si>
  <si>
    <t>%</t>
  </si>
  <si>
    <t>CAPITAL</t>
  </si>
  <si>
    <t>SHORT &amp; LONG TERM DEBT</t>
  </si>
  <si>
    <t>EQUITY</t>
  </si>
  <si>
    <t>TOTAL COST OF CAPITAL</t>
  </si>
  <si>
    <t>AFTER TAX DEBT</t>
  </si>
  <si>
    <t>TOTAL AFTER TAX COST OF CAPITAL</t>
  </si>
  <si>
    <t>Month</t>
  </si>
  <si>
    <t>Amortization</t>
  </si>
  <si>
    <t>Shape</t>
  </si>
  <si>
    <t>Delivered</t>
  </si>
  <si>
    <t>New interest to be passed back</t>
  </si>
  <si>
    <t>Based on actual balance using authorized ROR and FIT rate</t>
  </si>
  <si>
    <r>
      <t xml:space="preserve">Balance Proceeds </t>
    </r>
    <r>
      <rPr>
        <sz val="11"/>
        <color rgb="FF0000FF"/>
        <rFont val="Calibri"/>
        <family val="2"/>
      </rPr>
      <t>Not In Rates</t>
    </r>
    <r>
      <rPr>
        <sz val="11"/>
        <color theme="1"/>
        <rFont val="Calibri"/>
        <family val="2"/>
        <scheme val="minor"/>
      </rPr>
      <t xml:space="preserve"> 25400221</t>
    </r>
  </si>
  <si>
    <r>
      <t xml:space="preserve">Balance Proceeds </t>
    </r>
    <r>
      <rPr>
        <sz val="11"/>
        <color rgb="FF0000FF"/>
        <rFont val="Calibri"/>
        <family val="2"/>
      </rPr>
      <t>In Rates</t>
    </r>
    <r>
      <rPr>
        <sz val="11"/>
        <color theme="1"/>
        <rFont val="Calibri"/>
        <family val="2"/>
        <scheme val="minor"/>
      </rPr>
      <t xml:space="preserve"> 25400291</t>
    </r>
  </si>
  <si>
    <t>Difference S/B recorded to 25400311</t>
  </si>
  <si>
    <t>Carry-over Oct 2018</t>
  </si>
  <si>
    <t xml:space="preserve">  </t>
  </si>
  <si>
    <t>&lt;==check interest in 43100141</t>
  </si>
  <si>
    <t>&lt;==check interest in 43100181</t>
  </si>
  <si>
    <t>USE UNTIL 19GRC, DO NOT USE ERF</t>
  </si>
  <si>
    <t>Check --↑</t>
  </si>
  <si>
    <t>REC's 2019 Actuals for 2020 rates</t>
  </si>
  <si>
    <t>&lt;==check</t>
  </si>
  <si>
    <t>Interest true-up to be recorded in November 2019 close</t>
  </si>
  <si>
    <t>re'd Jan 2019</t>
  </si>
  <si>
    <t>After Tax Interest % UE-180282</t>
  </si>
  <si>
    <t>Correction Not In Rates Interest</t>
  </si>
  <si>
    <t>Correction  In Rates Interest</t>
  </si>
  <si>
    <t>Acct/Order</t>
  </si>
  <si>
    <t>$$</t>
  </si>
  <si>
    <t>Load F19</t>
  </si>
  <si>
    <t>PRIOR YEAR REV REQ:   Effective January 1, 2019</t>
  </si>
  <si>
    <t>Proceeds from 25400221 expected in 25400291</t>
  </si>
  <si>
    <t>Expected Interest Accruals for November and December 2019 unamortized balance of proceeds:</t>
  </si>
  <si>
    <t>To Be Effective January 1, 2020</t>
  </si>
  <si>
    <t>&lt;== Tax Reform</t>
  </si>
  <si>
    <t>Total Interest from 2019 not currently in rates or net un/over amortized  in rates:</t>
  </si>
  <si>
    <t>True-up for Interest rate per UE-180282 Jan 2018 thru Oct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</si>
</sst>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.000000_);[Red]\(#,##0.000000\)"/>
    <numFmt numFmtId="165" formatCode="&quot;PAGE&quot;\ 0.00"/>
    <numFmt numFmtId="166" formatCode="0.000000"/>
    <numFmt numFmtId="167" formatCode="0.0000%"/>
    <numFmt numFmtId="168" formatCode="_(* #,##0_);_(* \(#,##0\);_(* &quot;-&quot;??_);_(@_)"/>
    <numFmt numFmtId="169" formatCode="_(&quot;$&quot;* #,##0_);_(&quot;$&quot;* \(#,##0\);_(&quot;$&quot;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color rgb="FFFF0000"/>
      <name val="Calibri"/>
      <family val="2"/>
      <scheme val="minor"/>
    </font>
    <font>
      <b/>
      <i/>
      <sz val="10"/>
      <color rgb="FF0000FF"/>
      <name val="Times New Roman"/>
      <family val="1"/>
    </font>
    <font>
      <b/>
      <sz val="10"/>
      <color rgb="FFFF0000"/>
      <name val="Times New Roman"/>
      <family val="1"/>
    </font>
    <font>
      <sz val="11"/>
      <color rgb="FF0000FF"/>
      <name val="Calibri"/>
      <family val="2"/>
      <scheme val="minor"/>
    </font>
    <font>
      <sz val="11"/>
      <color rgb="FF0000FF"/>
      <name val="Calibri"/>
      <family val="2"/>
    </font>
    <font>
      <sz val="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rgb="FF0000FF"/>
      <name val="Arial"/>
      <family val="2"/>
    </font>
    <font>
      <b/>
      <sz val="8"/>
      <color rgb="FFFF000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0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9" fillId="0" borderId="0"/>
    <xf numFmtId="0" fontId="1" fillId="0" borderId="0"/>
    <xf numFmtId="0" fontId="19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7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164" fontId="0" fillId="0" borderId="0" xfId="0" applyNumberFormat="1"/>
    <xf numFmtId="41" fontId="0" fillId="0" borderId="0" xfId="0" applyNumberFormat="1"/>
    <xf numFmtId="42" fontId="0" fillId="0" borderId="0" xfId="0" applyNumberFormat="1"/>
    <xf numFmtId="41" fontId="0" fillId="0" borderId="11" xfId="0" applyNumberFormat="1" applyBorder="1"/>
    <xf numFmtId="42" fontId="0" fillId="0" borderId="12" xfId="0" applyNumberFormat="1" applyBorder="1"/>
    <xf numFmtId="0" fontId="18" fillId="33" borderId="13" xfId="44" applyFont="1" applyFill="1" applyBorder="1"/>
    <xf numFmtId="4" fontId="18" fillId="0" borderId="0" xfId="43" applyNumberFormat="1" applyFont="1" applyFill="1" applyBorder="1" applyAlignment="1">
      <alignment horizontal="right"/>
    </xf>
    <xf numFmtId="0" fontId="0" fillId="0" borderId="17" xfId="0" applyBorder="1"/>
    <xf numFmtId="4" fontId="18" fillId="0" borderId="0" xfId="43" applyNumberFormat="1" applyFont="1" applyBorder="1" applyAlignment="1">
      <alignment horizontal="right"/>
    </xf>
    <xf numFmtId="0" fontId="0" fillId="0" borderId="16" xfId="0" applyBorder="1"/>
    <xf numFmtId="0" fontId="18" fillId="0" borderId="0" xfId="43" applyFont="1" applyBorder="1"/>
    <xf numFmtId="0" fontId="0" fillId="0" borderId="15" xfId="0" applyBorder="1"/>
    <xf numFmtId="0" fontId="0" fillId="0" borderId="18" xfId="0" applyBorder="1"/>
    <xf numFmtId="0" fontId="0" fillId="0" borderId="14" xfId="0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18" fillId="33" borderId="13" xfId="43" applyFont="1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8" fillId="0" borderId="0" xfId="44" applyFont="1" applyBorder="1"/>
    <xf numFmtId="4" fontId="18" fillId="0" borderId="0" xfId="44" applyNumberFormat="1" applyFont="1" applyBorder="1" applyAlignment="1">
      <alignment horizontal="right"/>
    </xf>
    <xf numFmtId="0" fontId="19" fillId="0" borderId="0" xfId="45" applyFont="1" applyBorder="1"/>
    <xf numFmtId="4" fontId="19" fillId="0" borderId="0" xfId="45" applyNumberFormat="1" applyFont="1" applyBorder="1" applyAlignment="1">
      <alignment horizontal="right"/>
    </xf>
    <xf numFmtId="0" fontId="0" fillId="0" borderId="0" xfId="0" applyAlignment="1">
      <alignment horizontal="left" wrapText="1"/>
    </xf>
    <xf numFmtId="0" fontId="20" fillId="0" borderId="0" xfId="0" applyNumberFormat="1" applyFont="1" applyFill="1" applyAlignment="1"/>
    <xf numFmtId="165" fontId="20" fillId="0" borderId="0" xfId="0" applyNumberFormat="1" applyFont="1" applyFill="1" applyBorder="1" applyAlignment="1">
      <alignment horizontal="right"/>
    </xf>
    <xf numFmtId="0" fontId="20" fillId="0" borderId="0" xfId="0" applyNumberFormat="1" applyFont="1" applyFill="1" applyAlignment="1" applyProtection="1">
      <alignment horizontal="centerContinuous"/>
      <protection locked="0"/>
    </xf>
    <xf numFmtId="0" fontId="20" fillId="0" borderId="0" xfId="0" applyNumberFormat="1" applyFont="1" applyFill="1" applyAlignment="1">
      <alignment horizontal="centerContinuous"/>
    </xf>
    <xf numFmtId="0" fontId="20" fillId="0" borderId="0" xfId="0" applyNumberFormat="1" applyFont="1" applyFill="1" applyBorder="1" applyAlignment="1">
      <alignment horizontal="centerContinuous"/>
    </xf>
    <xf numFmtId="0" fontId="20" fillId="0" borderId="0" xfId="0" applyNumberFormat="1" applyFont="1" applyFill="1" applyAlignment="1">
      <alignment horizontal="center"/>
    </xf>
    <xf numFmtId="0" fontId="20" fillId="0" borderId="10" xfId="0" applyNumberFormat="1" applyFont="1" applyFill="1" applyBorder="1" applyAlignment="1">
      <alignment horizontal="center"/>
    </xf>
    <xf numFmtId="0" fontId="20" fillId="0" borderId="10" xfId="0" applyNumberFormat="1" applyFont="1" applyFill="1" applyBorder="1" applyAlignment="1" applyProtection="1">
      <protection locked="0"/>
    </xf>
    <xf numFmtId="0" fontId="20" fillId="0" borderId="10" xfId="0" applyNumberFormat="1" applyFont="1" applyFill="1" applyBorder="1" applyAlignment="1"/>
    <xf numFmtId="0" fontId="20" fillId="0" borderId="10" xfId="0" applyNumberFormat="1" applyFont="1" applyFill="1" applyBorder="1" applyAlignment="1">
      <alignment horizontal="right"/>
    </xf>
    <xf numFmtId="0" fontId="21" fillId="0" borderId="0" xfId="0" applyNumberFormat="1" applyFont="1" applyFill="1" applyAlignment="1"/>
    <xf numFmtId="0" fontId="21" fillId="0" borderId="0" xfId="0" applyNumberFormat="1" applyFont="1" applyFill="1" applyAlignment="1">
      <alignment horizontal="center"/>
    </xf>
    <xf numFmtId="0" fontId="21" fillId="0" borderId="0" xfId="0" applyNumberFormat="1" applyFont="1" applyFill="1" applyAlignment="1">
      <alignment horizontal="left"/>
    </xf>
    <xf numFmtId="166" fontId="21" fillId="0" borderId="0" xfId="0" applyNumberFormat="1" applyFont="1" applyFill="1" applyAlignment="1"/>
    <xf numFmtId="167" fontId="21" fillId="0" borderId="0" xfId="0" applyNumberFormat="1" applyFont="1" applyFill="1" applyAlignment="1"/>
    <xf numFmtId="166" fontId="21" fillId="0" borderId="10" xfId="0" applyNumberFormat="1" applyFont="1" applyFill="1" applyBorder="1" applyAlignment="1"/>
    <xf numFmtId="166" fontId="21" fillId="0" borderId="0" xfId="0" applyNumberFormat="1" applyFont="1" applyFill="1" applyBorder="1" applyAlignment="1"/>
    <xf numFmtId="0" fontId="19" fillId="33" borderId="13" xfId="45" applyFont="1" applyFill="1" applyBorder="1"/>
    <xf numFmtId="43" fontId="0" fillId="0" borderId="0" xfId="0" applyNumberFormat="1"/>
    <xf numFmtId="10" fontId="0" fillId="0" borderId="0" xfId="1" applyNumberFormat="1" applyFont="1"/>
    <xf numFmtId="9" fontId="0" fillId="0" borderId="22" xfId="0" applyNumberFormat="1" applyBorder="1"/>
    <xf numFmtId="0" fontId="22" fillId="0" borderId="0" xfId="0" applyFont="1"/>
    <xf numFmtId="4" fontId="0" fillId="0" borderId="0" xfId="0" applyNumberFormat="1" applyAlignment="1">
      <alignment horizontal="right" vertical="top"/>
    </xf>
    <xf numFmtId="0" fontId="0" fillId="0" borderId="0" xfId="0" applyNumberFormat="1" applyFont="1" applyFill="1" applyAlignment="1"/>
    <xf numFmtId="9" fontId="23" fillId="35" borderId="0" xfId="0" applyNumberFormat="1" applyFont="1" applyFill="1" applyAlignment="1"/>
    <xf numFmtId="166" fontId="23" fillId="35" borderId="12" xfId="0" applyNumberFormat="1" applyFont="1" applyFill="1" applyBorder="1" applyAlignment="1" applyProtection="1">
      <protection locked="0"/>
    </xf>
    <xf numFmtId="0" fontId="18" fillId="36" borderId="0" xfId="43" applyFont="1" applyFill="1" applyBorder="1"/>
    <xf numFmtId="4" fontId="18" fillId="36" borderId="0" xfId="43" applyNumberFormat="1" applyFont="1" applyFill="1" applyBorder="1" applyAlignment="1">
      <alignment horizontal="right"/>
    </xf>
    <xf numFmtId="0" fontId="18" fillId="36" borderId="0" xfId="44" applyFont="1" applyFill="1" applyBorder="1"/>
    <xf numFmtId="4" fontId="18" fillId="36" borderId="0" xfId="44" applyNumberFormat="1" applyFont="1" applyFill="1" applyBorder="1" applyAlignment="1">
      <alignment horizontal="right"/>
    </xf>
    <xf numFmtId="0" fontId="16" fillId="0" borderId="0" xfId="0" applyFont="1"/>
    <xf numFmtId="0" fontId="0" fillId="0" borderId="0" xfId="0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3" fontId="0" fillId="0" borderId="0" xfId="49" applyFont="1"/>
    <xf numFmtId="168" fontId="0" fillId="0" borderId="0" xfId="49" applyNumberFormat="1" applyFont="1"/>
    <xf numFmtId="17" fontId="0" fillId="0" borderId="0" xfId="0" applyNumberFormat="1"/>
    <xf numFmtId="43" fontId="0" fillId="0" borderId="0" xfId="49" applyNumberFormat="1" applyFont="1"/>
    <xf numFmtId="43" fontId="1" fillId="0" borderId="0" xfId="48" applyFont="1" applyAlignment="1">
      <alignment horizontal="right" vertical="top"/>
    </xf>
    <xf numFmtId="43" fontId="1" fillId="34" borderId="0" xfId="48" applyFont="1" applyFill="1" applyAlignment="1">
      <alignment horizontal="right" vertical="top"/>
    </xf>
    <xf numFmtId="43" fontId="0" fillId="0" borderId="0" xfId="49" applyFont="1" applyFill="1"/>
    <xf numFmtId="43" fontId="0" fillId="34" borderId="0" xfId="49" applyFont="1" applyFill="1"/>
    <xf numFmtId="4" fontId="0" fillId="0" borderId="0" xfId="0" applyNumberFormat="1"/>
    <xf numFmtId="43" fontId="0" fillId="34" borderId="12" xfId="0" applyNumberFormat="1" applyFill="1" applyBorder="1"/>
    <xf numFmtId="0" fontId="14" fillId="0" borderId="0" xfId="0" applyFont="1"/>
    <xf numFmtId="43" fontId="14" fillId="0" borderId="0" xfId="0" applyNumberFormat="1" applyFont="1" applyAlignment="1">
      <alignment horizontal="right"/>
    </xf>
    <xf numFmtId="0" fontId="21" fillId="0" borderId="0" xfId="0" applyNumberFormat="1" applyFont="1" applyFill="1" applyAlignment="1">
      <alignment horizontal="centerContinuous"/>
    </xf>
    <xf numFmtId="0" fontId="24" fillId="0" borderId="0" xfId="0" applyNumberFormat="1" applyFont="1" applyFill="1" applyAlignment="1">
      <alignment horizontal="centerContinuous"/>
    </xf>
    <xf numFmtId="0" fontId="21" fillId="0" borderId="0" xfId="0" applyNumberFormat="1" applyFont="1" applyFill="1" applyAlignment="1" applyProtection="1">
      <protection locked="0"/>
    </xf>
    <xf numFmtId="0" fontId="20" fillId="0" borderId="10" xfId="0" applyNumberFormat="1" applyFont="1" applyFill="1" applyBorder="1" applyAlignment="1">
      <alignment horizontal="left"/>
    </xf>
    <xf numFmtId="0" fontId="21" fillId="0" borderId="0" xfId="0" applyNumberFormat="1" applyFont="1" applyFill="1" applyAlignment="1">
      <alignment horizontal="fill"/>
    </xf>
    <xf numFmtId="10" fontId="21" fillId="0" borderId="0" xfId="0" applyNumberFormat="1" applyFont="1" applyFill="1" applyBorder="1" applyAlignment="1"/>
    <xf numFmtId="10" fontId="21" fillId="0" borderId="11" xfId="0" applyNumberFormat="1" applyFont="1" applyFill="1" applyBorder="1" applyAlignment="1"/>
    <xf numFmtId="0" fontId="21" fillId="0" borderId="11" xfId="0" applyNumberFormat="1" applyFont="1" applyFill="1" applyBorder="1" applyAlignment="1"/>
    <xf numFmtId="0" fontId="21" fillId="0" borderId="0" xfId="0" applyNumberFormat="1" applyFont="1" applyFill="1" applyBorder="1" applyAlignment="1"/>
    <xf numFmtId="10" fontId="21" fillId="0" borderId="0" xfId="0" applyNumberFormat="1" applyFont="1" applyFill="1" applyAlignment="1"/>
    <xf numFmtId="10" fontId="23" fillId="35" borderId="0" xfId="0" applyNumberFormat="1" applyFont="1" applyFill="1" applyBorder="1" applyAlignment="1"/>
    <xf numFmtId="10" fontId="23" fillId="35" borderId="11" xfId="0" applyNumberFormat="1" applyFont="1" applyFill="1" applyBorder="1" applyAlignment="1"/>
    <xf numFmtId="168" fontId="0" fillId="0" borderId="22" xfId="0" applyNumberFormat="1" applyBorder="1"/>
    <xf numFmtId="14" fontId="0" fillId="0" borderId="0" xfId="0" applyNumberFormat="1" applyAlignment="1">
      <alignment horizontal="left"/>
    </xf>
    <xf numFmtId="42" fontId="0" fillId="0" borderId="0" xfId="0" applyNumberFormat="1" applyBorder="1"/>
    <xf numFmtId="168" fontId="0" fillId="0" borderId="0" xfId="0" applyNumberFormat="1"/>
    <xf numFmtId="9" fontId="0" fillId="0" borderId="0" xfId="1" applyFont="1"/>
    <xf numFmtId="168" fontId="0" fillId="0" borderId="12" xfId="0" applyNumberFormat="1" applyBorder="1"/>
    <xf numFmtId="9" fontId="0" fillId="0" borderId="12" xfId="1" applyFont="1" applyBorder="1"/>
    <xf numFmtId="0" fontId="19" fillId="37" borderId="0" xfId="45" applyFont="1" applyFill="1" applyBorder="1"/>
    <xf numFmtId="4" fontId="19" fillId="37" borderId="0" xfId="45" applyNumberFormat="1" applyFont="1" applyFill="1" applyBorder="1" applyAlignment="1">
      <alignment horizontal="right"/>
    </xf>
    <xf numFmtId="4" fontId="18" fillId="37" borderId="0" xfId="43" applyNumberFormat="1" applyFont="1" applyFill="1" applyBorder="1" applyAlignment="1">
      <alignment horizontal="right"/>
    </xf>
    <xf numFmtId="0" fontId="0" fillId="37" borderId="0" xfId="0" applyFill="1"/>
    <xf numFmtId="42" fontId="0" fillId="37" borderId="0" xfId="0" applyNumberFormat="1" applyFill="1"/>
    <xf numFmtId="0" fontId="0" fillId="36" borderId="12" xfId="0" applyFill="1" applyBorder="1"/>
    <xf numFmtId="169" fontId="0" fillId="36" borderId="12" xfId="0" applyNumberFormat="1" applyFill="1" applyBorder="1"/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25" fillId="0" borderId="23" xfId="0" applyFont="1" applyBorder="1" applyAlignment="1">
      <alignment horizontal="centerContinuous"/>
    </xf>
    <xf numFmtId="0" fontId="25" fillId="0" borderId="24" xfId="0" applyFont="1" applyBorder="1" applyAlignment="1">
      <alignment horizontal="centerContinuous"/>
    </xf>
    <xf numFmtId="0" fontId="25" fillId="0" borderId="25" xfId="0" applyFont="1" applyBorder="1" applyAlignment="1">
      <alignment horizontal="centerContinuous"/>
    </xf>
    <xf numFmtId="9" fontId="0" fillId="0" borderId="0" xfId="0" applyNumberFormat="1"/>
    <xf numFmtId="43" fontId="0" fillId="39" borderId="0" xfId="49" applyNumberFormat="1" applyFont="1" applyFill="1"/>
    <xf numFmtId="43" fontId="27" fillId="0" borderId="0" xfId="0" applyNumberFormat="1" applyFont="1" applyBorder="1"/>
    <xf numFmtId="43" fontId="14" fillId="38" borderId="0" xfId="0" applyNumberFormat="1" applyFont="1" applyFill="1" applyAlignment="1">
      <alignment horizontal="center"/>
    </xf>
    <xf numFmtId="17" fontId="0" fillId="40" borderId="0" xfId="0" applyNumberFormat="1" applyFill="1"/>
    <xf numFmtId="43" fontId="0" fillId="40" borderId="0" xfId="49" applyFont="1" applyFill="1"/>
    <xf numFmtId="168" fontId="0" fillId="40" borderId="0" xfId="49" applyNumberFormat="1" applyFont="1" applyFill="1"/>
    <xf numFmtId="43" fontId="0" fillId="40" borderId="0" xfId="0" applyNumberFormat="1" applyFill="1"/>
    <xf numFmtId="17" fontId="0" fillId="39" borderId="0" xfId="0" applyNumberFormat="1" applyFill="1"/>
    <xf numFmtId="43" fontId="0" fillId="39" borderId="0" xfId="49" applyFont="1" applyFill="1"/>
    <xf numFmtId="168" fontId="0" fillId="39" borderId="0" xfId="49" applyNumberFormat="1" applyFont="1" applyFill="1"/>
    <xf numFmtId="43" fontId="0" fillId="39" borderId="0" xfId="0" applyNumberFormat="1" applyFill="1"/>
    <xf numFmtId="10" fontId="0" fillId="39" borderId="0" xfId="1" applyNumberFormat="1" applyFont="1" applyFill="1"/>
    <xf numFmtId="0" fontId="0" fillId="39" borderId="0" xfId="0" applyFill="1"/>
    <xf numFmtId="43" fontId="1" fillId="39" borderId="0" xfId="48" applyFont="1" applyFill="1" applyAlignment="1">
      <alignment horizontal="right" vertical="top"/>
    </xf>
    <xf numFmtId="0" fontId="28" fillId="0" borderId="0" xfId="0" applyFont="1"/>
    <xf numFmtId="0" fontId="27" fillId="0" borderId="0" xfId="0" applyFont="1" applyAlignment="1">
      <alignment horizontal="center"/>
    </xf>
    <xf numFmtId="4" fontId="29" fillId="38" borderId="0" xfId="43" applyNumberFormat="1" applyFont="1" applyFill="1" applyBorder="1" applyAlignment="1">
      <alignment horizontal="right"/>
    </xf>
    <xf numFmtId="0" fontId="27" fillId="0" borderId="0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1" xfId="0" applyBorder="1"/>
    <xf numFmtId="43" fontId="0" fillId="0" borderId="11" xfId="0" applyNumberFormat="1" applyBorder="1"/>
    <xf numFmtId="43" fontId="14" fillId="0" borderId="0" xfId="0" applyNumberFormat="1" applyFont="1" applyAlignment="1">
      <alignment horizontal="left"/>
    </xf>
    <xf numFmtId="168" fontId="0" fillId="41" borderId="0" xfId="49" applyNumberFormat="1" applyFont="1" applyFill="1"/>
    <xf numFmtId="41" fontId="0" fillId="42" borderId="0" xfId="0" applyNumberFormat="1" applyFill="1"/>
    <xf numFmtId="0" fontId="0" fillId="42" borderId="0" xfId="0" applyFill="1"/>
    <xf numFmtId="0" fontId="0" fillId="42" borderId="0" xfId="0" applyFill="1" applyAlignment="1">
      <alignment horizontal="center"/>
    </xf>
    <xf numFmtId="0" fontId="0" fillId="42" borderId="10" xfId="0" applyFill="1" applyBorder="1" applyAlignment="1">
      <alignment horizontal="center"/>
    </xf>
    <xf numFmtId="42" fontId="0" fillId="42" borderId="0" xfId="0" applyNumberFormat="1" applyFill="1"/>
    <xf numFmtId="10" fontId="0" fillId="42" borderId="0" xfId="1" applyNumberFormat="1" applyFont="1" applyFill="1"/>
    <xf numFmtId="41" fontId="0" fillId="42" borderId="11" xfId="0" applyNumberFormat="1" applyFill="1" applyBorder="1"/>
    <xf numFmtId="168" fontId="0" fillId="42" borderId="22" xfId="0" applyNumberFormat="1" applyFill="1" applyBorder="1"/>
    <xf numFmtId="9" fontId="0" fillId="42" borderId="22" xfId="0" applyNumberFormat="1" applyFill="1" applyBorder="1"/>
    <xf numFmtId="164" fontId="0" fillId="42" borderId="0" xfId="0" applyNumberFormat="1" applyFill="1"/>
    <xf numFmtId="42" fontId="0" fillId="42" borderId="12" xfId="0" applyNumberFormat="1" applyFill="1" applyBorder="1"/>
    <xf numFmtId="0" fontId="0" fillId="0" borderId="0" xfId="0" applyAlignment="1">
      <alignment horizontal="left" vertical="center"/>
    </xf>
    <xf numFmtId="168" fontId="0" fillId="42" borderId="0" xfId="49" applyNumberFormat="1" applyFont="1" applyFill="1"/>
    <xf numFmtId="0" fontId="30" fillId="37" borderId="0" xfId="45" applyFont="1" applyFill="1" applyBorder="1"/>
    <xf numFmtId="4" fontId="19" fillId="34" borderId="29" xfId="45" applyNumberFormat="1" applyFont="1" applyFill="1" applyBorder="1" applyAlignment="1">
      <alignment horizontal="right"/>
    </xf>
  </cellXfs>
  <cellStyles count="50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9" builtinId="3"/>
    <cellStyle name="Comma 10" xfId="48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15 2" xfId="46"/>
    <cellStyle name="Normal 125" xfId="45"/>
    <cellStyle name="Normal 126" xfId="47"/>
    <cellStyle name="Normal 129" xfId="44"/>
    <cellStyle name="Normal 2" xfId="43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0000FF"/>
      <color rgb="FFCC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31</xdr:row>
      <xdr:rowOff>95250</xdr:rowOff>
    </xdr:from>
    <xdr:to>
      <xdr:col>7</xdr:col>
      <xdr:colOff>694673</xdr:colOff>
      <xdr:row>57</xdr:row>
      <xdr:rowOff>66059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6953250"/>
          <a:ext cx="5219048" cy="4923809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95250</xdr:colOff>
      <xdr:row>31</xdr:row>
      <xdr:rowOff>161925</xdr:rowOff>
    </xdr:from>
    <xdr:to>
      <xdr:col>17</xdr:col>
      <xdr:colOff>504170</xdr:colOff>
      <xdr:row>57</xdr:row>
      <xdr:rowOff>123211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39075" y="7019925"/>
          <a:ext cx="5238095" cy="49142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2018\2018%20Tax%20Reform%20WP\RevReq%20WP\%23Electric%20Model%20Tax%20Reform%202017%20GRC%20(SETTLEMENT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Schedules\Schedule%20137%20-%20REC%20Revenues%20(2012%20and%20forward)\Jan%202019%20rate\Dirty%20Set%20Schedule%20137%20REC%20Rev%20Req%202019%20Workpap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Summary"/>
      <sheetName val="ETR"/>
      <sheetName val="KJB-3,11 Def"/>
      <sheetName val="KJB-6,13 Cmn Adj"/>
      <sheetName val="KJB-7,14 El Adj"/>
      <sheetName val="Power Cost Bridge to A-1"/>
      <sheetName val="Exh.A-1"/>
      <sheetName val="RJR Prod O&amp;M"/>
      <sheetName val="PKW RY PC1"/>
      <sheetName val="MCC-2r page 7-30 Black Box"/>
      <sheetName val="Work Papers==&gt;"/>
      <sheetName val="Verify Pwr Costs"/>
      <sheetName val="Centralia Equity Kicker"/>
      <sheetName val="For Prod Adj Ratebase"/>
      <sheetName val="For Prod Adj Expense"/>
      <sheetName val="Trans Ratebase"/>
      <sheetName val="Trans OATT Revenue"/>
    </sheetNames>
    <sheetDataSet>
      <sheetData sheetId="0"/>
      <sheetData sheetId="1"/>
      <sheetData sheetId="2"/>
      <sheetData sheetId="3"/>
      <sheetData sheetId="4">
        <row r="7">
          <cell r="B7" t="str">
            <v>FOR THE TWELVE MONTHS ENDED SEPTEMBER 30, 2016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Requirement"/>
      <sheetName val="Tracking Accounts"/>
      <sheetName val="Conv Factor"/>
      <sheetName val="Interest Review for Jan 2019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D27" sqref="D27"/>
    </sheetView>
  </sheetViews>
  <sheetFormatPr defaultRowHeight="15" x14ac:dyDescent="0.25"/>
  <cols>
    <col min="1" max="1" width="53" bestFit="1" customWidth="1"/>
    <col min="2" max="2" width="14.140625" customWidth="1"/>
    <col min="3" max="3" width="14" bestFit="1" customWidth="1"/>
    <col min="4" max="4" width="14.140625" bestFit="1" customWidth="1"/>
    <col min="6" max="7" width="12.28515625" bestFit="1" customWidth="1"/>
    <col min="9" max="9" width="10.7109375" bestFit="1" customWidth="1"/>
    <col min="10" max="10" width="9.7109375" bestFit="1" customWidth="1"/>
  </cols>
  <sheetData>
    <row r="1" spans="1:4" x14ac:dyDescent="0.25">
      <c r="A1" t="s">
        <v>35</v>
      </c>
    </row>
    <row r="2" spans="1:4" x14ac:dyDescent="0.25">
      <c r="A2" t="s">
        <v>100</v>
      </c>
    </row>
    <row r="6" spans="1:4" x14ac:dyDescent="0.25">
      <c r="B6" s="1" t="s">
        <v>36</v>
      </c>
    </row>
    <row r="7" spans="1:4" x14ac:dyDescent="0.25">
      <c r="A7" s="2" t="s">
        <v>4</v>
      </c>
      <c r="B7" s="2" t="s">
        <v>37</v>
      </c>
      <c r="D7" s="1" t="s">
        <v>38</v>
      </c>
    </row>
    <row r="8" spans="1:4" x14ac:dyDescent="0.25">
      <c r="D8" s="1" t="s">
        <v>39</v>
      </c>
    </row>
    <row r="9" spans="1:4" x14ac:dyDescent="0.25">
      <c r="A9" t="s">
        <v>5</v>
      </c>
      <c r="B9" s="5">
        <f>'Tracking Accounts'!G18</f>
        <v>-1247711.95</v>
      </c>
      <c r="C9" s="5">
        <f>+B9+B10</f>
        <v>-1443831.3199999998</v>
      </c>
      <c r="D9" s="47">
        <f>+C9/C13</f>
        <v>0.92957364382277452</v>
      </c>
    </row>
    <row r="10" spans="1:4" x14ac:dyDescent="0.25">
      <c r="A10" t="s">
        <v>1</v>
      </c>
      <c r="B10" s="4">
        <f>'Tracking Accounts'!O18</f>
        <v>-196119.37</v>
      </c>
      <c r="D10" s="47"/>
    </row>
    <row r="11" spans="1:4" x14ac:dyDescent="0.25">
      <c r="A11" t="s">
        <v>76</v>
      </c>
      <c r="B11" s="4">
        <f>+'Interest exptected 2020 Period'!H21</f>
        <v>-41929.51569771584</v>
      </c>
      <c r="C11" s="4">
        <f>+B11+B12</f>
        <v>-109387.5450082575</v>
      </c>
      <c r="D11" s="47">
        <f>+C11/C13</f>
        <v>7.0426356177225521E-2</v>
      </c>
    </row>
    <row r="12" spans="1:4" x14ac:dyDescent="0.25">
      <c r="A12" t="s">
        <v>2</v>
      </c>
      <c r="B12" s="4">
        <f>+'Tracking Accounts'!G60</f>
        <v>-67458.029310541664</v>
      </c>
    </row>
    <row r="13" spans="1:4" x14ac:dyDescent="0.25">
      <c r="B13" s="6">
        <f>SUM(B9:B12)</f>
        <v>-1553218.8650082573</v>
      </c>
      <c r="C13" s="88">
        <f>SUM(C9:C12)</f>
        <v>-1553218.8650082573</v>
      </c>
      <c r="D13" s="48">
        <f>SUM(D9:D12)</f>
        <v>1</v>
      </c>
    </row>
    <row r="14" spans="1:4" x14ac:dyDescent="0.25">
      <c r="A14" t="s">
        <v>0</v>
      </c>
      <c r="B14" s="3">
        <f>'Conv F and COC UE-180282'!E19</f>
        <v>0.95238599999999995</v>
      </c>
    </row>
    <row r="15" spans="1:4" ht="15.75" thickBot="1" x14ac:dyDescent="0.3">
      <c r="A15" t="s">
        <v>3</v>
      </c>
      <c r="B15" s="7">
        <f>B13/B14</f>
        <v>-1630871.1646414977</v>
      </c>
    </row>
    <row r="16" spans="1:4" ht="15.75" thickTop="1" x14ac:dyDescent="0.25">
      <c r="B16" s="4"/>
    </row>
  </sheetData>
  <pageMargins left="0.7" right="0.7" top="0.75" bottom="0.75" header="0.3" footer="0.3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1"/>
  <sheetViews>
    <sheetView topLeftCell="C1" zoomScaleNormal="100" workbookViewId="0">
      <pane ySplit="1" topLeftCell="A20" activePane="bottomLeft" state="frozen"/>
      <selection activeCell="B12" sqref="B12:H14"/>
      <selection pane="bottomLeft" activeCell="G60" sqref="G60"/>
    </sheetView>
  </sheetViews>
  <sheetFormatPr defaultRowHeight="15" x14ac:dyDescent="0.25"/>
  <cols>
    <col min="3" max="3" width="56" customWidth="1"/>
    <col min="4" max="5" width="11.7109375" bestFit="1" customWidth="1"/>
    <col min="6" max="6" width="20.140625" customWidth="1"/>
    <col min="7" max="7" width="17.28515625" bestFit="1" customWidth="1"/>
    <col min="11" max="11" width="56" customWidth="1"/>
    <col min="12" max="12" width="10.28515625" bestFit="1" customWidth="1"/>
    <col min="13" max="13" width="11.7109375" bestFit="1" customWidth="1"/>
    <col min="14" max="14" width="12.28515625" bestFit="1" customWidth="1"/>
    <col min="15" max="15" width="17.28515625" bestFit="1" customWidth="1"/>
  </cols>
  <sheetData>
    <row r="1" spans="2:16" x14ac:dyDescent="0.25">
      <c r="B1" s="49" t="s">
        <v>87</v>
      </c>
    </row>
    <row r="4" spans="2:16" x14ac:dyDescent="0.25">
      <c r="B4" s="16"/>
      <c r="C4" s="14"/>
      <c r="D4" s="14"/>
      <c r="E4" s="14"/>
      <c r="F4" s="14"/>
      <c r="G4" s="14"/>
      <c r="H4" s="12"/>
      <c r="J4" s="16"/>
      <c r="K4" s="14"/>
      <c r="L4" s="14"/>
      <c r="M4" s="14"/>
      <c r="N4" s="14"/>
      <c r="O4" s="14"/>
      <c r="P4" s="12"/>
    </row>
    <row r="5" spans="2:16" x14ac:dyDescent="0.25">
      <c r="B5" s="10"/>
      <c r="C5" s="18" t="s">
        <v>34</v>
      </c>
      <c r="D5" s="17"/>
      <c r="E5" s="17"/>
      <c r="F5" s="17"/>
      <c r="G5" s="17"/>
      <c r="H5" s="15"/>
      <c r="J5" s="10"/>
      <c r="K5" s="17" t="s">
        <v>33</v>
      </c>
      <c r="L5" s="17"/>
      <c r="M5" s="17"/>
      <c r="N5" s="17"/>
      <c r="O5" s="17"/>
      <c r="P5" s="15"/>
    </row>
    <row r="6" spans="2:16" x14ac:dyDescent="0.25">
      <c r="B6" s="10"/>
      <c r="C6" s="17"/>
      <c r="D6" s="17"/>
      <c r="E6" s="17"/>
      <c r="F6" s="17"/>
      <c r="G6" s="17"/>
      <c r="H6" s="15"/>
      <c r="J6" s="10"/>
      <c r="K6" s="17"/>
      <c r="L6" s="17"/>
      <c r="M6" s="17"/>
      <c r="N6" s="17"/>
      <c r="O6" s="17"/>
      <c r="P6" s="15"/>
    </row>
    <row r="7" spans="2:16" x14ac:dyDescent="0.25">
      <c r="B7" s="10"/>
      <c r="C7" s="19" t="s">
        <v>6</v>
      </c>
      <c r="D7" s="19" t="s">
        <v>7</v>
      </c>
      <c r="E7" s="19" t="s">
        <v>8</v>
      </c>
      <c r="F7" s="19" t="s">
        <v>9</v>
      </c>
      <c r="G7" s="19" t="s">
        <v>10</v>
      </c>
      <c r="H7" s="15"/>
      <c r="J7" s="10"/>
      <c r="K7" s="8" t="s">
        <v>6</v>
      </c>
      <c r="L7" s="8" t="s">
        <v>7</v>
      </c>
      <c r="M7" s="8" t="s">
        <v>8</v>
      </c>
      <c r="N7" s="8" t="s">
        <v>9</v>
      </c>
      <c r="O7" s="8" t="s">
        <v>10</v>
      </c>
      <c r="P7" s="15"/>
    </row>
    <row r="8" spans="2:16" x14ac:dyDescent="0.25">
      <c r="B8" s="10"/>
      <c r="C8" s="13" t="s">
        <v>11</v>
      </c>
      <c r="D8" s="11">
        <v>0</v>
      </c>
      <c r="E8" s="11">
        <v>0</v>
      </c>
      <c r="F8" s="11">
        <v>0</v>
      </c>
      <c r="G8" s="11">
        <v>-1324255.0900000001</v>
      </c>
      <c r="H8" s="15"/>
      <c r="J8" s="10"/>
      <c r="K8" s="23" t="s">
        <v>11</v>
      </c>
      <c r="L8" s="24">
        <v>0</v>
      </c>
      <c r="M8" s="24">
        <v>0</v>
      </c>
      <c r="N8" s="24">
        <v>0</v>
      </c>
      <c r="O8" s="50">
        <v>-12577.56</v>
      </c>
      <c r="P8" s="15"/>
    </row>
    <row r="9" spans="2:16" x14ac:dyDescent="0.25">
      <c r="B9" s="10"/>
      <c r="C9" s="13" t="s">
        <v>12</v>
      </c>
      <c r="D9" s="11">
        <v>1175980.8700000001</v>
      </c>
      <c r="E9" s="11">
        <v>375000</v>
      </c>
      <c r="F9" s="11">
        <v>800980.87</v>
      </c>
      <c r="G9" s="11">
        <v>-523274.22</v>
      </c>
      <c r="H9" s="15"/>
      <c r="J9" s="10"/>
      <c r="K9" s="23" t="s">
        <v>12</v>
      </c>
      <c r="L9" s="24">
        <v>112505.65</v>
      </c>
      <c r="M9" s="24">
        <v>1198740.6399999999</v>
      </c>
      <c r="N9" s="11">
        <v>-1086234.99</v>
      </c>
      <c r="O9" s="11">
        <v>-1098812.55</v>
      </c>
      <c r="P9" s="15"/>
    </row>
    <row r="10" spans="2:16" x14ac:dyDescent="0.25">
      <c r="B10" s="10"/>
      <c r="C10" s="13" t="s">
        <v>13</v>
      </c>
      <c r="D10" s="11">
        <v>777.63</v>
      </c>
      <c r="E10" s="11">
        <v>460000</v>
      </c>
      <c r="F10" s="11">
        <v>-459222.37</v>
      </c>
      <c r="G10" s="11">
        <v>-982496.59</v>
      </c>
      <c r="H10" s="15"/>
      <c r="J10" s="10"/>
      <c r="K10" s="23" t="s">
        <v>13</v>
      </c>
      <c r="L10" s="24">
        <v>205635.99</v>
      </c>
      <c r="M10" s="24">
        <v>35513.67</v>
      </c>
      <c r="N10" s="11">
        <v>170122.32</v>
      </c>
      <c r="O10" s="11">
        <v>-928690.23</v>
      </c>
      <c r="P10" s="15"/>
    </row>
    <row r="11" spans="2:16" x14ac:dyDescent="0.25">
      <c r="B11" s="10"/>
      <c r="C11" s="13" t="s">
        <v>14</v>
      </c>
      <c r="D11" s="11">
        <v>779.42</v>
      </c>
      <c r="E11" s="11">
        <v>15748</v>
      </c>
      <c r="F11" s="11">
        <v>-14968.58</v>
      </c>
      <c r="G11" s="11">
        <v>-997465.17</v>
      </c>
      <c r="H11" s="15"/>
      <c r="J11" s="10"/>
      <c r="K11" s="23" t="s">
        <v>14</v>
      </c>
      <c r="L11" s="24">
        <v>196476.39</v>
      </c>
      <c r="M11" s="24">
        <v>85068.46</v>
      </c>
      <c r="N11" s="11">
        <v>111407.93</v>
      </c>
      <c r="O11" s="11">
        <v>-817282.3</v>
      </c>
      <c r="P11" s="15"/>
    </row>
    <row r="12" spans="2:16" x14ac:dyDescent="0.25">
      <c r="B12" s="10"/>
      <c r="C12" s="13" t="s">
        <v>15</v>
      </c>
      <c r="D12" s="11">
        <v>8115.63</v>
      </c>
      <c r="E12" s="11">
        <v>0</v>
      </c>
      <c r="F12" s="11">
        <v>8115.63</v>
      </c>
      <c r="G12" s="11">
        <v>-989349.54</v>
      </c>
      <c r="H12" s="15"/>
      <c r="J12" s="10"/>
      <c r="K12" s="23" t="s">
        <v>15</v>
      </c>
      <c r="L12" s="24">
        <v>168860.26</v>
      </c>
      <c r="M12" s="24">
        <v>73352.45</v>
      </c>
      <c r="N12" s="11">
        <v>95507.81</v>
      </c>
      <c r="O12" s="11">
        <v>-721774.49</v>
      </c>
      <c r="P12" s="15"/>
    </row>
    <row r="13" spans="2:16" x14ac:dyDescent="0.25">
      <c r="B13" s="10"/>
      <c r="C13" s="13" t="s">
        <v>16</v>
      </c>
      <c r="D13" s="11">
        <v>1314.71</v>
      </c>
      <c r="E13" s="11">
        <v>0</v>
      </c>
      <c r="F13" s="11">
        <v>1314.71</v>
      </c>
      <c r="G13" s="11">
        <v>-988034.83</v>
      </c>
      <c r="H13" s="15"/>
      <c r="J13" s="10"/>
      <c r="K13" s="23" t="s">
        <v>16</v>
      </c>
      <c r="L13" s="24">
        <v>153325.76000000001</v>
      </c>
      <c r="M13" s="24">
        <v>70150.95</v>
      </c>
      <c r="N13" s="11">
        <v>83174.81</v>
      </c>
      <c r="O13" s="11">
        <v>-638599.68000000005</v>
      </c>
      <c r="P13" s="15"/>
    </row>
    <row r="14" spans="2:16" x14ac:dyDescent="0.25">
      <c r="B14" s="10"/>
      <c r="C14" s="13" t="s">
        <v>17</v>
      </c>
      <c r="D14" s="11">
        <v>1875.49</v>
      </c>
      <c r="E14" s="11">
        <v>0</v>
      </c>
      <c r="F14" s="11">
        <v>1875.49</v>
      </c>
      <c r="G14" s="11">
        <v>-986159.34</v>
      </c>
      <c r="H14" s="15"/>
      <c r="J14" s="10"/>
      <c r="K14" s="23" t="s">
        <v>17</v>
      </c>
      <c r="L14" s="24">
        <v>146855.82</v>
      </c>
      <c r="M14" s="24">
        <v>63900.91</v>
      </c>
      <c r="N14" s="11">
        <v>82954.91</v>
      </c>
      <c r="O14" s="11">
        <v>-555644.77</v>
      </c>
      <c r="P14" s="15"/>
    </row>
    <row r="15" spans="2:16" x14ac:dyDescent="0.25">
      <c r="B15" s="10"/>
      <c r="C15" s="13" t="s">
        <v>18</v>
      </c>
      <c r="D15" s="11">
        <v>21078.959999999999</v>
      </c>
      <c r="E15" s="11">
        <v>0</v>
      </c>
      <c r="F15" s="11">
        <v>21078.959999999999</v>
      </c>
      <c r="G15" s="11">
        <v>-965080.38</v>
      </c>
      <c r="H15" s="15"/>
      <c r="J15" s="10"/>
      <c r="K15" s="23" t="s">
        <v>18</v>
      </c>
      <c r="L15" s="24">
        <v>146909.06</v>
      </c>
      <c r="M15" s="24">
        <v>62381.79</v>
      </c>
      <c r="N15" s="11">
        <v>84527.27</v>
      </c>
      <c r="O15" s="11">
        <v>-471117.5</v>
      </c>
      <c r="P15" s="15"/>
    </row>
    <row r="16" spans="2:16" x14ac:dyDescent="0.25">
      <c r="B16" s="10"/>
      <c r="C16" s="13" t="s">
        <v>19</v>
      </c>
      <c r="D16" s="11">
        <v>1592.13</v>
      </c>
      <c r="E16" s="11">
        <v>0</v>
      </c>
      <c r="F16" s="11">
        <v>1592.13</v>
      </c>
      <c r="G16" s="11">
        <v>-963488.25</v>
      </c>
      <c r="H16" s="15"/>
      <c r="J16" s="10"/>
      <c r="K16" s="23" t="s">
        <v>19</v>
      </c>
      <c r="L16" s="24">
        <v>157490.76</v>
      </c>
      <c r="M16" s="24">
        <v>64002.31</v>
      </c>
      <c r="N16" s="11">
        <v>93488.45</v>
      </c>
      <c r="O16" s="11">
        <v>-377629.05</v>
      </c>
      <c r="P16" s="15"/>
    </row>
    <row r="17" spans="2:16" x14ac:dyDescent="0.25">
      <c r="B17" s="10"/>
      <c r="C17" s="13" t="s">
        <v>20</v>
      </c>
      <c r="D17" s="11">
        <v>0</v>
      </c>
      <c r="E17" s="11">
        <v>285000</v>
      </c>
      <c r="F17" s="11">
        <v>-285000</v>
      </c>
      <c r="G17" s="11">
        <v>-1248488.25</v>
      </c>
      <c r="H17" s="15"/>
      <c r="J17" s="10"/>
      <c r="K17" s="23" t="s">
        <v>20</v>
      </c>
      <c r="L17" s="24">
        <v>155268.44</v>
      </c>
      <c r="M17" s="24">
        <v>72753.03</v>
      </c>
      <c r="N17" s="11">
        <v>82515.41</v>
      </c>
      <c r="O17" s="11">
        <v>-295113.64</v>
      </c>
      <c r="P17" s="15"/>
    </row>
    <row r="18" spans="2:16" x14ac:dyDescent="0.25">
      <c r="B18" s="10"/>
      <c r="C18" s="54" t="s">
        <v>21</v>
      </c>
      <c r="D18" s="55">
        <v>776.3</v>
      </c>
      <c r="E18" s="55">
        <v>0</v>
      </c>
      <c r="F18" s="55">
        <v>776.3</v>
      </c>
      <c r="G18" s="55">
        <v>-1247711.95</v>
      </c>
      <c r="H18" s="15"/>
      <c r="J18" s="10"/>
      <c r="K18" s="56" t="s">
        <v>21</v>
      </c>
      <c r="L18" s="57">
        <v>168284.21</v>
      </c>
      <c r="M18" s="57">
        <v>69289.94</v>
      </c>
      <c r="N18" s="55">
        <v>98994.27</v>
      </c>
      <c r="O18" s="55">
        <v>-196119.37</v>
      </c>
      <c r="P18" s="15"/>
    </row>
    <row r="19" spans="2:16" x14ac:dyDescent="0.25">
      <c r="B19" s="10"/>
      <c r="C19" s="13"/>
      <c r="D19" s="11"/>
      <c r="E19" s="11"/>
      <c r="F19" s="11"/>
      <c r="G19" s="125">
        <f>+'Intrst Review for Nov ''19 entry'!I50-G18</f>
        <v>0</v>
      </c>
      <c r="H19" s="110" t="s">
        <v>88</v>
      </c>
      <c r="J19" s="10"/>
      <c r="K19" s="23"/>
      <c r="L19" s="24"/>
      <c r="M19" s="24"/>
      <c r="N19" s="11"/>
      <c r="O19" s="11"/>
      <c r="P19" s="15"/>
    </row>
    <row r="20" spans="2:16" x14ac:dyDescent="0.25">
      <c r="B20" s="10"/>
      <c r="C20" s="13"/>
      <c r="D20" s="11"/>
      <c r="E20" s="11"/>
      <c r="F20" s="11"/>
      <c r="G20" s="11"/>
      <c r="H20" s="15"/>
      <c r="J20" s="10"/>
      <c r="K20" s="23"/>
      <c r="L20" s="24"/>
      <c r="M20" s="24"/>
      <c r="N20" s="11"/>
      <c r="O20" s="11"/>
      <c r="P20" s="15"/>
    </row>
    <row r="21" spans="2:16" x14ac:dyDescent="0.25">
      <c r="B21" s="10"/>
      <c r="C21" s="13"/>
      <c r="D21" s="11"/>
      <c r="E21" s="11"/>
      <c r="F21" s="11"/>
      <c r="G21" s="11"/>
      <c r="H21" s="15"/>
      <c r="J21" s="10"/>
      <c r="K21" s="23"/>
      <c r="L21" s="24"/>
      <c r="M21" s="24"/>
      <c r="N21" s="11"/>
      <c r="O21" s="11"/>
      <c r="P21" s="15"/>
    </row>
    <row r="22" spans="2:16" x14ac:dyDescent="0.25">
      <c r="B22" s="10"/>
      <c r="C22" s="13"/>
      <c r="D22" s="11"/>
      <c r="E22" s="11"/>
      <c r="F22" s="11"/>
      <c r="G22" s="11"/>
      <c r="H22" s="15"/>
      <c r="J22" s="10"/>
      <c r="K22" s="23"/>
      <c r="L22" s="24"/>
      <c r="M22" s="24"/>
      <c r="N22" s="11"/>
      <c r="O22" s="11"/>
      <c r="P22" s="15"/>
    </row>
    <row r="23" spans="2:16" x14ac:dyDescent="0.25">
      <c r="B23" s="10"/>
      <c r="C23" s="13"/>
      <c r="D23" s="11"/>
      <c r="E23" s="11"/>
      <c r="F23" s="11"/>
      <c r="G23" s="11"/>
      <c r="H23" s="15"/>
      <c r="J23" s="10"/>
      <c r="K23" s="23"/>
      <c r="L23" s="24"/>
      <c r="M23" s="24"/>
      <c r="N23" s="11"/>
      <c r="O23" s="11"/>
      <c r="P23" s="15"/>
    </row>
    <row r="24" spans="2:16" x14ac:dyDescent="0.25">
      <c r="B24" s="10"/>
      <c r="C24" s="13"/>
      <c r="D24" s="11"/>
      <c r="E24" s="11"/>
      <c r="F24" s="11"/>
      <c r="G24" s="11"/>
      <c r="H24" s="15"/>
      <c r="J24" s="10"/>
      <c r="K24" s="23"/>
      <c r="L24" s="24"/>
      <c r="M24" s="24"/>
      <c r="N24" s="11"/>
      <c r="O24" s="11"/>
      <c r="P24" s="15"/>
    </row>
    <row r="25" spans="2:16" x14ac:dyDescent="0.25">
      <c r="B25" s="10"/>
      <c r="C25" s="13"/>
      <c r="D25" s="11"/>
      <c r="E25" s="11"/>
      <c r="F25" s="11"/>
      <c r="G25" s="11"/>
      <c r="H25" s="15"/>
      <c r="J25" s="10"/>
      <c r="K25" s="23"/>
      <c r="L25" s="11"/>
      <c r="M25" s="11"/>
      <c r="N25" s="11"/>
      <c r="O25" s="11"/>
      <c r="P25" s="15"/>
    </row>
    <row r="26" spans="2:16" x14ac:dyDescent="0.25">
      <c r="B26" s="10"/>
      <c r="C26" s="17"/>
      <c r="D26" s="17"/>
      <c r="E26" s="17"/>
      <c r="F26" s="17"/>
      <c r="G26" s="17"/>
      <c r="H26" s="15"/>
      <c r="J26" s="10"/>
      <c r="K26" s="17"/>
      <c r="L26" s="17"/>
      <c r="M26" s="17"/>
      <c r="N26" s="17"/>
      <c r="O26" s="17"/>
      <c r="P26" s="15"/>
    </row>
    <row r="27" spans="2:16" x14ac:dyDescent="0.25">
      <c r="B27" s="10"/>
      <c r="C27" s="17"/>
      <c r="D27" s="17"/>
      <c r="E27" s="17"/>
      <c r="F27" s="17"/>
      <c r="G27" s="9">
        <v>0</v>
      </c>
      <c r="H27" s="15"/>
      <c r="J27" s="10"/>
      <c r="K27" s="17"/>
      <c r="L27" s="17"/>
      <c r="M27" s="17"/>
      <c r="N27" s="17"/>
      <c r="O27" s="9">
        <v>0</v>
      </c>
      <c r="P27" s="15"/>
    </row>
    <row r="28" spans="2:16" x14ac:dyDescent="0.25">
      <c r="B28" s="20"/>
      <c r="C28" s="21"/>
      <c r="D28" s="21"/>
      <c r="E28" s="21"/>
      <c r="F28" s="21"/>
      <c r="G28" s="21"/>
      <c r="H28" s="22"/>
      <c r="J28" s="20"/>
      <c r="K28" s="21"/>
      <c r="L28" s="21"/>
      <c r="M28" s="21"/>
      <c r="N28" s="21"/>
      <c r="O28" s="21"/>
      <c r="P28" s="22"/>
    </row>
    <row r="30" spans="2:16" x14ac:dyDescent="0.25">
      <c r="B30" s="16"/>
      <c r="C30" s="14"/>
      <c r="D30" s="14"/>
      <c r="E30" s="14"/>
      <c r="F30" s="14"/>
      <c r="G30" s="14"/>
      <c r="H30" s="12"/>
      <c r="J30" s="16"/>
      <c r="K30" s="14"/>
      <c r="L30" s="14"/>
      <c r="M30" s="14"/>
      <c r="N30" s="14"/>
      <c r="O30" s="14"/>
      <c r="P30" s="12"/>
    </row>
    <row r="31" spans="2:16" x14ac:dyDescent="0.25">
      <c r="B31" s="10"/>
      <c r="C31" s="17" t="s">
        <v>41</v>
      </c>
      <c r="D31" s="17"/>
      <c r="E31" s="17"/>
      <c r="F31" s="17"/>
      <c r="G31" s="17"/>
      <c r="H31" s="15"/>
      <c r="J31" s="10"/>
      <c r="K31" s="17" t="s">
        <v>40</v>
      </c>
      <c r="L31" s="17"/>
      <c r="M31" s="17"/>
      <c r="N31" s="17"/>
      <c r="O31" s="17"/>
      <c r="P31" s="15"/>
    </row>
    <row r="32" spans="2:16" x14ac:dyDescent="0.25">
      <c r="B32" s="10"/>
      <c r="C32" s="17"/>
      <c r="D32" s="17"/>
      <c r="E32" s="17"/>
      <c r="F32" s="17"/>
      <c r="G32" s="17"/>
      <c r="H32" s="15"/>
      <c r="J32" s="10"/>
      <c r="K32" s="17"/>
      <c r="L32" s="17"/>
      <c r="M32" s="17"/>
      <c r="N32" s="17"/>
      <c r="O32" s="17"/>
      <c r="P32" s="15"/>
    </row>
    <row r="33" spans="2:16" x14ac:dyDescent="0.25">
      <c r="B33" s="10"/>
      <c r="C33" s="45" t="s">
        <v>6</v>
      </c>
      <c r="D33" s="45" t="s">
        <v>7</v>
      </c>
      <c r="E33" s="45" t="s">
        <v>8</v>
      </c>
      <c r="F33" s="45" t="s">
        <v>9</v>
      </c>
      <c r="G33" s="45" t="s">
        <v>10</v>
      </c>
      <c r="H33" s="15"/>
      <c r="J33" s="10"/>
      <c r="K33" s="45" t="s">
        <v>6</v>
      </c>
      <c r="L33" s="45" t="s">
        <v>7</v>
      </c>
      <c r="M33" s="45" t="s">
        <v>8</v>
      </c>
      <c r="N33" s="45" t="s">
        <v>9</v>
      </c>
      <c r="O33" s="45" t="s">
        <v>10</v>
      </c>
      <c r="P33" s="15"/>
    </row>
    <row r="34" spans="2:16" x14ac:dyDescent="0.25">
      <c r="B34" s="10"/>
      <c r="C34" s="25" t="s">
        <v>11</v>
      </c>
      <c r="D34" s="26">
        <v>0</v>
      </c>
      <c r="E34" s="26">
        <v>0</v>
      </c>
      <c r="F34" s="11">
        <v>0</v>
      </c>
      <c r="G34" s="26">
        <v>-75583</v>
      </c>
      <c r="H34" s="15"/>
      <c r="J34" s="10"/>
      <c r="K34" s="25" t="s">
        <v>11</v>
      </c>
      <c r="L34" s="26">
        <v>0</v>
      </c>
      <c r="M34" s="26">
        <v>0</v>
      </c>
      <c r="N34" s="11">
        <v>0</v>
      </c>
      <c r="O34" s="26">
        <v>3242.48</v>
      </c>
      <c r="P34" s="15"/>
    </row>
    <row r="35" spans="2:16" x14ac:dyDescent="0.25">
      <c r="B35" s="10"/>
      <c r="C35" s="25" t="s">
        <v>12</v>
      </c>
      <c r="D35" s="26">
        <v>62180.639999999999</v>
      </c>
      <c r="E35" s="26">
        <v>6575.29</v>
      </c>
      <c r="F35" s="11">
        <v>55605.35</v>
      </c>
      <c r="G35" s="11">
        <v>-19977.650000000001</v>
      </c>
      <c r="H35" s="15"/>
      <c r="J35" s="10"/>
      <c r="K35" s="25" t="s">
        <v>12</v>
      </c>
      <c r="L35" s="26">
        <v>11809.98</v>
      </c>
      <c r="M35" s="26">
        <v>74174.600000000006</v>
      </c>
      <c r="N35" s="11">
        <v>-62364.62</v>
      </c>
      <c r="O35" s="11">
        <v>-59122.14</v>
      </c>
      <c r="P35" s="15"/>
    </row>
    <row r="36" spans="2:16" x14ac:dyDescent="0.25">
      <c r="B36" s="10"/>
      <c r="C36" s="25" t="s">
        <v>13</v>
      </c>
      <c r="D36" s="26">
        <v>0</v>
      </c>
      <c r="E36" s="26">
        <v>3598.05</v>
      </c>
      <c r="F36" s="11">
        <v>-3598.05</v>
      </c>
      <c r="G36" s="11">
        <v>-23575.7</v>
      </c>
      <c r="H36" s="15"/>
      <c r="J36" s="10"/>
      <c r="K36" s="25" t="s">
        <v>13</v>
      </c>
      <c r="L36" s="26">
        <v>21586.1</v>
      </c>
      <c r="M36" s="26">
        <v>8325.76</v>
      </c>
      <c r="N36" s="11">
        <v>13260.34</v>
      </c>
      <c r="O36" s="11">
        <v>-45861.8</v>
      </c>
      <c r="P36" s="15"/>
    </row>
    <row r="37" spans="2:16" x14ac:dyDescent="0.25">
      <c r="B37" s="10"/>
      <c r="C37" s="25" t="s">
        <v>14</v>
      </c>
      <c r="D37" s="26">
        <v>0</v>
      </c>
      <c r="E37" s="26">
        <v>4300.58</v>
      </c>
      <c r="F37" s="11">
        <v>-4300.58</v>
      </c>
      <c r="G37" s="11">
        <v>-27876.28</v>
      </c>
      <c r="H37" s="15"/>
      <c r="J37" s="10"/>
      <c r="K37" s="25" t="s">
        <v>14</v>
      </c>
      <c r="L37" s="26">
        <v>20624.59</v>
      </c>
      <c r="M37" s="26">
        <v>12854.93</v>
      </c>
      <c r="N37" s="11">
        <v>7769.66</v>
      </c>
      <c r="O37" s="11">
        <v>-38092.14</v>
      </c>
      <c r="P37" s="15"/>
    </row>
    <row r="38" spans="2:16" x14ac:dyDescent="0.25">
      <c r="B38" s="10"/>
      <c r="C38" s="25" t="s">
        <v>15</v>
      </c>
      <c r="D38" s="26">
        <v>0</v>
      </c>
      <c r="E38" s="26">
        <v>4747.4799999999996</v>
      </c>
      <c r="F38" s="11">
        <v>-4747.4799999999996</v>
      </c>
      <c r="G38" s="11">
        <v>-32623.759999999998</v>
      </c>
      <c r="H38" s="15"/>
      <c r="J38" s="10"/>
      <c r="K38" s="25" t="s">
        <v>15</v>
      </c>
      <c r="L38" s="26">
        <v>17725.66</v>
      </c>
      <c r="M38" s="26">
        <v>11130.64</v>
      </c>
      <c r="N38" s="11">
        <v>6595.02</v>
      </c>
      <c r="O38" s="11">
        <v>-31497.119999999999</v>
      </c>
      <c r="P38" s="15"/>
    </row>
    <row r="39" spans="2:16" x14ac:dyDescent="0.25">
      <c r="B39" s="10"/>
      <c r="C39" s="25" t="s">
        <v>16</v>
      </c>
      <c r="D39" s="26">
        <v>0</v>
      </c>
      <c r="E39" s="26">
        <v>4724.97</v>
      </c>
      <c r="F39" s="11">
        <v>-4724.97</v>
      </c>
      <c r="G39" s="11">
        <v>-37348.730000000003</v>
      </c>
      <c r="H39" s="15"/>
      <c r="J39" s="10"/>
      <c r="K39" s="25" t="s">
        <v>16</v>
      </c>
      <c r="L39" s="26">
        <v>16094.97</v>
      </c>
      <c r="M39" s="26">
        <v>10367.61</v>
      </c>
      <c r="N39" s="11">
        <v>5727.36</v>
      </c>
      <c r="O39" s="11">
        <v>-25769.759999999998</v>
      </c>
      <c r="P39" s="15"/>
    </row>
    <row r="40" spans="2:16" x14ac:dyDescent="0.25">
      <c r="B40" s="10"/>
      <c r="C40" s="25" t="s">
        <v>17</v>
      </c>
      <c r="D40" s="26">
        <v>0</v>
      </c>
      <c r="E40" s="26">
        <v>4717.3500000000004</v>
      </c>
      <c r="F40" s="11">
        <v>-4717.3500000000004</v>
      </c>
      <c r="G40" s="11">
        <v>-42066.080000000002</v>
      </c>
      <c r="H40" s="15"/>
      <c r="J40" s="10"/>
      <c r="K40" s="25" t="s">
        <v>17</v>
      </c>
      <c r="L40" s="26">
        <v>15417.8</v>
      </c>
      <c r="M40" s="26">
        <v>9314.56</v>
      </c>
      <c r="N40" s="11">
        <v>6103.24</v>
      </c>
      <c r="O40" s="11">
        <v>-19666.52</v>
      </c>
      <c r="P40" s="15"/>
    </row>
    <row r="41" spans="2:16" x14ac:dyDescent="0.25">
      <c r="B41" s="10"/>
      <c r="C41" s="25" t="s">
        <v>18</v>
      </c>
      <c r="D41" s="26">
        <v>0</v>
      </c>
      <c r="E41" s="26">
        <v>4662.5</v>
      </c>
      <c r="F41" s="11">
        <v>-4662.5</v>
      </c>
      <c r="G41" s="11">
        <v>-46728.58</v>
      </c>
      <c r="H41" s="15"/>
      <c r="J41" s="10"/>
      <c r="K41" s="25" t="s">
        <v>18</v>
      </c>
      <c r="L41" s="26">
        <v>15423.38</v>
      </c>
      <c r="M41" s="26">
        <v>9155.74</v>
      </c>
      <c r="N41" s="11">
        <v>6267.64</v>
      </c>
      <c r="O41" s="11">
        <v>-13398.88</v>
      </c>
      <c r="P41" s="15"/>
    </row>
    <row r="42" spans="2:16" x14ac:dyDescent="0.25">
      <c r="B42" s="10"/>
      <c r="C42" s="25" t="s">
        <v>19</v>
      </c>
      <c r="D42" s="26">
        <v>0</v>
      </c>
      <c r="E42" s="26">
        <v>4608.32</v>
      </c>
      <c r="F42" s="11">
        <v>-4608.32</v>
      </c>
      <c r="G42" s="11">
        <v>-51336.9</v>
      </c>
      <c r="H42" s="15"/>
      <c r="J42" s="10"/>
      <c r="K42" s="25" t="s">
        <v>19</v>
      </c>
      <c r="L42" s="26">
        <v>16534.32</v>
      </c>
      <c r="M42" s="26">
        <v>8500.5</v>
      </c>
      <c r="N42" s="11">
        <v>8033.82</v>
      </c>
      <c r="O42" s="11">
        <v>-5365.06</v>
      </c>
      <c r="P42" s="15"/>
    </row>
    <row r="43" spans="2:16" x14ac:dyDescent="0.25">
      <c r="B43" s="10"/>
      <c r="C43" s="25" t="s">
        <v>20</v>
      </c>
      <c r="D43" s="26">
        <v>0</v>
      </c>
      <c r="E43" s="26">
        <v>5285.53</v>
      </c>
      <c r="F43" s="11">
        <v>-5285.53</v>
      </c>
      <c r="G43" s="11">
        <v>-56622.43</v>
      </c>
      <c r="H43" s="15"/>
      <c r="J43" s="10"/>
      <c r="K43" s="25" t="s">
        <v>20</v>
      </c>
      <c r="L43" s="26">
        <v>16301.01</v>
      </c>
      <c r="M43" s="26">
        <v>8998.65</v>
      </c>
      <c r="N43" s="11">
        <v>7302.36</v>
      </c>
      <c r="O43" s="11">
        <v>1937.3</v>
      </c>
      <c r="P43" s="15"/>
    </row>
    <row r="44" spans="2:16" ht="15.75" thickBot="1" x14ac:dyDescent="0.3">
      <c r="B44" s="10"/>
      <c r="C44" s="95" t="s">
        <v>21</v>
      </c>
      <c r="D44" s="96">
        <v>0</v>
      </c>
      <c r="E44" s="96">
        <v>5964.68</v>
      </c>
      <c r="F44" s="97">
        <v>-5964.68</v>
      </c>
      <c r="G44" s="97">
        <v>-62587.11</v>
      </c>
      <c r="H44" s="15"/>
      <c r="J44" s="10"/>
      <c r="K44" s="95" t="s">
        <v>21</v>
      </c>
      <c r="L44" s="96">
        <v>17667.48</v>
      </c>
      <c r="M44" s="96">
        <v>8201.35</v>
      </c>
      <c r="N44" s="97">
        <v>9466.1299999999992</v>
      </c>
      <c r="O44" s="97">
        <v>11403.43</v>
      </c>
      <c r="P44" s="15"/>
    </row>
    <row r="45" spans="2:16" ht="15.75" thickBot="1" x14ac:dyDescent="0.3">
      <c r="B45" s="10"/>
      <c r="C45" s="145" t="s">
        <v>103</v>
      </c>
      <c r="D45" s="96">
        <v>0</v>
      </c>
      <c r="E45" s="146">
        <f>-'Intrst Review for Nov ''19 entry'!I19</f>
        <v>8019.9106899166609</v>
      </c>
      <c r="F45" s="97">
        <f t="shared" ref="F45:F50" si="0">+D45-E45</f>
        <v>-8019.9106899166609</v>
      </c>
      <c r="G45" s="55">
        <f t="shared" ref="G45:G50" si="1">+G44+F45</f>
        <v>-70607.020689916666</v>
      </c>
      <c r="H45" s="15"/>
      <c r="J45" s="10"/>
      <c r="K45" s="145" t="s">
        <v>103</v>
      </c>
      <c r="L45" s="96">
        <v>0</v>
      </c>
      <c r="M45" s="146">
        <f>-'Intrst Review for Nov ''19 entry'!S19</f>
        <v>8254.4386206250001</v>
      </c>
      <c r="N45" s="97">
        <f t="shared" ref="N45:N50" si="2">+L45-M45</f>
        <v>-8254.4386206250001</v>
      </c>
      <c r="O45" s="55">
        <f t="shared" ref="O45:O50" si="3">+O44+N45</f>
        <v>3148.9913793750002</v>
      </c>
      <c r="P45" s="15"/>
    </row>
    <row r="46" spans="2:16" x14ac:dyDescent="0.25">
      <c r="B46" s="10"/>
      <c r="C46" s="25"/>
      <c r="D46" s="26">
        <v>0</v>
      </c>
      <c r="E46" s="26">
        <v>0</v>
      </c>
      <c r="F46" s="11">
        <f t="shared" si="0"/>
        <v>0</v>
      </c>
      <c r="G46" s="11">
        <f t="shared" si="1"/>
        <v>-70607.020689916666</v>
      </c>
      <c r="H46" s="15"/>
      <c r="J46" s="10"/>
      <c r="K46" s="25"/>
      <c r="L46" s="26">
        <v>0</v>
      </c>
      <c r="M46" s="26">
        <v>0</v>
      </c>
      <c r="N46" s="11">
        <f t="shared" si="2"/>
        <v>0</v>
      </c>
      <c r="O46" s="11">
        <f t="shared" si="3"/>
        <v>3148.9913793750002</v>
      </c>
      <c r="P46" s="15"/>
    </row>
    <row r="47" spans="2:16" x14ac:dyDescent="0.25">
      <c r="B47" s="10"/>
      <c r="C47" s="25"/>
      <c r="D47" s="26">
        <v>0</v>
      </c>
      <c r="E47" s="26">
        <v>0</v>
      </c>
      <c r="F47" s="11">
        <f t="shared" si="0"/>
        <v>0</v>
      </c>
      <c r="G47" s="11">
        <f t="shared" si="1"/>
        <v>-70607.020689916666</v>
      </c>
      <c r="H47" s="15"/>
      <c r="J47" s="10"/>
      <c r="K47" s="25"/>
      <c r="L47" s="26">
        <v>0</v>
      </c>
      <c r="M47" s="26">
        <v>0</v>
      </c>
      <c r="N47" s="11">
        <f t="shared" si="2"/>
        <v>0</v>
      </c>
      <c r="O47" s="11">
        <f t="shared" si="3"/>
        <v>3148.9913793750002</v>
      </c>
      <c r="P47" s="15"/>
    </row>
    <row r="48" spans="2:16" x14ac:dyDescent="0.25">
      <c r="B48" s="10"/>
      <c r="C48" s="25"/>
      <c r="D48" s="26">
        <v>0</v>
      </c>
      <c r="E48" s="26">
        <v>0</v>
      </c>
      <c r="F48" s="11">
        <f t="shared" si="0"/>
        <v>0</v>
      </c>
      <c r="G48" s="11">
        <f t="shared" si="1"/>
        <v>-70607.020689916666</v>
      </c>
      <c r="H48" s="15"/>
      <c r="J48" s="10"/>
      <c r="K48" s="25"/>
      <c r="L48" s="26">
        <v>0</v>
      </c>
      <c r="M48" s="26">
        <v>0</v>
      </c>
      <c r="N48" s="11">
        <f t="shared" si="2"/>
        <v>0</v>
      </c>
      <c r="O48" s="11">
        <f t="shared" si="3"/>
        <v>3148.9913793750002</v>
      </c>
      <c r="P48" s="15"/>
    </row>
    <row r="49" spans="2:16" x14ac:dyDescent="0.25">
      <c r="B49" s="10"/>
      <c r="C49" s="25"/>
      <c r="D49" s="26">
        <v>0</v>
      </c>
      <c r="E49" s="26">
        <v>0</v>
      </c>
      <c r="F49" s="11">
        <f t="shared" si="0"/>
        <v>0</v>
      </c>
      <c r="G49" s="11">
        <f t="shared" si="1"/>
        <v>-70607.020689916666</v>
      </c>
      <c r="H49" s="15"/>
      <c r="J49" s="10"/>
      <c r="K49" s="25"/>
      <c r="L49" s="26">
        <v>0</v>
      </c>
      <c r="M49" s="26">
        <v>0</v>
      </c>
      <c r="N49" s="11">
        <f t="shared" si="2"/>
        <v>0</v>
      </c>
      <c r="O49" s="11">
        <f t="shared" si="3"/>
        <v>3148.9913793750002</v>
      </c>
      <c r="P49" s="15"/>
    </row>
    <row r="50" spans="2:16" x14ac:dyDescent="0.25">
      <c r="B50" s="10"/>
      <c r="C50" s="25"/>
      <c r="D50" s="26">
        <v>0</v>
      </c>
      <c r="E50" s="26">
        <v>0</v>
      </c>
      <c r="F50" s="11">
        <f t="shared" si="0"/>
        <v>0</v>
      </c>
      <c r="G50" s="11">
        <f t="shared" si="1"/>
        <v>-70607.020689916666</v>
      </c>
      <c r="H50" s="15"/>
      <c r="J50" s="10"/>
      <c r="K50" s="25"/>
      <c r="L50" s="26">
        <v>0</v>
      </c>
      <c r="M50" s="26">
        <v>0</v>
      </c>
      <c r="N50" s="11">
        <f t="shared" si="2"/>
        <v>0</v>
      </c>
      <c r="O50" s="11">
        <f t="shared" si="3"/>
        <v>3148.9913793750002</v>
      </c>
      <c r="P50" s="15"/>
    </row>
    <row r="51" spans="2:16" x14ac:dyDescent="0.25">
      <c r="B51" s="10"/>
      <c r="C51" s="25" t="s">
        <v>22</v>
      </c>
      <c r="D51" s="11">
        <f>SUM(D34:D50)</f>
        <v>62180.639999999999</v>
      </c>
      <c r="E51" s="11">
        <f>SUM(E34:E50)</f>
        <v>57204.660689916658</v>
      </c>
      <c r="F51" s="11">
        <f>SUM(F34:F50)</f>
        <v>4975.9793100833313</v>
      </c>
      <c r="G51" s="11">
        <f>+G50</f>
        <v>-70607.020689916666</v>
      </c>
      <c r="H51" s="15"/>
      <c r="J51" s="10"/>
      <c r="K51" s="25" t="s">
        <v>22</v>
      </c>
      <c r="L51" s="11">
        <f>SUM(L34:L50)</f>
        <v>169185.29000000004</v>
      </c>
      <c r="M51" s="11">
        <f>SUM(M34:M50)</f>
        <v>169278.778620625</v>
      </c>
      <c r="N51" s="11">
        <f>SUM(N34:N50)</f>
        <v>-93.488620624994837</v>
      </c>
      <c r="O51" s="11">
        <f>+O50</f>
        <v>3148.9913793750002</v>
      </c>
      <c r="P51" s="15"/>
    </row>
    <row r="52" spans="2:16" x14ac:dyDescent="0.25">
      <c r="B52" s="10"/>
      <c r="C52" s="25"/>
      <c r="D52" s="26"/>
      <c r="E52" s="26"/>
      <c r="F52" s="26"/>
      <c r="G52" s="26"/>
      <c r="H52" s="15"/>
      <c r="J52" s="10"/>
      <c r="K52" s="25"/>
      <c r="L52" s="26"/>
      <c r="M52" s="26"/>
      <c r="N52" s="26"/>
      <c r="O52" s="26"/>
      <c r="P52" s="15"/>
    </row>
    <row r="53" spans="2:16" x14ac:dyDescent="0.25">
      <c r="B53" s="10"/>
      <c r="C53" s="25"/>
      <c r="D53" s="26"/>
      <c r="E53" s="26"/>
      <c r="F53" s="26"/>
      <c r="G53" s="26"/>
      <c r="H53" s="15"/>
      <c r="J53" s="10"/>
      <c r="K53" s="25"/>
      <c r="L53" s="26"/>
      <c r="M53" s="26"/>
      <c r="N53" s="26"/>
      <c r="O53" s="26"/>
      <c r="P53" s="15"/>
    </row>
    <row r="54" spans="2:16" x14ac:dyDescent="0.25">
      <c r="B54" s="10"/>
      <c r="C54" s="25"/>
      <c r="D54" s="26"/>
      <c r="E54" s="26"/>
      <c r="F54" s="26"/>
      <c r="G54" s="26"/>
      <c r="H54" s="15"/>
      <c r="J54" s="10"/>
      <c r="K54" s="25"/>
      <c r="L54" s="26"/>
      <c r="M54" s="26"/>
      <c r="N54" s="26"/>
      <c r="O54" s="26"/>
      <c r="P54" s="15"/>
    </row>
    <row r="55" spans="2:16" x14ac:dyDescent="0.25">
      <c r="B55" s="10"/>
      <c r="C55" s="25"/>
      <c r="D55" s="26"/>
      <c r="E55" s="26"/>
      <c r="F55" s="26"/>
      <c r="G55" s="26"/>
      <c r="H55" s="15"/>
      <c r="J55" s="10"/>
      <c r="K55" s="25"/>
      <c r="L55" s="26"/>
      <c r="M55" s="26"/>
      <c r="N55" s="26"/>
      <c r="O55" s="26"/>
      <c r="P55" s="15"/>
    </row>
    <row r="56" spans="2:16" x14ac:dyDescent="0.25">
      <c r="B56" s="20"/>
      <c r="C56" s="21"/>
      <c r="D56" s="21"/>
      <c r="E56" s="21"/>
      <c r="F56" s="21"/>
      <c r="G56" s="21"/>
      <c r="H56" s="22"/>
      <c r="J56" s="20"/>
      <c r="K56" s="21"/>
      <c r="L56" s="21"/>
      <c r="M56" s="21"/>
      <c r="N56" s="21"/>
      <c r="O56" s="21"/>
      <c r="P56" s="22"/>
    </row>
    <row r="57" spans="2:16" x14ac:dyDescent="0.25">
      <c r="B57" s="17"/>
      <c r="C57" s="17"/>
      <c r="D57" s="17"/>
      <c r="E57" s="17"/>
      <c r="F57" s="17"/>
      <c r="G57" s="17"/>
      <c r="H57" s="17"/>
    </row>
    <row r="58" spans="2:16" x14ac:dyDescent="0.25">
      <c r="C58" s="95" t="s">
        <v>99</v>
      </c>
      <c r="D58" s="98"/>
      <c r="E58" s="98"/>
      <c r="F58" s="98"/>
      <c r="G58" s="99">
        <f>+'Interest exptected 2020 Period'!H20</f>
        <v>-15511.520441152821</v>
      </c>
    </row>
    <row r="60" spans="2:16" ht="15.75" thickBot="1" x14ac:dyDescent="0.3">
      <c r="C60" s="100" t="s">
        <v>102</v>
      </c>
      <c r="D60" s="100"/>
      <c r="E60" s="100"/>
      <c r="F60" s="100"/>
      <c r="G60" s="101">
        <f>+G45+O45</f>
        <v>-67458.029310541664</v>
      </c>
    </row>
    <row r="61" spans="2:16" ht="15.75" thickTop="1" x14ac:dyDescent="0.25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opLeftCell="A4" zoomScaleNormal="100" workbookViewId="0">
      <selection activeCell="I19" sqref="I19"/>
    </sheetView>
  </sheetViews>
  <sheetFormatPr defaultRowHeight="15" x14ac:dyDescent="0.25"/>
  <cols>
    <col min="1" max="1" width="9.7109375" customWidth="1"/>
    <col min="2" max="2" width="14" bestFit="1" customWidth="1"/>
    <col min="3" max="3" width="12.28515625" bestFit="1" customWidth="1"/>
    <col min="4" max="4" width="14" bestFit="1" customWidth="1"/>
    <col min="6" max="6" width="8.140625" bestFit="1" customWidth="1"/>
    <col min="7" max="7" width="11.7109375" customWidth="1"/>
    <col min="8" max="8" width="12.28515625" customWidth="1"/>
    <col min="9" max="9" width="14" bestFit="1" customWidth="1"/>
    <col min="10" max="10" width="10.85546875" customWidth="1"/>
    <col min="12" max="12" width="14" bestFit="1" customWidth="1"/>
    <col min="13" max="13" width="9" bestFit="1" customWidth="1"/>
    <col min="14" max="14" width="12.28515625" bestFit="1" customWidth="1"/>
    <col min="15" max="15" width="8" bestFit="1" customWidth="1"/>
    <col min="16" max="16" width="8.7109375" customWidth="1"/>
    <col min="17" max="17" width="11.28515625" bestFit="1" customWidth="1"/>
    <col min="18" max="18" width="13.42578125" bestFit="1" customWidth="1"/>
    <col min="19" max="20" width="14" bestFit="1" customWidth="1"/>
  </cols>
  <sheetData>
    <row r="1" spans="1:20" ht="15.75" thickBot="1" x14ac:dyDescent="0.3">
      <c r="A1" s="58" t="s">
        <v>44</v>
      </c>
    </row>
    <row r="2" spans="1:20" ht="15.75" thickBot="1" x14ac:dyDescent="0.3">
      <c r="B2" s="105" t="s">
        <v>77</v>
      </c>
      <c r="C2" s="106"/>
      <c r="D2" s="106"/>
      <c r="E2" s="106"/>
      <c r="F2" s="106"/>
      <c r="G2" s="107"/>
      <c r="L2" s="105" t="s">
        <v>77</v>
      </c>
      <c r="M2" s="106"/>
      <c r="N2" s="106"/>
      <c r="O2" s="106"/>
      <c r="P2" s="106"/>
      <c r="Q2" s="107"/>
    </row>
    <row r="3" spans="1:20" s="59" customFormat="1" ht="105.75" thickBot="1" x14ac:dyDescent="0.3">
      <c r="A3" s="59" t="s">
        <v>45</v>
      </c>
      <c r="B3" s="102" t="s">
        <v>78</v>
      </c>
      <c r="C3" s="103" t="s">
        <v>46</v>
      </c>
      <c r="D3" s="103" t="s">
        <v>47</v>
      </c>
      <c r="E3" s="103" t="s">
        <v>91</v>
      </c>
      <c r="F3" s="103" t="s">
        <v>49</v>
      </c>
      <c r="G3" s="104" t="s">
        <v>50</v>
      </c>
      <c r="H3" s="60" t="s">
        <v>51</v>
      </c>
      <c r="I3" s="62" t="s">
        <v>80</v>
      </c>
      <c r="J3" s="63"/>
      <c r="L3" s="60" t="s">
        <v>79</v>
      </c>
      <c r="M3" s="61" t="s">
        <v>46</v>
      </c>
      <c r="N3" s="61" t="s">
        <v>53</v>
      </c>
      <c r="O3" s="103" t="s">
        <v>91</v>
      </c>
      <c r="P3" s="61" t="s">
        <v>49</v>
      </c>
      <c r="Q3" s="62" t="s">
        <v>54</v>
      </c>
      <c r="R3" s="60" t="s">
        <v>55</v>
      </c>
      <c r="S3" s="62" t="s">
        <v>52</v>
      </c>
    </row>
    <row r="4" spans="1:20" s="59" customFormat="1" x14ac:dyDescent="0.25">
      <c r="A4" s="112">
        <v>43374</v>
      </c>
      <c r="B4" s="113">
        <v>-1162059.0500000003</v>
      </c>
      <c r="C4" s="114">
        <f>-B4*0.21</f>
        <v>244032.40050000005</v>
      </c>
      <c r="D4" s="115">
        <f>+B4+C4</f>
        <v>-918026.64950000029</v>
      </c>
      <c r="E4" s="47"/>
      <c r="F4" s="63"/>
      <c r="G4" s="63"/>
      <c r="H4" s="63"/>
      <c r="I4" s="63"/>
      <c r="J4" s="63"/>
      <c r="K4" s="112">
        <v>43374</v>
      </c>
      <c r="L4" s="113">
        <v>-115877.17000000001</v>
      </c>
      <c r="M4" s="114">
        <f>-L4*0.21</f>
        <v>24334.205700000002</v>
      </c>
      <c r="N4" s="115">
        <f>+L4+M4</f>
        <v>-91542.964300000007</v>
      </c>
      <c r="O4" s="47"/>
      <c r="P4" s="63"/>
      <c r="Q4" s="63"/>
    </row>
    <row r="5" spans="1:20" s="59" customFormat="1" x14ac:dyDescent="0.25">
      <c r="A5" s="116">
        <v>43405</v>
      </c>
      <c r="B5" s="117">
        <v>-1160854.48</v>
      </c>
      <c r="C5" s="118">
        <f>-B5*0.21</f>
        <v>243779.44079999998</v>
      </c>
      <c r="D5" s="119">
        <f>+B5+C5</f>
        <v>-917075.0392</v>
      </c>
      <c r="E5" s="120">
        <f>+'Conv F and COC UE-180282'!$E$39</f>
        <v>6.9699999999999998E-2</v>
      </c>
      <c r="F5" s="121">
        <v>0.79</v>
      </c>
      <c r="G5" s="109">
        <f>(D5+D4)/2*E5/12/F5</f>
        <v>-6746.1280433749998</v>
      </c>
      <c r="H5" s="109">
        <v>-6475.12</v>
      </c>
      <c r="I5" s="122">
        <f t="shared" ref="I5:I6" si="0">+G5-H5</f>
        <v>-271.00804337499994</v>
      </c>
      <c r="J5" s="126" t="s">
        <v>90</v>
      </c>
      <c r="K5" s="116">
        <v>43405</v>
      </c>
      <c r="L5" s="117">
        <v>-68160.25</v>
      </c>
      <c r="M5" s="118">
        <f t="shared" ref="M5:M6" si="1">-L5*0.21</f>
        <v>14313.6525</v>
      </c>
      <c r="N5" s="119">
        <f t="shared" ref="N5:N6" si="2">+L5+M5</f>
        <v>-53846.597500000003</v>
      </c>
      <c r="O5" s="120">
        <v>6.9699999999999998E-2</v>
      </c>
      <c r="P5" s="121">
        <f t="shared" ref="P5:P6" si="3">F5</f>
        <v>0.79</v>
      </c>
      <c r="Q5" s="109">
        <f t="shared" ref="Q5:Q7" si="4">(N5+N4)/2*O5/12/P5</f>
        <v>-534.47534058333338</v>
      </c>
      <c r="R5" s="109">
        <v>-224.96</v>
      </c>
      <c r="S5" s="122">
        <f t="shared" ref="S5:S6" si="5">+Q5-R5</f>
        <v>-309.51534058333334</v>
      </c>
      <c r="T5" s="126" t="s">
        <v>90</v>
      </c>
    </row>
    <row r="6" spans="1:20" s="59" customFormat="1" x14ac:dyDescent="0.25">
      <c r="A6" s="116">
        <v>43435</v>
      </c>
      <c r="B6" s="117">
        <v>-1324255.0900000001</v>
      </c>
      <c r="C6" s="118">
        <f>-B6*0.21</f>
        <v>278093.56890000001</v>
      </c>
      <c r="D6" s="119">
        <f>+B6+C6</f>
        <v>-1046161.5211</v>
      </c>
      <c r="E6" s="120">
        <f>+'Conv F and COC UE-180282'!$E$39</f>
        <v>6.9699999999999998E-2</v>
      </c>
      <c r="F6" s="121">
        <v>0.79</v>
      </c>
      <c r="G6" s="109">
        <f>(D6+D5)/2*E6/12/F6</f>
        <v>-7217.1723762083329</v>
      </c>
      <c r="H6" s="109">
        <v>-6927.24</v>
      </c>
      <c r="I6" s="122">
        <f t="shared" si="0"/>
        <v>-289.93237620833315</v>
      </c>
      <c r="J6" s="126" t="s">
        <v>90</v>
      </c>
      <c r="K6" s="116">
        <v>43435</v>
      </c>
      <c r="L6" s="117">
        <v>-12577.56</v>
      </c>
      <c r="M6" s="118">
        <f t="shared" si="1"/>
        <v>2641.2875999999997</v>
      </c>
      <c r="N6" s="119">
        <f t="shared" si="2"/>
        <v>-9936.2723999999998</v>
      </c>
      <c r="O6" s="120">
        <v>6.9699999999999998E-2</v>
      </c>
      <c r="P6" s="121">
        <f t="shared" si="3"/>
        <v>0.79</v>
      </c>
      <c r="Q6" s="109">
        <f t="shared" si="4"/>
        <v>-234.47605654166668</v>
      </c>
      <c r="R6" s="109">
        <v>62.99</v>
      </c>
      <c r="S6" s="122">
        <f t="shared" si="5"/>
        <v>-297.46605654166666</v>
      </c>
      <c r="T6" s="126" t="s">
        <v>90</v>
      </c>
    </row>
    <row r="7" spans="1:20" x14ac:dyDescent="0.25">
      <c r="A7" s="66">
        <v>43466</v>
      </c>
      <c r="B7" s="64">
        <v>-523274.22</v>
      </c>
      <c r="C7" s="65">
        <f>-B7*0.21</f>
        <v>109887.58619999999</v>
      </c>
      <c r="D7" s="46">
        <f>+B7+C7</f>
        <v>-413386.63379999995</v>
      </c>
      <c r="E7" s="47">
        <f>+'Conv F and COC UE-180282'!$E$39</f>
        <v>6.9699999999999998E-2</v>
      </c>
      <c r="F7">
        <v>0.79</v>
      </c>
      <c r="G7" s="67">
        <f>(D7+D4)/2*E7/12/F7</f>
        <v>-4894.488704958334</v>
      </c>
      <c r="H7" s="68">
        <v>-6575.29</v>
      </c>
      <c r="I7" s="69">
        <f>+G7-H7</f>
        <v>1680.801295041666</v>
      </c>
      <c r="J7" s="68"/>
      <c r="K7" s="66">
        <f>+A7</f>
        <v>43466</v>
      </c>
      <c r="L7" s="64">
        <v>-1098812.55</v>
      </c>
      <c r="M7" s="65">
        <f>-L7*0.21</f>
        <v>230750.6355</v>
      </c>
      <c r="N7" s="46">
        <f>+L7+M7</f>
        <v>-868061.91450000007</v>
      </c>
      <c r="O7" s="47">
        <v>6.9699999999999998E-2</v>
      </c>
      <c r="P7">
        <f>F7</f>
        <v>0.79</v>
      </c>
      <c r="Q7" s="67">
        <f t="shared" si="4"/>
        <v>-3227.6621111250001</v>
      </c>
      <c r="R7" s="70">
        <v>-2408.75</v>
      </c>
      <c r="S7" s="69">
        <f>+Q7-R7</f>
        <v>-818.91211112500014</v>
      </c>
      <c r="T7" s="46"/>
    </row>
    <row r="8" spans="1:20" x14ac:dyDescent="0.25">
      <c r="A8" s="66">
        <v>43497</v>
      </c>
      <c r="B8" s="64">
        <f>+B7-459222.37</f>
        <v>-982496.59</v>
      </c>
      <c r="C8" s="65">
        <f t="shared" ref="C8:C18" si="6">-B8*0.21</f>
        <v>206324.28389999998</v>
      </c>
      <c r="D8" s="46">
        <f t="shared" ref="D8:D18" si="7">+B8+C8</f>
        <v>-776172.30609999993</v>
      </c>
      <c r="E8" s="47">
        <f>+'Conv F and COC UE-180282'!$E$39</f>
        <v>6.9699999999999998E-2</v>
      </c>
      <c r="F8">
        <v>0.79</v>
      </c>
      <c r="G8" s="67">
        <f>(D8+D7)/2*E8/12/F8</f>
        <v>-4373.0093940416664</v>
      </c>
      <c r="H8" s="68">
        <v>-3598.05</v>
      </c>
      <c r="I8" s="69">
        <f t="shared" ref="I8:I18" si="8">+G8-H8</f>
        <v>-774.9593940416662</v>
      </c>
      <c r="J8" s="68"/>
      <c r="K8" s="66">
        <f t="shared" ref="K8:K18" si="9">+A8</f>
        <v>43497</v>
      </c>
      <c r="L8" s="64">
        <v>-928690.23</v>
      </c>
      <c r="M8" s="65">
        <f t="shared" ref="M8:M18" si="10">-L8*0.21</f>
        <v>195024.94829999999</v>
      </c>
      <c r="N8" s="46">
        <f t="shared" ref="N8:N18" si="11">+L8+M8</f>
        <v>-733665.28169999993</v>
      </c>
      <c r="O8" s="47">
        <v>6.9699999999999998E-2</v>
      </c>
      <c r="P8">
        <f t="shared" ref="P8:P18" si="12">F8</f>
        <v>0.79</v>
      </c>
      <c r="Q8" s="67">
        <f>(N8+N7)/2*O8/12/P8</f>
        <v>-5888.2059902500005</v>
      </c>
      <c r="R8" s="70">
        <v>-4597.8100000000004</v>
      </c>
      <c r="S8" s="69">
        <f t="shared" ref="S8:S18" si="13">+Q8-R8</f>
        <v>-1290.3959902500001</v>
      </c>
      <c r="T8" s="46"/>
    </row>
    <row r="9" spans="1:20" x14ac:dyDescent="0.25">
      <c r="A9" s="66">
        <v>43525</v>
      </c>
      <c r="B9" s="64">
        <f>+B8-14968.58</f>
        <v>-997465.16999999993</v>
      </c>
      <c r="C9" s="65">
        <f t="shared" si="6"/>
        <v>209467.68569999997</v>
      </c>
      <c r="D9" s="46">
        <f t="shared" si="7"/>
        <v>-787997.48429999989</v>
      </c>
      <c r="E9" s="47">
        <f>+'Conv F and COC UE-180282'!$E$39</f>
        <v>6.9699999999999998E-2</v>
      </c>
      <c r="F9">
        <v>0.79</v>
      </c>
      <c r="G9" s="67">
        <f t="shared" ref="G9:G18" si="14">(D9+D8)/2*E9/12/F9</f>
        <v>-5750.1389446666653</v>
      </c>
      <c r="H9" s="68">
        <v>-4300.58</v>
      </c>
      <c r="I9" s="69">
        <f t="shared" si="8"/>
        <v>-1449.5589446666654</v>
      </c>
      <c r="J9" s="68"/>
      <c r="K9" s="66">
        <f t="shared" si="9"/>
        <v>43525</v>
      </c>
      <c r="L9" s="64">
        <v>-817282.3</v>
      </c>
      <c r="M9" s="65">
        <f t="shared" si="10"/>
        <v>171629.283</v>
      </c>
      <c r="N9" s="46">
        <f t="shared" si="11"/>
        <v>-645653.01699999999</v>
      </c>
      <c r="O9" s="47">
        <v>6.9699999999999998E-2</v>
      </c>
      <c r="P9">
        <f t="shared" si="12"/>
        <v>0.79</v>
      </c>
      <c r="Q9" s="67">
        <f t="shared" ref="Q9:Q18" si="15">(N9+N8)/2*O9/12/P9</f>
        <v>-5070.5952225416668</v>
      </c>
      <c r="R9" s="70">
        <v>-3925.09</v>
      </c>
      <c r="S9" s="69">
        <f t="shared" si="13"/>
        <v>-1145.5052225416666</v>
      </c>
      <c r="T9" s="46"/>
    </row>
    <row r="10" spans="1:20" x14ac:dyDescent="0.25">
      <c r="A10" s="66">
        <v>43556</v>
      </c>
      <c r="B10" s="64">
        <f>+B9--8115.63</f>
        <v>-989349.53999999992</v>
      </c>
      <c r="C10" s="65">
        <f t="shared" si="6"/>
        <v>207763.40339999998</v>
      </c>
      <c r="D10" s="46">
        <f t="shared" si="7"/>
        <v>-781586.13659999997</v>
      </c>
      <c r="E10" s="47">
        <f>+'Conv F and COC UE-180282'!$E$39</f>
        <v>6.9699999999999998E-2</v>
      </c>
      <c r="F10">
        <v>0.79</v>
      </c>
      <c r="G10" s="67">
        <f t="shared" si="14"/>
        <v>-5770.0410536249992</v>
      </c>
      <c r="H10" s="68">
        <v>-4747.4799999999996</v>
      </c>
      <c r="I10" s="69">
        <f t="shared" si="8"/>
        <v>-1022.5610536249997</v>
      </c>
      <c r="J10" s="68"/>
      <c r="K10" s="66">
        <f t="shared" si="9"/>
        <v>43556</v>
      </c>
      <c r="L10" s="64">
        <v>-721774.49</v>
      </c>
      <c r="M10" s="65">
        <f t="shared" si="10"/>
        <v>151572.64290000001</v>
      </c>
      <c r="N10" s="46">
        <f t="shared" si="11"/>
        <v>-570201.84710000001</v>
      </c>
      <c r="O10" s="47">
        <v>6.9699999999999998E-2</v>
      </c>
      <c r="P10">
        <f t="shared" si="12"/>
        <v>0.79</v>
      </c>
      <c r="Q10" s="67">
        <f t="shared" si="15"/>
        <v>-4469.6774276249989</v>
      </c>
      <c r="R10" s="70">
        <v>-3430.66</v>
      </c>
      <c r="S10" s="69">
        <f t="shared" si="13"/>
        <v>-1039.0174276249991</v>
      </c>
      <c r="T10" s="46"/>
    </row>
    <row r="11" spans="1:20" x14ac:dyDescent="0.25">
      <c r="A11" s="66">
        <v>43586</v>
      </c>
      <c r="B11" s="64">
        <f>+B10+1314.71</f>
        <v>-988034.83</v>
      </c>
      <c r="C11" s="65">
        <f t="shared" si="6"/>
        <v>207487.31429999997</v>
      </c>
      <c r="D11" s="46">
        <f t="shared" si="7"/>
        <v>-780547.51569999999</v>
      </c>
      <c r="E11" s="47">
        <f>+'Conv F and COC UE-180282'!$E$39</f>
        <v>6.9699999999999998E-2</v>
      </c>
      <c r="F11">
        <v>0.79</v>
      </c>
      <c r="G11" s="67">
        <f t="shared" si="14"/>
        <v>-5742.6537745416654</v>
      </c>
      <c r="H11" s="68">
        <v>-4724.97</v>
      </c>
      <c r="I11" s="69">
        <f t="shared" si="8"/>
        <v>-1017.6837745416651</v>
      </c>
      <c r="J11" s="68"/>
      <c r="K11" s="66">
        <f t="shared" si="9"/>
        <v>43586</v>
      </c>
      <c r="L11" s="64">
        <v>-638599.68000000005</v>
      </c>
      <c r="M11" s="65">
        <f t="shared" si="10"/>
        <v>134105.93280000001</v>
      </c>
      <c r="N11" s="46">
        <f t="shared" si="11"/>
        <v>-504493.74720000004</v>
      </c>
      <c r="O11" s="47">
        <v>6.9699999999999998E-2</v>
      </c>
      <c r="P11">
        <f t="shared" si="12"/>
        <v>0.79</v>
      </c>
      <c r="Q11" s="67">
        <f t="shared" si="15"/>
        <v>-3950.7533187083332</v>
      </c>
      <c r="R11" s="70">
        <v>-3003.7</v>
      </c>
      <c r="S11" s="69">
        <f t="shared" si="13"/>
        <v>-947.05331870833334</v>
      </c>
      <c r="T11" s="46"/>
    </row>
    <row r="12" spans="1:20" x14ac:dyDescent="0.25">
      <c r="A12" s="66">
        <v>43617</v>
      </c>
      <c r="B12" s="64">
        <f>+B11+1875.49</f>
        <v>-986159.34</v>
      </c>
      <c r="C12" s="65">
        <f t="shared" si="6"/>
        <v>207093.46139999997</v>
      </c>
      <c r="D12" s="46">
        <f t="shared" si="7"/>
        <v>-779065.87859999994</v>
      </c>
      <c r="E12" s="47">
        <f>+'Conv F and COC UE-180282'!$E$39</f>
        <v>6.9699999999999998E-2</v>
      </c>
      <c r="F12">
        <v>0.79</v>
      </c>
      <c r="G12" s="67">
        <f t="shared" si="14"/>
        <v>-5733.3889020416655</v>
      </c>
      <c r="H12" s="68">
        <v>-4717.3500000000004</v>
      </c>
      <c r="I12" s="69">
        <f t="shared" si="8"/>
        <v>-1016.0389020416651</v>
      </c>
      <c r="J12" s="68"/>
      <c r="K12" s="66">
        <f t="shared" si="9"/>
        <v>43617</v>
      </c>
      <c r="L12" s="64">
        <v>-555644.77</v>
      </c>
      <c r="M12" s="65">
        <f t="shared" si="10"/>
        <v>116685.4017</v>
      </c>
      <c r="N12" s="46">
        <f t="shared" si="11"/>
        <v>-438959.36830000003</v>
      </c>
      <c r="O12" s="47">
        <v>6.9699999999999998E-2</v>
      </c>
      <c r="P12">
        <f t="shared" si="12"/>
        <v>0.79</v>
      </c>
      <c r="Q12" s="67">
        <f t="shared" si="15"/>
        <v>-3468.284923541667</v>
      </c>
      <c r="R12" s="70">
        <v>-2606.73</v>
      </c>
      <c r="S12" s="69">
        <f t="shared" si="13"/>
        <v>-861.55492354166699</v>
      </c>
      <c r="T12" s="46"/>
    </row>
    <row r="13" spans="1:20" x14ac:dyDescent="0.25">
      <c r="A13" s="66">
        <v>43647</v>
      </c>
      <c r="B13" s="64">
        <f>+B12--21078.96</f>
        <v>-965080.38</v>
      </c>
      <c r="C13" s="65">
        <f t="shared" si="6"/>
        <v>202666.8798</v>
      </c>
      <c r="D13" s="46">
        <f t="shared" si="7"/>
        <v>-762413.50020000001</v>
      </c>
      <c r="E13" s="47">
        <f>+'Conv F and COC UE-180282'!$E$39</f>
        <v>6.9699999999999998E-2</v>
      </c>
      <c r="F13">
        <v>0.79</v>
      </c>
      <c r="G13" s="67">
        <f t="shared" si="14"/>
        <v>-5666.7253535</v>
      </c>
      <c r="H13" s="68">
        <v>-4662.5</v>
      </c>
      <c r="I13" s="69">
        <f t="shared" si="8"/>
        <v>-1004.2253535</v>
      </c>
      <c r="J13" s="68"/>
      <c r="K13" s="66">
        <f t="shared" si="9"/>
        <v>43647</v>
      </c>
      <c r="L13" s="64">
        <v>-471117.5</v>
      </c>
      <c r="M13" s="65">
        <f t="shared" si="10"/>
        <v>98934.675000000003</v>
      </c>
      <c r="N13" s="46">
        <f t="shared" si="11"/>
        <v>-372182.82500000001</v>
      </c>
      <c r="O13" s="47">
        <v>6.9699999999999998E-2</v>
      </c>
      <c r="P13">
        <f t="shared" si="12"/>
        <v>0.79</v>
      </c>
      <c r="Q13" s="67">
        <f t="shared" si="15"/>
        <v>-2981.888759125</v>
      </c>
      <c r="R13" s="70">
        <v>-2606.5300000000002</v>
      </c>
      <c r="S13" s="69">
        <f t="shared" si="13"/>
        <v>-375.35875912499978</v>
      </c>
      <c r="T13" s="46"/>
    </row>
    <row r="14" spans="1:20" x14ac:dyDescent="0.25">
      <c r="A14" s="66">
        <v>43678</v>
      </c>
      <c r="B14" s="64">
        <f>+B13--1592.13</f>
        <v>-963488.25</v>
      </c>
      <c r="C14" s="65">
        <f t="shared" si="6"/>
        <v>202332.5325</v>
      </c>
      <c r="D14" s="46">
        <f t="shared" si="7"/>
        <v>-761155.71750000003</v>
      </c>
      <c r="E14" s="47">
        <f>+'Conv F and COC UE-180282'!$E$39</f>
        <v>6.9699999999999998E-2</v>
      </c>
      <c r="F14">
        <v>0.79</v>
      </c>
      <c r="G14" s="67">
        <f t="shared" si="14"/>
        <v>-5600.8847296249996</v>
      </c>
      <c r="H14" s="68">
        <v>-4608.32</v>
      </c>
      <c r="I14" s="69">
        <f t="shared" si="8"/>
        <v>-992.56472962499993</v>
      </c>
      <c r="J14" s="68"/>
      <c r="K14" s="66">
        <f t="shared" si="9"/>
        <v>43678</v>
      </c>
      <c r="L14" s="70">
        <v>-377629.05</v>
      </c>
      <c r="M14" s="65">
        <f t="shared" si="10"/>
        <v>79302.1005</v>
      </c>
      <c r="N14" s="46">
        <f t="shared" si="11"/>
        <v>-298326.94949999999</v>
      </c>
      <c r="O14" s="47">
        <v>6.9699999999999998E-2</v>
      </c>
      <c r="P14">
        <f t="shared" si="12"/>
        <v>0.79</v>
      </c>
      <c r="Q14" s="67">
        <f t="shared" si="15"/>
        <v>-2464.9014389583335</v>
      </c>
      <c r="R14" s="70">
        <v>-1781.16</v>
      </c>
      <c r="S14" s="69">
        <f t="shared" si="13"/>
        <v>-683.74143895833345</v>
      </c>
      <c r="T14" s="46"/>
    </row>
    <row r="15" spans="1:20" x14ac:dyDescent="0.25">
      <c r="A15" s="66">
        <v>43709</v>
      </c>
      <c r="B15" s="64">
        <f>+B14+-285000</f>
        <v>-1248488.25</v>
      </c>
      <c r="C15" s="65">
        <f t="shared" si="6"/>
        <v>262182.53249999997</v>
      </c>
      <c r="D15" s="46">
        <f t="shared" si="7"/>
        <v>-986305.71750000003</v>
      </c>
      <c r="E15" s="47">
        <f>+'Conv F and COC UE-180282'!$E$39</f>
        <v>6.9699999999999998E-2</v>
      </c>
      <c r="F15">
        <v>0.79</v>
      </c>
      <c r="G15" s="67">
        <f t="shared" si="14"/>
        <v>-6423.9484187499993</v>
      </c>
      <c r="H15" s="68">
        <v>-5285.53</v>
      </c>
      <c r="I15" s="69">
        <f t="shared" si="8"/>
        <v>-1138.4184187499995</v>
      </c>
      <c r="J15" s="68"/>
      <c r="K15" s="66">
        <f t="shared" si="9"/>
        <v>43709</v>
      </c>
      <c r="L15" s="64">
        <v>-295113.64</v>
      </c>
      <c r="M15" s="65">
        <f t="shared" si="10"/>
        <v>61973.864399999999</v>
      </c>
      <c r="N15" s="46">
        <f t="shared" si="11"/>
        <v>-233139.77560000002</v>
      </c>
      <c r="O15" s="47">
        <v>6.9699999999999998E-2</v>
      </c>
      <c r="P15">
        <f t="shared" si="12"/>
        <v>0.79</v>
      </c>
      <c r="Q15" s="67">
        <f t="shared" si="15"/>
        <v>-1953.7568955416668</v>
      </c>
      <c r="R15" s="70">
        <v>-1360.6</v>
      </c>
      <c r="S15" s="69">
        <f t="shared" si="13"/>
        <v>-593.15689554166693</v>
      </c>
      <c r="T15" s="46"/>
    </row>
    <row r="16" spans="1:20" x14ac:dyDescent="0.25">
      <c r="A16" s="66">
        <v>43739</v>
      </c>
      <c r="B16" s="71">
        <f>+B15--776.3</f>
        <v>-1247711.95</v>
      </c>
      <c r="C16" s="65">
        <f t="shared" si="6"/>
        <v>262019.50949999999</v>
      </c>
      <c r="D16" s="46">
        <f t="shared" si="7"/>
        <v>-985692.44050000003</v>
      </c>
      <c r="E16" s="47">
        <f>+'Conv F and COC UE-180282'!$E$39</f>
        <v>6.9699999999999998E-2</v>
      </c>
      <c r="F16">
        <v>0.79</v>
      </c>
      <c r="G16" s="67">
        <f t="shared" si="14"/>
        <v>-7249.3814141666662</v>
      </c>
      <c r="H16" s="68">
        <v>-5964.68</v>
      </c>
      <c r="I16" s="69">
        <f t="shared" si="8"/>
        <v>-1284.7014141666659</v>
      </c>
      <c r="J16" s="68"/>
      <c r="K16" s="66">
        <f t="shared" si="9"/>
        <v>43739</v>
      </c>
      <c r="L16" s="71">
        <v>-196119.37</v>
      </c>
      <c r="M16" s="65">
        <f t="shared" si="10"/>
        <v>41185.0677</v>
      </c>
      <c r="N16" s="46">
        <f t="shared" si="11"/>
        <v>-154934.30229999998</v>
      </c>
      <c r="O16" s="47">
        <v>6.9699999999999998E-2</v>
      </c>
      <c r="P16">
        <f t="shared" si="12"/>
        <v>0.79</v>
      </c>
      <c r="Q16" s="67">
        <f t="shared" si="15"/>
        <v>-1426.6225332083332</v>
      </c>
      <c r="R16" s="70">
        <v>-926.88</v>
      </c>
      <c r="S16" s="69">
        <f t="shared" si="13"/>
        <v>-499.74253320833316</v>
      </c>
      <c r="T16" s="46"/>
    </row>
    <row r="17" spans="1:20" x14ac:dyDescent="0.25">
      <c r="A17" s="66">
        <v>43770</v>
      </c>
      <c r="B17" s="70"/>
      <c r="C17" s="65">
        <f t="shared" si="6"/>
        <v>0</v>
      </c>
      <c r="D17" s="46">
        <f t="shared" si="7"/>
        <v>0</v>
      </c>
      <c r="E17" s="47">
        <f>+'Conv F and COC UE-180282'!$E$39</f>
        <v>6.9699999999999998E-2</v>
      </c>
      <c r="F17">
        <v>0.79</v>
      </c>
      <c r="G17" s="67"/>
      <c r="H17" s="68"/>
      <c r="I17" s="69"/>
      <c r="J17" s="68"/>
      <c r="K17" s="66">
        <f t="shared" si="9"/>
        <v>43770</v>
      </c>
      <c r="L17" s="64"/>
      <c r="M17" s="65">
        <f t="shared" si="10"/>
        <v>0</v>
      </c>
      <c r="N17" s="46">
        <f t="shared" si="11"/>
        <v>0</v>
      </c>
      <c r="O17" s="47">
        <v>6.9699999999999998E-2</v>
      </c>
      <c r="P17">
        <f t="shared" si="12"/>
        <v>0.79</v>
      </c>
      <c r="Q17" s="67"/>
      <c r="R17" s="64"/>
      <c r="S17" s="69">
        <f t="shared" si="13"/>
        <v>0</v>
      </c>
    </row>
    <row r="18" spans="1:20" x14ac:dyDescent="0.25">
      <c r="A18" s="66">
        <v>43800</v>
      </c>
      <c r="B18" s="70"/>
      <c r="C18" s="65">
        <f t="shared" si="6"/>
        <v>0</v>
      </c>
      <c r="D18" s="46">
        <f t="shared" si="7"/>
        <v>0</v>
      </c>
      <c r="E18" s="47">
        <f>+'Conv F and COC UE-180282'!$E$39</f>
        <v>6.9699999999999998E-2</v>
      </c>
      <c r="F18">
        <v>0.79</v>
      </c>
      <c r="G18" s="67">
        <f t="shared" si="14"/>
        <v>0</v>
      </c>
      <c r="H18" s="68"/>
      <c r="I18" s="69">
        <f t="shared" si="8"/>
        <v>0</v>
      </c>
      <c r="J18" s="68"/>
      <c r="K18" s="66">
        <f t="shared" si="9"/>
        <v>43800</v>
      </c>
      <c r="L18" s="64"/>
      <c r="M18" s="65">
        <f t="shared" si="10"/>
        <v>0</v>
      </c>
      <c r="N18" s="46">
        <f t="shared" si="11"/>
        <v>0</v>
      </c>
      <c r="O18" s="47">
        <v>6.9699999999999998E-2</v>
      </c>
      <c r="P18">
        <f t="shared" si="12"/>
        <v>0.79</v>
      </c>
      <c r="Q18" s="67">
        <f t="shared" si="15"/>
        <v>0</v>
      </c>
      <c r="R18" s="64"/>
      <c r="S18" s="69">
        <f t="shared" si="13"/>
        <v>0</v>
      </c>
    </row>
    <row r="19" spans="1:20" ht="15.75" thickBot="1" x14ac:dyDescent="0.3">
      <c r="A19" s="66"/>
      <c r="C19" s="65"/>
      <c r="F19" s="46"/>
      <c r="G19" s="46">
        <f>SUM(G7:G18)</f>
        <v>-57204.660689916658</v>
      </c>
      <c r="H19" s="46">
        <f>SUM(H7:H18)</f>
        <v>-49184.75</v>
      </c>
      <c r="I19" s="73">
        <f>SUM(I7:I18)</f>
        <v>-8019.9106899166609</v>
      </c>
      <c r="J19" s="130" t="s">
        <v>58</v>
      </c>
      <c r="N19" t="s">
        <v>82</v>
      </c>
      <c r="Q19" s="46">
        <f>SUM(Q7:Q18)</f>
        <v>-34902.348620625002</v>
      </c>
      <c r="R19" s="46">
        <f>SUM(R7:R18)</f>
        <v>-26647.91</v>
      </c>
      <c r="S19" s="73">
        <f>SUM(S7:S18)</f>
        <v>-8254.4386206250001</v>
      </c>
      <c r="T19" s="130" t="s">
        <v>58</v>
      </c>
    </row>
    <row r="20" spans="1:20" ht="15.75" thickTop="1" x14ac:dyDescent="0.25">
      <c r="H20" s="111">
        <f>49184.75+H19</f>
        <v>0</v>
      </c>
      <c r="I20" s="110" t="s">
        <v>84</v>
      </c>
      <c r="K20" s="66"/>
      <c r="N20" s="46"/>
      <c r="R20" s="111">
        <f>30616.96+R19-3969.05</f>
        <v>0</v>
      </c>
      <c r="S20" s="110" t="s">
        <v>83</v>
      </c>
    </row>
    <row r="21" spans="1:20" x14ac:dyDescent="0.25">
      <c r="L21" s="64"/>
      <c r="M21" s="65"/>
      <c r="N21" s="46"/>
      <c r="O21" s="47"/>
      <c r="Q21" s="67"/>
    </row>
    <row r="23" spans="1:20" x14ac:dyDescent="0.25">
      <c r="A23" s="75" t="s">
        <v>58</v>
      </c>
      <c r="B23" t="s">
        <v>89</v>
      </c>
    </row>
    <row r="24" spans="1:20" x14ac:dyDescent="0.25">
      <c r="H24" s="46" t="s">
        <v>94</v>
      </c>
      <c r="I24" s="1" t="s">
        <v>95</v>
      </c>
      <c r="N24" s="64"/>
    </row>
    <row r="25" spans="1:20" x14ac:dyDescent="0.25">
      <c r="G25" s="127" t="s">
        <v>92</v>
      </c>
      <c r="H25" s="128">
        <v>43100181</v>
      </c>
      <c r="I25" s="129">
        <f>-I19</f>
        <v>8019.9106899166609</v>
      </c>
    </row>
    <row r="26" spans="1:20" x14ac:dyDescent="0.25">
      <c r="A26" s="66"/>
      <c r="B26" s="64"/>
      <c r="G26" s="127" t="s">
        <v>92</v>
      </c>
      <c r="H26">
        <v>25400311</v>
      </c>
      <c r="I26" s="46">
        <f>-I25</f>
        <v>-8019.9106899166609</v>
      </c>
    </row>
    <row r="27" spans="1:20" x14ac:dyDescent="0.25">
      <c r="A27" s="66"/>
      <c r="G27" s="127" t="s">
        <v>93</v>
      </c>
      <c r="H27">
        <v>43100141</v>
      </c>
      <c r="I27" s="46">
        <f>-S19</f>
        <v>8254.4386206250001</v>
      </c>
    </row>
    <row r="28" spans="1:20" ht="11.25" customHeight="1" x14ac:dyDescent="0.25">
      <c r="A28" s="66"/>
      <c r="G28" s="127" t="s">
        <v>93</v>
      </c>
      <c r="H28">
        <v>25400301</v>
      </c>
      <c r="I28" s="46">
        <f>-I27</f>
        <v>-8254.4386206250001</v>
      </c>
    </row>
    <row r="29" spans="1:20" hidden="1" x14ac:dyDescent="0.25">
      <c r="A29" s="66"/>
    </row>
    <row r="30" spans="1:20" x14ac:dyDescent="0.25">
      <c r="A30" s="66"/>
      <c r="B30" s="74"/>
      <c r="F30" s="72"/>
    </row>
    <row r="31" spans="1:20" x14ac:dyDescent="0.25">
      <c r="A31" s="66"/>
      <c r="B31" t="s">
        <v>56</v>
      </c>
      <c r="L31" t="s">
        <v>57</v>
      </c>
    </row>
    <row r="32" spans="1:20" x14ac:dyDescent="0.25">
      <c r="A32" s="66"/>
      <c r="R32" s="64"/>
    </row>
    <row r="33" spans="1:18" x14ac:dyDescent="0.25">
      <c r="A33" s="66"/>
      <c r="R33" s="64"/>
    </row>
    <row r="34" spans="1:18" x14ac:dyDescent="0.25">
      <c r="R34" s="64"/>
    </row>
    <row r="35" spans="1:18" x14ac:dyDescent="0.25">
      <c r="R35" s="64"/>
    </row>
    <row r="50" spans="9:19" x14ac:dyDescent="0.25">
      <c r="I50" s="67">
        <f>+B16</f>
        <v>-1247711.95</v>
      </c>
      <c r="S50" s="46">
        <f>+L16</f>
        <v>-196119.37</v>
      </c>
    </row>
    <row r="51" spans="9:19" x14ac:dyDescent="0.25">
      <c r="I51" s="124" t="s">
        <v>86</v>
      </c>
      <c r="S51" s="124" t="s">
        <v>86</v>
      </c>
    </row>
  </sheetData>
  <pageMargins left="0.7" right="0.7" top="0.75" bottom="0.75" header="0.3" footer="0.3"/>
  <pageSetup scale="57" fitToHeight="2" orientation="landscape" r:id="rId1"/>
  <rowBreaks count="1" manualBreakCount="1">
    <brk id="5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zoomScaleNormal="100" workbookViewId="0">
      <selection activeCell="F24" sqref="F24"/>
    </sheetView>
  </sheetViews>
  <sheetFormatPr defaultRowHeight="15" x14ac:dyDescent="0.25"/>
  <cols>
    <col min="1" max="1" width="9.7109375" customWidth="1"/>
    <col min="2" max="2" width="15.85546875" customWidth="1"/>
    <col min="3" max="3" width="14" bestFit="1" customWidth="1"/>
    <col min="4" max="4" width="12.28515625" bestFit="1" customWidth="1"/>
    <col min="5" max="5" width="14" bestFit="1" customWidth="1"/>
    <col min="7" max="7" width="8.140625" bestFit="1" customWidth="1"/>
    <col min="8" max="8" width="11.7109375" customWidth="1"/>
    <col min="9" max="9" width="8.7109375" bestFit="1" customWidth="1"/>
    <col min="13" max="13" width="53" bestFit="1" customWidth="1"/>
    <col min="14" max="15" width="12.28515625" bestFit="1" customWidth="1"/>
    <col min="16" max="16" width="14.140625" bestFit="1" customWidth="1"/>
  </cols>
  <sheetData>
    <row r="1" spans="1:17" ht="15.75" thickBot="1" x14ac:dyDescent="0.3">
      <c r="A1" s="58" t="s">
        <v>44</v>
      </c>
      <c r="B1" s="58"/>
    </row>
    <row r="2" spans="1:17" ht="15.75" thickBot="1" x14ac:dyDescent="0.3">
      <c r="C2" s="105"/>
      <c r="D2" s="106"/>
      <c r="E2" s="106"/>
      <c r="F2" s="106"/>
      <c r="G2" s="106"/>
      <c r="H2" s="107"/>
    </row>
    <row r="3" spans="1:17" s="59" customFormat="1" ht="105.75" thickBot="1" x14ac:dyDescent="0.3">
      <c r="A3" s="59" t="s">
        <v>45</v>
      </c>
      <c r="B3" s="59" t="s">
        <v>73</v>
      </c>
      <c r="C3" s="102" t="s">
        <v>98</v>
      </c>
      <c r="D3" s="103" t="s">
        <v>46</v>
      </c>
      <c r="E3" s="103" t="s">
        <v>47</v>
      </c>
      <c r="F3" s="103" t="s">
        <v>48</v>
      </c>
      <c r="G3" s="103" t="s">
        <v>49</v>
      </c>
      <c r="H3" s="104" t="s">
        <v>50</v>
      </c>
      <c r="I3" s="63"/>
      <c r="M3" s="143"/>
    </row>
    <row r="4" spans="1:17" s="59" customFormat="1" ht="45" x14ac:dyDescent="0.25">
      <c r="A4" s="59" t="s">
        <v>81</v>
      </c>
      <c r="C4" s="64">
        <f>+'Tracking Accounts'!G18+'Tracking Accounts'!O18</f>
        <v>-1443831.3199999998</v>
      </c>
      <c r="D4" s="65">
        <f t="shared" ref="D4:D19" si="0">-C4*0.21</f>
        <v>303204.57719999994</v>
      </c>
      <c r="E4" s="46">
        <f>+C4+D4</f>
        <v>-1140626.7427999999</v>
      </c>
      <c r="F4" s="47">
        <f>+'Conv F and COC UE-180282'!$E$39</f>
        <v>6.9699999999999998E-2</v>
      </c>
      <c r="G4" s="108">
        <f>1-'Conv F and COC UE-180282'!$D$20</f>
        <v>0.79</v>
      </c>
      <c r="H4" s="67"/>
      <c r="I4" s="63"/>
      <c r="M4" s="133" t="s">
        <v>97</v>
      </c>
      <c r="N4" s="133"/>
      <c r="O4" s="133"/>
      <c r="P4" s="133"/>
      <c r="Q4" s="133"/>
    </row>
    <row r="5" spans="1:17" x14ac:dyDescent="0.25">
      <c r="A5" s="66">
        <v>43770</v>
      </c>
      <c r="B5" s="132">
        <f>-N11*C36</f>
        <v>103876.47671955945</v>
      </c>
      <c r="C5" s="64">
        <f>+C4+B5</f>
        <v>-1339954.8432804404</v>
      </c>
      <c r="D5" s="65">
        <f t="shared" si="0"/>
        <v>281390.51708889246</v>
      </c>
      <c r="E5" s="46">
        <f>+C5+D5</f>
        <v>-1058564.326191548</v>
      </c>
      <c r="F5" s="47">
        <f>+'Conv F and COC UE-180282'!$E$39</f>
        <v>6.9699999999999998E-2</v>
      </c>
      <c r="G5" s="108">
        <f>1-'Conv F and COC UE-180282'!$D$20</f>
        <v>0.79</v>
      </c>
      <c r="H5" s="144">
        <f>(E5+E4)/2*F5/12/G5</f>
        <v>-8084.5789825269449</v>
      </c>
      <c r="I5" s="68"/>
      <c r="M5" s="133"/>
      <c r="N5" s="133"/>
      <c r="O5" s="133"/>
      <c r="P5" s="133"/>
      <c r="Q5" s="133"/>
    </row>
    <row r="6" spans="1:17" x14ac:dyDescent="0.25">
      <c r="A6" s="66">
        <v>43800</v>
      </c>
      <c r="B6" s="132">
        <f>-N11*C37</f>
        <v>122569.72950175528</v>
      </c>
      <c r="C6" s="64">
        <f t="shared" ref="C6:C18" si="1">+C5+B6</f>
        <v>-1217385.1137786852</v>
      </c>
      <c r="D6" s="65">
        <f t="shared" si="0"/>
        <v>255650.87389352388</v>
      </c>
      <c r="E6" s="46">
        <f t="shared" ref="E6:E18" si="2">+C6+D6</f>
        <v>-961734.2398851614</v>
      </c>
      <c r="F6" s="47">
        <f>+'Conv F and COC UE-180282'!$E$39</f>
        <v>6.9699999999999998E-2</v>
      </c>
      <c r="G6" s="108">
        <f>1-'Conv F and COC UE-180282'!$D$20</f>
        <v>0.79</v>
      </c>
      <c r="H6" s="144">
        <f>(E6+E5)/2*F6/12/G6</f>
        <v>-7426.9414586258772</v>
      </c>
      <c r="I6" s="68"/>
      <c r="M6" s="133"/>
      <c r="N6" s="133"/>
      <c r="O6" s="133"/>
      <c r="P6" s="133"/>
      <c r="Q6" s="133"/>
    </row>
    <row r="7" spans="1:17" x14ac:dyDescent="0.25">
      <c r="A7" s="66">
        <v>43831</v>
      </c>
      <c r="B7" s="131">
        <f>-$C$6*C26</f>
        <v>126056.16932933107</v>
      </c>
      <c r="C7" s="64">
        <f t="shared" si="1"/>
        <v>-1091328.9444493542</v>
      </c>
      <c r="D7" s="65">
        <f t="shared" si="0"/>
        <v>229179.07833436437</v>
      </c>
      <c r="E7" s="46">
        <f t="shared" si="2"/>
        <v>-862149.86611498985</v>
      </c>
      <c r="F7" s="47">
        <f>+'Conv F and COC UE-180282'!$E$39</f>
        <v>6.9699999999999998E-2</v>
      </c>
      <c r="G7" s="108">
        <f>1-'Conv F and COC UE-180282'!$D$20</f>
        <v>0.79</v>
      </c>
      <c r="H7" s="131">
        <f t="shared" ref="H7:H14" si="3">(E7+E6)/2*F7/12/G7</f>
        <v>-6704.8904107705976</v>
      </c>
      <c r="I7" s="68"/>
      <c r="M7" s="133"/>
      <c r="N7" s="133"/>
      <c r="O7" s="133"/>
      <c r="P7" s="133"/>
      <c r="Q7" s="133"/>
    </row>
    <row r="8" spans="1:17" x14ac:dyDescent="0.25">
      <c r="A8" s="66">
        <v>43862</v>
      </c>
      <c r="B8" s="131">
        <f t="shared" ref="B8:B18" si="4">-$C$6*C27</f>
        <v>112614.11823442498</v>
      </c>
      <c r="C8" s="64">
        <f t="shared" si="1"/>
        <v>-978714.82621492923</v>
      </c>
      <c r="D8" s="65">
        <f t="shared" si="0"/>
        <v>205530.11350513512</v>
      </c>
      <c r="E8" s="46">
        <f t="shared" si="2"/>
        <v>-773184.71270979405</v>
      </c>
      <c r="F8" s="47">
        <f>+'Conv F and COC UE-180282'!$E$39</f>
        <v>6.9699999999999998E-2</v>
      </c>
      <c r="G8" s="108">
        <f>1-'Conv F and COC UE-180282'!$D$20</f>
        <v>0.79</v>
      </c>
      <c r="H8" s="131">
        <f t="shared" si="3"/>
        <v>-6011.7521173041896</v>
      </c>
      <c r="I8" s="68"/>
      <c r="M8" s="133"/>
      <c r="N8" s="134" t="s">
        <v>36</v>
      </c>
      <c r="O8" s="133"/>
      <c r="P8" s="133"/>
      <c r="Q8" s="133"/>
    </row>
    <row r="9" spans="1:17" x14ac:dyDescent="0.25">
      <c r="A9" s="66">
        <v>43891</v>
      </c>
      <c r="B9" s="131">
        <f t="shared" si="4"/>
        <v>111543.35155211881</v>
      </c>
      <c r="C9" s="64">
        <f t="shared" si="1"/>
        <v>-867171.47466281045</v>
      </c>
      <c r="D9" s="65">
        <f t="shared" si="0"/>
        <v>182106.00967919017</v>
      </c>
      <c r="E9" s="46">
        <f t="shared" si="2"/>
        <v>-685065.46498362022</v>
      </c>
      <c r="F9" s="47">
        <f>+'Conv F and COC UE-180282'!$E$39</f>
        <v>6.9699999999999998E-2</v>
      </c>
      <c r="G9" s="108">
        <f>1-'Conv F and COC UE-180282'!$D$20</f>
        <v>0.79</v>
      </c>
      <c r="H9" s="131">
        <f t="shared" si="3"/>
        <v>-5360.7614654657691</v>
      </c>
      <c r="I9" s="68"/>
      <c r="M9" s="135" t="s">
        <v>4</v>
      </c>
      <c r="N9" s="135" t="s">
        <v>37</v>
      </c>
      <c r="O9" s="133"/>
      <c r="P9" s="134" t="s">
        <v>38</v>
      </c>
      <c r="Q9" s="133"/>
    </row>
    <row r="10" spans="1:17" x14ac:dyDescent="0.25">
      <c r="A10" s="66">
        <v>43922</v>
      </c>
      <c r="B10" s="131">
        <f t="shared" si="4"/>
        <v>96701.864735051742</v>
      </c>
      <c r="C10" s="64">
        <f t="shared" si="1"/>
        <v>-770469.60992775869</v>
      </c>
      <c r="D10" s="65">
        <f t="shared" si="0"/>
        <v>161798.61808482933</v>
      </c>
      <c r="E10" s="46">
        <f t="shared" si="2"/>
        <v>-608670.99184292939</v>
      </c>
      <c r="F10" s="47">
        <f>+'Conv F and COC UE-180282'!$E$39</f>
        <v>6.9699999999999998E-2</v>
      </c>
      <c r="G10" s="108">
        <f>1-'Conv F and COC UE-180282'!$D$20</f>
        <v>0.79</v>
      </c>
      <c r="H10" s="131">
        <f t="shared" si="3"/>
        <v>-4755.9826498317771</v>
      </c>
      <c r="I10" s="68"/>
      <c r="M10" s="133"/>
      <c r="N10" s="133"/>
      <c r="O10" s="133"/>
      <c r="P10" s="134" t="s">
        <v>39</v>
      </c>
      <c r="Q10" s="133"/>
    </row>
    <row r="11" spans="1:17" x14ac:dyDescent="0.25">
      <c r="A11" s="66">
        <v>43952</v>
      </c>
      <c r="B11" s="131">
        <f t="shared" si="4"/>
        <v>89057.95027162919</v>
      </c>
      <c r="C11" s="64">
        <f t="shared" si="1"/>
        <v>-681411.65965612954</v>
      </c>
      <c r="D11" s="65">
        <f t="shared" si="0"/>
        <v>143096.4485277872</v>
      </c>
      <c r="E11" s="46">
        <f t="shared" si="2"/>
        <v>-538315.21112834231</v>
      </c>
      <c r="F11" s="47">
        <f>+'Conv F and COC UE-180282'!$E$39</f>
        <v>6.9699999999999998E-2</v>
      </c>
      <c r="G11" s="108">
        <f>1-'Conv F and COC UE-180282'!$D$20</f>
        <v>0.79</v>
      </c>
      <c r="H11" s="131">
        <f t="shared" si="3"/>
        <v>-4216.5051870832076</v>
      </c>
      <c r="I11" s="68"/>
      <c r="M11" s="133" t="s">
        <v>5</v>
      </c>
      <c r="N11" s="136">
        <v>-1162059.0500000003</v>
      </c>
      <c r="O11" s="136">
        <v>-1277936.2200000002</v>
      </c>
      <c r="P11" s="137">
        <v>0.90498887852712773</v>
      </c>
      <c r="Q11" s="133"/>
    </row>
    <row r="12" spans="1:17" x14ac:dyDescent="0.25">
      <c r="A12" s="66">
        <v>43983</v>
      </c>
      <c r="B12" s="131">
        <f t="shared" si="4"/>
        <v>85306.10172291426</v>
      </c>
      <c r="C12" s="64">
        <f t="shared" si="1"/>
        <v>-596105.55793321528</v>
      </c>
      <c r="D12" s="65">
        <f t="shared" si="0"/>
        <v>125182.1671659752</v>
      </c>
      <c r="E12" s="46">
        <f t="shared" si="2"/>
        <v>-470923.39076724008</v>
      </c>
      <c r="F12" s="47">
        <f>+'Conv F and COC UE-180282'!$E$39</f>
        <v>6.9699999999999998E-2</v>
      </c>
      <c r="G12" s="108">
        <f>1-'Conv F and COC UE-180282'!$D$20</f>
        <v>0.79</v>
      </c>
      <c r="H12" s="131">
        <f t="shared" si="3"/>
        <v>-3710.1229194157222</v>
      </c>
      <c r="I12" s="68"/>
      <c r="M12" s="133" t="s">
        <v>1</v>
      </c>
      <c r="N12" s="132">
        <v>-115877.16999999995</v>
      </c>
      <c r="O12" s="133"/>
      <c r="P12" s="137"/>
      <c r="Q12" s="133"/>
    </row>
    <row r="13" spans="1:17" x14ac:dyDescent="0.25">
      <c r="A13" s="66">
        <v>44013</v>
      </c>
      <c r="B13" s="131">
        <f t="shared" si="4"/>
        <v>88688.445181271323</v>
      </c>
      <c r="C13" s="64">
        <f t="shared" si="1"/>
        <v>-507417.11275194399</v>
      </c>
      <c r="D13" s="65">
        <f t="shared" si="0"/>
        <v>106557.59367790824</v>
      </c>
      <c r="E13" s="46">
        <f t="shared" si="2"/>
        <v>-400859.51907403575</v>
      </c>
      <c r="F13" s="47">
        <f>+'Conv F and COC UE-180282'!$E$39</f>
        <v>6.9699999999999998E-2</v>
      </c>
      <c r="G13" s="108">
        <f>1-'Conv F and COC UE-180282'!$D$20</f>
        <v>0.79</v>
      </c>
      <c r="H13" s="131">
        <f t="shared" si="3"/>
        <v>-3204.813756114816</v>
      </c>
      <c r="I13" s="68"/>
      <c r="M13" s="133" t="s">
        <v>76</v>
      </c>
      <c r="N13" s="132">
        <v>-40250.496935935</v>
      </c>
      <c r="O13" s="132">
        <v>-134165.35419817717</v>
      </c>
      <c r="P13" s="137">
        <v>9.5011121472872259E-2</v>
      </c>
      <c r="Q13" s="133"/>
    </row>
    <row r="14" spans="1:17" x14ac:dyDescent="0.25">
      <c r="A14" s="66">
        <v>44044</v>
      </c>
      <c r="B14" s="131">
        <f t="shared" si="4"/>
        <v>88804.778409309263</v>
      </c>
      <c r="C14" s="64">
        <f t="shared" si="1"/>
        <v>-418612.33434263471</v>
      </c>
      <c r="D14" s="65">
        <f t="shared" si="0"/>
        <v>87908.590211953284</v>
      </c>
      <c r="E14" s="46">
        <f t="shared" si="2"/>
        <v>-330703.74413068144</v>
      </c>
      <c r="F14" s="47">
        <f>+'Conv F and COC UE-180282'!$E$39</f>
        <v>6.9699999999999998E-2</v>
      </c>
      <c r="G14" s="108">
        <f>1-'Conv F and COC UE-180282'!$D$20</f>
        <v>0.79</v>
      </c>
      <c r="H14" s="131">
        <f t="shared" si="3"/>
        <v>-2689.343852603839</v>
      </c>
      <c r="I14" s="68"/>
      <c r="M14" s="133" t="s">
        <v>2</v>
      </c>
      <c r="N14" s="132">
        <v>-93914.857262242178</v>
      </c>
      <c r="O14" s="133"/>
      <c r="P14" s="133"/>
      <c r="Q14" s="133"/>
    </row>
    <row r="15" spans="1:17" x14ac:dyDescent="0.25">
      <c r="A15" s="66">
        <v>44075</v>
      </c>
      <c r="B15" s="131">
        <f t="shared" si="4"/>
        <v>85314.199028220843</v>
      </c>
      <c r="C15" s="64">
        <f t="shared" si="1"/>
        <v>-333298.13531441387</v>
      </c>
      <c r="D15" s="65">
        <f t="shared" si="0"/>
        <v>69992.608416026909</v>
      </c>
      <c r="E15" s="46">
        <f t="shared" si="2"/>
        <v>-263305.52689838695</v>
      </c>
      <c r="F15" s="47">
        <f>+'Conv F and COC UE-180282'!$E$39</f>
        <v>6.9699999999999998E-2</v>
      </c>
      <c r="G15" s="108">
        <f>1-'Conv F and COC UE-180282'!$D$20</f>
        <v>0.79</v>
      </c>
      <c r="H15" s="131">
        <f t="shared" ref="H15:H18" si="5">(E15+E14)/2*F15/12/G15</f>
        <v>-2183.6733222956782</v>
      </c>
      <c r="I15" s="68"/>
      <c r="M15" s="133"/>
      <c r="N15" s="138">
        <v>-1412101.5741981773</v>
      </c>
      <c r="O15" s="139">
        <v>-1412101.5741981773</v>
      </c>
      <c r="P15" s="140">
        <v>1</v>
      </c>
      <c r="Q15" s="133"/>
    </row>
    <row r="16" spans="1:17" x14ac:dyDescent="0.25">
      <c r="A16" s="66">
        <v>44105</v>
      </c>
      <c r="B16" s="131">
        <f t="shared" si="4"/>
        <v>96070.740953097265</v>
      </c>
      <c r="C16" s="64">
        <f t="shared" si="1"/>
        <v>-237227.3943613166</v>
      </c>
      <c r="D16" s="65">
        <f t="shared" si="0"/>
        <v>49817.752815876484</v>
      </c>
      <c r="E16" s="46">
        <f t="shared" si="2"/>
        <v>-187409.64154544013</v>
      </c>
      <c r="F16" s="47">
        <f>+'Conv F and COC UE-180282'!$E$39</f>
        <v>6.9699999999999998E-2</v>
      </c>
      <c r="G16" s="108">
        <f>1-'Conv F and COC UE-180282'!$D$20</f>
        <v>0.79</v>
      </c>
      <c r="H16" s="131">
        <f t="shared" si="5"/>
        <v>-1656.9012257666004</v>
      </c>
      <c r="I16" s="68"/>
      <c r="M16" s="133" t="s">
        <v>0</v>
      </c>
      <c r="N16" s="141">
        <v>0.95238599999999995</v>
      </c>
      <c r="O16" s="133"/>
      <c r="P16" s="133"/>
      <c r="Q16" s="133"/>
    </row>
    <row r="17" spans="1:17" ht="15.75" thickBot="1" x14ac:dyDescent="0.3">
      <c r="A17" s="66">
        <v>44136</v>
      </c>
      <c r="B17" s="131">
        <f t="shared" si="4"/>
        <v>108822.07442915211</v>
      </c>
      <c r="C17" s="64">
        <f t="shared" si="1"/>
        <v>-128405.31993216449</v>
      </c>
      <c r="D17" s="65">
        <f t="shared" si="0"/>
        <v>26965.117185754541</v>
      </c>
      <c r="E17" s="46">
        <f t="shared" si="2"/>
        <v>-101440.20274640995</v>
      </c>
      <c r="F17" s="47">
        <f>+'Conv F and COC UE-180282'!$E$39</f>
        <v>6.9699999999999998E-2</v>
      </c>
      <c r="G17" s="108">
        <f>1-'Conv F and COC UE-180282'!$D$20</f>
        <v>0.79</v>
      </c>
      <c r="H17" s="131">
        <f t="shared" si="5"/>
        <v>-1061.8583410939848</v>
      </c>
      <c r="M17" s="133" t="s">
        <v>3</v>
      </c>
      <c r="N17" s="142">
        <v>-1482698.7946044749</v>
      </c>
      <c r="O17" s="133"/>
      <c r="P17" s="133"/>
      <c r="Q17" s="133"/>
    </row>
    <row r="18" spans="1:17" ht="15.75" thickTop="1" x14ac:dyDescent="0.25">
      <c r="A18" s="66">
        <v>44166</v>
      </c>
      <c r="B18" s="131">
        <f t="shared" si="4"/>
        <v>128405.31993216436</v>
      </c>
      <c r="C18" s="64">
        <f t="shared" si="1"/>
        <v>-1.3096723705530167E-10</v>
      </c>
      <c r="D18" s="65">
        <f t="shared" si="0"/>
        <v>2.7503119781613348E-11</v>
      </c>
      <c r="E18" s="46">
        <f t="shared" si="2"/>
        <v>-1.0346411727368832E-10</v>
      </c>
      <c r="F18" s="47">
        <f>+'Conv F and COC UE-180282'!$E$39</f>
        <v>6.9699999999999998E-2</v>
      </c>
      <c r="G18" s="108">
        <f>1-'Conv F and COC UE-180282'!$D$20</f>
        <v>0.79</v>
      </c>
      <c r="H18" s="131">
        <f t="shared" si="5"/>
        <v>-372.91044996966139</v>
      </c>
    </row>
    <row r="19" spans="1:17" x14ac:dyDescent="0.25">
      <c r="A19" s="66"/>
      <c r="B19" s="66"/>
      <c r="C19" s="64"/>
      <c r="D19" s="65">
        <f t="shared" si="0"/>
        <v>0</v>
      </c>
      <c r="E19" s="46"/>
      <c r="F19" s="47"/>
      <c r="H19" s="67"/>
    </row>
    <row r="20" spans="1:17" x14ac:dyDescent="0.25">
      <c r="G20">
        <v>2019</v>
      </c>
      <c r="H20" s="90">
        <f>SUM(H5:H6)</f>
        <v>-15511.520441152821</v>
      </c>
    </row>
    <row r="21" spans="1:17" x14ac:dyDescent="0.25">
      <c r="G21">
        <v>2020</v>
      </c>
      <c r="H21" s="90">
        <f>SUM(H7:H18)</f>
        <v>-41929.51569771584</v>
      </c>
    </row>
    <row r="22" spans="1:17" ht="15.75" thickBot="1" x14ac:dyDescent="0.3">
      <c r="A22" s="75"/>
      <c r="B22" s="75"/>
      <c r="H22" s="7">
        <f>SUM(H20:H21)</f>
        <v>-57441.036138868658</v>
      </c>
    </row>
    <row r="23" spans="1:17" ht="15.75" thickTop="1" x14ac:dyDescent="0.25"/>
    <row r="24" spans="1:17" x14ac:dyDescent="0.25">
      <c r="A24" s="89"/>
      <c r="B24" s="1" t="s">
        <v>75</v>
      </c>
    </row>
    <row r="25" spans="1:17" x14ac:dyDescent="0.25">
      <c r="A25" s="2" t="s">
        <v>72</v>
      </c>
      <c r="B25" s="2" t="s">
        <v>96</v>
      </c>
      <c r="C25" s="2" t="s">
        <v>74</v>
      </c>
    </row>
    <row r="26" spans="1:17" x14ac:dyDescent="0.25">
      <c r="A26" s="89">
        <v>43831</v>
      </c>
      <c r="B26" s="91">
        <v>2163906</v>
      </c>
      <c r="C26" s="92">
        <f>+B26/$B$38</f>
        <v>0.10354666563817329</v>
      </c>
    </row>
    <row r="27" spans="1:17" x14ac:dyDescent="0.25">
      <c r="A27" s="89">
        <v>43862</v>
      </c>
      <c r="B27" s="91">
        <v>1933157</v>
      </c>
      <c r="C27" s="92">
        <f t="shared" ref="C27:C37" si="6">+B27/$B$38</f>
        <v>9.2504924661743232E-2</v>
      </c>
    </row>
    <row r="28" spans="1:17" x14ac:dyDescent="0.25">
      <c r="A28" s="89">
        <v>43891</v>
      </c>
      <c r="B28" s="91">
        <v>1914776</v>
      </c>
      <c r="C28" s="92">
        <f t="shared" si="6"/>
        <v>9.162536184288915E-2</v>
      </c>
      <c r="G28" s="72"/>
    </row>
    <row r="29" spans="1:17" x14ac:dyDescent="0.25">
      <c r="A29" s="89">
        <v>43922</v>
      </c>
      <c r="B29" s="91">
        <v>1660004</v>
      </c>
      <c r="C29" s="92">
        <f t="shared" si="6"/>
        <v>7.9434078534848657E-2</v>
      </c>
    </row>
    <row r="30" spans="1:17" x14ac:dyDescent="0.25">
      <c r="A30" s="89">
        <v>43952</v>
      </c>
      <c r="B30" s="91">
        <v>1528787</v>
      </c>
      <c r="C30" s="92">
        <f t="shared" si="6"/>
        <v>7.3155116867824208E-2</v>
      </c>
    </row>
    <row r="31" spans="1:17" x14ac:dyDescent="0.25">
      <c r="A31" s="89">
        <v>43983</v>
      </c>
      <c r="B31" s="91">
        <v>1464382</v>
      </c>
      <c r="C31" s="92">
        <f t="shared" si="6"/>
        <v>7.0073225602479722E-2</v>
      </c>
    </row>
    <row r="32" spans="1:17" x14ac:dyDescent="0.25">
      <c r="A32" s="89">
        <v>44013</v>
      </c>
      <c r="B32" s="91">
        <v>1522444</v>
      </c>
      <c r="C32" s="92">
        <f t="shared" si="6"/>
        <v>7.2851593285865046E-2</v>
      </c>
    </row>
    <row r="33" spans="1:3" x14ac:dyDescent="0.25">
      <c r="A33" s="89">
        <v>44044</v>
      </c>
      <c r="B33" s="91">
        <v>1524441</v>
      </c>
      <c r="C33" s="92">
        <f t="shared" si="6"/>
        <v>7.2947153209114685E-2</v>
      </c>
    </row>
    <row r="34" spans="1:3" x14ac:dyDescent="0.25">
      <c r="A34" s="89">
        <v>44075</v>
      </c>
      <c r="B34" s="91">
        <v>1464521</v>
      </c>
      <c r="C34" s="92">
        <f t="shared" si="6"/>
        <v>7.0079876994233195E-2</v>
      </c>
    </row>
    <row r="35" spans="1:3" x14ac:dyDescent="0.25">
      <c r="A35" s="89">
        <v>44105</v>
      </c>
      <c r="B35" s="91">
        <v>1649170</v>
      </c>
      <c r="C35" s="92">
        <f t="shared" si="6"/>
        <v>7.8915652791991073E-2</v>
      </c>
    </row>
    <row r="36" spans="1:3" x14ac:dyDescent="0.25">
      <c r="A36" s="89">
        <v>44136</v>
      </c>
      <c r="B36" s="91">
        <v>1868062</v>
      </c>
      <c r="C36" s="92">
        <f t="shared" si="6"/>
        <v>8.9390015696327499E-2</v>
      </c>
    </row>
    <row r="37" spans="1:3" x14ac:dyDescent="0.25">
      <c r="A37" s="89">
        <v>44166</v>
      </c>
      <c r="B37" s="91">
        <v>2204232</v>
      </c>
      <c r="C37" s="92">
        <f t="shared" si="6"/>
        <v>0.10547633487451025</v>
      </c>
    </row>
    <row r="38" spans="1:3" ht="15.75" thickBot="1" x14ac:dyDescent="0.3">
      <c r="B38" s="93">
        <f>SUM(B26:B37)</f>
        <v>20897882</v>
      </c>
      <c r="C38" s="94">
        <f>SUM(C26:C37)</f>
        <v>1</v>
      </c>
    </row>
    <row r="39" spans="1:3" ht="15.75" thickTop="1" x14ac:dyDescent="0.25"/>
  </sheetData>
  <pageMargins left="0.7" right="0.7" top="0.75" bottom="0.75" header="0.3" footer="0.3"/>
  <pageSetup scale="57" fitToHeight="2" orientation="landscape" r:id="rId1"/>
  <rowBreaks count="1" manualBreakCount="1">
    <brk id="4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E39" sqref="E39"/>
    </sheetView>
  </sheetViews>
  <sheetFormatPr defaultRowHeight="15" x14ac:dyDescent="0.25"/>
  <cols>
    <col min="1" max="1" width="5" bestFit="1" customWidth="1"/>
    <col min="2" max="2" width="61.7109375" bestFit="1" customWidth="1"/>
    <col min="3" max="3" width="11.85546875" bestFit="1" customWidth="1"/>
    <col min="4" max="4" width="7.28515625" bestFit="1" customWidth="1"/>
    <col min="5" max="5" width="27" bestFit="1" customWidth="1"/>
  </cols>
  <sheetData>
    <row r="1" spans="1:7" x14ac:dyDescent="0.25">
      <c r="A1" s="27"/>
      <c r="B1" s="27"/>
      <c r="C1" s="27"/>
      <c r="D1" s="27"/>
      <c r="E1" s="27"/>
    </row>
    <row r="2" spans="1:7" x14ac:dyDescent="0.25">
      <c r="A2" s="27"/>
      <c r="B2" s="27"/>
      <c r="C2" s="27"/>
      <c r="D2" s="27"/>
      <c r="E2" s="27"/>
    </row>
    <row r="3" spans="1:7" x14ac:dyDescent="0.25">
      <c r="A3" s="27"/>
      <c r="B3" s="27"/>
      <c r="C3" s="27"/>
      <c r="D3" s="27"/>
      <c r="E3" s="27"/>
    </row>
    <row r="4" spans="1:7" x14ac:dyDescent="0.25">
      <c r="A4" s="28"/>
      <c r="B4" s="28"/>
      <c r="C4" s="28"/>
      <c r="D4" s="28"/>
      <c r="E4" s="29" t="s">
        <v>43</v>
      </c>
      <c r="F4" t="s">
        <v>101</v>
      </c>
    </row>
    <row r="5" spans="1:7" x14ac:dyDescent="0.25">
      <c r="A5" s="30" t="s">
        <v>23</v>
      </c>
      <c r="B5" s="31"/>
      <c r="C5" s="31"/>
      <c r="D5" s="31"/>
      <c r="E5" s="32"/>
    </row>
    <row r="6" spans="1:7" x14ac:dyDescent="0.25">
      <c r="A6" s="31" t="s">
        <v>24</v>
      </c>
      <c r="B6" s="31"/>
      <c r="C6" s="31"/>
      <c r="D6" s="31"/>
      <c r="E6" s="31"/>
    </row>
    <row r="7" spans="1:7" x14ac:dyDescent="0.25">
      <c r="A7" s="31" t="s">
        <v>42</v>
      </c>
      <c r="B7" s="31"/>
      <c r="C7" s="31"/>
      <c r="D7" s="31"/>
      <c r="E7" s="31"/>
    </row>
    <row r="8" spans="1:7" x14ac:dyDescent="0.25">
      <c r="A8" s="30" t="s">
        <v>25</v>
      </c>
      <c r="B8" s="31"/>
      <c r="C8" s="31"/>
      <c r="D8" s="31"/>
      <c r="E8" s="31"/>
    </row>
    <row r="9" spans="1:7" ht="18.75" x14ac:dyDescent="0.3">
      <c r="A9" s="123" t="s">
        <v>85</v>
      </c>
      <c r="B9" s="28"/>
      <c r="C9" s="28"/>
      <c r="D9" s="28"/>
      <c r="E9" s="28"/>
    </row>
    <row r="10" spans="1:7" x14ac:dyDescent="0.25">
      <c r="A10" s="33" t="s">
        <v>26</v>
      </c>
      <c r="B10" s="28"/>
      <c r="C10" s="28"/>
      <c r="D10" s="28"/>
      <c r="E10" s="28"/>
    </row>
    <row r="11" spans="1:7" x14ac:dyDescent="0.25">
      <c r="A11" s="34" t="s">
        <v>27</v>
      </c>
      <c r="B11" s="35" t="s">
        <v>28</v>
      </c>
      <c r="C11" s="36"/>
      <c r="D11" s="36"/>
      <c r="E11" s="37" t="s">
        <v>29</v>
      </c>
    </row>
    <row r="12" spans="1:7" x14ac:dyDescent="0.25">
      <c r="A12" s="38"/>
      <c r="B12" s="38"/>
      <c r="C12" s="38"/>
      <c r="D12" s="38"/>
      <c r="E12" s="39"/>
      <c r="G12" s="49"/>
    </row>
    <row r="13" spans="1:7" x14ac:dyDescent="0.25">
      <c r="A13" s="39">
        <v>1</v>
      </c>
      <c r="B13" s="40" t="s">
        <v>30</v>
      </c>
      <c r="C13" s="38"/>
      <c r="D13" s="38"/>
      <c r="E13" s="41">
        <v>7.1570000000000002E-3</v>
      </c>
    </row>
    <row r="14" spans="1:7" x14ac:dyDescent="0.25">
      <c r="A14" s="39">
        <v>2</v>
      </c>
      <c r="B14" s="40" t="s">
        <v>31</v>
      </c>
      <c r="C14" s="38"/>
      <c r="D14" s="38"/>
      <c r="E14" s="41">
        <v>2E-3</v>
      </c>
    </row>
    <row r="15" spans="1:7" x14ac:dyDescent="0.25">
      <c r="A15" s="39">
        <v>3</v>
      </c>
      <c r="B15" s="40" t="str">
        <f>"STATE UTILITY TAX ( "&amp;D15*100&amp;"% - ( LINE 1 * "&amp;D15*100&amp;"% )  )"</f>
        <v>STATE UTILITY TAX ( 3.8734% - ( LINE 1 * 3.8734% )  )</v>
      </c>
      <c r="C15" s="51"/>
      <c r="D15" s="42">
        <v>3.8733999999999998E-2</v>
      </c>
      <c r="E15" s="43">
        <f>ROUND(D15-(D15*E13),6)</f>
        <v>3.8456999999999998E-2</v>
      </c>
    </row>
    <row r="16" spans="1:7" x14ac:dyDescent="0.25">
      <c r="A16" s="39">
        <v>4</v>
      </c>
      <c r="B16" s="40"/>
      <c r="C16" s="38"/>
      <c r="D16" s="38"/>
      <c r="E16" s="44"/>
    </row>
    <row r="17" spans="1:5" x14ac:dyDescent="0.25">
      <c r="A17" s="39">
        <v>5</v>
      </c>
      <c r="B17" s="40" t="s">
        <v>32</v>
      </c>
      <c r="C17" s="38"/>
      <c r="D17" s="38"/>
      <c r="E17" s="41">
        <f>ROUND(SUM(E13:E15),6)</f>
        <v>4.7613999999999997E-2</v>
      </c>
    </row>
    <row r="18" spans="1:5" x14ac:dyDescent="0.25">
      <c r="A18" s="39">
        <v>6</v>
      </c>
      <c r="B18" s="38"/>
      <c r="C18" s="38"/>
      <c r="D18" s="38"/>
      <c r="E18" s="41"/>
    </row>
    <row r="19" spans="1:5" x14ac:dyDescent="0.25">
      <c r="A19" s="39">
        <v>7</v>
      </c>
      <c r="B19" s="38" t="str">
        <f>"CONVERSION FACTOR EXCLUDING FEDERAL INCOME TAX ( 1 - LINE "&amp;$I$17&amp;" )"</f>
        <v>CONVERSION FACTOR EXCLUDING FEDERAL INCOME TAX ( 1 - LINE  )</v>
      </c>
      <c r="C19" s="38"/>
      <c r="D19" s="38"/>
      <c r="E19" s="41">
        <f>ROUND(1-E17,6)</f>
        <v>0.95238599999999995</v>
      </c>
    </row>
    <row r="20" spans="1:5" ht="15.75" thickBot="1" x14ac:dyDescent="0.3">
      <c r="A20" s="39">
        <v>8</v>
      </c>
      <c r="B20" s="40" t="str">
        <f>"FEDERAL INCOME TAX ( LINE "&amp;A19&amp;"  * "&amp;k_FITrate*100&amp;"% )"</f>
        <v>FEDERAL INCOME TAX ( LINE 7  * 0% )</v>
      </c>
      <c r="C20" s="38"/>
      <c r="D20" s="52">
        <v>0.21</v>
      </c>
      <c r="E20" s="53">
        <f>ROUND((E19)*D20,6)</f>
        <v>0.20000100000000001</v>
      </c>
    </row>
    <row r="21" spans="1:5" ht="16.5" thickTop="1" thickBot="1" x14ac:dyDescent="0.3">
      <c r="A21" s="39">
        <v>9</v>
      </c>
      <c r="B21" s="40" t="str">
        <f>"CONVERSION FACTOR INCL FEDERAL INCOME TAX ( LINE "&amp;A19&amp;" - LINE "&amp;A20&amp;" ) "</f>
        <v xml:space="preserve">CONVERSION FACTOR INCL FEDERAL INCOME TAX ( LINE 7 - LINE 8 ) </v>
      </c>
      <c r="C21" s="38"/>
      <c r="D21" s="38"/>
      <c r="E21" s="53">
        <f>E19-E20</f>
        <v>0.75238499999999997</v>
      </c>
    </row>
    <row r="22" spans="1:5" ht="15.75" thickTop="1" x14ac:dyDescent="0.25"/>
    <row r="25" spans="1:5" x14ac:dyDescent="0.25">
      <c r="A25" s="30" t="s">
        <v>23</v>
      </c>
      <c r="B25" s="76"/>
      <c r="C25" s="31"/>
      <c r="D25" s="31"/>
      <c r="E25" s="31"/>
    </row>
    <row r="26" spans="1:5" x14ac:dyDescent="0.25">
      <c r="A26" s="77" t="s">
        <v>59</v>
      </c>
      <c r="B26" s="76"/>
      <c r="C26" s="31"/>
      <c r="D26" s="31"/>
      <c r="E26" s="31"/>
    </row>
    <row r="27" spans="1:5" x14ac:dyDescent="0.25">
      <c r="A27" s="31" t="s">
        <v>42</v>
      </c>
      <c r="B27" s="76"/>
      <c r="C27" s="31"/>
      <c r="D27" s="31"/>
      <c r="E27" s="31"/>
    </row>
    <row r="28" spans="1:5" x14ac:dyDescent="0.25">
      <c r="A28" s="30" t="s">
        <v>60</v>
      </c>
      <c r="B28" s="76"/>
      <c r="C28" s="31"/>
      <c r="D28" s="31"/>
      <c r="E28" s="31"/>
    </row>
    <row r="29" spans="1:5" x14ac:dyDescent="0.25">
      <c r="A29" s="78"/>
      <c r="B29" s="38"/>
      <c r="C29" s="38"/>
      <c r="D29" s="33"/>
      <c r="E29" s="33"/>
    </row>
    <row r="30" spans="1:5" x14ac:dyDescent="0.25">
      <c r="A30" s="33" t="s">
        <v>26</v>
      </c>
      <c r="B30" s="38"/>
      <c r="C30" s="33" t="s">
        <v>61</v>
      </c>
      <c r="D30" s="33" t="s">
        <v>62</v>
      </c>
      <c r="E30" s="33" t="s">
        <v>63</v>
      </c>
    </row>
    <row r="31" spans="1:5" x14ac:dyDescent="0.25">
      <c r="A31" s="34" t="s">
        <v>27</v>
      </c>
      <c r="B31" s="79" t="s">
        <v>28</v>
      </c>
      <c r="C31" s="34" t="s">
        <v>64</v>
      </c>
      <c r="D31" s="34" t="s">
        <v>65</v>
      </c>
      <c r="E31" s="34" t="s">
        <v>66</v>
      </c>
    </row>
    <row r="32" spans="1:5" x14ac:dyDescent="0.25">
      <c r="A32" s="80"/>
      <c r="B32" s="80"/>
      <c r="C32" s="80"/>
      <c r="D32" s="80"/>
      <c r="E32" s="80"/>
    </row>
    <row r="33" spans="1:5" x14ac:dyDescent="0.25">
      <c r="A33" s="39">
        <v>1</v>
      </c>
      <c r="B33" s="38" t="s">
        <v>67</v>
      </c>
      <c r="C33" s="81">
        <v>0.51500000000000001</v>
      </c>
      <c r="D33" s="81">
        <v>5.8058252427184473E-2</v>
      </c>
      <c r="E33" s="81">
        <f>ROUND(+C33*D33,4)</f>
        <v>2.9899999999999999E-2</v>
      </c>
    </row>
    <row r="34" spans="1:5" x14ac:dyDescent="0.25">
      <c r="A34" s="39">
        <v>2</v>
      </c>
      <c r="B34" s="38" t="s">
        <v>68</v>
      </c>
      <c r="C34" s="81">
        <v>0.48499999999999999</v>
      </c>
      <c r="D34" s="81">
        <v>9.5000000000000001E-2</v>
      </c>
      <c r="E34" s="81">
        <f>ROUND(+C34*D34,4)</f>
        <v>4.6100000000000002E-2</v>
      </c>
    </row>
    <row r="35" spans="1:5" x14ac:dyDescent="0.25">
      <c r="A35" s="39">
        <v>3</v>
      </c>
      <c r="B35" s="38" t="s">
        <v>69</v>
      </c>
      <c r="C35" s="82">
        <f>SUM(C33:C34)</f>
        <v>1</v>
      </c>
      <c r="D35" s="83"/>
      <c r="E35" s="82">
        <f>SUM(E33:E34)</f>
        <v>7.5999999999999998E-2</v>
      </c>
    </row>
    <row r="36" spans="1:5" x14ac:dyDescent="0.25">
      <c r="A36" s="39">
        <v>4</v>
      </c>
      <c r="B36" s="51"/>
      <c r="C36" s="38"/>
      <c r="D36" s="38"/>
      <c r="E36" s="84"/>
    </row>
    <row r="37" spans="1:5" x14ac:dyDescent="0.25">
      <c r="A37" s="39">
        <v>5</v>
      </c>
      <c r="B37" s="38" t="s">
        <v>70</v>
      </c>
      <c r="C37" s="85">
        <f>+C33</f>
        <v>0.51500000000000001</v>
      </c>
      <c r="D37" s="85">
        <f>+D33</f>
        <v>5.8058252427184473E-2</v>
      </c>
      <c r="E37" s="86">
        <f>ROUND(E33*0.79,4)</f>
        <v>2.3599999999999999E-2</v>
      </c>
    </row>
    <row r="38" spans="1:5" x14ac:dyDescent="0.25">
      <c r="A38" s="39">
        <v>6</v>
      </c>
      <c r="B38" s="38" t="s">
        <v>68</v>
      </c>
      <c r="C38" s="85">
        <f>+C34</f>
        <v>0.48499999999999999</v>
      </c>
      <c r="D38" s="85">
        <f>+D34</f>
        <v>9.5000000000000001E-2</v>
      </c>
      <c r="E38" s="81">
        <f>ROUND(C38*D38,4)</f>
        <v>4.6100000000000002E-2</v>
      </c>
    </row>
    <row r="39" spans="1:5" x14ac:dyDescent="0.25">
      <c r="A39" s="39">
        <v>7</v>
      </c>
      <c r="B39" s="38" t="s">
        <v>71</v>
      </c>
      <c r="C39" s="82">
        <f>SUM(C37:C38)</f>
        <v>1</v>
      </c>
      <c r="D39" s="83"/>
      <c r="E39" s="87">
        <f>SUM(E37:E38)</f>
        <v>6.9699999999999998E-2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98A256D362D4D44B41931D1CD9B29CD" ma:contentTypeVersion="56" ma:contentTypeDescription="" ma:contentTypeScope="" ma:versionID="8d2d150001e222e4fbb1f813a3382b6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2019-11-27T08:00:00+00:00</OpenedDate>
    <SignificantOrder xmlns="dc463f71-b30c-4ab2-9473-d307f9d35888">false</SignificantOrder>
    <Date1 xmlns="dc463f71-b30c-4ab2-9473-d307f9d35888">2019-11-27T08:00:00+00:00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190988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CD17910-2D27-40F4-8881-9E47240D3FA4}"/>
</file>

<file path=customXml/itemProps2.xml><?xml version="1.0" encoding="utf-8"?>
<ds:datastoreItem xmlns:ds="http://schemas.openxmlformats.org/officeDocument/2006/customXml" ds:itemID="{08B55516-DC00-405A-9FF7-207E4B3D23A4}"/>
</file>

<file path=customXml/itemProps3.xml><?xml version="1.0" encoding="utf-8"?>
<ds:datastoreItem xmlns:ds="http://schemas.openxmlformats.org/officeDocument/2006/customXml" ds:itemID="{95AD4193-8C98-4D70-AF40-CA5E858107D2}"/>
</file>

<file path=customXml/itemProps4.xml><?xml version="1.0" encoding="utf-8"?>
<ds:datastoreItem xmlns:ds="http://schemas.openxmlformats.org/officeDocument/2006/customXml" ds:itemID="{B26DA657-E0B4-4BE8-8F1D-A6C94F5AAB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Revenue Requirement</vt:lpstr>
      <vt:lpstr>Tracking Accounts</vt:lpstr>
      <vt:lpstr>Intrst Review for Nov '19 entry</vt:lpstr>
      <vt:lpstr>Interest exptected 2020 Period</vt:lpstr>
      <vt:lpstr>Conv F and COC UE-180282</vt:lpstr>
      <vt:lpstr>k_FITrate</vt:lpstr>
      <vt:lpstr>'Revenue Requirement'!Print_Area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SFree</dc:creator>
  <cp:lastModifiedBy>Veronica Martin</cp:lastModifiedBy>
  <cp:lastPrinted>2018-11-09T22:24:05Z</cp:lastPrinted>
  <dcterms:created xsi:type="dcterms:W3CDTF">2017-11-21T20:51:05Z</dcterms:created>
  <dcterms:modified xsi:type="dcterms:W3CDTF">2019-11-27T15:45:14Z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0x0101006E56B4D1795A2E4DB2F0B01679ED314A00098A256D362D4D44B41931D1CD9B29CD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