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Spokane\Commodity Credit\2019\"/>
    </mc:Choice>
  </mc:AlternateContent>
  <xr:revisionPtr revIDLastSave="0" documentId="8_{8A8C9D8B-8669-406D-90CA-BA77E57A8571}" xr6:coauthVersionLast="41" xr6:coauthVersionMax="41" xr10:uidLastSave="{00000000-0000-0000-0000-000000000000}"/>
  <bookViews>
    <workbookView xWindow="6045" yWindow="870" windowWidth="21600" windowHeight="11385" xr2:uid="{00000000-000D-0000-FFFF-FFFF00000000}"/>
  </bookViews>
  <sheets>
    <sheet name="Rebate Calculation Staff" sheetId="43" r:id="rId1"/>
    <sheet name="Rebate Calculation" sheetId="35" r:id="rId2"/>
    <sheet name="Tons &amp; Revenue Staff" sheetId="44" r:id="rId3"/>
    <sheet name="Tons &amp; Revenue" sheetId="33" r:id="rId4"/>
    <sheet name="Composition" sheetId="36" r:id="rId5"/>
    <sheet name="Prices" sheetId="37" r:id="rId6"/>
    <sheet name="Res'l &amp; MF Customers" sheetId="40" r:id="rId7"/>
    <sheet name="Budget" sheetId="41" r:id="rId8"/>
    <sheet name="Budget vs. Actual comparison" sheetId="42" r:id="rId9"/>
  </sheets>
  <externalReferences>
    <externalReference r:id="rId10"/>
    <externalReference r:id="rId11"/>
  </externalReferences>
  <definedNames>
    <definedName name="_xlnm.Print_Area" localSheetId="7">Budget!$A$1:$D$45</definedName>
    <definedName name="_xlnm.Print_Area" localSheetId="4">Composition!$A$1:$O$20</definedName>
    <definedName name="_xlnm.Print_Area" localSheetId="5">Prices!#REF!</definedName>
    <definedName name="_xlnm.Print_Area" localSheetId="1">'Rebate Calculation'!$A$117:$G$177</definedName>
    <definedName name="_xlnm.Print_Area" localSheetId="0">'Rebate Calculation Staff'!$A$117:$G$177</definedName>
    <definedName name="_xlnm.Print_Area" localSheetId="6">'Res''l &amp; MF Customers'!$A$1:$J$26</definedName>
    <definedName name="_xlnm.Print_Area" localSheetId="3">'Tons &amp; Revenue'!$A$1:$M$93</definedName>
    <definedName name="_xlnm.Print_Area" localSheetId="2">'Tons &amp; Revenue Staff'!$A$1:$M$141</definedName>
    <definedName name="_xlnm.Print_Titles" localSheetId="3">'Tons &amp; Revenue'!$1:$3</definedName>
    <definedName name="_xlnm.Print_Titles" localSheetId="2">'Tons &amp; Revenue Staff'!$1:$3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43" l="1"/>
  <c r="F46" i="43" l="1"/>
  <c r="E38" i="43" l="1"/>
  <c r="D48" i="44" l="1"/>
  <c r="D49" i="44"/>
  <c r="D50" i="44"/>
  <c r="D51" i="44"/>
  <c r="D52" i="44"/>
  <c r="D53" i="44"/>
  <c r="C118" i="44"/>
  <c r="C34" i="44"/>
  <c r="D34" i="44"/>
  <c r="E34" i="44"/>
  <c r="F34" i="44"/>
  <c r="G34" i="44"/>
  <c r="H34" i="44"/>
  <c r="I34" i="44"/>
  <c r="J34" i="44"/>
  <c r="K34" i="44"/>
  <c r="L34" i="44"/>
  <c r="C35" i="44"/>
  <c r="D35" i="44"/>
  <c r="E35" i="44"/>
  <c r="F35" i="44"/>
  <c r="G35" i="44"/>
  <c r="H35" i="44"/>
  <c r="I35" i="44"/>
  <c r="J35" i="44"/>
  <c r="K35" i="44"/>
  <c r="L35" i="44"/>
  <c r="C36" i="44"/>
  <c r="D36" i="44"/>
  <c r="E36" i="44"/>
  <c r="F36" i="44"/>
  <c r="G36" i="44"/>
  <c r="H36" i="44"/>
  <c r="I36" i="44"/>
  <c r="J36" i="44"/>
  <c r="K36" i="44"/>
  <c r="L36" i="44"/>
  <c r="C37" i="44"/>
  <c r="D37" i="44"/>
  <c r="E37" i="44"/>
  <c r="F37" i="44"/>
  <c r="G37" i="44"/>
  <c r="H37" i="44"/>
  <c r="I37" i="44"/>
  <c r="J37" i="44"/>
  <c r="K37" i="44"/>
  <c r="L37" i="44"/>
  <c r="C38" i="44"/>
  <c r="D38" i="44"/>
  <c r="E38" i="44"/>
  <c r="F38" i="44"/>
  <c r="G38" i="44"/>
  <c r="H38" i="44"/>
  <c r="I38" i="44"/>
  <c r="J38" i="44"/>
  <c r="K38" i="44"/>
  <c r="L38" i="44"/>
  <c r="C39" i="44"/>
  <c r="D39" i="44"/>
  <c r="E39" i="44"/>
  <c r="F39" i="44"/>
  <c r="G39" i="44"/>
  <c r="H39" i="44"/>
  <c r="I39" i="44"/>
  <c r="J39" i="44"/>
  <c r="K39" i="44"/>
  <c r="L39" i="44"/>
  <c r="F48" i="44"/>
  <c r="G48" i="44"/>
  <c r="H48" i="44"/>
  <c r="I48" i="44"/>
  <c r="J48" i="44"/>
  <c r="K48" i="44"/>
  <c r="L48" i="44"/>
  <c r="F49" i="44"/>
  <c r="G49" i="44"/>
  <c r="H49" i="44"/>
  <c r="I49" i="44"/>
  <c r="J49" i="44"/>
  <c r="K49" i="44"/>
  <c r="L49" i="44"/>
  <c r="F50" i="44"/>
  <c r="G50" i="44"/>
  <c r="H50" i="44"/>
  <c r="I50" i="44"/>
  <c r="J50" i="44"/>
  <c r="K50" i="44"/>
  <c r="L50" i="44"/>
  <c r="F51" i="44"/>
  <c r="G51" i="44"/>
  <c r="H51" i="44"/>
  <c r="I51" i="44"/>
  <c r="J51" i="44"/>
  <c r="K51" i="44"/>
  <c r="L51" i="44"/>
  <c r="F52" i="44"/>
  <c r="G52" i="44"/>
  <c r="H52" i="44"/>
  <c r="I52" i="44"/>
  <c r="J52" i="44"/>
  <c r="K52" i="44"/>
  <c r="L52" i="44"/>
  <c r="F53" i="44"/>
  <c r="G53" i="44"/>
  <c r="I53" i="44"/>
  <c r="J53" i="44"/>
  <c r="K53" i="44"/>
  <c r="E49" i="44"/>
  <c r="E50" i="44"/>
  <c r="E51" i="44"/>
  <c r="E52" i="44"/>
  <c r="E53" i="44"/>
  <c r="E48" i="44"/>
  <c r="C49" i="44"/>
  <c r="C83" i="44" s="1"/>
  <c r="C50" i="44"/>
  <c r="C84" i="44" s="1"/>
  <c r="C51" i="44"/>
  <c r="C52" i="44"/>
  <c r="C53" i="44"/>
  <c r="C48" i="44"/>
  <c r="M143" i="44"/>
  <c r="L143" i="44"/>
  <c r="K143" i="44"/>
  <c r="J143" i="44"/>
  <c r="I143" i="44"/>
  <c r="H143" i="44"/>
  <c r="G143" i="44"/>
  <c r="F143" i="44"/>
  <c r="E143" i="44"/>
  <c r="D143" i="44"/>
  <c r="C143" i="44"/>
  <c r="L47" i="44"/>
  <c r="K47" i="44"/>
  <c r="J47" i="44"/>
  <c r="I47" i="44"/>
  <c r="H47" i="44"/>
  <c r="G47" i="44"/>
  <c r="F47" i="44"/>
  <c r="E47" i="44"/>
  <c r="D47" i="44"/>
  <c r="C47" i="44"/>
  <c r="L46" i="44"/>
  <c r="K46" i="44"/>
  <c r="J46" i="44"/>
  <c r="I46" i="44"/>
  <c r="H46" i="44"/>
  <c r="G46" i="44"/>
  <c r="F46" i="44"/>
  <c r="E46" i="44"/>
  <c r="D46" i="44"/>
  <c r="C46" i="44"/>
  <c r="L45" i="44"/>
  <c r="K45" i="44"/>
  <c r="J45" i="44"/>
  <c r="I45" i="44"/>
  <c r="H45" i="44"/>
  <c r="G45" i="44"/>
  <c r="F45" i="44"/>
  <c r="E45" i="44"/>
  <c r="D45" i="44"/>
  <c r="C45" i="44"/>
  <c r="L44" i="44"/>
  <c r="K44" i="44"/>
  <c r="J44" i="44"/>
  <c r="I44" i="44"/>
  <c r="H44" i="44"/>
  <c r="G44" i="44"/>
  <c r="F44" i="44"/>
  <c r="E44" i="44"/>
  <c r="D44" i="44"/>
  <c r="C44" i="44"/>
  <c r="L43" i="44"/>
  <c r="K43" i="44"/>
  <c r="J43" i="44"/>
  <c r="I43" i="44"/>
  <c r="H43" i="44"/>
  <c r="G43" i="44"/>
  <c r="F43" i="44"/>
  <c r="E43" i="44"/>
  <c r="D43" i="44"/>
  <c r="C43" i="44"/>
  <c r="L42" i="44"/>
  <c r="K42" i="44"/>
  <c r="J42" i="44"/>
  <c r="I42" i="44"/>
  <c r="H42" i="44"/>
  <c r="G42" i="44"/>
  <c r="F42" i="44"/>
  <c r="E42" i="44"/>
  <c r="D42" i="44"/>
  <c r="C42" i="44"/>
  <c r="L33" i="44"/>
  <c r="K33" i="44"/>
  <c r="J33" i="44"/>
  <c r="I33" i="44"/>
  <c r="H33" i="44"/>
  <c r="G33" i="44"/>
  <c r="F33" i="44"/>
  <c r="E33" i="44"/>
  <c r="D33" i="44"/>
  <c r="C33" i="44"/>
  <c r="L32" i="44"/>
  <c r="K32" i="44"/>
  <c r="J32" i="44"/>
  <c r="I32" i="44"/>
  <c r="H32" i="44"/>
  <c r="G32" i="44"/>
  <c r="F32" i="44"/>
  <c r="E32" i="44"/>
  <c r="D32" i="44"/>
  <c r="C32" i="44"/>
  <c r="L31" i="44"/>
  <c r="K31" i="44"/>
  <c r="J31" i="44"/>
  <c r="I31" i="44"/>
  <c r="H31" i="44"/>
  <c r="G31" i="44"/>
  <c r="F31" i="44"/>
  <c r="E31" i="44"/>
  <c r="D31" i="44"/>
  <c r="C31" i="44"/>
  <c r="L30" i="44"/>
  <c r="K30" i="44"/>
  <c r="J30" i="44"/>
  <c r="I30" i="44"/>
  <c r="H30" i="44"/>
  <c r="G30" i="44"/>
  <c r="F30" i="44"/>
  <c r="E30" i="44"/>
  <c r="D30" i="44"/>
  <c r="C30" i="44"/>
  <c r="L29" i="44"/>
  <c r="K29" i="44"/>
  <c r="J29" i="44"/>
  <c r="I29" i="44"/>
  <c r="H29" i="44"/>
  <c r="G29" i="44"/>
  <c r="F29" i="44"/>
  <c r="E29" i="44"/>
  <c r="D29" i="44"/>
  <c r="C29" i="44"/>
  <c r="L28" i="44"/>
  <c r="K28" i="44"/>
  <c r="J28" i="44"/>
  <c r="I28" i="44"/>
  <c r="H28" i="44"/>
  <c r="G28" i="44"/>
  <c r="F28" i="44"/>
  <c r="E28" i="44"/>
  <c r="D28" i="44"/>
  <c r="C28" i="44"/>
  <c r="I14" i="44"/>
  <c r="F14" i="44"/>
  <c r="D14" i="44"/>
  <c r="C14" i="44"/>
  <c r="I13" i="44"/>
  <c r="F13" i="44"/>
  <c r="D13" i="44"/>
  <c r="C13" i="44"/>
  <c r="I12" i="44"/>
  <c r="F12" i="44"/>
  <c r="D12" i="44"/>
  <c r="C12" i="44"/>
  <c r="I11" i="44"/>
  <c r="F11" i="44"/>
  <c r="D11" i="44"/>
  <c r="C11" i="44"/>
  <c r="I10" i="44"/>
  <c r="F10" i="44"/>
  <c r="D10" i="44"/>
  <c r="C10" i="44"/>
  <c r="I9" i="44"/>
  <c r="F9" i="44"/>
  <c r="D9" i="44"/>
  <c r="C9" i="44"/>
  <c r="C119" i="44" l="1"/>
  <c r="E10" i="44"/>
  <c r="G10" i="44" s="1"/>
  <c r="H10" i="44" s="1"/>
  <c r="E11" i="44"/>
  <c r="G11" i="44" s="1"/>
  <c r="H11" i="44" s="1"/>
  <c r="J11" i="44" s="1"/>
  <c r="E12" i="44"/>
  <c r="G12" i="44" s="1"/>
  <c r="H12" i="44" s="1"/>
  <c r="E63" i="44" s="1"/>
  <c r="E13" i="44"/>
  <c r="G13" i="44" s="1"/>
  <c r="H13" i="44" s="1"/>
  <c r="E14" i="44"/>
  <c r="G14" i="44" s="1"/>
  <c r="H14" i="44" s="1"/>
  <c r="C82" i="44"/>
  <c r="C85" i="44"/>
  <c r="M66" i="44"/>
  <c r="K61" i="44"/>
  <c r="G61" i="44"/>
  <c r="C61" i="44"/>
  <c r="J10" i="44"/>
  <c r="I61" i="44"/>
  <c r="L61" i="44"/>
  <c r="J61" i="44"/>
  <c r="F61" i="44"/>
  <c r="E61" i="44"/>
  <c r="H61" i="44"/>
  <c r="D61" i="44"/>
  <c r="I63" i="44"/>
  <c r="C63" i="44"/>
  <c r="D63" i="44"/>
  <c r="K65" i="44"/>
  <c r="G65" i="44"/>
  <c r="C65" i="44"/>
  <c r="J14" i="44"/>
  <c r="E65" i="44"/>
  <c r="L65" i="44"/>
  <c r="J65" i="44"/>
  <c r="F65" i="44"/>
  <c r="I65" i="44"/>
  <c r="H65" i="44"/>
  <c r="D65" i="44"/>
  <c r="H62" i="44"/>
  <c r="D62" i="44"/>
  <c r="I62" i="44"/>
  <c r="K62" i="44"/>
  <c r="J62" i="44"/>
  <c r="E62" i="44"/>
  <c r="J64" i="44"/>
  <c r="F64" i="44"/>
  <c r="J13" i="44"/>
  <c r="H64" i="44"/>
  <c r="K64" i="44"/>
  <c r="C64" i="44"/>
  <c r="I64" i="44"/>
  <c r="E64" i="44"/>
  <c r="L64" i="44"/>
  <c r="D64" i="44"/>
  <c r="G64" i="44"/>
  <c r="M70" i="44"/>
  <c r="C87" i="44"/>
  <c r="E9" i="44"/>
  <c r="M68" i="44"/>
  <c r="C86" i="44"/>
  <c r="C101" i="44"/>
  <c r="C99" i="44"/>
  <c r="C134" i="44" s="1"/>
  <c r="M69" i="44"/>
  <c r="M67" i="44"/>
  <c r="C100" i="44"/>
  <c r="C135" i="44" s="1"/>
  <c r="C122" i="44" l="1"/>
  <c r="C121" i="44"/>
  <c r="C62" i="44"/>
  <c r="F62" i="44"/>
  <c r="L62" i="44"/>
  <c r="M62" i="44" s="1"/>
  <c r="J63" i="44"/>
  <c r="J79" i="44" s="1"/>
  <c r="J114" i="44" s="1"/>
  <c r="L63" i="44"/>
  <c r="J12" i="44"/>
  <c r="C120" i="44"/>
  <c r="H63" i="44"/>
  <c r="K63" i="44"/>
  <c r="C136" i="44"/>
  <c r="G62" i="44"/>
  <c r="G63" i="44"/>
  <c r="F63" i="44"/>
  <c r="F79" i="44" s="1"/>
  <c r="F114" i="44" s="1"/>
  <c r="C98" i="44"/>
  <c r="C133" i="44" s="1"/>
  <c r="C117" i="44"/>
  <c r="E80" i="44"/>
  <c r="E115" i="44" s="1"/>
  <c r="E78" i="44"/>
  <c r="E113" i="44" s="1"/>
  <c r="E94" i="44"/>
  <c r="E129" i="44" s="1"/>
  <c r="L79" i="44"/>
  <c r="L114" i="44" s="1"/>
  <c r="H77" i="44"/>
  <c r="H112" i="44" s="1"/>
  <c r="L77" i="44"/>
  <c r="L112" i="44" s="1"/>
  <c r="L93" i="44"/>
  <c r="L128" i="44" s="1"/>
  <c r="C102" i="44"/>
  <c r="C137" i="44" s="1"/>
  <c r="G80" i="44"/>
  <c r="G115" i="44" s="1"/>
  <c r="I80" i="44"/>
  <c r="I115" i="44" s="1"/>
  <c r="J78" i="44"/>
  <c r="J113" i="44" s="1"/>
  <c r="I78" i="44"/>
  <c r="I113" i="44" s="1"/>
  <c r="H78" i="44"/>
  <c r="H113" i="44" s="1"/>
  <c r="D81" i="44"/>
  <c r="D116" i="44" s="1"/>
  <c r="J81" i="44"/>
  <c r="J116" i="44" s="1"/>
  <c r="C81" i="44"/>
  <c r="M65" i="44"/>
  <c r="G79" i="44"/>
  <c r="G114" i="44" s="1"/>
  <c r="E79" i="44"/>
  <c r="E114" i="44" s="1"/>
  <c r="E95" i="44"/>
  <c r="E130" i="44" s="1"/>
  <c r="E77" i="44"/>
  <c r="E112" i="44" s="1"/>
  <c r="I77" i="44"/>
  <c r="I112" i="44" s="1"/>
  <c r="K77" i="44"/>
  <c r="K112" i="44" s="1"/>
  <c r="K93" i="44"/>
  <c r="K128" i="44" s="1"/>
  <c r="G9" i="44"/>
  <c r="C103" i="44"/>
  <c r="D80" i="44"/>
  <c r="D115" i="44" s="1"/>
  <c r="C80" i="44"/>
  <c r="C96" i="44" s="1"/>
  <c r="M64" i="44"/>
  <c r="F80" i="44"/>
  <c r="F115" i="44" s="1"/>
  <c r="C78" i="44"/>
  <c r="C94" i="44" s="1"/>
  <c r="F78" i="44"/>
  <c r="F113" i="44" s="1"/>
  <c r="L78" i="44"/>
  <c r="L113" i="44" s="1"/>
  <c r="H81" i="44"/>
  <c r="H116" i="44" s="1"/>
  <c r="L81" i="44"/>
  <c r="L116" i="44" s="1"/>
  <c r="G81" i="44"/>
  <c r="G116" i="44" s="1"/>
  <c r="D79" i="44"/>
  <c r="D114" i="44" s="1"/>
  <c r="C79" i="44"/>
  <c r="I79" i="44"/>
  <c r="I114" i="44" s="1"/>
  <c r="I95" i="44"/>
  <c r="I130" i="44" s="1"/>
  <c r="F77" i="44"/>
  <c r="F112" i="44" s="1"/>
  <c r="H80" i="44"/>
  <c r="H115" i="44" s="1"/>
  <c r="K78" i="44"/>
  <c r="K113" i="44" s="1"/>
  <c r="D78" i="44"/>
  <c r="D113" i="44" s="1"/>
  <c r="F81" i="44"/>
  <c r="F116" i="44" s="1"/>
  <c r="G77" i="44"/>
  <c r="G112" i="44" s="1"/>
  <c r="L80" i="44"/>
  <c r="L115" i="44" s="1"/>
  <c r="K80" i="44"/>
  <c r="K115" i="44" s="1"/>
  <c r="J80" i="44"/>
  <c r="J115" i="44" s="1"/>
  <c r="G78" i="44"/>
  <c r="G113" i="44" s="1"/>
  <c r="I81" i="44"/>
  <c r="I116" i="44" s="1"/>
  <c r="E81" i="44"/>
  <c r="E116" i="44" s="1"/>
  <c r="K81" i="44"/>
  <c r="K116" i="44" s="1"/>
  <c r="H79" i="44"/>
  <c r="H114" i="44" s="1"/>
  <c r="K79" i="44"/>
  <c r="K114" i="44" s="1"/>
  <c r="D77" i="44"/>
  <c r="D112" i="44" s="1"/>
  <c r="D93" i="44"/>
  <c r="D128" i="44" s="1"/>
  <c r="J77" i="44"/>
  <c r="J112" i="44" s="1"/>
  <c r="C77" i="44"/>
  <c r="M61" i="44"/>
  <c r="M63" i="44" l="1"/>
  <c r="C138" i="44"/>
  <c r="F93" i="44"/>
  <c r="F128" i="44" s="1"/>
  <c r="H97" i="44"/>
  <c r="H132" i="44" s="1"/>
  <c r="L96" i="44"/>
  <c r="L131" i="44" s="1"/>
  <c r="K96" i="44"/>
  <c r="K131" i="44" s="1"/>
  <c r="H96" i="44"/>
  <c r="H131" i="44" s="1"/>
  <c r="I96" i="44"/>
  <c r="I131" i="44" s="1"/>
  <c r="F95" i="44"/>
  <c r="F130" i="44" s="1"/>
  <c r="H93" i="44"/>
  <c r="H128" i="44" s="1"/>
  <c r="C112" i="44"/>
  <c r="M112" i="44" s="1"/>
  <c r="M77" i="44"/>
  <c r="C114" i="44"/>
  <c r="M114" i="44" s="1"/>
  <c r="M79" i="44"/>
  <c r="C129" i="44"/>
  <c r="E97" i="44"/>
  <c r="E132" i="44" s="1"/>
  <c r="C95" i="44"/>
  <c r="F94" i="44"/>
  <c r="F129" i="44" s="1"/>
  <c r="C115" i="44"/>
  <c r="M115" i="44" s="1"/>
  <c r="M80" i="44"/>
  <c r="I93" i="44"/>
  <c r="I128" i="44" s="1"/>
  <c r="G95" i="44"/>
  <c r="G130" i="44" s="1"/>
  <c r="G93" i="44"/>
  <c r="G128" i="44" s="1"/>
  <c r="F97" i="44"/>
  <c r="F132" i="44" s="1"/>
  <c r="K94" i="44"/>
  <c r="K129" i="44" s="1"/>
  <c r="F96" i="44"/>
  <c r="F131" i="44" s="1"/>
  <c r="H9" i="44"/>
  <c r="J97" i="44"/>
  <c r="J132" i="44" s="1"/>
  <c r="H94" i="44"/>
  <c r="H129" i="44" s="1"/>
  <c r="J94" i="44"/>
  <c r="J129" i="44" s="1"/>
  <c r="G96" i="44"/>
  <c r="G131" i="44" s="1"/>
  <c r="L95" i="44"/>
  <c r="L130" i="44" s="1"/>
  <c r="C131" i="44"/>
  <c r="C116" i="44"/>
  <c r="M116" i="44" s="1"/>
  <c r="M81" i="44"/>
  <c r="C93" i="44"/>
  <c r="H95" i="44"/>
  <c r="H130" i="44" s="1"/>
  <c r="G97" i="44"/>
  <c r="G132" i="44" s="1"/>
  <c r="G94" i="44"/>
  <c r="G129" i="44" s="1"/>
  <c r="J93" i="44"/>
  <c r="J128" i="44" s="1"/>
  <c r="K95" i="44"/>
  <c r="K130" i="44" s="1"/>
  <c r="K97" i="44"/>
  <c r="K132" i="44" s="1"/>
  <c r="I97" i="44"/>
  <c r="I132" i="44" s="1"/>
  <c r="J96" i="44"/>
  <c r="J131" i="44" s="1"/>
  <c r="J95" i="44"/>
  <c r="J130" i="44" s="1"/>
  <c r="D94" i="44"/>
  <c r="D129" i="44" s="1"/>
  <c r="D95" i="44"/>
  <c r="D130" i="44" s="1"/>
  <c r="L97" i="44"/>
  <c r="L132" i="44" s="1"/>
  <c r="L94" i="44"/>
  <c r="L129" i="44" s="1"/>
  <c r="C113" i="44"/>
  <c r="M113" i="44" s="1"/>
  <c r="M78" i="44"/>
  <c r="D96" i="44"/>
  <c r="D131" i="44" s="1"/>
  <c r="E93" i="44"/>
  <c r="E128" i="44" s="1"/>
  <c r="C97" i="44"/>
  <c r="D97" i="44"/>
  <c r="D132" i="44" s="1"/>
  <c r="I94" i="44"/>
  <c r="I129" i="44" s="1"/>
  <c r="E96" i="44"/>
  <c r="E131" i="44" s="1"/>
  <c r="M131" i="44" l="1"/>
  <c r="C130" i="44"/>
  <c r="M130" i="44" s="1"/>
  <c r="M95" i="44"/>
  <c r="M97" i="44"/>
  <c r="C132" i="44"/>
  <c r="M132" i="44" s="1"/>
  <c r="M129" i="44"/>
  <c r="M96" i="44"/>
  <c r="J60" i="44"/>
  <c r="F60" i="44"/>
  <c r="J9" i="44"/>
  <c r="L60" i="44"/>
  <c r="D60" i="44"/>
  <c r="K60" i="44"/>
  <c r="C60" i="44"/>
  <c r="I60" i="44"/>
  <c r="E60" i="44"/>
  <c r="H60" i="44"/>
  <c r="G60" i="44"/>
  <c r="M94" i="44"/>
  <c r="C128" i="44"/>
  <c r="M128" i="44" s="1"/>
  <c r="M93" i="44"/>
  <c r="D76" i="44" l="1"/>
  <c r="D92" i="44" s="1"/>
  <c r="I76" i="44"/>
  <c r="C76" i="44"/>
  <c r="M60" i="44"/>
  <c r="E76" i="44"/>
  <c r="J76" i="44"/>
  <c r="J92" i="44" s="1"/>
  <c r="G76" i="44"/>
  <c r="L76" i="44"/>
  <c r="H76" i="44"/>
  <c r="K76" i="44"/>
  <c r="K92" i="44" s="1"/>
  <c r="F76" i="44"/>
  <c r="F111" i="44" l="1"/>
  <c r="L111" i="44"/>
  <c r="G111" i="44"/>
  <c r="I111" i="44"/>
  <c r="D127" i="44"/>
  <c r="K127" i="44"/>
  <c r="H111" i="44"/>
  <c r="L92" i="44"/>
  <c r="J127" i="44"/>
  <c r="E111" i="44"/>
  <c r="C88" i="44"/>
  <c r="C111" i="44"/>
  <c r="M76" i="44"/>
  <c r="I92" i="44"/>
  <c r="F92" i="44"/>
  <c r="H92" i="44"/>
  <c r="G92" i="44"/>
  <c r="E92" i="44"/>
  <c r="C92" i="44"/>
  <c r="K111" i="44"/>
  <c r="J111" i="44"/>
  <c r="D111" i="44"/>
  <c r="F127" i="44" l="1"/>
  <c r="E127" i="44"/>
  <c r="L127" i="44"/>
  <c r="G127" i="44"/>
  <c r="C127" i="44"/>
  <c r="M92" i="44"/>
  <c r="C104" i="44"/>
  <c r="I127" i="44"/>
  <c r="H127" i="44"/>
  <c r="C123" i="44"/>
  <c r="M111" i="44"/>
  <c r="C139" i="44" l="1"/>
  <c r="C141" i="44" s="1"/>
  <c r="C145" i="44" s="1"/>
  <c r="M127" i="44"/>
  <c r="E9" i="43" l="1"/>
  <c r="G448" i="43"/>
  <c r="F446" i="43"/>
  <c r="C434" i="43"/>
  <c r="F440" i="43" s="1"/>
  <c r="G442" i="43" s="1"/>
  <c r="G450" i="43" s="1"/>
  <c r="F433" i="43"/>
  <c r="F432" i="43"/>
  <c r="F420" i="43"/>
  <c r="G422" i="43" s="1"/>
  <c r="C408" i="43"/>
  <c r="F414" i="43" s="1"/>
  <c r="F407" i="43"/>
  <c r="F408" i="43" s="1"/>
  <c r="F412" i="43" s="1"/>
  <c r="F406" i="43"/>
  <c r="F393" i="43"/>
  <c r="F392" i="43"/>
  <c r="G394" i="43" s="1"/>
  <c r="E325" i="43" s="1"/>
  <c r="C380" i="43"/>
  <c r="F386" i="43" s="1"/>
  <c r="E379" i="43"/>
  <c r="E324" i="43" s="1"/>
  <c r="F324" i="43" s="1"/>
  <c r="E378" i="43"/>
  <c r="F378" i="43" s="1"/>
  <c r="F366" i="43"/>
  <c r="C354" i="43"/>
  <c r="F360" i="43" s="1"/>
  <c r="E352" i="43"/>
  <c r="F352" i="43" s="1"/>
  <c r="F338" i="43"/>
  <c r="C326" i="43"/>
  <c r="F332" i="43" s="1"/>
  <c r="G334" i="43" s="1"/>
  <c r="F312" i="43"/>
  <c r="C300" i="43"/>
  <c r="F306" i="43" s="1"/>
  <c r="G308" i="43" s="1"/>
  <c r="F284" i="43"/>
  <c r="C272" i="43"/>
  <c r="F278" i="43" s="1"/>
  <c r="F259" i="43"/>
  <c r="F258" i="43"/>
  <c r="C246" i="43"/>
  <c r="F252" i="43" s="1"/>
  <c r="F230" i="43"/>
  <c r="F224" i="43"/>
  <c r="C221" i="43"/>
  <c r="F221" i="43" s="1"/>
  <c r="C216" i="43"/>
  <c r="F231" i="43" s="1"/>
  <c r="G232" i="43" s="1"/>
  <c r="F202" i="43"/>
  <c r="C193" i="43"/>
  <c r="F193" i="43" s="1"/>
  <c r="C188" i="43"/>
  <c r="F196" i="43" s="1"/>
  <c r="G170" i="43"/>
  <c r="F155" i="43"/>
  <c r="C154" i="43"/>
  <c r="C156" i="43" s="1"/>
  <c r="F162" i="43" s="1"/>
  <c r="G141" i="43"/>
  <c r="F140" i="43"/>
  <c r="C127" i="43"/>
  <c r="F133" i="43" s="1"/>
  <c r="F126" i="43"/>
  <c r="F125" i="43"/>
  <c r="C98" i="43"/>
  <c r="F104" i="43" s="1"/>
  <c r="F97" i="43"/>
  <c r="F96" i="43"/>
  <c r="C72" i="43"/>
  <c r="F85" i="43" s="1"/>
  <c r="G86" i="43" s="1"/>
  <c r="E10" i="43" s="1"/>
  <c r="F71" i="43"/>
  <c r="F70" i="43"/>
  <c r="F27" i="43"/>
  <c r="C10" i="43"/>
  <c r="C9" i="43"/>
  <c r="C11" i="43" s="1"/>
  <c r="F379" i="43" l="1"/>
  <c r="F154" i="43"/>
  <c r="F156" i="43" s="1"/>
  <c r="F160" i="43" s="1"/>
  <c r="G164" i="43" s="1"/>
  <c r="G172" i="43" s="1"/>
  <c r="G176" i="43" s="1"/>
  <c r="F98" i="43"/>
  <c r="F102" i="43" s="1"/>
  <c r="G106" i="43" s="1"/>
  <c r="F203" i="43"/>
  <c r="G204" i="43" s="1"/>
  <c r="F127" i="43"/>
  <c r="F131" i="43" s="1"/>
  <c r="G135" i="43" s="1"/>
  <c r="G143" i="43" s="1"/>
  <c r="G147" i="43" s="1"/>
  <c r="G260" i="43"/>
  <c r="E187" i="43" s="1"/>
  <c r="F187" i="43" s="1"/>
  <c r="F380" i="43"/>
  <c r="F384" i="43" s="1"/>
  <c r="G388" i="43" s="1"/>
  <c r="G396" i="43" s="1"/>
  <c r="F434" i="43"/>
  <c r="F10" i="43"/>
  <c r="F78" i="43"/>
  <c r="F72" i="43"/>
  <c r="F76" i="43" s="1"/>
  <c r="G80" i="43" s="1"/>
  <c r="G88" i="43" s="1"/>
  <c r="F326" i="43"/>
  <c r="F325" i="43"/>
  <c r="E270" i="43"/>
  <c r="F270" i="43" s="1"/>
  <c r="E353" i="43"/>
  <c r="G314" i="43"/>
  <c r="E245" i="43" s="1"/>
  <c r="G416" i="43"/>
  <c r="G425" i="43" s="1"/>
  <c r="F111" i="43"/>
  <c r="G112" i="43" s="1"/>
  <c r="F285" i="43"/>
  <c r="G286" i="43" s="1"/>
  <c r="F313" i="43"/>
  <c r="F339" i="43"/>
  <c r="G340" i="43" s="1"/>
  <c r="F367" i="43"/>
  <c r="G368" i="43" s="1"/>
  <c r="E299" i="43" s="1"/>
  <c r="F9" i="43"/>
  <c r="F11" i="43" s="1"/>
  <c r="F26" i="41"/>
  <c r="F28" i="41" s="1"/>
  <c r="E39" i="43" l="1"/>
  <c r="G342" i="43"/>
  <c r="E271" i="43"/>
  <c r="E215" i="43"/>
  <c r="F215" i="43" s="1"/>
  <c r="F299" i="43"/>
  <c r="E244" i="43"/>
  <c r="F244" i="43" s="1"/>
  <c r="G317" i="43"/>
  <c r="G114" i="43"/>
  <c r="E186" i="43"/>
  <c r="F186" i="43" s="1"/>
  <c r="F188" i="43" s="1"/>
  <c r="F192" i="43" s="1"/>
  <c r="F194" i="43" s="1"/>
  <c r="G198" i="43" s="1"/>
  <c r="G207" i="43" s="1"/>
  <c r="F245" i="43"/>
  <c r="F353" i="43"/>
  <c r="F354" i="43" s="1"/>
  <c r="F358" i="43" s="1"/>
  <c r="G362" i="43" s="1"/>
  <c r="G371" i="43" s="1"/>
  <c r="E298" i="43"/>
  <c r="F298" i="43" s="1"/>
  <c r="F27" i="35"/>
  <c r="N37" i="36"/>
  <c r="N27" i="36"/>
  <c r="N28" i="36"/>
  <c r="N29" i="36"/>
  <c r="N30" i="36"/>
  <c r="N31" i="36"/>
  <c r="N32" i="36"/>
  <c r="N33" i="36"/>
  <c r="N25" i="36"/>
  <c r="C10" i="35"/>
  <c r="C9" i="35"/>
  <c r="F300" i="43" l="1"/>
  <c r="F246" i="43"/>
  <c r="F250" i="43" s="1"/>
  <c r="G254" i="43" s="1"/>
  <c r="G263" i="43" s="1"/>
  <c r="F271" i="43"/>
  <c r="F272" i="43" s="1"/>
  <c r="F276" i="43" s="1"/>
  <c r="G280" i="43" s="1"/>
  <c r="G288" i="43" s="1"/>
  <c r="E214" i="43"/>
  <c r="F214" i="43" s="1"/>
  <c r="F216" i="43" s="1"/>
  <c r="F220" i="43" s="1"/>
  <c r="F222" i="43" s="1"/>
  <c r="G226" i="43" s="1"/>
  <c r="G234" i="43" s="1"/>
  <c r="F97" i="35"/>
  <c r="F96" i="35"/>
  <c r="C98" i="35"/>
  <c r="C72" i="35"/>
  <c r="F85" i="35" s="1"/>
  <c r="G86" i="35" s="1"/>
  <c r="E9" i="35" s="1"/>
  <c r="F71" i="35"/>
  <c r="F70" i="35"/>
  <c r="F98" i="35" l="1"/>
  <c r="F102" i="35" s="1"/>
  <c r="F72" i="35"/>
  <c r="F76" i="35" s="1"/>
  <c r="F104" i="35"/>
  <c r="G106" i="35" s="1"/>
  <c r="F111" i="35"/>
  <c r="G112" i="35" s="1"/>
  <c r="E38" i="35" s="1"/>
  <c r="F78" i="35"/>
  <c r="G80" i="35" l="1"/>
  <c r="G88" i="35" s="1"/>
  <c r="G114" i="35"/>
  <c r="C34" i="33" l="1"/>
  <c r="D34" i="33"/>
  <c r="E34" i="33"/>
  <c r="F34" i="33"/>
  <c r="G34" i="33"/>
  <c r="H34" i="33"/>
  <c r="I34" i="33"/>
  <c r="J34" i="33"/>
  <c r="K34" i="33"/>
  <c r="L34" i="33"/>
  <c r="C35" i="33"/>
  <c r="D35" i="33"/>
  <c r="E35" i="33"/>
  <c r="F35" i="33"/>
  <c r="G35" i="33"/>
  <c r="I35" i="33"/>
  <c r="J35" i="33"/>
  <c r="K35" i="33"/>
  <c r="L35" i="33"/>
  <c r="I14" i="33"/>
  <c r="I20" i="44" s="1"/>
  <c r="I13" i="33"/>
  <c r="I19" i="44" s="1"/>
  <c r="D14" i="33"/>
  <c r="D20" i="44" s="1"/>
  <c r="G10" i="37"/>
  <c r="H53" i="44" s="1"/>
  <c r="M71" i="44" s="1"/>
  <c r="M72" i="44" s="1"/>
  <c r="K10" i="37"/>
  <c r="L53" i="44" s="1"/>
  <c r="L26" i="36"/>
  <c r="N26" i="36" s="1"/>
  <c r="L34" i="36"/>
  <c r="N34" i="36" s="1"/>
  <c r="H35" i="33" l="1"/>
  <c r="N72" i="44"/>
  <c r="O72" i="44" s="1"/>
  <c r="M73" i="44"/>
  <c r="D13" i="33"/>
  <c r="D19" i="44" s="1"/>
  <c r="J35" i="36" l="1"/>
  <c r="K31" i="36" l="1"/>
  <c r="K27" i="36"/>
  <c r="K28" i="36"/>
  <c r="K34" i="36"/>
  <c r="K30" i="36"/>
  <c r="K26" i="36"/>
  <c r="K32" i="36"/>
  <c r="K33" i="36"/>
  <c r="K29" i="36"/>
  <c r="K25" i="36"/>
  <c r="C11" i="42"/>
  <c r="J12" i="40"/>
  <c r="G7" i="42" s="1"/>
  <c r="C7" i="42"/>
  <c r="E7" i="42" s="1"/>
  <c r="C9" i="42"/>
  <c r="E9" i="42" s="1"/>
  <c r="C13" i="42" l="1"/>
  <c r="H7" i="42"/>
  <c r="I7" i="42" s="1"/>
  <c r="E11" i="42"/>
  <c r="G30" i="33"/>
  <c r="H30" i="33"/>
  <c r="I30" i="33"/>
  <c r="J30" i="33"/>
  <c r="K30" i="33"/>
  <c r="L30" i="33"/>
  <c r="G31" i="33"/>
  <c r="H31" i="33"/>
  <c r="I31" i="33"/>
  <c r="J31" i="33"/>
  <c r="K31" i="33"/>
  <c r="L31" i="33"/>
  <c r="G32" i="33"/>
  <c r="H32" i="33"/>
  <c r="I32" i="33"/>
  <c r="J32" i="33"/>
  <c r="K32" i="33"/>
  <c r="L32" i="33"/>
  <c r="G33" i="33"/>
  <c r="H33" i="33"/>
  <c r="I33" i="33"/>
  <c r="J33" i="33"/>
  <c r="K33" i="33"/>
  <c r="L33" i="33"/>
  <c r="D30" i="33"/>
  <c r="E30" i="33"/>
  <c r="F30" i="33"/>
  <c r="D31" i="33"/>
  <c r="E31" i="33"/>
  <c r="F31" i="33"/>
  <c r="D32" i="33"/>
  <c r="E32" i="33"/>
  <c r="F32" i="33"/>
  <c r="D33" i="33"/>
  <c r="E33" i="33"/>
  <c r="F33" i="33"/>
  <c r="C31" i="33"/>
  <c r="C32" i="33"/>
  <c r="C33" i="33"/>
  <c r="C30" i="33"/>
  <c r="I12" i="33"/>
  <c r="I18" i="44" s="1"/>
  <c r="I11" i="33"/>
  <c r="I17" i="44" s="1"/>
  <c r="I10" i="33"/>
  <c r="I16" i="44" s="1"/>
  <c r="I9" i="33"/>
  <c r="I15" i="44" s="1"/>
  <c r="D12" i="33"/>
  <c r="D18" i="44" s="1"/>
  <c r="D11" i="33"/>
  <c r="D17" i="44" s="1"/>
  <c r="D10" i="33"/>
  <c r="D16" i="44" s="1"/>
  <c r="D9" i="33"/>
  <c r="D15" i="44" s="1"/>
  <c r="D21" i="44" l="1"/>
  <c r="I21" i="44"/>
  <c r="E13" i="42"/>
  <c r="G23" i="40"/>
  <c r="H23" i="40" s="1"/>
  <c r="F140" i="35" l="1"/>
  <c r="N6" i="36"/>
  <c r="N7" i="36"/>
  <c r="Q7" i="36" s="1"/>
  <c r="N8" i="36"/>
  <c r="Q8" i="36" s="1"/>
  <c r="N9" i="36"/>
  <c r="Q9" i="36" s="1"/>
  <c r="N10" i="36"/>
  <c r="N11" i="36"/>
  <c r="Q11" i="36" s="1"/>
  <c r="N12" i="36"/>
  <c r="Q12" i="36" s="1"/>
  <c r="N13" i="36"/>
  <c r="Q13" i="36" s="1"/>
  <c r="N14" i="36"/>
  <c r="N15" i="36"/>
  <c r="Q15" i="36" s="1"/>
  <c r="B16" i="36"/>
  <c r="C7" i="36" s="1"/>
  <c r="D16" i="36"/>
  <c r="E13" i="36" s="1"/>
  <c r="F16" i="36"/>
  <c r="G9" i="36" s="1"/>
  <c r="H16" i="36"/>
  <c r="I11" i="36" s="1"/>
  <c r="J16" i="36"/>
  <c r="K7" i="36" s="1"/>
  <c r="L16" i="36"/>
  <c r="M8" i="36" s="1"/>
  <c r="L18" i="36"/>
  <c r="F20" i="36"/>
  <c r="G18" i="36" s="1"/>
  <c r="B20" i="36" l="1"/>
  <c r="C18" i="36" s="1"/>
  <c r="C12" i="36"/>
  <c r="J20" i="36"/>
  <c r="K18" i="36" s="1"/>
  <c r="K9" i="36"/>
  <c r="D20" i="36"/>
  <c r="E18" i="36" s="1"/>
  <c r="G15" i="36"/>
  <c r="G14" i="36"/>
  <c r="C9" i="36"/>
  <c r="K8" i="36"/>
  <c r="G7" i="36"/>
  <c r="G6" i="36"/>
  <c r="L20" i="36"/>
  <c r="M18" i="36" s="1"/>
  <c r="K13" i="36"/>
  <c r="C8" i="36"/>
  <c r="C13" i="36"/>
  <c r="K12" i="36"/>
  <c r="G11" i="36"/>
  <c r="G10" i="36"/>
  <c r="M13" i="36"/>
  <c r="M9" i="36"/>
  <c r="I7" i="36"/>
  <c r="E14" i="36"/>
  <c r="I12" i="36"/>
  <c r="E10" i="36"/>
  <c r="H20" i="36"/>
  <c r="I18" i="36" s="1"/>
  <c r="N18" i="36"/>
  <c r="N16" i="36"/>
  <c r="O14" i="36" s="1"/>
  <c r="M15" i="36"/>
  <c r="E15" i="36"/>
  <c r="Q14" i="36"/>
  <c r="K14" i="36"/>
  <c r="C14" i="36"/>
  <c r="I13" i="36"/>
  <c r="G12" i="36"/>
  <c r="M11" i="36"/>
  <c r="E11" i="36"/>
  <c r="Q10" i="36"/>
  <c r="K10" i="36"/>
  <c r="C10" i="36"/>
  <c r="I9" i="36"/>
  <c r="G8" i="36"/>
  <c r="M7" i="36"/>
  <c r="E7" i="36"/>
  <c r="Q6" i="36"/>
  <c r="K6" i="36"/>
  <c r="C6" i="36"/>
  <c r="E9" i="36"/>
  <c r="M14" i="36"/>
  <c r="M10" i="36"/>
  <c r="I8" i="36"/>
  <c r="M6" i="36"/>
  <c r="E6" i="36"/>
  <c r="K15" i="36"/>
  <c r="C15" i="36"/>
  <c r="I14" i="36"/>
  <c r="G13" i="36"/>
  <c r="M12" i="36"/>
  <c r="E12" i="36"/>
  <c r="K11" i="36"/>
  <c r="C11" i="36"/>
  <c r="I10" i="36"/>
  <c r="E8" i="36"/>
  <c r="I6" i="36"/>
  <c r="I15" i="36"/>
  <c r="Q16" i="36" l="1"/>
  <c r="K16" i="36"/>
  <c r="O10" i="36"/>
  <c r="O6" i="36"/>
  <c r="N20" i="36"/>
  <c r="O18" i="36" s="1"/>
  <c r="Q18" i="36"/>
  <c r="I16" i="36"/>
  <c r="E16" i="36"/>
  <c r="M16" i="36"/>
  <c r="C16" i="36"/>
  <c r="G16" i="36"/>
  <c r="O8" i="36"/>
  <c r="O7" i="36"/>
  <c r="O9" i="36"/>
  <c r="O12" i="36"/>
  <c r="O11" i="36"/>
  <c r="O15" i="36"/>
  <c r="O13" i="36"/>
  <c r="O16" i="36" l="1"/>
  <c r="C11" i="35"/>
  <c r="F9" i="35"/>
  <c r="F17" i="35" l="1"/>
  <c r="K12" i="37" l="1"/>
  <c r="J12" i="37"/>
  <c r="I12" i="37"/>
  <c r="H12" i="37"/>
  <c r="G12" i="37"/>
  <c r="F12" i="37"/>
  <c r="E12" i="37"/>
  <c r="D12" i="37"/>
  <c r="C12" i="37"/>
  <c r="B12" i="37"/>
  <c r="L35" i="36"/>
  <c r="J39" i="36"/>
  <c r="C13" i="33" s="1"/>
  <c r="H35" i="36"/>
  <c r="F35" i="36"/>
  <c r="D35" i="36"/>
  <c r="B35" i="36"/>
  <c r="E13" i="33" l="1"/>
  <c r="C19" i="44"/>
  <c r="E19" i="44" s="1"/>
  <c r="M33" i="36"/>
  <c r="M29" i="36"/>
  <c r="M25" i="36"/>
  <c r="M32" i="36"/>
  <c r="M28" i="36"/>
  <c r="M30" i="36"/>
  <c r="M31" i="36"/>
  <c r="M27" i="36"/>
  <c r="M26" i="36"/>
  <c r="D27" i="33" s="1"/>
  <c r="M34" i="36"/>
  <c r="L27" i="33" s="1"/>
  <c r="F39" i="36"/>
  <c r="G31" i="36"/>
  <c r="I24" i="33" s="1"/>
  <c r="G27" i="36"/>
  <c r="G32" i="36"/>
  <c r="J24" i="33" s="1"/>
  <c r="G34" i="36"/>
  <c r="G30" i="36"/>
  <c r="G24" i="33" s="1"/>
  <c r="G26" i="36"/>
  <c r="D24" i="33" s="1"/>
  <c r="G28" i="36"/>
  <c r="F24" i="33" s="1"/>
  <c r="G33" i="36"/>
  <c r="G29" i="36"/>
  <c r="H24" i="33" s="1"/>
  <c r="G25" i="36"/>
  <c r="H39" i="36"/>
  <c r="C12" i="33" s="1"/>
  <c r="I33" i="36"/>
  <c r="I29" i="36"/>
  <c r="H25" i="33" s="1"/>
  <c r="I25" i="36"/>
  <c r="I32" i="36"/>
  <c r="J25" i="33" s="1"/>
  <c r="I28" i="36"/>
  <c r="I30" i="36"/>
  <c r="G25" i="33" s="1"/>
  <c r="I31" i="36"/>
  <c r="I27" i="36"/>
  <c r="E25" i="33" s="1"/>
  <c r="I34" i="36"/>
  <c r="I26" i="36"/>
  <c r="D25" i="33" s="1"/>
  <c r="D39" i="36"/>
  <c r="C10" i="33" s="1"/>
  <c r="E33" i="36"/>
  <c r="K23" i="33" s="1"/>
  <c r="E29" i="36"/>
  <c r="E25" i="36"/>
  <c r="C23" i="33" s="1"/>
  <c r="E32" i="36"/>
  <c r="E28" i="36"/>
  <c r="E30" i="36"/>
  <c r="E31" i="36"/>
  <c r="I23" i="33" s="1"/>
  <c r="E27" i="36"/>
  <c r="E23" i="33" s="1"/>
  <c r="E34" i="36"/>
  <c r="L23" i="33" s="1"/>
  <c r="E26" i="36"/>
  <c r="B39" i="36"/>
  <c r="C9" i="33" s="1"/>
  <c r="C31" i="36"/>
  <c r="C27" i="36"/>
  <c r="C32" i="36"/>
  <c r="C34" i="36"/>
  <c r="C30" i="36"/>
  <c r="G22" i="33" s="1"/>
  <c r="C26" i="36"/>
  <c r="D22" i="33" s="1"/>
  <c r="C33" i="36"/>
  <c r="C29" i="36"/>
  <c r="H22" i="33" s="1"/>
  <c r="C25" i="36"/>
  <c r="C22" i="33" s="1"/>
  <c r="C28" i="36"/>
  <c r="F22" i="33" s="1"/>
  <c r="L25" i="33"/>
  <c r="C25" i="33"/>
  <c r="F25" i="33"/>
  <c r="K25" i="33"/>
  <c r="I25" i="33"/>
  <c r="C11" i="33"/>
  <c r="E24" i="33"/>
  <c r="L24" i="33"/>
  <c r="K24" i="33"/>
  <c r="C24" i="33"/>
  <c r="G23" i="33"/>
  <c r="D23" i="33"/>
  <c r="H23" i="33"/>
  <c r="J23" i="33"/>
  <c r="F23" i="33"/>
  <c r="J22" i="33"/>
  <c r="E22" i="33"/>
  <c r="I22" i="33"/>
  <c r="L22" i="33"/>
  <c r="K22" i="33"/>
  <c r="L26" i="33"/>
  <c r="G26" i="33"/>
  <c r="D26" i="33"/>
  <c r="K26" i="33"/>
  <c r="H26" i="33"/>
  <c r="C26" i="33"/>
  <c r="J26" i="33"/>
  <c r="F26" i="33"/>
  <c r="I26" i="33"/>
  <c r="E26" i="33"/>
  <c r="N35" i="36"/>
  <c r="O29" i="36" s="1"/>
  <c r="L39" i="36"/>
  <c r="E12" i="33" l="1"/>
  <c r="C18" i="44"/>
  <c r="E18" i="44" s="1"/>
  <c r="E10" i="33"/>
  <c r="C16" i="44"/>
  <c r="E16" i="44" s="1"/>
  <c r="E9" i="33"/>
  <c r="C15" i="44"/>
  <c r="E11" i="33"/>
  <c r="C17" i="44"/>
  <c r="E17" i="44" s="1"/>
  <c r="M26" i="33"/>
  <c r="M23" i="33"/>
  <c r="O31" i="36"/>
  <c r="O30" i="36"/>
  <c r="O25" i="36"/>
  <c r="M24" i="33"/>
  <c r="M25" i="33"/>
  <c r="M22" i="33"/>
  <c r="O28" i="36"/>
  <c r="O33" i="36"/>
  <c r="O32" i="36"/>
  <c r="O27" i="36"/>
  <c r="O34" i="36"/>
  <c r="O26" i="36"/>
  <c r="C14" i="33"/>
  <c r="N39" i="36"/>
  <c r="E14" i="33" l="1"/>
  <c r="C20" i="44"/>
  <c r="E20" i="44" s="1"/>
  <c r="C21" i="44"/>
  <c r="E15" i="44"/>
  <c r="E21" i="44" s="1"/>
  <c r="H10" i="40"/>
  <c r="G10" i="40"/>
  <c r="F10" i="40"/>
  <c r="E10" i="40"/>
  <c r="D10" i="40"/>
  <c r="C10" i="40"/>
  <c r="I15" i="33" l="1"/>
  <c r="B44" i="41" l="1"/>
  <c r="D43" i="41"/>
  <c r="D42" i="41"/>
  <c r="D41" i="41"/>
  <c r="D40" i="41"/>
  <c r="D26" i="41"/>
  <c r="D44" i="41" l="1"/>
  <c r="D19" i="41" l="1"/>
  <c r="C127" i="35"/>
  <c r="F133" i="35" s="1"/>
  <c r="I27" i="33" l="1"/>
  <c r="E27" i="33"/>
  <c r="H27" i="33"/>
  <c r="C27" i="33"/>
  <c r="G27" i="33"/>
  <c r="J27" i="33"/>
  <c r="K27" i="33"/>
  <c r="F27" i="33"/>
  <c r="D28" i="41"/>
  <c r="D30" i="41" s="1"/>
  <c r="D32" i="41" s="1"/>
  <c r="D16" i="41"/>
  <c r="M27" i="33" l="1"/>
  <c r="E35" i="36"/>
  <c r="K35" i="36"/>
  <c r="C35" i="36"/>
  <c r="M35" i="36"/>
  <c r="I35" i="36"/>
  <c r="G35" i="36"/>
  <c r="O35" i="36" l="1"/>
  <c r="C221" i="35" l="1"/>
  <c r="C193" i="35"/>
  <c r="F193" i="35" l="1"/>
  <c r="H25" i="40"/>
  <c r="G25" i="40"/>
  <c r="F25" i="40"/>
  <c r="C25" i="40"/>
  <c r="J21" i="40"/>
  <c r="H14" i="40"/>
  <c r="H16" i="40" s="1"/>
  <c r="H18" i="40" s="1"/>
  <c r="F14" i="33" s="1"/>
  <c r="G14" i="40"/>
  <c r="G16" i="40" s="1"/>
  <c r="G18" i="40" s="1"/>
  <c r="F13" i="33" s="1"/>
  <c r="F14" i="40"/>
  <c r="F16" i="40" s="1"/>
  <c r="F18" i="40" s="1"/>
  <c r="F12" i="33" s="1"/>
  <c r="E14" i="40"/>
  <c r="E16" i="40" s="1"/>
  <c r="E18" i="40" s="1"/>
  <c r="F11" i="33" s="1"/>
  <c r="D14" i="40"/>
  <c r="D16" i="40" s="1"/>
  <c r="D18" i="40" s="1"/>
  <c r="F10" i="33" s="1"/>
  <c r="C14" i="40"/>
  <c r="C16" i="40" s="1"/>
  <c r="C18" i="40" s="1"/>
  <c r="F9" i="33" s="1"/>
  <c r="G9" i="33" l="1"/>
  <c r="H9" i="33" s="1"/>
  <c r="J9" i="33" s="1"/>
  <c r="F15" i="44"/>
  <c r="G15" i="44" s="1"/>
  <c r="G14" i="33"/>
  <c r="H14" i="33" s="1"/>
  <c r="J14" i="33" s="1"/>
  <c r="F20" i="44"/>
  <c r="G20" i="44" s="1"/>
  <c r="H20" i="44" s="1"/>
  <c r="G11" i="33"/>
  <c r="H11" i="33" s="1"/>
  <c r="J11" i="33" s="1"/>
  <c r="F17" i="44"/>
  <c r="G17" i="44" s="1"/>
  <c r="H17" i="44" s="1"/>
  <c r="F56" i="43"/>
  <c r="F56" i="35"/>
  <c r="G13" i="33"/>
  <c r="H13" i="33" s="1"/>
  <c r="J13" i="33" s="1"/>
  <c r="F19" i="44"/>
  <c r="G19" i="44" s="1"/>
  <c r="H19" i="44" s="1"/>
  <c r="G10" i="33"/>
  <c r="H10" i="33" s="1"/>
  <c r="J10" i="33" s="1"/>
  <c r="F16" i="44"/>
  <c r="G16" i="44" s="1"/>
  <c r="H16" i="44" s="1"/>
  <c r="G12" i="33"/>
  <c r="H12" i="33" s="1"/>
  <c r="J12" i="33" s="1"/>
  <c r="F18" i="44"/>
  <c r="G18" i="44" s="1"/>
  <c r="H18" i="44" s="1"/>
  <c r="D25" i="40"/>
  <c r="E25" i="40" s="1"/>
  <c r="C154" i="35"/>
  <c r="C156" i="35" s="1"/>
  <c r="F221" i="35"/>
  <c r="J25" i="40"/>
  <c r="C67" i="44" l="1"/>
  <c r="G67" i="44"/>
  <c r="K67" i="44"/>
  <c r="D67" i="44"/>
  <c r="H67" i="44"/>
  <c r="L67" i="44"/>
  <c r="E67" i="44"/>
  <c r="I67" i="44"/>
  <c r="J67" i="44"/>
  <c r="F67" i="44"/>
  <c r="J16" i="44"/>
  <c r="C69" i="44"/>
  <c r="G69" i="44"/>
  <c r="K69" i="44"/>
  <c r="J18" i="44"/>
  <c r="D69" i="44"/>
  <c r="H69" i="44"/>
  <c r="L69" i="44"/>
  <c r="I69" i="44"/>
  <c r="F69" i="44"/>
  <c r="J69" i="44"/>
  <c r="E69" i="44"/>
  <c r="E68" i="44"/>
  <c r="I68" i="44"/>
  <c r="F68" i="44"/>
  <c r="J68" i="44"/>
  <c r="C68" i="44"/>
  <c r="K68" i="44"/>
  <c r="G68" i="44"/>
  <c r="D68" i="44"/>
  <c r="L68" i="44"/>
  <c r="H68" i="44"/>
  <c r="J17" i="44"/>
  <c r="H15" i="44"/>
  <c r="G21" i="44"/>
  <c r="F21" i="44" s="1"/>
  <c r="C39" i="35"/>
  <c r="C40" i="35" s="1"/>
  <c r="C39" i="43"/>
  <c r="C71" i="44"/>
  <c r="G71" i="44"/>
  <c r="K71" i="44"/>
  <c r="D71" i="44"/>
  <c r="H71" i="44"/>
  <c r="L71" i="44"/>
  <c r="E71" i="44"/>
  <c r="J20" i="44"/>
  <c r="I71" i="44"/>
  <c r="F71" i="44"/>
  <c r="J71" i="44"/>
  <c r="C38" i="43"/>
  <c r="E70" i="44"/>
  <c r="I70" i="44"/>
  <c r="F70" i="44"/>
  <c r="J70" i="44"/>
  <c r="J19" i="44"/>
  <c r="G70" i="44"/>
  <c r="C70" i="44"/>
  <c r="L70" i="44"/>
  <c r="H70" i="44"/>
  <c r="K70" i="44"/>
  <c r="D70" i="44"/>
  <c r="C38" i="35"/>
  <c r="F38" i="35"/>
  <c r="F162" i="35"/>
  <c r="K84" i="44" l="1"/>
  <c r="K119" i="44" s="1"/>
  <c r="K100" i="44"/>
  <c r="K135" i="44" s="1"/>
  <c r="I84" i="44"/>
  <c r="I119" i="44" s="1"/>
  <c r="I100" i="44"/>
  <c r="I135" i="44" s="1"/>
  <c r="F85" i="44"/>
  <c r="F120" i="44" s="1"/>
  <c r="D83" i="44"/>
  <c r="G86" i="44"/>
  <c r="G121" i="44" s="1"/>
  <c r="F87" i="44"/>
  <c r="F122" i="44" s="1"/>
  <c r="G87" i="44"/>
  <c r="G122" i="44" s="1"/>
  <c r="G103" i="44"/>
  <c r="G138" i="44" s="1"/>
  <c r="H86" i="44"/>
  <c r="H121" i="44" s="1"/>
  <c r="E86" i="44"/>
  <c r="E121" i="44" s="1"/>
  <c r="I87" i="44"/>
  <c r="I122" i="44" s="1"/>
  <c r="I103" i="44"/>
  <c r="I138" i="44" s="1"/>
  <c r="H87" i="44"/>
  <c r="H122" i="44" s="1"/>
  <c r="H103" i="44"/>
  <c r="H138" i="44" s="1"/>
  <c r="E66" i="44"/>
  <c r="I66" i="44"/>
  <c r="F66" i="44"/>
  <c r="J66" i="44"/>
  <c r="J15" i="44"/>
  <c r="G66" i="44"/>
  <c r="C66" i="44"/>
  <c r="C72" i="44" s="1"/>
  <c r="C73" i="44" s="1"/>
  <c r="H66" i="44"/>
  <c r="K66" i="44"/>
  <c r="D66" i="44"/>
  <c r="L66" i="44"/>
  <c r="H21" i="44"/>
  <c r="D84" i="44"/>
  <c r="D100" i="44"/>
  <c r="D135" i="44" s="1"/>
  <c r="J84" i="44"/>
  <c r="J119" i="44" s="1"/>
  <c r="E85" i="44"/>
  <c r="E120" i="44" s="1"/>
  <c r="L85" i="44"/>
  <c r="L120" i="44" s="1"/>
  <c r="L101" i="44"/>
  <c r="L136" i="44" s="1"/>
  <c r="K85" i="44"/>
  <c r="K120" i="44" s="1"/>
  <c r="K101" i="44"/>
  <c r="K136" i="44" s="1"/>
  <c r="F83" i="44"/>
  <c r="F118" i="44" s="1"/>
  <c r="L83" i="44"/>
  <c r="L118" i="44" s="1"/>
  <c r="G83" i="44"/>
  <c r="G118" i="44" s="1"/>
  <c r="D86" i="44"/>
  <c r="D102" i="44" s="1"/>
  <c r="D137" i="44" s="1"/>
  <c r="F86" i="44"/>
  <c r="F121" i="44" s="1"/>
  <c r="J87" i="44"/>
  <c r="J122" i="44" s="1"/>
  <c r="E87" i="44"/>
  <c r="E122" i="44" s="1"/>
  <c r="K87" i="44"/>
  <c r="K122" i="44" s="1"/>
  <c r="K103" i="44"/>
  <c r="K138" i="44" s="1"/>
  <c r="H84" i="44"/>
  <c r="H119" i="44" s="1"/>
  <c r="D85" i="44"/>
  <c r="D101" i="44"/>
  <c r="I83" i="44"/>
  <c r="I118" i="44" s="1"/>
  <c r="K86" i="44"/>
  <c r="K121" i="44" s="1"/>
  <c r="I86" i="44"/>
  <c r="I121" i="44" s="1"/>
  <c r="L87" i="44"/>
  <c r="L122" i="44" s="1"/>
  <c r="L84" i="44"/>
  <c r="L119" i="44" s="1"/>
  <c r="L100" i="44"/>
  <c r="L135" i="44" s="1"/>
  <c r="E84" i="44"/>
  <c r="E119" i="44" s="1"/>
  <c r="E100" i="44"/>
  <c r="E135" i="44" s="1"/>
  <c r="I85" i="44"/>
  <c r="I120" i="44" s="1"/>
  <c r="E83" i="44"/>
  <c r="E118" i="44" s="1"/>
  <c r="K83" i="44"/>
  <c r="K118" i="44" s="1"/>
  <c r="L86" i="44"/>
  <c r="L121" i="44" s="1"/>
  <c r="J86" i="44"/>
  <c r="J121" i="44" s="1"/>
  <c r="J102" i="44"/>
  <c r="J137" i="44" s="1"/>
  <c r="C40" i="43"/>
  <c r="F38" i="43"/>
  <c r="D87" i="44"/>
  <c r="G84" i="44"/>
  <c r="G119" i="44" s="1"/>
  <c r="G100" i="44"/>
  <c r="F84" i="44"/>
  <c r="F119" i="44" s="1"/>
  <c r="J85" i="44"/>
  <c r="J120" i="44" s="1"/>
  <c r="H85" i="44"/>
  <c r="H120" i="44" s="1"/>
  <c r="H101" i="44"/>
  <c r="H136" i="44" s="1"/>
  <c r="G85" i="44"/>
  <c r="G120" i="44" s="1"/>
  <c r="G101" i="44"/>
  <c r="G136" i="44" s="1"/>
  <c r="J83" i="44"/>
  <c r="J118" i="44" s="1"/>
  <c r="H83" i="44"/>
  <c r="H118" i="44" s="1"/>
  <c r="F46" i="35"/>
  <c r="C216" i="35"/>
  <c r="C188" i="35"/>
  <c r="G135" i="44" l="1"/>
  <c r="M101" i="44"/>
  <c r="D136" i="44"/>
  <c r="D82" i="44"/>
  <c r="D72" i="44"/>
  <c r="D73" i="44" s="1"/>
  <c r="M83" i="44"/>
  <c r="D118" i="44"/>
  <c r="M118" i="44" s="1"/>
  <c r="L102" i="44"/>
  <c r="L137" i="44" s="1"/>
  <c r="E99" i="44"/>
  <c r="K102" i="44"/>
  <c r="K137" i="44" s="1"/>
  <c r="L99" i="44"/>
  <c r="L134" i="44" s="1"/>
  <c r="M84" i="44"/>
  <c r="D119" i="44"/>
  <c r="M119" i="44" s="1"/>
  <c r="D99" i="44"/>
  <c r="D134" i="44" s="1"/>
  <c r="J21" i="44"/>
  <c r="H9" i="41"/>
  <c r="H82" i="44"/>
  <c r="H72" i="44"/>
  <c r="H73" i="44" s="1"/>
  <c r="J98" i="44"/>
  <c r="J82" i="44"/>
  <c r="J72" i="44"/>
  <c r="J73" i="44" s="1"/>
  <c r="D121" i="44"/>
  <c r="M121" i="44" s="1"/>
  <c r="M86" i="44"/>
  <c r="G82" i="44"/>
  <c r="G98" i="44"/>
  <c r="G72" i="44"/>
  <c r="G73" i="44" s="1"/>
  <c r="I82" i="44"/>
  <c r="I98" i="44"/>
  <c r="I72" i="44"/>
  <c r="I73" i="44" s="1"/>
  <c r="H99" i="44"/>
  <c r="H134" i="44" s="1"/>
  <c r="J101" i="44"/>
  <c r="J136" i="44" s="1"/>
  <c r="L103" i="44"/>
  <c r="L138" i="44" s="1"/>
  <c r="D120" i="44"/>
  <c r="M120" i="44" s="1"/>
  <c r="M85" i="44"/>
  <c r="J103" i="44"/>
  <c r="J138" i="44" s="1"/>
  <c r="E101" i="44"/>
  <c r="E136" i="44" s="1"/>
  <c r="M136" i="44" s="1"/>
  <c r="K82" i="44"/>
  <c r="K72" i="44"/>
  <c r="K73" i="44" s="1"/>
  <c r="E82" i="44"/>
  <c r="E98" i="44"/>
  <c r="E72" i="44"/>
  <c r="E73" i="44" s="1"/>
  <c r="H102" i="44"/>
  <c r="H137" i="44" s="1"/>
  <c r="F103" i="44"/>
  <c r="F138" i="44" s="1"/>
  <c r="D122" i="44"/>
  <c r="M122" i="44" s="1"/>
  <c r="M87" i="44"/>
  <c r="J99" i="44"/>
  <c r="J134" i="44" s="1"/>
  <c r="F100" i="44"/>
  <c r="F135" i="44" s="1"/>
  <c r="M135" i="44" s="1"/>
  <c r="D103" i="44"/>
  <c r="K99" i="44"/>
  <c r="K134" i="44" s="1"/>
  <c r="I101" i="44"/>
  <c r="I136" i="44" s="1"/>
  <c r="I102" i="44"/>
  <c r="I137" i="44" s="1"/>
  <c r="I99" i="44"/>
  <c r="I134" i="44" s="1"/>
  <c r="H100" i="44"/>
  <c r="H135" i="44" s="1"/>
  <c r="E103" i="44"/>
  <c r="E138" i="44" s="1"/>
  <c r="F102" i="44"/>
  <c r="F137" i="44" s="1"/>
  <c r="G99" i="44"/>
  <c r="G134" i="44" s="1"/>
  <c r="F99" i="44"/>
  <c r="F134" i="44" s="1"/>
  <c r="J100" i="44"/>
  <c r="J135" i="44" s="1"/>
  <c r="L82" i="44"/>
  <c r="L72" i="44"/>
  <c r="L73" i="44" s="1"/>
  <c r="F82" i="44"/>
  <c r="F72" i="44"/>
  <c r="F73" i="44" s="1"/>
  <c r="E102" i="44"/>
  <c r="E137" i="44" s="1"/>
  <c r="G102" i="44"/>
  <c r="F101" i="44"/>
  <c r="F136" i="44" s="1"/>
  <c r="F196" i="35"/>
  <c r="F203" i="35"/>
  <c r="F224" i="35"/>
  <c r="F231" i="35"/>
  <c r="L117" i="44" l="1"/>
  <c r="L123" i="44" s="1"/>
  <c r="L88" i="44"/>
  <c r="D138" i="44"/>
  <c r="M138" i="44" s="1"/>
  <c r="M103" i="44"/>
  <c r="E133" i="44"/>
  <c r="E104" i="44"/>
  <c r="K117" i="44"/>
  <c r="K123" i="44" s="1"/>
  <c r="K88" i="44"/>
  <c r="J133" i="44"/>
  <c r="J139" i="44" s="1"/>
  <c r="J104" i="44"/>
  <c r="F117" i="44"/>
  <c r="F123" i="44" s="1"/>
  <c r="F88" i="44"/>
  <c r="L98" i="44"/>
  <c r="I133" i="44"/>
  <c r="I139" i="44" s="1"/>
  <c r="I104" i="44"/>
  <c r="M102" i="44"/>
  <c r="G137" i="44"/>
  <c r="M137" i="44" s="1"/>
  <c r="I117" i="44"/>
  <c r="I123" i="44" s="1"/>
  <c r="I88" i="44"/>
  <c r="H117" i="44"/>
  <c r="H123" i="44" s="1"/>
  <c r="H88" i="44"/>
  <c r="M134" i="44"/>
  <c r="M100" i="44"/>
  <c r="G133" i="44"/>
  <c r="G139" i="44" s="1"/>
  <c r="G104" i="44"/>
  <c r="D117" i="44"/>
  <c r="M82" i="44"/>
  <c r="M88" i="44" s="1"/>
  <c r="D88" i="44"/>
  <c r="E117" i="44"/>
  <c r="E123" i="44" s="1"/>
  <c r="E88" i="44"/>
  <c r="G117" i="44"/>
  <c r="G123" i="44" s="1"/>
  <c r="G88" i="44"/>
  <c r="D98" i="44"/>
  <c r="F98" i="44"/>
  <c r="K98" i="44"/>
  <c r="J117" i="44"/>
  <c r="J123" i="44" s="1"/>
  <c r="J88" i="44"/>
  <c r="H98" i="44"/>
  <c r="M99" i="44"/>
  <c r="E134" i="44"/>
  <c r="C272" i="35"/>
  <c r="F278" i="35" s="1"/>
  <c r="C246" i="35"/>
  <c r="F133" i="44" l="1"/>
  <c r="F139" i="44" s="1"/>
  <c r="F104" i="44"/>
  <c r="D133" i="44"/>
  <c r="D104" i="44"/>
  <c r="G141" i="44"/>
  <c r="G145" i="44" s="1"/>
  <c r="L133" i="44"/>
  <c r="L139" i="44" s="1"/>
  <c r="L104" i="44"/>
  <c r="J141" i="44"/>
  <c r="J145" i="44" s="1"/>
  <c r="E139" i="44"/>
  <c r="E141" i="44" s="1"/>
  <c r="E145" i="44" s="1"/>
  <c r="H133" i="44"/>
  <c r="H139" i="44" s="1"/>
  <c r="H104" i="44"/>
  <c r="M117" i="44"/>
  <c r="M123" i="44" s="1"/>
  <c r="D123" i="44"/>
  <c r="I141" i="44"/>
  <c r="I145" i="44" s="1"/>
  <c r="K133" i="44"/>
  <c r="K139" i="44" s="1"/>
  <c r="K104" i="44"/>
  <c r="M98" i="44"/>
  <c r="M104" i="44" s="1"/>
  <c r="F252" i="35"/>
  <c r="F259" i="35"/>
  <c r="F285" i="35"/>
  <c r="L141" i="44" l="1"/>
  <c r="L145" i="44" s="1"/>
  <c r="K141" i="44"/>
  <c r="K145" i="44" s="1"/>
  <c r="M133" i="44"/>
  <c r="M139" i="44" s="1"/>
  <c r="D139" i="44"/>
  <c r="D141" i="44" s="1"/>
  <c r="D145" i="44" s="1"/>
  <c r="H141" i="44"/>
  <c r="H145" i="44" s="1"/>
  <c r="F141" i="44"/>
  <c r="F145" i="44" s="1"/>
  <c r="C326" i="35"/>
  <c r="H12" i="41" l="1"/>
  <c r="M141" i="44"/>
  <c r="M145" i="44" s="1"/>
  <c r="F332" i="35"/>
  <c r="F339" i="35"/>
  <c r="C300" i="35"/>
  <c r="F313" i="35" s="1"/>
  <c r="H16" i="41" l="1"/>
  <c r="H15" i="41"/>
  <c r="H17" i="41" s="1"/>
  <c r="F306" i="35"/>
  <c r="F446" i="35" l="1"/>
  <c r="G448" i="35" s="1"/>
  <c r="C434" i="35"/>
  <c r="F440" i="35" s="1"/>
  <c r="G442" i="35" s="1"/>
  <c r="F433" i="35"/>
  <c r="F432" i="35"/>
  <c r="E378" i="35"/>
  <c r="F420" i="35"/>
  <c r="G422" i="35" s="1"/>
  <c r="E353" i="35" s="1"/>
  <c r="E298" i="35" s="1"/>
  <c r="F298" i="35" s="1"/>
  <c r="C408" i="35"/>
  <c r="F407" i="35"/>
  <c r="F406" i="35"/>
  <c r="E352" i="35"/>
  <c r="F434" i="35" l="1"/>
  <c r="F408" i="35"/>
  <c r="F412" i="35" s="1"/>
  <c r="G450" i="35"/>
  <c r="E379" i="35"/>
  <c r="E324" i="35" s="1"/>
  <c r="F324" i="35" s="1"/>
  <c r="F414" i="35"/>
  <c r="G416" i="35" l="1"/>
  <c r="G425" i="35" s="1"/>
  <c r="D15" i="33"/>
  <c r="F379" i="35" l="1"/>
  <c r="F352" i="35"/>
  <c r="C354" i="35"/>
  <c r="F367" i="35" s="1"/>
  <c r="F353" i="35"/>
  <c r="F354" i="35" l="1"/>
  <c r="C380" i="35"/>
  <c r="F378" i="35"/>
  <c r="F380" i="35" s="1"/>
  <c r="F360" i="35"/>
  <c r="F386" i="35" l="1"/>
  <c r="F393" i="35"/>
  <c r="G42" i="33" l="1"/>
  <c r="G52" i="33" s="1"/>
  <c r="G75" i="33" s="1"/>
  <c r="H42" i="33"/>
  <c r="H52" i="33" s="1"/>
  <c r="H75" i="33" s="1"/>
  <c r="L42" i="33"/>
  <c r="L52" i="33" s="1"/>
  <c r="L75" i="33" s="1"/>
  <c r="J42" i="33"/>
  <c r="J52" i="33" s="1"/>
  <c r="J75" i="33" s="1"/>
  <c r="D42" i="33"/>
  <c r="D52" i="33" s="1"/>
  <c r="D75" i="33" s="1"/>
  <c r="K42" i="33"/>
  <c r="K52" i="33" s="1"/>
  <c r="K75" i="33" s="1"/>
  <c r="C42" i="33"/>
  <c r="C52" i="33" s="1"/>
  <c r="I42" i="33"/>
  <c r="I52" i="33" s="1"/>
  <c r="I75" i="33" s="1"/>
  <c r="F42" i="33"/>
  <c r="F52" i="33" s="1"/>
  <c r="F75" i="33" s="1"/>
  <c r="E42" i="33"/>
  <c r="E52" i="33" s="1"/>
  <c r="E75" i="33" s="1"/>
  <c r="M42" i="33" l="1"/>
  <c r="H62" i="33"/>
  <c r="H85" i="33" s="1"/>
  <c r="L62" i="33"/>
  <c r="L85" i="33" s="1"/>
  <c r="I62" i="33"/>
  <c r="I85" i="33" s="1"/>
  <c r="G62" i="33"/>
  <c r="G85" i="33" s="1"/>
  <c r="K62" i="33"/>
  <c r="K85" i="33" s="1"/>
  <c r="J62" i="33"/>
  <c r="J85" i="33" s="1"/>
  <c r="D62" i="33"/>
  <c r="D85" i="33" s="1"/>
  <c r="M52" i="33"/>
  <c r="C75" i="33"/>
  <c r="M75" i="33" s="1"/>
  <c r="F62" i="33"/>
  <c r="F85" i="33" s="1"/>
  <c r="E62" i="33"/>
  <c r="E85" i="33" s="1"/>
  <c r="C62" i="33"/>
  <c r="C85" i="33" l="1"/>
  <c r="M85" i="33" s="1"/>
  <c r="M62" i="33"/>
  <c r="E43" i="33" l="1"/>
  <c r="E53" i="33" s="1"/>
  <c r="E76" i="33" s="1"/>
  <c r="K43" i="33"/>
  <c r="K53" i="33" s="1"/>
  <c r="K76" i="33" s="1"/>
  <c r="I43" i="33"/>
  <c r="I53" i="33" s="1"/>
  <c r="I76" i="33" s="1"/>
  <c r="C43" i="33"/>
  <c r="C53" i="33" s="1"/>
  <c r="C63" i="33" s="1"/>
  <c r="D43" i="33"/>
  <c r="D53" i="33" s="1"/>
  <c r="D76" i="33" s="1"/>
  <c r="F43" i="33"/>
  <c r="F53" i="33" s="1"/>
  <c r="F76" i="33" s="1"/>
  <c r="G43" i="33"/>
  <c r="G53" i="33" s="1"/>
  <c r="G76" i="33" s="1"/>
  <c r="H43" i="33"/>
  <c r="H53" i="33" s="1"/>
  <c r="H76" i="33" s="1"/>
  <c r="J43" i="33"/>
  <c r="J53" i="33" s="1"/>
  <c r="J76" i="33" s="1"/>
  <c r="L43" i="33"/>
  <c r="L53" i="33" s="1"/>
  <c r="L76" i="33" s="1"/>
  <c r="M43" i="33" l="1"/>
  <c r="J63" i="33"/>
  <c r="J86" i="33" s="1"/>
  <c r="H63" i="33"/>
  <c r="H86" i="33" s="1"/>
  <c r="L63" i="33"/>
  <c r="L86" i="33" s="1"/>
  <c r="I63" i="33"/>
  <c r="I86" i="33" s="1"/>
  <c r="F63" i="33"/>
  <c r="F86" i="33" s="1"/>
  <c r="C86" i="33"/>
  <c r="E63" i="33"/>
  <c r="E86" i="33" s="1"/>
  <c r="M53" i="33"/>
  <c r="C76" i="33"/>
  <c r="M76" i="33" s="1"/>
  <c r="K63" i="33"/>
  <c r="K86" i="33" s="1"/>
  <c r="D63" i="33"/>
  <c r="D86" i="33" s="1"/>
  <c r="G63" i="33"/>
  <c r="G86" i="33" s="1"/>
  <c r="M86" i="33" l="1"/>
  <c r="M63" i="33"/>
  <c r="D44" i="33" l="1"/>
  <c r="L44" i="33" l="1"/>
  <c r="L54" i="33" s="1"/>
  <c r="L77" i="33" s="1"/>
  <c r="J44" i="33"/>
  <c r="F44" i="33"/>
  <c r="F54" i="33" s="1"/>
  <c r="F77" i="33" s="1"/>
  <c r="G44" i="33"/>
  <c r="G54" i="33" s="1"/>
  <c r="G77" i="33" s="1"/>
  <c r="C44" i="33"/>
  <c r="C54" i="33" s="1"/>
  <c r="I44" i="33"/>
  <c r="I54" i="33" s="1"/>
  <c r="I77" i="33" s="1"/>
  <c r="K44" i="33"/>
  <c r="K54" i="33" s="1"/>
  <c r="K77" i="33" s="1"/>
  <c r="H44" i="33"/>
  <c r="H54" i="33" s="1"/>
  <c r="H77" i="33" s="1"/>
  <c r="E44" i="33"/>
  <c r="E54" i="33" s="1"/>
  <c r="E77" i="33" s="1"/>
  <c r="J54" i="33"/>
  <c r="J77" i="33" s="1"/>
  <c r="D54" i="33"/>
  <c r="D77" i="33" s="1"/>
  <c r="M44" i="33" l="1"/>
  <c r="K64" i="33"/>
  <c r="K87" i="33" s="1"/>
  <c r="G64" i="33"/>
  <c r="G87" i="33" s="1"/>
  <c r="E64" i="33"/>
  <c r="E87" i="33" s="1"/>
  <c r="H64" i="33"/>
  <c r="H87" i="33" s="1"/>
  <c r="J64" i="33"/>
  <c r="J87" i="33" s="1"/>
  <c r="D64" i="33"/>
  <c r="D87" i="33" s="1"/>
  <c r="C77" i="33"/>
  <c r="M77" i="33" s="1"/>
  <c r="M54" i="33"/>
  <c r="C64" i="33"/>
  <c r="I64" i="33"/>
  <c r="I87" i="33" s="1"/>
  <c r="F64" i="33"/>
  <c r="F87" i="33" s="1"/>
  <c r="L64" i="33"/>
  <c r="L87" i="33" s="1"/>
  <c r="M64" i="33" l="1"/>
  <c r="C87" i="33"/>
  <c r="M87" i="33" s="1"/>
  <c r="F45" i="33" l="1"/>
  <c r="F55" i="33" s="1"/>
  <c r="F78" i="33" s="1"/>
  <c r="J45" i="33"/>
  <c r="K45" i="33"/>
  <c r="K55" i="33" s="1"/>
  <c r="K78" i="33" s="1"/>
  <c r="H45" i="33"/>
  <c r="H55" i="33" s="1"/>
  <c r="H78" i="33" s="1"/>
  <c r="I45" i="33"/>
  <c r="I55" i="33" s="1"/>
  <c r="I78" i="33" s="1"/>
  <c r="G45" i="33"/>
  <c r="G55" i="33" s="1"/>
  <c r="G78" i="33" s="1"/>
  <c r="E45" i="33"/>
  <c r="E55" i="33" s="1"/>
  <c r="E78" i="33" s="1"/>
  <c r="L45" i="33"/>
  <c r="L55" i="33" s="1"/>
  <c r="L78" i="33" s="1"/>
  <c r="D45" i="33"/>
  <c r="D55" i="33" s="1"/>
  <c r="D78" i="33" s="1"/>
  <c r="J55" i="33"/>
  <c r="J78" i="33" s="1"/>
  <c r="C45" i="33"/>
  <c r="J65" i="33" l="1"/>
  <c r="J88" i="33" s="1"/>
  <c r="L65" i="33"/>
  <c r="L88" i="33" s="1"/>
  <c r="I65" i="33"/>
  <c r="I88" i="33" s="1"/>
  <c r="D65" i="33"/>
  <c r="D88" i="33" s="1"/>
  <c r="K65" i="33"/>
  <c r="K88" i="33" s="1"/>
  <c r="C55" i="33"/>
  <c r="C65" i="33" s="1"/>
  <c r="M45" i="33"/>
  <c r="H65" i="33"/>
  <c r="H88" i="33" s="1"/>
  <c r="G65" i="33"/>
  <c r="G88" i="33" s="1"/>
  <c r="F65" i="33"/>
  <c r="F88" i="33" s="1"/>
  <c r="E65" i="33"/>
  <c r="E88" i="33" s="1"/>
  <c r="M65" i="33" l="1"/>
  <c r="C88" i="33"/>
  <c r="M88" i="33" s="1"/>
  <c r="M55" i="33"/>
  <c r="C78" i="33"/>
  <c r="M78" i="33" s="1"/>
  <c r="C46" i="33" l="1"/>
  <c r="G46" i="33"/>
  <c r="G56" i="33" s="1"/>
  <c r="G79" i="33" s="1"/>
  <c r="I46" i="33"/>
  <c r="I56" i="33" s="1"/>
  <c r="I79" i="33" s="1"/>
  <c r="K46" i="33"/>
  <c r="K56" i="33" s="1"/>
  <c r="K79" i="33" s="1"/>
  <c r="J46" i="33"/>
  <c r="J56" i="33" s="1"/>
  <c r="J79" i="33" s="1"/>
  <c r="E46" i="33"/>
  <c r="E56" i="33" s="1"/>
  <c r="E79" i="33" s="1"/>
  <c r="D46" i="33"/>
  <c r="D56" i="33" s="1"/>
  <c r="D79" i="33" s="1"/>
  <c r="F46" i="33"/>
  <c r="F56" i="33" s="1"/>
  <c r="F79" i="33" s="1"/>
  <c r="H46" i="33"/>
  <c r="H56" i="33" s="1"/>
  <c r="H79" i="33" s="1"/>
  <c r="L46" i="33"/>
  <c r="L56" i="33" s="1"/>
  <c r="L79" i="33" s="1"/>
  <c r="M46" i="33" l="1"/>
  <c r="C56" i="33"/>
  <c r="C66" i="33" s="1"/>
  <c r="C89" i="33" s="1"/>
  <c r="J66" i="33"/>
  <c r="J89" i="33" s="1"/>
  <c r="D66" i="33"/>
  <c r="D89" i="33" s="1"/>
  <c r="I66" i="33"/>
  <c r="I89" i="33" s="1"/>
  <c r="E66" i="33"/>
  <c r="E89" i="33" s="1"/>
  <c r="F66" i="33"/>
  <c r="F89" i="33" s="1"/>
  <c r="K66" i="33"/>
  <c r="K89" i="33" s="1"/>
  <c r="G66" i="33"/>
  <c r="G89" i="33" s="1"/>
  <c r="L66" i="33"/>
  <c r="L89" i="33" s="1"/>
  <c r="H66" i="33"/>
  <c r="H89" i="33" s="1"/>
  <c r="M56" i="33" l="1"/>
  <c r="C79" i="33"/>
  <c r="M79" i="33" s="1"/>
  <c r="M66" i="33"/>
  <c r="M89" i="33"/>
  <c r="L47" i="33" l="1"/>
  <c r="L57" i="33" s="1"/>
  <c r="L80" i="33" s="1"/>
  <c r="H47" i="33"/>
  <c r="H57" i="33" s="1"/>
  <c r="H80" i="33" s="1"/>
  <c r="J47" i="33"/>
  <c r="J57" i="33" s="1"/>
  <c r="J80" i="33" s="1"/>
  <c r="D47" i="33"/>
  <c r="D57" i="33" s="1"/>
  <c r="D80" i="33" s="1"/>
  <c r="E47" i="33"/>
  <c r="E57" i="33" s="1"/>
  <c r="E80" i="33" s="1"/>
  <c r="F47" i="33"/>
  <c r="F57" i="33" s="1"/>
  <c r="F80" i="33" s="1"/>
  <c r="I47" i="33"/>
  <c r="I57" i="33" s="1"/>
  <c r="I80" i="33" s="1"/>
  <c r="K47" i="33"/>
  <c r="K57" i="33" s="1"/>
  <c r="K80" i="33" s="1"/>
  <c r="G47" i="33"/>
  <c r="G57" i="33" s="1"/>
  <c r="G80" i="33" s="1"/>
  <c r="C47" i="33"/>
  <c r="C57" i="33" s="1"/>
  <c r="M47" i="33" l="1"/>
  <c r="F67" i="33"/>
  <c r="F90" i="33" s="1"/>
  <c r="L67" i="33"/>
  <c r="L90" i="33" s="1"/>
  <c r="G67" i="33"/>
  <c r="G90" i="33" s="1"/>
  <c r="H67" i="33"/>
  <c r="H90" i="33" s="1"/>
  <c r="C80" i="33"/>
  <c r="M80" i="33" s="1"/>
  <c r="F52" i="43" s="1"/>
  <c r="M57" i="33"/>
  <c r="I67" i="33"/>
  <c r="I90" i="33" s="1"/>
  <c r="D67" i="33"/>
  <c r="D90" i="33" s="1"/>
  <c r="J67" i="33"/>
  <c r="J90" i="33" s="1"/>
  <c r="C67" i="33"/>
  <c r="E67" i="33"/>
  <c r="E90" i="33" s="1"/>
  <c r="K67" i="33"/>
  <c r="K90" i="33" s="1"/>
  <c r="F53" i="43" l="1"/>
  <c r="F54" i="43" s="1"/>
  <c r="G57" i="43"/>
  <c r="F39" i="43" s="1"/>
  <c r="F40" i="43" s="1"/>
  <c r="F52" i="35"/>
  <c r="F42" i="35"/>
  <c r="M67" i="33"/>
  <c r="C90" i="33"/>
  <c r="M90" i="33" s="1"/>
  <c r="F13" i="43" l="1"/>
  <c r="F14" i="43" s="1"/>
  <c r="F15" i="43" s="1"/>
  <c r="G19" i="43" s="1"/>
  <c r="F23" i="43"/>
  <c r="F53" i="35"/>
  <c r="F54" i="35" s="1"/>
  <c r="G57" i="35"/>
  <c r="E39" i="35" s="1"/>
  <c r="F23" i="35"/>
  <c r="F24" i="35" s="1"/>
  <c r="F25" i="35" s="1"/>
  <c r="F13" i="35"/>
  <c r="G11" i="42" s="1"/>
  <c r="F12" i="41" s="1"/>
  <c r="F15" i="41" s="1"/>
  <c r="D15" i="41"/>
  <c r="D17" i="41" s="1"/>
  <c r="G170" i="35"/>
  <c r="G334" i="35"/>
  <c r="F338" i="35"/>
  <c r="G340" i="35" s="1"/>
  <c r="E271" i="35" s="1"/>
  <c r="F16" i="41" l="1"/>
  <c r="F17" i="41"/>
  <c r="G28" i="43"/>
  <c r="G30" i="43" s="1"/>
  <c r="F24" i="43"/>
  <c r="F25" i="43" s="1"/>
  <c r="F39" i="35"/>
  <c r="F40" i="35" s="1"/>
  <c r="F271" i="35"/>
  <c r="E214" i="35"/>
  <c r="F214" i="35" s="1"/>
  <c r="G342" i="35"/>
  <c r="F312" i="35"/>
  <c r="G314" i="35" s="1"/>
  <c r="E245" i="35" s="1"/>
  <c r="G308" i="35"/>
  <c r="F392" i="35"/>
  <c r="G394" i="35" s="1"/>
  <c r="E325" i="35" s="1"/>
  <c r="F384" i="35"/>
  <c r="G388" i="35" s="1"/>
  <c r="F245" i="35" l="1"/>
  <c r="E186" i="35"/>
  <c r="F186" i="35" s="1"/>
  <c r="F325" i="35"/>
  <c r="F326" i="35" s="1"/>
  <c r="E270" i="35"/>
  <c r="F270" i="35" s="1"/>
  <c r="F272" i="35" s="1"/>
  <c r="G317" i="35"/>
  <c r="F358" i="35"/>
  <c r="G362" i="35" s="1"/>
  <c r="F366" i="35"/>
  <c r="G368" i="35" s="1"/>
  <c r="E299" i="35" s="1"/>
  <c r="G396" i="35"/>
  <c r="F299" i="35" l="1"/>
  <c r="F300" i="35" s="1"/>
  <c r="E244" i="35"/>
  <c r="F244" i="35" s="1"/>
  <c r="F246" i="35" s="1"/>
  <c r="G371" i="35"/>
  <c r="C15" i="33" l="1"/>
  <c r="E15" i="33" l="1"/>
  <c r="G15" i="33" l="1"/>
  <c r="F15" i="33" s="1"/>
  <c r="G48" i="33" l="1"/>
  <c r="H48" i="33"/>
  <c r="L48" i="33"/>
  <c r="H15" i="33"/>
  <c r="E48" i="33"/>
  <c r="C48" i="33"/>
  <c r="J15" i="33" l="1"/>
  <c r="G9" i="42"/>
  <c r="D34" i="41"/>
  <c r="F48" i="33"/>
  <c r="L91" i="33"/>
  <c r="G81" i="33"/>
  <c r="K48" i="33"/>
  <c r="D48" i="33"/>
  <c r="H91" i="33"/>
  <c r="I48" i="33"/>
  <c r="J48" i="33"/>
  <c r="M48" i="33"/>
  <c r="E91" i="33"/>
  <c r="J91" i="33"/>
  <c r="J68" i="33"/>
  <c r="C58" i="33"/>
  <c r="I68" i="33"/>
  <c r="I91" i="33"/>
  <c r="F58" i="33"/>
  <c r="F81" i="33"/>
  <c r="G58" i="33"/>
  <c r="K58" i="33"/>
  <c r="K81" i="33"/>
  <c r="J81" i="33"/>
  <c r="J58" i="33"/>
  <c r="F68" i="33"/>
  <c r="F91" i="33"/>
  <c r="D91" i="33"/>
  <c r="D68" i="33"/>
  <c r="I58" i="33"/>
  <c r="I81" i="33"/>
  <c r="D58" i="33"/>
  <c r="D81" i="33"/>
  <c r="M49" i="33" l="1"/>
  <c r="L81" i="33"/>
  <c r="L68" i="33"/>
  <c r="L93" i="33" s="1"/>
  <c r="G91" i="33"/>
  <c r="H81" i="33"/>
  <c r="H58" i="33"/>
  <c r="H68" i="33"/>
  <c r="H93" i="33" s="1"/>
  <c r="L58" i="33"/>
  <c r="J49" i="33"/>
  <c r="K49" i="33"/>
  <c r="L49" i="33"/>
  <c r="I49" i="33"/>
  <c r="E58" i="33"/>
  <c r="D49" i="33"/>
  <c r="G49" i="33"/>
  <c r="F49" i="33"/>
  <c r="C49" i="33"/>
  <c r="H49" i="33"/>
  <c r="E49" i="33"/>
  <c r="M58" i="33"/>
  <c r="E68" i="33"/>
  <c r="E93" i="33" s="1"/>
  <c r="E81" i="33"/>
  <c r="F93" i="33"/>
  <c r="I93" i="33"/>
  <c r="J93" i="33"/>
  <c r="K68" i="33"/>
  <c r="K91" i="33"/>
  <c r="C68" i="33"/>
  <c r="C81" i="33"/>
  <c r="D93" i="33"/>
  <c r="M68" i="33" l="1"/>
  <c r="G68" i="33"/>
  <c r="G93" i="33" s="1"/>
  <c r="M81" i="33"/>
  <c r="F42" i="43" s="1"/>
  <c r="K93" i="33"/>
  <c r="C91" i="33"/>
  <c r="C93" i="33" s="1"/>
  <c r="F43" i="43" l="1"/>
  <c r="F44" i="43"/>
  <c r="G48" i="43" s="1"/>
  <c r="G59" i="43" s="1"/>
  <c r="F44" i="35"/>
  <c r="G48" i="35" s="1"/>
  <c r="G59" i="35" s="1"/>
  <c r="M91" i="33"/>
  <c r="H11" i="42" s="1"/>
  <c r="I11" i="42" s="1"/>
  <c r="F202" i="35"/>
  <c r="G204" i="35" s="1"/>
  <c r="F276" i="35"/>
  <c r="G280" i="35" s="1"/>
  <c r="F230" i="35"/>
  <c r="G232" i="35" s="1"/>
  <c r="F155" i="35" s="1"/>
  <c r="F284" i="35"/>
  <c r="G286" i="35" s="1"/>
  <c r="H9" i="42" l="1"/>
  <c r="I9" i="42" s="1"/>
  <c r="G13" i="42"/>
  <c r="H13" i="42" s="1"/>
  <c r="I13" i="42" s="1"/>
  <c r="M93" i="33"/>
  <c r="F126" i="35"/>
  <c r="G288" i="35"/>
  <c r="E215" i="35"/>
  <c r="F250" i="35"/>
  <c r="G254" i="35" s="1"/>
  <c r="F258" i="35"/>
  <c r="G260" i="35" s="1"/>
  <c r="E187" i="35" s="1"/>
  <c r="D36" i="41" l="1"/>
  <c r="F215" i="35"/>
  <c r="F216" i="35" s="1"/>
  <c r="F220" i="35" s="1"/>
  <c r="F222" i="35" s="1"/>
  <c r="G226" i="35" s="1"/>
  <c r="G234" i="35" s="1"/>
  <c r="F154" i="35"/>
  <c r="F156" i="35" s="1"/>
  <c r="F160" i="35" s="1"/>
  <c r="F187" i="35"/>
  <c r="F188" i="35" s="1"/>
  <c r="F192" i="35" s="1"/>
  <c r="F194" i="35" s="1"/>
  <c r="G198" i="35" s="1"/>
  <c r="G207" i="35" s="1"/>
  <c r="F125" i="35"/>
  <c r="F127" i="35" s="1"/>
  <c r="F131" i="35" s="1"/>
  <c r="G135" i="35" s="1"/>
  <c r="G263" i="35"/>
  <c r="G28" i="35" l="1"/>
  <c r="E10" i="35" s="1"/>
  <c r="F10" i="35" s="1"/>
  <c r="G141" i="35"/>
  <c r="G164" i="35"/>
  <c r="G172" i="35" s="1"/>
  <c r="G143" i="35" l="1"/>
  <c r="G176" i="35"/>
  <c r="F11" i="35" l="1"/>
  <c r="F15" i="35" s="1"/>
  <c r="G147" i="35"/>
  <c r="G19" i="35" l="1"/>
  <c r="G30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B7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B5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<sst xmlns="http://schemas.openxmlformats.org/spreadsheetml/2006/main" count="1093" uniqueCount="191">
  <si>
    <t>HDPE</t>
  </si>
  <si>
    <t>PET</t>
  </si>
  <si>
    <t>May</t>
  </si>
  <si>
    <t>Total</t>
  </si>
  <si>
    <t>%</t>
  </si>
  <si>
    <t>Customers</t>
  </si>
  <si>
    <t>Credits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</si>
  <si>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</si>
  <si>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</si>
  <si>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</si>
  <si>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</si>
  <si>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</si>
  <si>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</si>
  <si>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</si>
  <si>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</si>
  <si>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</si>
  <si>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</si>
  <si>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</si>
  <si>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</si>
  <si>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</si>
  <si>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</si>
  <si>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</si>
  <si>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</si>
  <si>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</si>
  <si>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</si>
  <si>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</si>
  <si>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</si>
  <si>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</si>
  <si>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</si>
  <si>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</si>
  <si>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</si>
  <si>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</si>
  <si>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Jan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</si>
  <si>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</si>
  <si>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</si>
  <si>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</si>
  <si>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</si>
  <si>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</si>
  <si>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</si>
  <si>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</si>
  <si>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</si>
  <si>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</si>
  <si>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</si>
  <si>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</si>
  <si>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</si>
  <si>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</si>
  <si>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</si>
  <si>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</si>
  <si>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</si>
  <si>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</si>
  <si>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</si>
  <si>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</si>
  <si>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</si>
  <si>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</si>
  <si>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</si>
  <si>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</si>
  <si>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</si>
  <si>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</si>
  <si>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</si>
  <si>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</si>
  <si>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</si>
  <si>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</si>
  <si>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</si>
  <si>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</si>
  <si>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</si>
  <si>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Composition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</si>
  <si>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</si>
  <si>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</si>
  <si>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</si>
  <si>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</si>
  <si>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</si>
  <si>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</si>
  <si>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</si>
  <si>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</si>
  <si>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</si>
  <si>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</si>
  <si>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</si>
  <si>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</si>
  <si>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</si>
  <si>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</si>
  <si>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</si>
  <si>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</si>
  <si>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</si>
  <si>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</si>
  <si>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</si>
  <si>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</si>
  <si>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</si>
  <si>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</si>
  <si>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</si>
  <si>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</si>
  <si>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</si>
  <si>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</si>
  <si>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</si>
  <si>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</si>
  <si>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</si>
  <si>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</si>
  <si>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</si>
  <si>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</si>
  <si>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</si>
  <si>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 xml:space="preserve">Average Revenue/ton 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</si>
  <si>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</si>
  <si>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</si>
  <si>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</si>
  <si>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</si>
  <si>
    <t>2018 - 2019 Rebate Calculation</t>
  </si>
  <si>
    <t>Projected Value to Rebate to Customers</t>
  </si>
  <si>
    <t>Budget</t>
  </si>
  <si>
    <t>Customer Counts:</t>
  </si>
  <si>
    <t>Tonnage:</t>
  </si>
  <si>
    <t>Revenues:</t>
  </si>
  <si>
    <t>Expenditures Budget:</t>
  </si>
  <si>
    <t xml:space="preserve">Estimated Revenue Sharing retained by Company </t>
  </si>
  <si>
    <t>Detailed Expenditures:</t>
  </si>
  <si>
    <t>Labor Cost Total (see detail below)</t>
  </si>
  <si>
    <t>Tasks As Outlined In RSA</t>
  </si>
  <si>
    <t>Total RSA Task Fees (excluding capital)</t>
  </si>
  <si>
    <t>Total Budgeted Expenses</t>
  </si>
  <si>
    <t>Performance Incentive (5% of expenditures)</t>
  </si>
  <si>
    <t>Total Expenditures plus incentive</t>
  </si>
  <si>
    <t>Avg. lbs./customer/mo.</t>
  </si>
  <si>
    <t>Avg. revenue/ton</t>
  </si>
  <si>
    <t>Labor Cost Allocation</t>
  </si>
  <si>
    <t>Total Hours</t>
  </si>
  <si>
    <t>Hourly Rate</t>
  </si>
  <si>
    <t>Total 2 yrs</t>
  </si>
  <si>
    <t>Monthly Reporting (CC Team )</t>
  </si>
  <si>
    <t>Executive Management/Oversight (Mindy &amp; Mary)</t>
  </si>
  <si>
    <t>Public Education Team &amp; Website Updates</t>
  </si>
  <si>
    <t xml:space="preserve">Labor Cost Totals </t>
  </si>
  <si>
    <t>Net Residential Commodity Adjustment</t>
  </si>
  <si>
    <t>Average</t>
  </si>
  <si>
    <t>lbs./</t>
  </si>
  <si>
    <t>Customer/</t>
  </si>
  <si>
    <t>Week</t>
  </si>
  <si>
    <t>Multi-Family Commodity Adjustment</t>
  </si>
  <si>
    <t>Residential and Multi-Family WUTC tonnage (2 years)</t>
  </si>
  <si>
    <t>Less: Recycling Incentive</t>
  </si>
  <si>
    <t>Total Two Year Projected Commodity Revenue (based on most recent 5 months average commodity values due to "China Sword")</t>
  </si>
  <si>
    <t>RSA Project Manager (includes travel expenses)</t>
  </si>
  <si>
    <t>Task 1 - Recycling and Organics Rules Advertising</t>
  </si>
  <si>
    <t>Task 2 - Recycling and Organics Promotion at Events</t>
  </si>
  <si>
    <t>Task 3 - Elementary School Recycling Education</t>
  </si>
  <si>
    <t>Task 4 - Multifamily Recycling Education Programs</t>
  </si>
  <si>
    <t>Spokane County Revenue Sharing Budget</t>
  </si>
  <si>
    <t>August 1 2018 - July 31, 2020</t>
  </si>
  <si>
    <r>
      <t xml:space="preserve">Projected Revenue June 2018 - </t>
    </r>
    <r>
      <rPr>
        <b/>
        <u/>
        <sz val="12"/>
        <color rgb="FF0070C0"/>
        <rFont val="Arial"/>
        <family val="2"/>
      </rPr>
      <t>November 2018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</si>
  <si>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June - July. projected value without adjustment factor</t>
  </si>
  <si>
    <t>Jan., 2019</t>
  </si>
  <si>
    <t>Pro-Rata</t>
  </si>
  <si>
    <t>Tonnage</t>
  </si>
  <si>
    <t xml:space="preserve">No. of </t>
  </si>
  <si>
    <t>Months</t>
  </si>
  <si>
    <t>Actual</t>
  </si>
  <si>
    <t>Inc.</t>
  </si>
  <si>
    <t>(Dec.)</t>
  </si>
  <si>
    <t>Diff.</t>
  </si>
  <si>
    <t>Revenue per ton</t>
  </si>
  <si>
    <t>Budget vs. Actual Comparison</t>
  </si>
  <si>
    <t>Commodity Revenue</t>
  </si>
  <si>
    <t xml:space="preserve">Actual Commodity Revenue </t>
  </si>
  <si>
    <t>Projected Revenue July 2018 - November 2018</t>
  </si>
  <si>
    <t>Aug. - Nov. projected value without adjustment factor</t>
  </si>
  <si>
    <r>
      <t>Projected Revenue December 2018 - May</t>
    </r>
    <r>
      <rPr>
        <b/>
        <u/>
        <sz val="12"/>
        <color rgb="FF0070C0"/>
        <rFont val="Arial"/>
        <family val="2"/>
      </rPr>
      <t xml:space="preserve"> 2019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</si>
  <si>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Projected Revenue December 2018 - June 2019</t>
  </si>
  <si>
    <t>Less: % Retained per RSA</t>
  </si>
  <si>
    <t>Total Credits</t>
  </si>
  <si>
    <t>Total Projected Customers</t>
  </si>
  <si>
    <t xml:space="preserve">Dec. - Jan. projected value </t>
  </si>
  <si>
    <t xml:space="preserve">Feb. - May projected value </t>
  </si>
  <si>
    <r>
      <t>Projected Revenue June 2019 - May</t>
    </r>
    <r>
      <rPr>
        <b/>
        <u/>
        <sz val="12"/>
        <color rgb="FF0070C0"/>
        <rFont val="Arial"/>
        <family val="2"/>
      </rPr>
      <t xml:space="preserve"> 2020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</si>
  <si>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(8/18-present)</t>
  </si>
  <si>
    <t>Expenditures will ramp up in 2nd year of RSA</t>
  </si>
  <si>
    <t>Commodity Adjustment (Six month true-up spread over 12 months)</t>
  </si>
  <si>
    <t>TG-190496</t>
  </si>
  <si>
    <t>TG-190007</t>
  </si>
  <si>
    <t>Jun., 2018</t>
  </si>
  <si>
    <t>Jul</t>
  </si>
  <si>
    <t>Aug</t>
  </si>
  <si>
    <t>Sep</t>
  </si>
  <si>
    <t>Oct</t>
  </si>
  <si>
    <t>Nov</t>
  </si>
  <si>
    <t>Jan., 2018</t>
  </si>
  <si>
    <t>Jun</t>
  </si>
  <si>
    <t>6 mos. Revenue</t>
  </si>
  <si>
    <t>amount retained per revenue share agreement</t>
  </si>
  <si>
    <t>Amount passed back to customers</t>
  </si>
  <si>
    <t>Total retained for revenue sharing</t>
  </si>
  <si>
    <t>Average Revenue/ton - prior year</t>
  </si>
  <si>
    <t>Increase (decrease) - per ton</t>
  </si>
  <si>
    <t>Staff</t>
  </si>
  <si>
    <t>Revenue less 50% retention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</si>
</sst>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u val="singleAccounting"/>
      <sz val="12"/>
      <name val="Arial"/>
      <family val="2"/>
    </font>
    <font>
      <b/>
      <u val="doubleAccounting"/>
      <sz val="12"/>
      <name val="Arial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u val="singleAccounting"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 val="singleAccounting"/>
      <sz val="12"/>
      <color rgb="FF0070C0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 val="double"/>
      <sz val="10"/>
      <color theme="1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rgb="FF00B050"/>
      <name val="Arial"/>
      <family val="2"/>
    </font>
    <font>
      <u val="singleAccounting"/>
      <sz val="10"/>
      <color theme="1"/>
      <name val="Arial"/>
      <family val="2"/>
    </font>
    <font>
      <b/>
      <i/>
      <u val="doubleAccounting"/>
      <sz val="10"/>
      <name val="Arial"/>
      <family val="2"/>
    </font>
    <font>
      <u val="singleAccounting"/>
      <sz val="10"/>
      <color rgb="FF0070C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8">
      <alignment horizontal="center"/>
    </xf>
    <xf numFmtId="3" fontId="23" fillId="0" borderId="0" applyFont="0" applyFill="0" applyBorder="0" applyAlignment="0" applyProtection="0"/>
    <xf numFmtId="0" fontId="23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7" fillId="2" borderId="3" xfId="0" applyFont="1" applyFill="1" applyBorder="1"/>
    <xf numFmtId="0" fontId="17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17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7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7" fillId="2" borderId="0" xfId="0" applyFont="1" applyFill="1" applyBorder="1" applyAlignment="1">
      <alignment horizontal="center"/>
    </xf>
    <xf numFmtId="41" fontId="17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5" fillId="0" borderId="0" xfId="4" applyNumberFormat="1" applyFont="1"/>
    <xf numFmtId="44" fontId="26" fillId="0" borderId="0" xfId="3" applyFont="1"/>
    <xf numFmtId="10" fontId="25" fillId="0" borderId="0" xfId="1" applyNumberFormat="1" applyFont="1"/>
    <xf numFmtId="0" fontId="27" fillId="0" borderId="0" xfId="0" applyFont="1" applyFill="1"/>
    <xf numFmtId="0" fontId="28" fillId="0" borderId="0" xfId="0" applyFont="1"/>
    <xf numFmtId="0" fontId="28" fillId="0" borderId="0" xfId="0" applyFont="1" applyBorder="1"/>
    <xf numFmtId="0" fontId="29" fillId="0" borderId="0" xfId="0" applyFont="1" applyBorder="1"/>
    <xf numFmtId="0" fontId="29" fillId="0" borderId="1" xfId="0" applyFont="1" applyBorder="1" applyAlignment="1">
      <alignment horizontal="center"/>
    </xf>
    <xf numFmtId="43" fontId="30" fillId="0" borderId="0" xfId="1" applyFont="1" applyBorder="1" applyAlignment="1" applyProtection="1">
      <alignment horizontal="right"/>
      <protection locked="0"/>
    </xf>
    <xf numFmtId="166" fontId="28" fillId="0" borderId="0" xfId="4" applyNumberFormat="1" applyFont="1" applyBorder="1"/>
    <xf numFmtId="0" fontId="27" fillId="0" borderId="0" xfId="0" applyFont="1" applyBorder="1"/>
    <xf numFmtId="43" fontId="27" fillId="0" borderId="12" xfId="1" applyFont="1" applyBorder="1"/>
    <xf numFmtId="0" fontId="29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2" borderId="1" xfId="0" applyFont="1" applyFill="1" applyBorder="1" applyAlignment="1" applyProtection="1">
      <alignment horizontal="center"/>
    </xf>
    <xf numFmtId="0" fontId="29" fillId="2" borderId="1" xfId="0" applyFont="1" applyFill="1" applyBorder="1" applyAlignment="1">
      <alignment horizontal="center"/>
    </xf>
    <xf numFmtId="17" fontId="29" fillId="0" borderId="0" xfId="0" applyNumberFormat="1" applyFont="1" applyFill="1" applyBorder="1" applyAlignment="1">
      <alignment horizontal="right"/>
    </xf>
    <xf numFmtId="44" fontId="30" fillId="0" borderId="0" xfId="3" applyFont="1" applyFill="1" applyBorder="1" applyProtection="1">
      <protection locked="0"/>
    </xf>
    <xf numFmtId="0" fontId="3" fillId="0" borderId="0" xfId="5" applyFont="1" applyFill="1" applyAlignment="1">
      <alignment horizontal="center"/>
    </xf>
    <xf numFmtId="166" fontId="31" fillId="0" borderId="0" xfId="4" applyNumberFormat="1" applyFont="1"/>
    <xf numFmtId="0" fontId="4" fillId="0" borderId="0" xfId="0" applyFont="1" applyAlignment="1">
      <alignment horizontal="center"/>
    </xf>
    <xf numFmtId="166" fontId="27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0" fillId="0" borderId="0" xfId="0" applyNumberFormat="1" applyFont="1" applyFill="1"/>
    <xf numFmtId="166" fontId="0" fillId="0" borderId="0" xfId="4" applyNumberFormat="1" applyFont="1"/>
    <xf numFmtId="166" fontId="31" fillId="0" borderId="0" xfId="0" applyNumberFormat="1" applyFont="1"/>
    <xf numFmtId="44" fontId="20" fillId="0" borderId="0" xfId="0" applyNumberFormat="1" applyFont="1"/>
    <xf numFmtId="0" fontId="31" fillId="0" borderId="0" xfId="0" applyFont="1"/>
    <xf numFmtId="164" fontId="31" fillId="0" borderId="0" xfId="1" applyNumberFormat="1" applyFont="1"/>
    <xf numFmtId="164" fontId="31" fillId="0" borderId="0" xfId="0" applyNumberFormat="1" applyFont="1"/>
    <xf numFmtId="41" fontId="0" fillId="0" borderId="0" xfId="0" applyNumberFormat="1"/>
    <xf numFmtId="44" fontId="3" fillId="0" borderId="0" xfId="3" applyFont="1"/>
    <xf numFmtId="10" fontId="30" fillId="0" borderId="0" xfId="4" applyNumberFormat="1" applyFont="1" applyBorder="1" applyAlignment="1">
      <alignment horizontal="right"/>
    </xf>
    <xf numFmtId="43" fontId="30" fillId="0" borderId="0" xfId="1" applyFont="1" applyBorder="1" applyProtection="1">
      <protection locked="0"/>
    </xf>
    <xf numFmtId="0" fontId="27" fillId="0" borderId="0" xfId="0" applyFont="1"/>
    <xf numFmtId="0" fontId="0" fillId="0" borderId="0" xfId="0" applyNumberFormat="1"/>
    <xf numFmtId="43" fontId="33" fillId="0" borderId="0" xfId="0" applyNumberFormat="1" applyFont="1" applyBorder="1"/>
    <xf numFmtId="43" fontId="34" fillId="0" borderId="0" xfId="1" applyFont="1" applyBorder="1" applyAlignment="1" applyProtection="1">
      <alignment horizontal="right"/>
      <protection locked="0"/>
    </xf>
    <xf numFmtId="166" fontId="32" fillId="0" borderId="0" xfId="4" applyNumberFormat="1" applyFont="1" applyBorder="1"/>
    <xf numFmtId="0" fontId="35" fillId="0" borderId="0" xfId="0" applyFont="1"/>
    <xf numFmtId="0" fontId="36" fillId="0" borderId="0" xfId="0" applyFont="1"/>
    <xf numFmtId="44" fontId="17" fillId="2" borderId="0" xfId="3" applyFont="1" applyFill="1" applyBorder="1"/>
    <xf numFmtId="165" fontId="17" fillId="2" borderId="0" xfId="3" applyNumberFormat="1" applyFont="1" applyFill="1" applyBorder="1"/>
    <xf numFmtId="165" fontId="12" fillId="2" borderId="0" xfId="3" applyNumberFormat="1" applyFont="1" applyFill="1" applyBorder="1"/>
    <xf numFmtId="165" fontId="37" fillId="2" borderId="0" xfId="3" applyNumberFormat="1" applyFont="1" applyFill="1" applyBorder="1"/>
    <xf numFmtId="0" fontId="17" fillId="2" borderId="5" xfId="0" applyFont="1" applyFill="1" applyBorder="1" applyAlignment="1">
      <alignment horizontal="center"/>
    </xf>
    <xf numFmtId="44" fontId="9" fillId="2" borderId="0" xfId="3" applyFont="1" applyFill="1" applyBorder="1"/>
    <xf numFmtId="0" fontId="32" fillId="0" borderId="0" xfId="0" applyFont="1"/>
    <xf numFmtId="43" fontId="28" fillId="0" borderId="0" xfId="1" applyFont="1"/>
    <xf numFmtId="43" fontId="27" fillId="0" borderId="0" xfId="0" applyNumberFormat="1" applyFont="1"/>
    <xf numFmtId="9" fontId="15" fillId="2" borderId="0" xfId="4" applyFont="1" applyFill="1" applyBorder="1"/>
    <xf numFmtId="0" fontId="38" fillId="0" borderId="0" xfId="0" applyFont="1" applyBorder="1"/>
    <xf numFmtId="0" fontId="0" fillId="0" borderId="0" xfId="0" applyBorder="1"/>
    <xf numFmtId="0" fontId="39" fillId="0" borderId="0" xfId="0" quotePrefix="1" applyFont="1" applyAlignment="1">
      <alignment wrapText="1"/>
    </xf>
    <xf numFmtId="0" fontId="40" fillId="0" borderId="0" xfId="0" applyFont="1" applyAlignment="1">
      <alignment horizontal="right" wrapText="1"/>
    </xf>
    <xf numFmtId="0" fontId="41" fillId="0" borderId="0" xfId="0" applyFont="1" applyAlignment="1">
      <alignment horizontal="center" wrapText="1"/>
    </xf>
    <xf numFmtId="0" fontId="2" fillId="4" borderId="5" xfId="0" applyFont="1" applyFill="1" applyBorder="1" applyAlignment="1">
      <alignment wrapText="1"/>
    </xf>
    <xf numFmtId="166" fontId="2" fillId="0" borderId="0" xfId="4" applyNumberFormat="1" applyFont="1"/>
    <xf numFmtId="164" fontId="2" fillId="0" borderId="0" xfId="1" applyNumberFormat="1" applyFont="1" applyFill="1"/>
    <xf numFmtId="10" fontId="2" fillId="0" borderId="0" xfId="0" applyNumberFormat="1" applyFont="1"/>
    <xf numFmtId="43" fontId="32" fillId="0" borderId="0" xfId="1" applyFont="1"/>
    <xf numFmtId="166" fontId="5" fillId="0" borderId="0" xfId="4" applyNumberFormat="1" applyFont="1"/>
    <xf numFmtId="44" fontId="8" fillId="2" borderId="6" xfId="7" applyNumberFormat="1" applyFont="1" applyFill="1" applyBorder="1"/>
    <xf numFmtId="0" fontId="10" fillId="2" borderId="5" xfId="0" applyFont="1" applyFill="1" applyBorder="1"/>
    <xf numFmtId="44" fontId="42" fillId="2" borderId="6" xfId="7" applyNumberFormat="1" applyFont="1" applyFill="1" applyBorder="1"/>
    <xf numFmtId="44" fontId="43" fillId="2" borderId="6" xfId="7" applyNumberFormat="1" applyFont="1" applyFill="1" applyBorder="1"/>
    <xf numFmtId="44" fontId="27" fillId="0" borderId="0" xfId="0" applyNumberFormat="1" applyFont="1" applyBorder="1"/>
    <xf numFmtId="164" fontId="0" fillId="0" borderId="0" xfId="1" applyNumberFormat="1" applyFont="1"/>
    <xf numFmtId="164" fontId="6" fillId="0" borderId="0" xfId="1" applyNumberFormat="1" applyFont="1"/>
    <xf numFmtId="164" fontId="7" fillId="0" borderId="0" xfId="1" applyNumberFormat="1" applyFont="1"/>
    <xf numFmtId="165" fontId="0" fillId="0" borderId="0" xfId="0" applyNumberFormat="1"/>
    <xf numFmtId="9" fontId="0" fillId="0" borderId="0" xfId="4" applyFont="1"/>
    <xf numFmtId="165" fontId="44" fillId="0" borderId="0" xfId="0" applyNumberFormat="1" applyFont="1"/>
    <xf numFmtId="41" fontId="44" fillId="0" borderId="0" xfId="0" applyNumberFormat="1" applyFont="1"/>
    <xf numFmtId="44" fontId="44" fillId="0" borderId="0" xfId="3" applyFont="1"/>
    <xf numFmtId="165" fontId="46" fillId="2" borderId="0" xfId="7" applyNumberFormat="1" applyFont="1" applyFill="1" applyBorder="1"/>
    <xf numFmtId="41" fontId="47" fillId="2" borderId="0" xfId="0" applyNumberFormat="1" applyFont="1" applyFill="1" applyBorder="1"/>
    <xf numFmtId="165" fontId="46" fillId="2" borderId="0" xfId="3" applyNumberFormat="1" applyFont="1" applyFill="1" applyBorder="1"/>
    <xf numFmtId="164" fontId="47" fillId="2" borderId="0" xfId="1" applyNumberFormat="1" applyFont="1" applyFill="1" applyBorder="1"/>
    <xf numFmtId="166" fontId="45" fillId="0" borderId="0" xfId="4" applyNumberFormat="1" applyFont="1"/>
    <xf numFmtId="44" fontId="8" fillId="5" borderId="6" xfId="7" applyNumberFormat="1" applyFont="1" applyFill="1" applyBorder="1"/>
    <xf numFmtId="44" fontId="28" fillId="0" borderId="0" xfId="0" applyNumberFormat="1" applyFont="1" applyBorder="1"/>
    <xf numFmtId="43" fontId="28" fillId="0" borderId="0" xfId="0" applyNumberFormat="1" applyFont="1" applyBorder="1"/>
    <xf numFmtId="43" fontId="28" fillId="0" borderId="0" xfId="1" applyFont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30" fillId="0" borderId="0" xfId="1" applyFont="1"/>
    <xf numFmtId="9" fontId="15" fillId="2" borderId="0" xfId="4" applyFont="1" applyFill="1" applyBorder="1" applyAlignment="1">
      <alignment horizontal="center"/>
    </xf>
    <xf numFmtId="165" fontId="47" fillId="2" borderId="0" xfId="7" applyNumberFormat="1" applyFont="1" applyFill="1" applyBorder="1"/>
    <xf numFmtId="165" fontId="51" fillId="2" borderId="0" xfId="7" applyNumberFormat="1" applyFont="1" applyFill="1" applyBorder="1"/>
    <xf numFmtId="0" fontId="52" fillId="2" borderId="5" xfId="0" applyFont="1" applyFill="1" applyBorder="1"/>
    <xf numFmtId="41" fontId="52" fillId="2" borderId="0" xfId="0" applyNumberFormat="1" applyFont="1" applyFill="1" applyBorder="1"/>
    <xf numFmtId="165" fontId="52" fillId="2" borderId="0" xfId="3" applyNumberFormat="1" applyFont="1" applyFill="1" applyBorder="1"/>
    <xf numFmtId="43" fontId="34" fillId="0" borderId="0" xfId="1" applyFont="1"/>
    <xf numFmtId="44" fontId="43" fillId="5" borderId="6" xfId="7" applyNumberFormat="1" applyFont="1" applyFill="1" applyBorder="1"/>
    <xf numFmtId="165" fontId="3" fillId="0" borderId="0" xfId="3" applyNumberFormat="1" applyFont="1"/>
    <xf numFmtId="165" fontId="20" fillId="0" borderId="0" xfId="3" applyNumberFormat="1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8" xfId="0" applyFont="1" applyFill="1" applyBorder="1" applyAlignment="1">
      <alignment horizontal="right" wrapText="1"/>
    </xf>
    <xf numFmtId="0" fontId="2" fillId="4" borderId="9" xfId="0" applyFont="1" applyFill="1" applyBorder="1" applyAlignment="1">
      <alignment horizontal="right" wrapText="1"/>
    </xf>
    <xf numFmtId="0" fontId="50" fillId="0" borderId="0" xfId="0" applyFont="1" applyAlignment="1">
      <alignment wrapText="1"/>
    </xf>
    <xf numFmtId="0" fontId="50" fillId="0" borderId="0" xfId="0" applyFont="1" applyAlignment="1">
      <alignment horizontal="right" wrapText="1"/>
    </xf>
    <xf numFmtId="44" fontId="3" fillId="0" borderId="0" xfId="3" applyFont="1" applyAlignment="1">
      <alignment horizontal="center"/>
    </xf>
    <xf numFmtId="44" fontId="20" fillId="0" borderId="0" xfId="3" applyFont="1" applyAlignment="1">
      <alignment horizontal="center"/>
    </xf>
    <xf numFmtId="0" fontId="53" fillId="0" borderId="0" xfId="0" applyFont="1" applyBorder="1"/>
    <xf numFmtId="0" fontId="53" fillId="0" borderId="0" xfId="0" applyFont="1" applyBorder="1" applyAlignment="1">
      <alignment horizontal="center"/>
    </xf>
    <xf numFmtId="164" fontId="54" fillId="0" borderId="0" xfId="0" applyNumberFormat="1" applyFont="1" applyBorder="1" applyAlignment="1">
      <alignment horizontal="center"/>
    </xf>
    <xf numFmtId="166" fontId="55" fillId="0" borderId="0" xfId="4" applyNumberFormat="1" applyFont="1" applyAlignment="1"/>
    <xf numFmtId="0" fontId="56" fillId="0" borderId="0" xfId="0" applyFont="1" applyFill="1" applyBorder="1"/>
    <xf numFmtId="164" fontId="54" fillId="0" borderId="0" xfId="0" applyNumberFormat="1" applyFont="1" applyBorder="1" applyAlignment="1"/>
    <xf numFmtId="0" fontId="56" fillId="0" borderId="0" xfId="0" applyFont="1" applyAlignment="1">
      <alignment wrapText="1"/>
    </xf>
    <xf numFmtId="165" fontId="5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50" fillId="0" borderId="0" xfId="4" applyNumberFormat="1" applyFont="1" applyAlignment="1">
      <alignment horizontal="center" wrapText="1"/>
    </xf>
    <xf numFmtId="165" fontId="56" fillId="0" borderId="0" xfId="3" applyNumberFormat="1" applyFont="1" applyAlignment="1">
      <alignment horizontal="right"/>
    </xf>
    <xf numFmtId="0" fontId="56" fillId="0" borderId="0" xfId="0" applyFont="1" applyBorder="1" applyAlignment="1">
      <alignment wrapText="1"/>
    </xf>
    <xf numFmtId="9" fontId="50" fillId="0" borderId="0" xfId="4" applyFont="1" applyAlignment="1">
      <alignment horizontal="center" wrapText="1"/>
    </xf>
    <xf numFmtId="165" fontId="53" fillId="0" borderId="0" xfId="3" applyNumberFormat="1" applyFont="1" applyBorder="1" applyAlignment="1">
      <alignment horizontal="center"/>
    </xf>
    <xf numFmtId="165" fontId="54" fillId="0" borderId="0" xfId="4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5" fontId="20" fillId="0" borderId="0" xfId="3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5" fontId="57" fillId="0" borderId="0" xfId="3" applyNumberFormat="1" applyFont="1" applyAlignment="1">
      <alignment horizontal="right"/>
    </xf>
    <xf numFmtId="0" fontId="53" fillId="0" borderId="0" xfId="0" applyFont="1" applyBorder="1" applyAlignment="1"/>
    <xf numFmtId="0" fontId="16" fillId="0" borderId="0" xfId="0" applyFont="1" applyAlignment="1">
      <alignment horizontal="right" wrapText="1"/>
    </xf>
    <xf numFmtId="165" fontId="2" fillId="0" borderId="0" xfId="3" applyNumberFormat="1" applyFont="1" applyAlignment="1">
      <alignment horizontal="right"/>
    </xf>
    <xf numFmtId="0" fontId="50" fillId="0" borderId="0" xfId="0" applyFont="1" applyBorder="1" applyAlignment="1">
      <alignment horizontal="right" wrapText="1"/>
    </xf>
    <xf numFmtId="165" fontId="6" fillId="0" borderId="0" xfId="3" applyNumberFormat="1" applyFont="1" applyAlignment="1">
      <alignment horizontal="right"/>
    </xf>
    <xf numFmtId="6" fontId="3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right"/>
    </xf>
    <xf numFmtId="165" fontId="7" fillId="0" borderId="0" xfId="3" applyNumberFormat="1" applyFont="1" applyAlignment="1">
      <alignment horizontal="right"/>
    </xf>
    <xf numFmtId="165" fontId="31" fillId="0" borderId="0" xfId="3" applyNumberFormat="1" applyFont="1" applyAlignment="1">
      <alignment horizontal="right"/>
    </xf>
    <xf numFmtId="6" fontId="50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center" wrapText="1"/>
    </xf>
    <xf numFmtId="166" fontId="31" fillId="0" borderId="0" xfId="4" applyNumberFormat="1" applyFont="1" applyAlignment="1">
      <alignment horizontal="center"/>
    </xf>
    <xf numFmtId="43" fontId="31" fillId="0" borderId="0" xfId="1" applyFont="1" applyAlignment="1">
      <alignment horizontal="center"/>
    </xf>
    <xf numFmtId="44" fontId="31" fillId="0" borderId="0" xfId="3" applyFont="1" applyAlignment="1">
      <alignment horizontal="center"/>
    </xf>
    <xf numFmtId="0" fontId="53" fillId="4" borderId="5" xfId="0" applyFont="1" applyFill="1" applyBorder="1" applyAlignment="1">
      <alignment wrapText="1"/>
    </xf>
    <xf numFmtId="0" fontId="53" fillId="4" borderId="0" xfId="0" applyFont="1" applyFill="1" applyBorder="1" applyAlignment="1">
      <alignment horizontal="center" wrapText="1"/>
    </xf>
    <xf numFmtId="0" fontId="53" fillId="4" borderId="0" xfId="0" applyFont="1" applyFill="1" applyBorder="1"/>
    <xf numFmtId="0" fontId="53" fillId="4" borderId="6" xfId="0" applyFont="1" applyFill="1" applyBorder="1" applyAlignment="1">
      <alignment horizontal="center"/>
    </xf>
    <xf numFmtId="164" fontId="49" fillId="4" borderId="0" xfId="1" applyNumberFormat="1" applyFont="1" applyFill="1" applyBorder="1" applyAlignment="1">
      <alignment horizontal="center" wrapText="1"/>
    </xf>
    <xf numFmtId="165" fontId="49" fillId="4" borderId="0" xfId="3" applyNumberFormat="1" applyFont="1" applyFill="1" applyBorder="1"/>
    <xf numFmtId="165" fontId="49" fillId="4" borderId="6" xfId="3" applyNumberFormat="1" applyFont="1" applyFill="1" applyBorder="1"/>
    <xf numFmtId="164" fontId="58" fillId="4" borderId="0" xfId="1" applyNumberFormat="1" applyFont="1" applyFill="1" applyBorder="1" applyAlignment="1">
      <alignment horizontal="center" wrapText="1"/>
    </xf>
    <xf numFmtId="165" fontId="58" fillId="4" borderId="6" xfId="3" applyNumberFormat="1" applyFont="1" applyFill="1" applyBorder="1"/>
    <xf numFmtId="0" fontId="3" fillId="4" borderId="5" xfId="0" applyFont="1" applyFill="1" applyBorder="1" applyAlignment="1">
      <alignment wrapText="1"/>
    </xf>
    <xf numFmtId="164" fontId="7" fillId="4" borderId="0" xfId="1" applyNumberFormat="1" applyFont="1" applyFill="1" applyBorder="1" applyAlignment="1">
      <alignment horizontal="center" wrapText="1"/>
    </xf>
    <xf numFmtId="165" fontId="54" fillId="4" borderId="6" xfId="3" applyNumberFormat="1" applyFont="1" applyFill="1" applyBorder="1"/>
    <xf numFmtId="10" fontId="0" fillId="0" borderId="0" xfId="4" applyNumberFormat="1" applyFont="1"/>
    <xf numFmtId="165" fontId="45" fillId="0" borderId="0" xfId="0" applyNumberFormat="1" applyFont="1"/>
    <xf numFmtId="0" fontId="45" fillId="0" borderId="0" xfId="0" applyFont="1"/>
    <xf numFmtId="44" fontId="45" fillId="0" borderId="0" xfId="0" applyNumberFormat="1" applyFont="1"/>
    <xf numFmtId="44" fontId="59" fillId="0" borderId="0" xfId="3" applyFont="1"/>
    <xf numFmtId="44" fontId="3" fillId="0" borderId="0" xfId="0" applyNumberFormat="1" applyFont="1"/>
    <xf numFmtId="44" fontId="59" fillId="0" borderId="0" xfId="5" applyNumberFormat="1" applyFont="1" applyAlignment="1">
      <alignment horizontal="center"/>
    </xf>
    <xf numFmtId="43" fontId="45" fillId="0" borderId="0" xfId="1" applyFont="1"/>
    <xf numFmtId="43" fontId="45" fillId="0" borderId="0" xfId="0" applyNumberFormat="1" applyFont="1"/>
    <xf numFmtId="164" fontId="45" fillId="0" borderId="0" xfId="1" applyNumberFormat="1" applyFont="1"/>
    <xf numFmtId="164" fontId="45" fillId="0" borderId="0" xfId="0" applyNumberFormat="1" applyFont="1"/>
    <xf numFmtId="43" fontId="60" fillId="0" borderId="0" xfId="1" applyFont="1"/>
    <xf numFmtId="10" fontId="45" fillId="0" borderId="0" xfId="0" applyNumberFormat="1" applyFont="1"/>
    <xf numFmtId="165" fontId="45" fillId="0" borderId="0" xfId="3" applyNumberFormat="1" applyFont="1"/>
    <xf numFmtId="165" fontId="7" fillId="4" borderId="0" xfId="3" applyNumberFormat="1" applyFont="1" applyFill="1"/>
    <xf numFmtId="43" fontId="45" fillId="0" borderId="1" xfId="0" applyNumberFormat="1" applyFont="1" applyBorder="1"/>
    <xf numFmtId="164" fontId="45" fillId="0" borderId="13" xfId="1" applyNumberFormat="1" applyFont="1" applyBorder="1"/>
    <xf numFmtId="164" fontId="61" fillId="0" borderId="12" xfId="0" applyNumberFormat="1" applyFont="1" applyBorder="1"/>
    <xf numFmtId="44" fontId="9" fillId="2" borderId="0" xfId="3" applyNumberFormat="1" applyFont="1" applyFill="1" applyBorder="1"/>
    <xf numFmtId="0" fontId="19" fillId="2" borderId="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29" fillId="2" borderId="0" xfId="0" applyNumberFormat="1" applyFont="1" applyFill="1" applyBorder="1" applyAlignment="1">
      <alignment horizontal="center"/>
    </xf>
  </cellXfs>
  <cellStyles count="17">
    <cellStyle name="Comma" xfId="1" builtinId="3"/>
    <cellStyle name="Comma 10" xfId="15" xr:uid="{00000000-0005-0000-0000-000001000000}"/>
    <cellStyle name="Comma 3" xfId="2" xr:uid="{00000000-0005-0000-0000-000002000000}"/>
    <cellStyle name="Currency" xfId="3" builtinId="4"/>
    <cellStyle name="Currency 2" xfId="7" xr:uid="{00000000-0005-0000-0000-000004000000}"/>
    <cellStyle name="Normal" xfId="0" builtinId="0"/>
    <cellStyle name="Normal 21" xfId="14" xr:uid="{00000000-0005-0000-0000-000006000000}"/>
    <cellStyle name="Normal 3" xfId="5" xr:uid="{00000000-0005-0000-0000-000007000000}"/>
    <cellStyle name="Percent" xfId="4" builtinId="5"/>
    <cellStyle name="Percent 13" xfId="16" xr:uid="{00000000-0005-0000-0000-000009000000}"/>
    <cellStyle name="Percent 4" xfId="6" xr:uid="{00000000-0005-0000-0000-00000A000000}"/>
    <cellStyle name="PSChar" xfId="8" xr:uid="{00000000-0005-0000-0000-00000B000000}"/>
    <cellStyle name="PSDate" xfId="9" xr:uid="{00000000-0005-0000-0000-00000C000000}"/>
    <cellStyle name="PSDec" xfId="10" xr:uid="{00000000-0005-0000-0000-00000D000000}"/>
    <cellStyle name="PSHeading" xfId="11" xr:uid="{00000000-0005-0000-0000-00000E000000}"/>
    <cellStyle name="PSInt" xfId="12" xr:uid="{00000000-0005-0000-0000-00000F000000}"/>
    <cellStyle name="PSSpacer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409575</xdr:colOff>
      <xdr:row>0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81100" y="1933575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4</xdr:row>
      <xdr:rowOff>0</xdr:rowOff>
    </xdr:from>
    <xdr:to>
      <xdr:col>2</xdr:col>
      <xdr:colOff>409575</xdr:colOff>
      <xdr:row>13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6B44CD38-EDD0-4A93-875A-A2107CC0B0EA}"/>
            </a:ext>
          </a:extLst>
        </xdr:cNvPr>
        <xdr:cNvSpPr>
          <a:spLocks noChangeShapeType="1"/>
        </xdr:cNvSpPr>
      </xdr:nvSpPr>
      <xdr:spPr bwMode="auto">
        <a:xfrm>
          <a:off x="1181100" y="1809750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5</xdr:row>
      <xdr:rowOff>85725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240B0E61-95BF-4667-A83E-7A170F410638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5</xdr:row>
      <xdr:rowOff>85725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A6BCEA4A-4E19-4CD7-B202-ADCA3964338F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4</xdr:row>
      <xdr:rowOff>0</xdr:rowOff>
    </xdr:from>
    <xdr:to>
      <xdr:col>9</xdr:col>
      <xdr:colOff>457200</xdr:colOff>
      <xdr:row>12</xdr:row>
      <xdr:rowOff>76200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F836954D-B1FE-4ACC-98C4-2BFAD304054A}"/>
            </a:ext>
          </a:extLst>
        </xdr:cNvPr>
        <xdr:cNvSpPr>
          <a:spLocks noChangeShapeType="1"/>
        </xdr:cNvSpPr>
      </xdr:nvSpPr>
      <xdr:spPr bwMode="auto">
        <a:xfrm>
          <a:off x="5495925" y="1495425"/>
          <a:ext cx="590550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007/Filed%20Documents/00002/TG-190007%20-%20WM%20of%20Spokane%20Commodity%20Credit%20Workpapers-%200201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mweinst/OneDrive%20-%20Waste%20Management/Documents/WUTC%20Rate%20Cases/WM%20Spokane/Commodity%20Credit/2017/WM%20of%20Spokane%20Commodity%20Credit%20Analysis_0801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bate Calculation"/>
      <sheetName val="Tons &amp; Revenue"/>
      <sheetName val="Composition"/>
      <sheetName val="Prices"/>
      <sheetName val="Res'l &amp; MF Customers"/>
      <sheetName val="Budget"/>
    </sheetNames>
    <sheetDataSet>
      <sheetData sheetId="0" refreshError="1"/>
      <sheetData sheetId="1"/>
      <sheetData sheetId="2">
        <row r="25">
          <cell r="C25">
            <v>0.36161562127503527</v>
          </cell>
          <cell r="E25">
            <v>0.34406775156682906</v>
          </cell>
          <cell r="G25">
            <v>0.31670801928748643</v>
          </cell>
          <cell r="I25">
            <v>0.32750341557502205</v>
          </cell>
          <cell r="K25">
            <v>0.37250671617795017</v>
          </cell>
          <cell r="M25">
            <v>0.34132219902574801</v>
          </cell>
        </row>
        <row r="26">
          <cell r="C26">
            <v>0</v>
          </cell>
          <cell r="E26">
            <v>0</v>
          </cell>
          <cell r="G26">
            <v>0</v>
          </cell>
          <cell r="I26">
            <v>0</v>
          </cell>
          <cell r="K26">
            <v>0</v>
          </cell>
          <cell r="M26">
            <v>0</v>
          </cell>
        </row>
        <row r="27">
          <cell r="C27">
            <v>0.40479724259222338</v>
          </cell>
          <cell r="E27">
            <v>0.48769997846382712</v>
          </cell>
          <cell r="G27">
            <v>0.49106315247413496</v>
          </cell>
          <cell r="I27">
            <v>0.46263963674355052</v>
          </cell>
          <cell r="K27">
            <v>0.53867377526994376</v>
          </cell>
          <cell r="M27">
            <v>0.40553931802366033</v>
          </cell>
        </row>
        <row r="28">
          <cell r="C28">
            <v>1.5946065803024316E-2</v>
          </cell>
          <cell r="E28">
            <v>1.6590398641584344E-2</v>
          </cell>
          <cell r="G28">
            <v>1.6001123542905289E-2</v>
          </cell>
          <cell r="I28">
            <v>1.4064132443944386E-2</v>
          </cell>
          <cell r="K28">
            <v>1.5257911605762947E-2</v>
          </cell>
          <cell r="M28">
            <v>1.2071445140338666E-2</v>
          </cell>
        </row>
        <row r="29">
          <cell r="C29">
            <v>0.17565940625685811</v>
          </cell>
          <cell r="E29">
            <v>0.18305117904539892</v>
          </cell>
          <cell r="G29">
            <v>0.16458030991058464</v>
          </cell>
          <cell r="I29">
            <v>0.1656152053363337</v>
          </cell>
          <cell r="K29">
            <v>0.17428870748581562</v>
          </cell>
          <cell r="M29">
            <v>0.1381025284156808</v>
          </cell>
        </row>
        <row r="30">
          <cell r="C30">
            <v>2.3670928467081367E-2</v>
          </cell>
          <cell r="E30">
            <v>2.4818576463824436E-2</v>
          </cell>
          <cell r="G30">
            <v>2.4380881044894893E-2</v>
          </cell>
          <cell r="I30">
            <v>2.4511773688017355E-2</v>
          </cell>
          <cell r="K30">
            <v>3.2901492599238656E-2</v>
          </cell>
          <cell r="M30">
            <v>2.6416144745998602E-2</v>
          </cell>
        </row>
        <row r="31">
          <cell r="C31">
            <v>3.875967890435169E-2</v>
          </cell>
          <cell r="E31">
            <v>5.0977582898690484E-2</v>
          </cell>
          <cell r="G31">
            <v>4.8761762089789787E-2</v>
          </cell>
          <cell r="I31">
            <v>4.6160491842803186E-2</v>
          </cell>
          <cell r="K31">
            <v>4.3958551587507388E-2</v>
          </cell>
          <cell r="M31">
            <v>3.3588494548828576E-2</v>
          </cell>
        </row>
        <row r="32">
          <cell r="C32">
            <v>1.2507779967737238E-2</v>
          </cell>
          <cell r="E32">
            <v>1.261035272756846E-2</v>
          </cell>
          <cell r="G32">
            <v>1.1806563363138425E-2</v>
          </cell>
          <cell r="I32">
            <v>1.1452222132926144E-2</v>
          </cell>
          <cell r="K32">
            <v>1.0496945305936166E-2</v>
          </cell>
          <cell r="M32">
            <v>1.0132219902574806E-2</v>
          </cell>
        </row>
        <row r="33">
          <cell r="C33">
            <v>8.4648611902868182E-3</v>
          </cell>
          <cell r="E33">
            <v>1.0352243776352193E-2</v>
          </cell>
          <cell r="G33">
            <v>7.743083188989276E-3</v>
          </cell>
          <cell r="I33">
            <v>6.9717913686410029E-3</v>
          </cell>
          <cell r="K33">
            <v>8.536547417772199E-3</v>
          </cell>
          <cell r="M33">
            <v>7.061006726977498E-3</v>
          </cell>
        </row>
        <row r="34">
          <cell r="C34">
            <v>0</v>
          </cell>
          <cell r="E34">
            <v>1.3301189712643755E-3</v>
          </cell>
          <cell r="G34">
            <v>0</v>
          </cell>
          <cell r="I34">
            <v>0</v>
          </cell>
          <cell r="K34">
            <v>0</v>
          </cell>
          <cell r="M34">
            <v>0</v>
          </cell>
        </row>
        <row r="35">
          <cell r="B35">
            <v>1154.01</v>
          </cell>
          <cell r="D35">
            <v>1097.3700000000001</v>
          </cell>
          <cell r="F35">
            <v>1154.6099999999999</v>
          </cell>
          <cell r="H35">
            <v>1054.0900000000001</v>
          </cell>
          <cell r="J35">
            <v>1153.6500000000001</v>
          </cell>
          <cell r="L35">
            <v>1049.98</v>
          </cell>
        </row>
        <row r="37">
          <cell r="B37">
            <v>205.10000000000002</v>
          </cell>
          <cell r="D37">
            <v>190.02</v>
          </cell>
          <cell r="F37">
            <v>201.68</v>
          </cell>
          <cell r="H37">
            <v>184.44000000000003</v>
          </cell>
          <cell r="J37">
            <v>195.95999999999998</v>
          </cell>
          <cell r="L37">
            <v>177.04999999999998</v>
          </cell>
        </row>
      </sheetData>
      <sheetData sheetId="3">
        <row r="5">
          <cell r="B5">
            <v>73.75</v>
          </cell>
          <cell r="C5">
            <v>-45</v>
          </cell>
          <cell r="D5">
            <v>69.33</v>
          </cell>
          <cell r="E5">
            <v>1558.42</v>
          </cell>
          <cell r="F5">
            <v>183.21</v>
          </cell>
          <cell r="G5">
            <v>-53.34</v>
          </cell>
          <cell r="H5">
            <v>210</v>
          </cell>
          <cell r="I5">
            <v>700</v>
          </cell>
          <cell r="J5">
            <v>300</v>
          </cell>
          <cell r="K5">
            <v>-110</v>
          </cell>
        </row>
        <row r="6">
          <cell r="B6">
            <v>64.89</v>
          </cell>
          <cell r="C6">
            <v>-45</v>
          </cell>
          <cell r="D6">
            <v>69.180000000000007</v>
          </cell>
          <cell r="E6">
            <v>1538</v>
          </cell>
          <cell r="F6">
            <v>175.36</v>
          </cell>
          <cell r="G6">
            <v>-53.34</v>
          </cell>
          <cell r="H6">
            <v>180</v>
          </cell>
          <cell r="I6">
            <v>760</v>
          </cell>
          <cell r="J6">
            <v>300</v>
          </cell>
          <cell r="K6">
            <v>-110</v>
          </cell>
        </row>
        <row r="7">
          <cell r="B7">
            <v>63.1</v>
          </cell>
          <cell r="C7">
            <v>-45</v>
          </cell>
          <cell r="D7">
            <v>70.84</v>
          </cell>
          <cell r="E7">
            <v>1538</v>
          </cell>
          <cell r="F7">
            <v>167.42</v>
          </cell>
          <cell r="G7">
            <v>-53.34</v>
          </cell>
          <cell r="H7">
            <v>197.56</v>
          </cell>
          <cell r="I7">
            <v>740</v>
          </cell>
          <cell r="J7">
            <v>300</v>
          </cell>
          <cell r="K7">
            <v>-110</v>
          </cell>
        </row>
        <row r="8">
          <cell r="B8">
            <v>59.6</v>
          </cell>
          <cell r="C8">
            <v>-45</v>
          </cell>
          <cell r="D8">
            <v>68.790000000000006</v>
          </cell>
          <cell r="E8">
            <v>1258.5899999999999</v>
          </cell>
          <cell r="F8">
            <v>144.66999999999999</v>
          </cell>
          <cell r="G8">
            <v>-53.34</v>
          </cell>
          <cell r="H8">
            <v>187.39</v>
          </cell>
          <cell r="I8">
            <v>700</v>
          </cell>
          <cell r="J8">
            <v>280</v>
          </cell>
          <cell r="K8">
            <v>-110</v>
          </cell>
        </row>
        <row r="9">
          <cell r="B9">
            <v>64.069999999999993</v>
          </cell>
          <cell r="C9">
            <v>-45</v>
          </cell>
          <cell r="D9">
            <v>70.239999999999995</v>
          </cell>
          <cell r="E9">
            <v>1163.0999999999999</v>
          </cell>
          <cell r="F9">
            <v>143.75</v>
          </cell>
          <cell r="G9">
            <v>-53.34</v>
          </cell>
          <cell r="H9">
            <v>143.21</v>
          </cell>
          <cell r="I9">
            <v>700</v>
          </cell>
          <cell r="J9">
            <v>310</v>
          </cell>
          <cell r="K9">
            <v>-140</v>
          </cell>
        </row>
        <row r="10">
          <cell r="B10">
            <v>72.900000000000006</v>
          </cell>
          <cell r="C10">
            <v>-45</v>
          </cell>
          <cell r="D10">
            <v>70.38</v>
          </cell>
          <cell r="E10">
            <v>1113.5999999999999</v>
          </cell>
          <cell r="F10">
            <v>167.98</v>
          </cell>
          <cell r="G10">
            <v>-53.34</v>
          </cell>
          <cell r="H10">
            <v>160</v>
          </cell>
          <cell r="I10">
            <v>760</v>
          </cell>
          <cell r="J10">
            <v>310</v>
          </cell>
          <cell r="K10">
            <v>-140</v>
          </cell>
        </row>
      </sheetData>
      <sheetData sheetId="4">
        <row r="12">
          <cell r="C12">
            <v>22300</v>
          </cell>
          <cell r="D12">
            <v>22393</v>
          </cell>
          <cell r="E12">
            <v>22507</v>
          </cell>
          <cell r="F12">
            <v>22544</v>
          </cell>
          <cell r="G12">
            <v>22563</v>
          </cell>
          <cell r="H12">
            <v>22536</v>
          </cell>
        </row>
        <row r="18">
          <cell r="C18">
            <v>0.55903581103794664</v>
          </cell>
          <cell r="D18">
            <v>0.55943574407806729</v>
          </cell>
          <cell r="E18">
            <v>0.5595757587617165</v>
          </cell>
          <cell r="F18">
            <v>0.55841103188905428</v>
          </cell>
          <cell r="G18">
            <v>0.55925614830152559</v>
          </cell>
          <cell r="H18">
            <v>0.55957708768981218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bate Calculation"/>
      <sheetName val="Tons &amp; Revenue"/>
      <sheetName val="Composition"/>
      <sheetName val="Prices"/>
      <sheetName val="Res'l &amp; MF Customers"/>
      <sheetName val="Sheet1"/>
    </sheetNames>
    <sheetDataSet>
      <sheetData sheetId="0"/>
      <sheetData sheetId="1">
        <row r="9">
          <cell r="C9">
            <v>1172.8299999999997</v>
          </cell>
        </row>
        <row r="141">
          <cell r="C141">
            <v>103.2692617038372</v>
          </cell>
          <cell r="D141">
            <v>53.207795055128827</v>
          </cell>
          <cell r="E141">
            <v>137.63136791044892</v>
          </cell>
          <cell r="F141">
            <v>1206.1803886084779</v>
          </cell>
          <cell r="G141">
            <v>108.19721580275454</v>
          </cell>
          <cell r="H141">
            <v>-53.339999999999996</v>
          </cell>
          <cell r="I141">
            <v>157.59766151380219</v>
          </cell>
          <cell r="J141">
            <v>574.66797754719494</v>
          </cell>
          <cell r="K141">
            <v>395.08028469955417</v>
          </cell>
          <cell r="L141">
            <v>-62.003141906945714</v>
          </cell>
          <cell r="M141">
            <v>109.06892608540637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1"/>
  <sheetViews>
    <sheetView tabSelected="1" topLeftCell="A16" zoomScale="80" zoomScaleNormal="80" workbookViewId="0">
      <selection activeCell="F60" sqref="F60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6" width="15.5703125" bestFit="1" customWidth="1"/>
    <col min="7" max="7" width="9.1406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8" ht="23.25" x14ac:dyDescent="0.35">
      <c r="A1" s="31" t="s">
        <v>57</v>
      </c>
      <c r="B1" s="32"/>
      <c r="C1" s="33"/>
      <c r="D1" s="33"/>
      <c r="E1" s="33"/>
      <c r="F1" s="33"/>
      <c r="G1" s="34"/>
    </row>
    <row r="2" spans="1:8" ht="15.75" x14ac:dyDescent="0.25">
      <c r="A2" s="35" t="s">
        <v>104</v>
      </c>
      <c r="B2" s="36"/>
      <c r="C2" s="37"/>
      <c r="D2" s="37"/>
      <c r="E2" s="38"/>
      <c r="F2" s="38"/>
      <c r="G2" s="39"/>
    </row>
    <row r="3" spans="1:8" ht="15.75" x14ac:dyDescent="0.25">
      <c r="A3" s="40" t="s">
        <v>173</v>
      </c>
      <c r="B3" s="41"/>
      <c r="C3" s="38"/>
      <c r="D3" s="38"/>
      <c r="E3" s="38"/>
      <c r="F3" s="38"/>
      <c r="G3" s="39"/>
    </row>
    <row r="4" spans="1:8" ht="15" x14ac:dyDescent="0.2">
      <c r="A4" s="272" t="s">
        <v>21</v>
      </c>
      <c r="B4" s="273"/>
      <c r="C4" s="273"/>
      <c r="D4" s="273"/>
      <c r="E4" s="273"/>
      <c r="F4" s="273"/>
      <c r="G4" s="274"/>
    </row>
    <row r="5" spans="1:8" ht="15" x14ac:dyDescent="0.2">
      <c r="A5" s="42"/>
      <c r="B5" s="38"/>
      <c r="C5" s="38"/>
      <c r="D5" s="38"/>
      <c r="E5" s="38"/>
      <c r="F5" s="38"/>
      <c r="G5" s="39"/>
    </row>
    <row r="6" spans="1:8" ht="15.75" x14ac:dyDescent="0.25">
      <c r="A6" s="42"/>
      <c r="B6" s="38"/>
      <c r="C6" s="43"/>
      <c r="D6" s="43"/>
      <c r="E6" s="43" t="s">
        <v>13</v>
      </c>
      <c r="F6" s="43" t="s">
        <v>3</v>
      </c>
      <c r="G6" s="39"/>
    </row>
    <row r="7" spans="1:8" ht="15.75" x14ac:dyDescent="0.25">
      <c r="A7" s="42"/>
      <c r="B7" s="38"/>
      <c r="C7" s="44" t="s">
        <v>5</v>
      </c>
      <c r="D7" s="44"/>
      <c r="E7" s="44" t="s">
        <v>22</v>
      </c>
      <c r="F7" s="44" t="s">
        <v>6</v>
      </c>
      <c r="G7" s="39"/>
    </row>
    <row r="8" spans="1:8" ht="15.75" x14ac:dyDescent="0.25">
      <c r="A8" s="45" t="s">
        <v>163</v>
      </c>
      <c r="B8" s="36"/>
      <c r="C8" s="46"/>
      <c r="D8" s="46"/>
      <c r="E8" s="46"/>
      <c r="F8" s="46"/>
      <c r="G8" s="39"/>
    </row>
    <row r="9" spans="1:8" ht="15.75" x14ac:dyDescent="0.25">
      <c r="A9" s="42" t="s">
        <v>167</v>
      </c>
      <c r="B9" s="38"/>
      <c r="C9" s="47">
        <f>+'Res''l &amp; MF Customers'!C12+'Res''l &amp; MF Customers'!D12</f>
        <v>46369</v>
      </c>
      <c r="D9" s="47"/>
      <c r="E9" s="48">
        <f>E71</f>
        <v>1.7</v>
      </c>
      <c r="F9" s="131">
        <f>C9*E9</f>
        <v>78827.3</v>
      </c>
      <c r="G9" s="39"/>
    </row>
    <row r="10" spans="1:8" ht="17.25" x14ac:dyDescent="0.35">
      <c r="A10" s="49" t="s">
        <v>168</v>
      </c>
      <c r="B10" s="50"/>
      <c r="C10" s="51">
        <f>+'Res''l &amp; MF Customers'!E12+'Res''l &amp; MF Customers'!F12+'Res''l &amp; MF Customers'!G12+'Res''l &amp; MF Customers'!H12</f>
        <v>94573</v>
      </c>
      <c r="D10" s="51"/>
      <c r="E10" s="48">
        <f>G86</f>
        <v>0.97</v>
      </c>
      <c r="F10" s="132">
        <f>C10*E10</f>
        <v>91735.81</v>
      </c>
      <c r="G10" s="39"/>
      <c r="H10" s="63"/>
    </row>
    <row r="11" spans="1:8" ht="17.25" x14ac:dyDescent="0.35">
      <c r="A11" s="184" t="s">
        <v>165</v>
      </c>
      <c r="B11" s="38"/>
      <c r="C11" s="185">
        <f>SUM(C9:C10)</f>
        <v>140942</v>
      </c>
      <c r="D11" s="51"/>
      <c r="E11" s="38"/>
      <c r="F11" s="186">
        <f>SUM(F9:F10)</f>
        <v>170563.11</v>
      </c>
      <c r="G11" s="39"/>
    </row>
    <row r="12" spans="1:8" ht="15" x14ac:dyDescent="0.2">
      <c r="A12" s="42"/>
      <c r="B12" s="38"/>
      <c r="C12" s="38"/>
      <c r="D12" s="38"/>
      <c r="E12" s="38"/>
      <c r="F12" s="38"/>
      <c r="G12" s="39"/>
    </row>
    <row r="13" spans="1:8" ht="15.75" x14ac:dyDescent="0.25">
      <c r="A13" s="35" t="s">
        <v>159</v>
      </c>
      <c r="B13" s="38"/>
      <c r="C13" s="38"/>
      <c r="D13" s="38"/>
      <c r="E13" s="38"/>
      <c r="F13" s="131">
        <f>SUM('Tons &amp; Revenue'!M85:M90)</f>
        <v>159521.94717881392</v>
      </c>
      <c r="G13" s="39"/>
    </row>
    <row r="14" spans="1:8" ht="15.75" x14ac:dyDescent="0.25">
      <c r="A14" s="35" t="s">
        <v>190</v>
      </c>
      <c r="B14" s="38"/>
      <c r="C14" s="38"/>
      <c r="D14" s="38"/>
      <c r="E14" s="38"/>
      <c r="F14" s="131">
        <f>F13*50%</f>
        <v>79760.97358940696</v>
      </c>
      <c r="G14" s="39"/>
    </row>
    <row r="15" spans="1:8" ht="15" x14ac:dyDescent="0.2">
      <c r="A15" s="42" t="s">
        <v>24</v>
      </c>
      <c r="B15" s="38"/>
      <c r="C15" s="38"/>
      <c r="D15" s="38"/>
      <c r="E15" s="38"/>
      <c r="F15" s="47">
        <f>F14-F11</f>
        <v>-90802.136410593026</v>
      </c>
      <c r="G15" s="39"/>
    </row>
    <row r="16" spans="1:8" ht="17.25" x14ac:dyDescent="0.35">
      <c r="A16" s="42"/>
      <c r="B16" s="38"/>
      <c r="C16" s="130"/>
      <c r="D16" s="38"/>
      <c r="E16" s="38"/>
      <c r="F16" s="133"/>
      <c r="G16" s="39"/>
    </row>
    <row r="17" spans="1:9" ht="15" x14ac:dyDescent="0.2">
      <c r="A17" s="42" t="s">
        <v>25</v>
      </c>
      <c r="B17" s="38"/>
      <c r="C17" s="38"/>
      <c r="D17" s="38"/>
      <c r="E17" s="38"/>
      <c r="F17" s="47">
        <f>+F27</f>
        <v>294660</v>
      </c>
      <c r="G17" s="39"/>
    </row>
    <row r="18" spans="1:9" ht="15" x14ac:dyDescent="0.2">
      <c r="A18" s="42"/>
      <c r="B18" s="38"/>
      <c r="C18" s="38"/>
      <c r="D18" s="38"/>
      <c r="E18" s="38"/>
      <c r="F18" s="38"/>
      <c r="G18" s="39"/>
    </row>
    <row r="19" spans="1:9" ht="15" x14ac:dyDescent="0.2">
      <c r="A19" s="42" t="s">
        <v>172</v>
      </c>
      <c r="B19" s="38"/>
      <c r="C19" s="38"/>
      <c r="D19" s="38"/>
      <c r="E19" s="38"/>
      <c r="F19" s="61"/>
      <c r="G19" s="52">
        <f>ROUND(F15/F17,2)</f>
        <v>-0.31</v>
      </c>
    </row>
    <row r="20" spans="1:9" ht="15" x14ac:dyDescent="0.2">
      <c r="A20" s="42"/>
      <c r="B20" s="38"/>
      <c r="C20" s="38"/>
      <c r="D20" s="38"/>
      <c r="E20" s="38"/>
      <c r="F20" s="38"/>
      <c r="G20" s="52"/>
    </row>
    <row r="21" spans="1:9" ht="15" x14ac:dyDescent="0.2">
      <c r="A21" s="42"/>
      <c r="B21" s="38"/>
      <c r="C21" s="38"/>
      <c r="D21" s="38"/>
      <c r="E21" s="38"/>
      <c r="F21" s="38"/>
      <c r="G21" s="52"/>
    </row>
    <row r="22" spans="1:9" ht="15" x14ac:dyDescent="0.2">
      <c r="A22" s="42"/>
      <c r="B22" s="38"/>
      <c r="C22" s="38"/>
      <c r="D22" s="38"/>
      <c r="E22" s="38"/>
      <c r="F22" s="38"/>
      <c r="G22" s="52"/>
    </row>
    <row r="23" spans="1:9" ht="15.75" x14ac:dyDescent="0.25">
      <c r="A23" s="152" t="s">
        <v>169</v>
      </c>
      <c r="B23" s="36"/>
      <c r="C23" s="38"/>
      <c r="D23" s="38"/>
      <c r="E23" s="38"/>
      <c r="F23" s="164">
        <f>SUM('Tons &amp; Revenue'!M85:M90)*2</f>
        <v>319043.89435762784</v>
      </c>
      <c r="G23" s="52"/>
    </row>
    <row r="24" spans="1:9" ht="17.25" x14ac:dyDescent="0.35">
      <c r="A24" s="49" t="s">
        <v>164</v>
      </c>
      <c r="B24" s="36"/>
      <c r="C24" s="38"/>
      <c r="D24" s="38"/>
      <c r="E24" s="181">
        <v>0.5</v>
      </c>
      <c r="F24" s="182">
        <f>-F23*E24</f>
        <v>-159521.94717881392</v>
      </c>
      <c r="G24" s="52"/>
    </row>
    <row r="25" spans="1:9" ht="20.25" x14ac:dyDescent="0.55000000000000004">
      <c r="A25" s="49"/>
      <c r="B25" s="36"/>
      <c r="C25" s="38"/>
      <c r="D25" s="38"/>
      <c r="E25" s="181"/>
      <c r="F25" s="183">
        <f>+F24+F23</f>
        <v>159521.94717881392</v>
      </c>
      <c r="G25" s="52"/>
    </row>
    <row r="26" spans="1:9" ht="17.25" x14ac:dyDescent="0.35">
      <c r="A26" s="49"/>
      <c r="B26" s="36"/>
      <c r="C26" s="38"/>
      <c r="D26" s="38"/>
      <c r="E26" s="181"/>
      <c r="F26" s="182"/>
      <c r="G26" s="52"/>
    </row>
    <row r="27" spans="1:9" ht="17.25" x14ac:dyDescent="0.35">
      <c r="A27" s="42" t="s">
        <v>166</v>
      </c>
      <c r="B27" s="38"/>
      <c r="C27" s="38"/>
      <c r="D27" s="38"/>
      <c r="E27" s="38"/>
      <c r="F27" s="165">
        <f>+'Res''l &amp; MF Customers'!H12*12</f>
        <v>294660</v>
      </c>
      <c r="G27" s="52"/>
    </row>
    <row r="28" spans="1:9" ht="17.25" x14ac:dyDescent="0.35">
      <c r="A28" s="42" t="s">
        <v>105</v>
      </c>
      <c r="B28" s="38"/>
      <c r="C28" s="38"/>
      <c r="D28" s="38"/>
      <c r="E28" s="38"/>
      <c r="F28" s="38"/>
      <c r="G28" s="55">
        <f>ROUND(+F23/F27,2)</f>
        <v>1.08</v>
      </c>
    </row>
    <row r="29" spans="1:9" ht="15" x14ac:dyDescent="0.2">
      <c r="A29" s="42"/>
      <c r="B29" s="38"/>
      <c r="C29" s="38"/>
      <c r="D29" s="38"/>
      <c r="E29" s="38"/>
      <c r="F29" s="38"/>
      <c r="G29" s="52"/>
    </row>
    <row r="30" spans="1:9" ht="18" x14ac:dyDescent="0.4">
      <c r="A30" s="35" t="s">
        <v>28</v>
      </c>
      <c r="B30" s="36"/>
      <c r="C30" s="38"/>
      <c r="D30" s="38"/>
      <c r="E30" s="38"/>
      <c r="F30" s="38"/>
      <c r="G30" s="188">
        <f>SUM(G19:G28)</f>
        <v>0.77</v>
      </c>
      <c r="I30" s="160"/>
    </row>
    <row r="31" spans="1:9" ht="15.75" x14ac:dyDescent="0.25">
      <c r="A31" s="35"/>
      <c r="B31" s="36"/>
      <c r="C31" s="38"/>
      <c r="D31" s="38"/>
      <c r="E31" s="38"/>
      <c r="F31" s="38"/>
      <c r="G31" s="151"/>
    </row>
    <row r="32" spans="1:9" ht="13.5" thickBot="1" x14ac:dyDescent="0.25">
      <c r="A32" s="19"/>
      <c r="B32" s="20"/>
      <c r="C32" s="20"/>
      <c r="D32" s="20"/>
      <c r="E32" s="20"/>
      <c r="F32" s="20"/>
      <c r="G32" s="21"/>
    </row>
    <row r="33" spans="1:7" ht="15" x14ac:dyDescent="0.2">
      <c r="A33" s="272" t="s">
        <v>29</v>
      </c>
      <c r="B33" s="273"/>
      <c r="C33" s="273"/>
      <c r="D33" s="273"/>
      <c r="E33" s="273"/>
      <c r="F33" s="273"/>
      <c r="G33" s="274"/>
    </row>
    <row r="34" spans="1:7" ht="15" x14ac:dyDescent="0.2">
      <c r="A34" s="49"/>
      <c r="B34" s="50"/>
      <c r="C34" s="50"/>
      <c r="D34" s="50"/>
      <c r="E34" s="50"/>
      <c r="F34" s="50"/>
      <c r="G34" s="64"/>
    </row>
    <row r="35" spans="1:7" ht="15.75" x14ac:dyDescent="0.25">
      <c r="A35" s="49"/>
      <c r="B35" s="50"/>
      <c r="C35" s="43"/>
      <c r="D35" s="43"/>
      <c r="E35" s="43" t="s">
        <v>13</v>
      </c>
      <c r="F35" s="43" t="s">
        <v>3</v>
      </c>
      <c r="G35" s="64"/>
    </row>
    <row r="36" spans="1:7" ht="15.75" x14ac:dyDescent="0.25">
      <c r="A36" s="49"/>
      <c r="B36" s="50"/>
      <c r="C36" s="65" t="s">
        <v>20</v>
      </c>
      <c r="D36" s="65"/>
      <c r="E36" s="65" t="s">
        <v>22</v>
      </c>
      <c r="F36" s="65" t="s">
        <v>6</v>
      </c>
      <c r="G36" s="64"/>
    </row>
    <row r="37" spans="1:7" ht="15.75" x14ac:dyDescent="0.25">
      <c r="A37" s="45" t="s">
        <v>163</v>
      </c>
      <c r="B37" s="36"/>
      <c r="C37" s="66"/>
      <c r="D37" s="66"/>
      <c r="E37" s="66"/>
      <c r="F37" s="66"/>
      <c r="G37" s="64"/>
    </row>
    <row r="38" spans="1:7" ht="15.75" x14ac:dyDescent="0.25">
      <c r="A38" s="42" t="s">
        <v>167</v>
      </c>
      <c r="B38" s="50"/>
      <c r="C38" s="67">
        <f>SUM('Res''l &amp; MF Customers'!C25:D25)</f>
        <v>3428.8235294117644</v>
      </c>
      <c r="D38" s="67"/>
      <c r="E38" s="68">
        <f>E97</f>
        <v>0.3</v>
      </c>
      <c r="F38" s="54">
        <f>E38*C38</f>
        <v>1028.6470588235293</v>
      </c>
      <c r="G38" s="64"/>
    </row>
    <row r="39" spans="1:7" ht="17.25" x14ac:dyDescent="0.35">
      <c r="A39" s="49" t="s">
        <v>168</v>
      </c>
      <c r="B39" s="50"/>
      <c r="C39" s="51">
        <f>SUM('Res''l &amp; MF Customers'!E25:H25)</f>
        <v>6962.5271493212667</v>
      </c>
      <c r="D39" s="51"/>
      <c r="E39" s="68">
        <f>G112</f>
        <v>0.18</v>
      </c>
      <c r="F39" s="132">
        <f>E39*C39</f>
        <v>1253.2548868778279</v>
      </c>
      <c r="G39" s="64"/>
    </row>
    <row r="40" spans="1:7" ht="15" x14ac:dyDescent="0.2">
      <c r="A40" s="42" t="s">
        <v>3</v>
      </c>
      <c r="B40" s="50"/>
      <c r="C40" s="67">
        <f>SUM(C38:C39)</f>
        <v>10391.350678733032</v>
      </c>
      <c r="D40" s="67"/>
      <c r="E40" s="50"/>
      <c r="F40" s="54">
        <f>SUM(F38:F39)</f>
        <v>2281.9019457013574</v>
      </c>
      <c r="G40" s="64"/>
    </row>
    <row r="41" spans="1:7" ht="15" x14ac:dyDescent="0.2">
      <c r="A41" s="42"/>
      <c r="B41" s="50"/>
      <c r="C41" s="50"/>
      <c r="D41" s="50"/>
      <c r="E41" s="50"/>
      <c r="F41" s="54"/>
      <c r="G41" s="64"/>
    </row>
    <row r="42" spans="1:7" ht="15.75" x14ac:dyDescent="0.25">
      <c r="A42" s="35" t="s">
        <v>159</v>
      </c>
      <c r="B42" s="50"/>
      <c r="C42" s="50"/>
      <c r="D42" s="50"/>
      <c r="E42" s="50"/>
      <c r="F42" s="54">
        <f>'Tons &amp; Revenue'!M81</f>
        <v>2183.0170166386092</v>
      </c>
      <c r="G42" s="64"/>
    </row>
    <row r="43" spans="1:7" ht="15.75" x14ac:dyDescent="0.25">
      <c r="A43" s="35" t="s">
        <v>190</v>
      </c>
      <c r="B43" s="50"/>
      <c r="C43" s="50"/>
      <c r="D43" s="50"/>
      <c r="E43" s="50"/>
      <c r="F43" s="271">
        <f>F42*50%</f>
        <v>1091.5085083193046</v>
      </c>
      <c r="G43" s="64"/>
    </row>
    <row r="44" spans="1:7" ht="15" x14ac:dyDescent="0.2">
      <c r="A44" s="42" t="s">
        <v>101</v>
      </c>
      <c r="B44" s="50"/>
      <c r="C44" s="50"/>
      <c r="D44" s="50"/>
      <c r="E44" s="50"/>
      <c r="F44" s="131">
        <f>F42-F40</f>
        <v>-98.884929062748142</v>
      </c>
      <c r="G44" s="64"/>
    </row>
    <row r="45" spans="1:7" ht="17.25" x14ac:dyDescent="0.35">
      <c r="A45" s="42"/>
      <c r="B45" s="50"/>
      <c r="C45" s="135"/>
      <c r="D45" s="50"/>
      <c r="E45" s="50"/>
      <c r="F45" s="133"/>
      <c r="G45" s="64"/>
    </row>
    <row r="46" spans="1:7" ht="15" x14ac:dyDescent="0.2">
      <c r="A46" s="42" t="s">
        <v>25</v>
      </c>
      <c r="B46" s="50"/>
      <c r="C46" s="50"/>
      <c r="D46" s="50"/>
      <c r="E46" s="50"/>
      <c r="F46" s="67">
        <f>+F56</f>
        <v>21101.999999999996</v>
      </c>
      <c r="G46" s="64"/>
    </row>
    <row r="47" spans="1:7" ht="15" x14ac:dyDescent="0.2">
      <c r="A47" s="42"/>
      <c r="B47" s="50"/>
      <c r="C47" s="50"/>
      <c r="D47" s="50"/>
      <c r="E47" s="50"/>
      <c r="F47" s="50"/>
      <c r="G47" s="64"/>
    </row>
    <row r="48" spans="1:7" ht="15" x14ac:dyDescent="0.2">
      <c r="A48" s="42" t="s">
        <v>26</v>
      </c>
      <c r="B48" s="50"/>
      <c r="C48" s="50"/>
      <c r="D48" s="50"/>
      <c r="E48" s="50"/>
      <c r="F48" s="50"/>
      <c r="G48" s="70">
        <f>ROUND(F44/F46,2)</f>
        <v>0</v>
      </c>
    </row>
    <row r="49" spans="1:7" ht="15" x14ac:dyDescent="0.2">
      <c r="A49" s="42"/>
      <c r="B49" s="50"/>
      <c r="C49" s="50"/>
      <c r="D49" s="50"/>
      <c r="E49" s="50"/>
      <c r="F49" s="50"/>
      <c r="G49" s="70"/>
    </row>
    <row r="50" spans="1:7" ht="15" x14ac:dyDescent="0.2">
      <c r="A50" s="42"/>
      <c r="B50" s="50"/>
      <c r="C50" s="50"/>
      <c r="D50" s="50"/>
      <c r="E50" s="50"/>
      <c r="F50" s="67"/>
      <c r="G50" s="64"/>
    </row>
    <row r="51" spans="1:7" ht="15.75" x14ac:dyDescent="0.25">
      <c r="A51" s="42"/>
      <c r="B51" s="36"/>
      <c r="C51" s="50"/>
      <c r="D51" s="50"/>
      <c r="E51" s="50"/>
      <c r="F51" s="67"/>
      <c r="G51" s="64"/>
    </row>
    <row r="52" spans="1:7" ht="15.75" x14ac:dyDescent="0.25">
      <c r="A52" s="152" t="s">
        <v>169</v>
      </c>
      <c r="B52" s="50"/>
      <c r="C52" s="50"/>
      <c r="D52" s="50"/>
      <c r="E52" s="50"/>
      <c r="F52" s="166">
        <f>SUM('Tons &amp; Revenue'!M75:M80)*2</f>
        <v>4366.0340332772184</v>
      </c>
      <c r="G52" s="64"/>
    </row>
    <row r="53" spans="1:7" ht="17.25" x14ac:dyDescent="0.35">
      <c r="A53" s="49" t="s">
        <v>164</v>
      </c>
      <c r="B53" s="36"/>
      <c r="C53" s="38"/>
      <c r="D53" s="38"/>
      <c r="E53" s="181">
        <v>0.5</v>
      </c>
      <c r="F53" s="182">
        <f>-F52*E53</f>
        <v>-2183.0170166386092</v>
      </c>
      <c r="G53" s="52"/>
    </row>
    <row r="54" spans="1:7" ht="20.25" x14ac:dyDescent="0.55000000000000004">
      <c r="A54" s="49"/>
      <c r="B54" s="36"/>
      <c r="C54" s="38"/>
      <c r="D54" s="38"/>
      <c r="E54" s="181"/>
      <c r="F54" s="183">
        <f>+F53+F52</f>
        <v>2183.0170166386092</v>
      </c>
      <c r="G54" s="52"/>
    </row>
    <row r="55" spans="1:7" ht="17.25" x14ac:dyDescent="0.35">
      <c r="A55" s="49"/>
      <c r="B55" s="36"/>
      <c r="C55" s="38"/>
      <c r="D55" s="38"/>
      <c r="E55" s="181"/>
      <c r="F55" s="182"/>
      <c r="G55" s="52"/>
    </row>
    <row r="56" spans="1:7" ht="17.25" x14ac:dyDescent="0.35">
      <c r="A56" s="42" t="s">
        <v>166</v>
      </c>
      <c r="B56" s="38"/>
      <c r="C56" s="38"/>
      <c r="D56" s="38"/>
      <c r="E56" s="38"/>
      <c r="F56" s="165">
        <f>+'Res''l &amp; MF Customers'!H25*12</f>
        <v>21101.999999999996</v>
      </c>
      <c r="G56" s="52"/>
    </row>
    <row r="57" spans="1:7" ht="17.25" x14ac:dyDescent="0.35">
      <c r="A57" s="42" t="s">
        <v>105</v>
      </c>
      <c r="B57" s="38"/>
      <c r="C57" s="38"/>
      <c r="D57" s="38"/>
      <c r="E57" s="38"/>
      <c r="F57" s="38"/>
      <c r="G57" s="55">
        <f>ROUND(+F52/F56,2)</f>
        <v>0.21</v>
      </c>
    </row>
    <row r="58" spans="1:7" ht="15" x14ac:dyDescent="0.2">
      <c r="A58" s="42"/>
      <c r="B58" s="38"/>
      <c r="C58" s="38"/>
      <c r="D58" s="38"/>
      <c r="E58" s="38"/>
      <c r="F58" s="38"/>
      <c r="G58" s="52"/>
    </row>
    <row r="59" spans="1:7" ht="18" x14ac:dyDescent="0.4">
      <c r="A59" s="35" t="s">
        <v>134</v>
      </c>
      <c r="B59" s="36"/>
      <c r="C59" s="38"/>
      <c r="D59" s="38"/>
      <c r="E59" s="38"/>
      <c r="F59" s="38"/>
      <c r="G59" s="188">
        <f>SUM(G48:G57)</f>
        <v>0.21</v>
      </c>
    </row>
    <row r="60" spans="1:7" ht="15.75" x14ac:dyDescent="0.25">
      <c r="A60" s="35"/>
      <c r="B60" s="36"/>
      <c r="C60" s="38"/>
      <c r="D60" s="38"/>
      <c r="E60" s="38"/>
      <c r="F60" s="38"/>
      <c r="G60" s="151"/>
    </row>
    <row r="61" spans="1:7" ht="15.75" thickBot="1" x14ac:dyDescent="0.25">
      <c r="A61" s="72"/>
      <c r="B61" s="73"/>
      <c r="C61" s="73"/>
      <c r="D61" s="73"/>
      <c r="E61" s="73"/>
      <c r="F61" s="73"/>
      <c r="G61" s="74"/>
    </row>
    <row r="62" spans="1:7" ht="23.25" x14ac:dyDescent="0.35">
      <c r="A62" s="31" t="s">
        <v>57</v>
      </c>
      <c r="B62" s="32"/>
      <c r="C62" s="33"/>
      <c r="D62" s="33"/>
      <c r="E62" s="33"/>
      <c r="F62" s="33"/>
      <c r="G62" s="34"/>
    </row>
    <row r="63" spans="1:7" ht="15.75" x14ac:dyDescent="0.25">
      <c r="A63" s="35" t="s">
        <v>104</v>
      </c>
      <c r="B63" s="36"/>
      <c r="C63" s="37"/>
      <c r="D63" s="37"/>
      <c r="E63" s="38"/>
      <c r="F63" s="38"/>
      <c r="G63" s="39"/>
    </row>
    <row r="64" spans="1:7" ht="15.75" x14ac:dyDescent="0.25">
      <c r="A64" s="40" t="s">
        <v>174</v>
      </c>
      <c r="B64" s="41"/>
      <c r="C64" s="38"/>
      <c r="D64" s="38"/>
      <c r="E64" s="38"/>
      <c r="F64" s="38"/>
      <c r="G64" s="39"/>
    </row>
    <row r="65" spans="1:7" ht="15" x14ac:dyDescent="0.2">
      <c r="A65" s="272" t="s">
        <v>21</v>
      </c>
      <c r="B65" s="273"/>
      <c r="C65" s="273"/>
      <c r="D65" s="273"/>
      <c r="E65" s="273"/>
      <c r="F65" s="273"/>
      <c r="G65" s="274"/>
    </row>
    <row r="66" spans="1:7" ht="15" x14ac:dyDescent="0.2">
      <c r="A66" s="42"/>
      <c r="B66" s="38"/>
      <c r="C66" s="38"/>
      <c r="D66" s="38"/>
      <c r="E66" s="38"/>
      <c r="F66" s="38"/>
      <c r="G66" s="39"/>
    </row>
    <row r="67" spans="1:7" ht="15.75" x14ac:dyDescent="0.25">
      <c r="A67" s="42"/>
      <c r="B67" s="38"/>
      <c r="C67" s="43"/>
      <c r="D67" s="43"/>
      <c r="E67" s="43" t="s">
        <v>13</v>
      </c>
      <c r="F67" s="43" t="s">
        <v>3</v>
      </c>
      <c r="G67" s="39"/>
    </row>
    <row r="68" spans="1:7" ht="15.75" x14ac:dyDescent="0.25">
      <c r="A68" s="42"/>
      <c r="B68" s="38"/>
      <c r="C68" s="44" t="s">
        <v>5</v>
      </c>
      <c r="D68" s="44"/>
      <c r="E68" s="44" t="s">
        <v>22</v>
      </c>
      <c r="F68" s="44" t="s">
        <v>6</v>
      </c>
      <c r="G68" s="39"/>
    </row>
    <row r="69" spans="1:7" ht="15.75" x14ac:dyDescent="0.25">
      <c r="A69" s="45" t="s">
        <v>160</v>
      </c>
      <c r="B69" s="36"/>
      <c r="C69" s="46"/>
      <c r="D69" s="46"/>
      <c r="E69" s="46"/>
      <c r="F69" s="46"/>
      <c r="G69" s="39"/>
    </row>
    <row r="70" spans="1:7" ht="15.75" x14ac:dyDescent="0.25">
      <c r="A70" s="42" t="s">
        <v>146</v>
      </c>
      <c r="B70" s="38"/>
      <c r="C70" s="47">
        <v>44693</v>
      </c>
      <c r="D70" s="47"/>
      <c r="E70" s="48">
        <v>2.23</v>
      </c>
      <c r="F70" s="131">
        <f>C70*E70</f>
        <v>99665.39</v>
      </c>
      <c r="G70" s="39"/>
    </row>
    <row r="71" spans="1:7" ht="17.25" x14ac:dyDescent="0.35">
      <c r="A71" s="49" t="s">
        <v>161</v>
      </c>
      <c r="B71" s="50"/>
      <c r="C71" s="51">
        <v>90150</v>
      </c>
      <c r="D71" s="51"/>
      <c r="E71" s="48">
        <v>1.7</v>
      </c>
      <c r="F71" s="132">
        <f>C71*E71</f>
        <v>153255</v>
      </c>
      <c r="G71" s="39"/>
    </row>
    <row r="72" spans="1:7" ht="17.25" x14ac:dyDescent="0.35">
      <c r="A72" s="42" t="s">
        <v>3</v>
      </c>
      <c r="B72" s="38"/>
      <c r="C72" s="47">
        <f>SUM(C70:C71)</f>
        <v>134843</v>
      </c>
      <c r="D72" s="51"/>
      <c r="E72" s="38"/>
      <c r="F72" s="131">
        <f>SUM(F70:F71)</f>
        <v>252920.39</v>
      </c>
      <c r="G72" s="39"/>
    </row>
    <row r="73" spans="1:7" ht="15" x14ac:dyDescent="0.2">
      <c r="A73" s="42"/>
      <c r="B73" s="38"/>
      <c r="C73" s="38"/>
      <c r="D73" s="38"/>
      <c r="E73" s="38"/>
      <c r="F73" s="38"/>
      <c r="G73" s="39"/>
    </row>
    <row r="74" spans="1:7" ht="15.75" x14ac:dyDescent="0.25">
      <c r="A74" s="35" t="s">
        <v>23</v>
      </c>
      <c r="B74" s="38"/>
      <c r="C74" s="38"/>
      <c r="D74" s="38"/>
      <c r="E74" s="38"/>
      <c r="F74" s="131">
        <v>261404</v>
      </c>
      <c r="G74" s="39"/>
    </row>
    <row r="75" spans="1:7" ht="15" x14ac:dyDescent="0.2">
      <c r="A75" s="42"/>
      <c r="B75" s="38"/>
      <c r="C75" s="38"/>
      <c r="D75" s="38"/>
      <c r="E75" s="38"/>
      <c r="F75" s="131"/>
      <c r="G75" s="39"/>
    </row>
    <row r="76" spans="1:7" ht="15" x14ac:dyDescent="0.2">
      <c r="A76" s="42" t="s">
        <v>24</v>
      </c>
      <c r="B76" s="38"/>
      <c r="C76" s="38"/>
      <c r="D76" s="38"/>
      <c r="E76" s="38"/>
      <c r="F76" s="47">
        <f>F74-F72</f>
        <v>8483.609999999986</v>
      </c>
      <c r="G76" s="39"/>
    </row>
    <row r="77" spans="1:7" ht="17.25" x14ac:dyDescent="0.35">
      <c r="A77" s="42"/>
      <c r="B77" s="38"/>
      <c r="C77" s="130"/>
      <c r="D77" s="38"/>
      <c r="E77" s="38"/>
      <c r="F77" s="133"/>
      <c r="G77" s="39"/>
    </row>
    <row r="78" spans="1:7" ht="15" x14ac:dyDescent="0.2">
      <c r="A78" s="42" t="s">
        <v>25</v>
      </c>
      <c r="B78" s="38"/>
      <c r="C78" s="38"/>
      <c r="D78" s="38"/>
      <c r="E78" s="38"/>
      <c r="F78" s="47">
        <f>+C72</f>
        <v>134843</v>
      </c>
      <c r="G78" s="39"/>
    </row>
    <row r="79" spans="1:7" ht="15" x14ac:dyDescent="0.2">
      <c r="A79" s="42"/>
      <c r="B79" s="38"/>
      <c r="C79" s="38"/>
      <c r="D79" s="38"/>
      <c r="E79" s="38"/>
      <c r="F79" s="38"/>
      <c r="G79" s="39"/>
    </row>
    <row r="80" spans="1:7" ht="15" x14ac:dyDescent="0.2">
      <c r="A80" s="42" t="s">
        <v>26</v>
      </c>
      <c r="B80" s="38"/>
      <c r="C80" s="38"/>
      <c r="D80" s="38"/>
      <c r="E80" s="38"/>
      <c r="F80" s="61"/>
      <c r="G80" s="52">
        <f>ROUND(F76/F78,2)</f>
        <v>0.06</v>
      </c>
    </row>
    <row r="81" spans="1:7" ht="15" x14ac:dyDescent="0.2">
      <c r="A81" s="42"/>
      <c r="B81" s="38"/>
      <c r="C81" s="38"/>
      <c r="D81" s="38"/>
      <c r="E81" s="38"/>
      <c r="F81" s="38"/>
      <c r="G81" s="52"/>
    </row>
    <row r="82" spans="1:7" ht="15" x14ac:dyDescent="0.2">
      <c r="A82" s="42"/>
      <c r="B82" s="38"/>
      <c r="C82" s="38"/>
      <c r="D82" s="38"/>
      <c r="E82" s="38"/>
      <c r="F82" s="38"/>
      <c r="G82" s="52"/>
    </row>
    <row r="83" spans="1:7" ht="15" x14ac:dyDescent="0.2">
      <c r="A83" s="42"/>
      <c r="B83" s="38"/>
      <c r="C83" s="38"/>
      <c r="D83" s="38"/>
      <c r="E83" s="38"/>
      <c r="F83" s="38"/>
      <c r="G83" s="52"/>
    </row>
    <row r="84" spans="1:7" ht="15.75" x14ac:dyDescent="0.25">
      <c r="A84" s="152" t="s">
        <v>162</v>
      </c>
      <c r="B84" s="36"/>
      <c r="C84" s="38"/>
      <c r="D84" s="38"/>
      <c r="E84" s="38"/>
      <c r="F84" s="164">
        <v>130702</v>
      </c>
      <c r="G84" s="52"/>
    </row>
    <row r="85" spans="1:7" ht="17.25" x14ac:dyDescent="0.35">
      <c r="A85" s="42" t="s">
        <v>25</v>
      </c>
      <c r="B85" s="38"/>
      <c r="C85" s="38"/>
      <c r="D85" s="38"/>
      <c r="E85" s="38"/>
      <c r="F85" s="165">
        <f>+C72</f>
        <v>134843</v>
      </c>
      <c r="G85" s="52"/>
    </row>
    <row r="86" spans="1:7" ht="17.25" x14ac:dyDescent="0.35">
      <c r="A86" s="42" t="s">
        <v>105</v>
      </c>
      <c r="B86" s="38"/>
      <c r="C86" s="38"/>
      <c r="D86" s="38"/>
      <c r="E86" s="38"/>
      <c r="F86" s="38"/>
      <c r="G86" s="55">
        <f>ROUND(+F84/F85,2)</f>
        <v>0.97</v>
      </c>
    </row>
    <row r="87" spans="1:7" ht="15" x14ac:dyDescent="0.2">
      <c r="A87" s="42"/>
      <c r="B87" s="38"/>
      <c r="C87" s="38"/>
      <c r="D87" s="38"/>
      <c r="E87" s="38"/>
      <c r="F87" s="38"/>
      <c r="G87" s="52"/>
    </row>
    <row r="88" spans="1:7" ht="18" x14ac:dyDescent="0.4">
      <c r="A88" s="35" t="s">
        <v>28</v>
      </c>
      <c r="B88" s="36"/>
      <c r="C88" s="38"/>
      <c r="D88" s="38"/>
      <c r="E88" s="38"/>
      <c r="F88" s="38"/>
      <c r="G88" s="188">
        <f>SUM(G80:G86)</f>
        <v>1.03</v>
      </c>
    </row>
    <row r="89" spans="1:7" ht="15.75" x14ac:dyDescent="0.25">
      <c r="A89" s="35"/>
      <c r="B89" s="36"/>
      <c r="C89" s="38"/>
      <c r="D89" s="38"/>
      <c r="E89" s="38"/>
      <c r="F89" s="38"/>
      <c r="G89" s="151"/>
    </row>
    <row r="90" spans="1:7" ht="13.5" thickBot="1" x14ac:dyDescent="0.25">
      <c r="A90" s="19"/>
      <c r="B90" s="20"/>
      <c r="C90" s="20"/>
      <c r="D90" s="20"/>
      <c r="E90" s="20"/>
      <c r="F90" s="20"/>
      <c r="G90" s="21"/>
    </row>
    <row r="91" spans="1:7" ht="15" x14ac:dyDescent="0.2">
      <c r="A91" s="272" t="s">
        <v>29</v>
      </c>
      <c r="B91" s="273"/>
      <c r="C91" s="273"/>
      <c r="D91" s="273"/>
      <c r="E91" s="273"/>
      <c r="F91" s="273"/>
      <c r="G91" s="274"/>
    </row>
    <row r="92" spans="1:7" ht="15" x14ac:dyDescent="0.2">
      <c r="A92" s="49"/>
      <c r="B92" s="50"/>
      <c r="C92" s="50"/>
      <c r="D92" s="50"/>
      <c r="E92" s="50"/>
      <c r="F92" s="50"/>
      <c r="G92" s="64"/>
    </row>
    <row r="93" spans="1:7" ht="15.75" x14ac:dyDescent="0.25">
      <c r="A93" s="49"/>
      <c r="B93" s="50"/>
      <c r="C93" s="43"/>
      <c r="D93" s="43"/>
      <c r="E93" s="43" t="s">
        <v>13</v>
      </c>
      <c r="F93" s="43" t="s">
        <v>3</v>
      </c>
      <c r="G93" s="64"/>
    </row>
    <row r="94" spans="1:7" ht="15.75" x14ac:dyDescent="0.25">
      <c r="A94" s="49"/>
      <c r="B94" s="50"/>
      <c r="C94" s="65" t="s">
        <v>20</v>
      </c>
      <c r="D94" s="65"/>
      <c r="E94" s="65" t="s">
        <v>22</v>
      </c>
      <c r="F94" s="65" t="s">
        <v>6</v>
      </c>
      <c r="G94" s="64"/>
    </row>
    <row r="95" spans="1:7" ht="15.75" x14ac:dyDescent="0.25">
      <c r="A95" s="45" t="s">
        <v>160</v>
      </c>
      <c r="B95" s="36"/>
      <c r="C95" s="66"/>
      <c r="D95" s="66"/>
      <c r="E95" s="66"/>
      <c r="F95" s="66"/>
      <c r="G95" s="64"/>
    </row>
    <row r="96" spans="1:7" ht="15.75" x14ac:dyDescent="0.25">
      <c r="A96" s="42" t="s">
        <v>58</v>
      </c>
      <c r="B96" s="50"/>
      <c r="C96" s="67">
        <v>3064</v>
      </c>
      <c r="D96" s="67"/>
      <c r="E96" s="68">
        <v>0.24</v>
      </c>
      <c r="F96" s="54">
        <f>E96*C96</f>
        <v>735.36</v>
      </c>
      <c r="G96" s="64"/>
    </row>
    <row r="97" spans="1:7" ht="17.25" x14ac:dyDescent="0.35">
      <c r="A97" s="49" t="s">
        <v>59</v>
      </c>
      <c r="B97" s="50"/>
      <c r="C97" s="51">
        <v>6764</v>
      </c>
      <c r="D97" s="51"/>
      <c r="E97" s="68">
        <v>0.3</v>
      </c>
      <c r="F97" s="132">
        <f>E97*C97</f>
        <v>2029.1999999999998</v>
      </c>
      <c r="G97" s="64"/>
    </row>
    <row r="98" spans="1:7" ht="15" x14ac:dyDescent="0.2">
      <c r="A98" s="42" t="s">
        <v>3</v>
      </c>
      <c r="B98" s="50"/>
      <c r="C98" s="67">
        <f>SUM(C96:C97)</f>
        <v>9828</v>
      </c>
      <c r="D98" s="67"/>
      <c r="E98" s="50"/>
      <c r="F98" s="54">
        <f>SUM(F96:F97)</f>
        <v>2764.56</v>
      </c>
      <c r="G98" s="64"/>
    </row>
    <row r="99" spans="1:7" ht="15" x14ac:dyDescent="0.2">
      <c r="A99" s="42"/>
      <c r="B99" s="50"/>
      <c r="C99" s="50"/>
      <c r="D99" s="50"/>
      <c r="E99" s="50"/>
      <c r="F99" s="54"/>
      <c r="G99" s="64"/>
    </row>
    <row r="100" spans="1:7" ht="15.75" x14ac:dyDescent="0.25">
      <c r="A100" s="35" t="s">
        <v>23</v>
      </c>
      <c r="B100" s="50"/>
      <c r="C100" s="50"/>
      <c r="D100" s="50"/>
      <c r="E100" s="50"/>
      <c r="F100" s="54">
        <v>3577</v>
      </c>
      <c r="G100" s="64"/>
    </row>
    <row r="101" spans="1:7" ht="15" x14ac:dyDescent="0.2">
      <c r="A101" s="42"/>
      <c r="B101" s="50"/>
      <c r="C101" s="50"/>
      <c r="D101" s="50"/>
      <c r="E101" s="50"/>
      <c r="F101" s="54"/>
      <c r="G101" s="64"/>
    </row>
    <row r="102" spans="1:7" ht="15" x14ac:dyDescent="0.2">
      <c r="A102" s="42" t="s">
        <v>101</v>
      </c>
      <c r="B102" s="50"/>
      <c r="C102" s="50"/>
      <c r="D102" s="50"/>
      <c r="E102" s="50"/>
      <c r="F102" s="131">
        <f>F100-F98</f>
        <v>812.44</v>
      </c>
      <c r="G102" s="64"/>
    </row>
    <row r="103" spans="1:7" ht="17.25" x14ac:dyDescent="0.35">
      <c r="A103" s="42"/>
      <c r="B103" s="50"/>
      <c r="C103" s="135"/>
      <c r="D103" s="50"/>
      <c r="E103" s="50"/>
      <c r="F103" s="133"/>
      <c r="G103" s="64"/>
    </row>
    <row r="104" spans="1:7" ht="15" x14ac:dyDescent="0.2">
      <c r="A104" s="42" t="s">
        <v>25</v>
      </c>
      <c r="B104" s="50"/>
      <c r="C104" s="50"/>
      <c r="D104" s="50"/>
      <c r="E104" s="50"/>
      <c r="F104" s="67">
        <f>+C98</f>
        <v>9828</v>
      </c>
      <c r="G104" s="64"/>
    </row>
    <row r="105" spans="1:7" ht="15" x14ac:dyDescent="0.2">
      <c r="A105" s="42"/>
      <c r="B105" s="50"/>
      <c r="C105" s="50"/>
      <c r="D105" s="50"/>
      <c r="E105" s="50"/>
      <c r="F105" s="50"/>
      <c r="G105" s="64"/>
    </row>
    <row r="106" spans="1:7" ht="15" x14ac:dyDescent="0.2">
      <c r="A106" s="42" t="s">
        <v>26</v>
      </c>
      <c r="B106" s="50"/>
      <c r="C106" s="50"/>
      <c r="D106" s="50"/>
      <c r="E106" s="50"/>
      <c r="F106" s="50"/>
      <c r="G106" s="70">
        <f>ROUND(F102/F104,2)</f>
        <v>0.08</v>
      </c>
    </row>
    <row r="107" spans="1:7" ht="15" x14ac:dyDescent="0.2">
      <c r="A107" s="42"/>
      <c r="B107" s="50"/>
      <c r="C107" s="50"/>
      <c r="D107" s="50"/>
      <c r="E107" s="50"/>
      <c r="F107" s="50"/>
      <c r="G107" s="70"/>
    </row>
    <row r="108" spans="1:7" ht="15" x14ac:dyDescent="0.2">
      <c r="A108" s="42"/>
      <c r="B108" s="50"/>
      <c r="C108" s="50"/>
      <c r="D108" s="50"/>
      <c r="E108" s="50"/>
      <c r="F108" s="67"/>
      <c r="G108" s="64"/>
    </row>
    <row r="109" spans="1:7" ht="15.75" x14ac:dyDescent="0.25">
      <c r="A109" s="42"/>
      <c r="B109" s="36"/>
      <c r="C109" s="50"/>
      <c r="D109" s="50"/>
      <c r="E109" s="50"/>
      <c r="F109" s="67"/>
      <c r="G109" s="64"/>
    </row>
    <row r="110" spans="1:7" ht="15.75" x14ac:dyDescent="0.25">
      <c r="A110" s="152" t="s">
        <v>162</v>
      </c>
      <c r="B110" s="50"/>
      <c r="C110" s="50"/>
      <c r="D110" s="50"/>
      <c r="E110" s="50"/>
      <c r="F110" s="166">
        <v>1789</v>
      </c>
      <c r="G110" s="64"/>
    </row>
    <row r="111" spans="1:7" ht="17.25" x14ac:dyDescent="0.35">
      <c r="A111" s="49" t="s">
        <v>25</v>
      </c>
      <c r="B111" s="36"/>
      <c r="C111" s="139"/>
      <c r="D111" s="38"/>
      <c r="E111" s="38"/>
      <c r="F111" s="167">
        <f>+C98</f>
        <v>9828</v>
      </c>
      <c r="G111" s="64"/>
    </row>
    <row r="112" spans="1:7" ht="17.25" x14ac:dyDescent="0.35">
      <c r="A112" s="42" t="s">
        <v>105</v>
      </c>
      <c r="B112" s="38"/>
      <c r="C112" s="38"/>
      <c r="D112" s="38"/>
      <c r="E112" s="38"/>
      <c r="F112" s="38"/>
      <c r="G112" s="55">
        <f>ROUND(+F110/F111,2)</f>
        <v>0.18</v>
      </c>
    </row>
    <row r="113" spans="1:7" ht="15" x14ac:dyDescent="0.2">
      <c r="A113" s="42"/>
      <c r="B113" s="50"/>
      <c r="C113" s="50"/>
      <c r="D113" s="50"/>
      <c r="E113" s="50"/>
      <c r="F113" s="67"/>
      <c r="G113" s="64"/>
    </row>
    <row r="114" spans="1:7" ht="18" x14ac:dyDescent="0.4">
      <c r="A114" s="35" t="s">
        <v>134</v>
      </c>
      <c r="B114" s="36"/>
      <c r="C114" s="38"/>
      <c r="D114" s="38"/>
      <c r="E114" s="38"/>
      <c r="F114" s="38"/>
      <c r="G114" s="188">
        <f>SUM(G106:G112)</f>
        <v>0.26</v>
      </c>
    </row>
    <row r="115" spans="1:7" ht="17.25" x14ac:dyDescent="0.35">
      <c r="A115" s="42"/>
      <c r="B115" s="50"/>
      <c r="C115" s="50"/>
      <c r="D115" s="50"/>
      <c r="E115" s="50"/>
      <c r="F115" s="50"/>
      <c r="G115" s="55"/>
    </row>
    <row r="116" spans="1:7" ht="15.75" thickBot="1" x14ac:dyDescent="0.25">
      <c r="A116" s="72"/>
      <c r="B116" s="73"/>
      <c r="C116" s="73"/>
      <c r="D116" s="73"/>
      <c r="E116" s="73"/>
      <c r="F116" s="73"/>
      <c r="G116" s="74"/>
    </row>
    <row r="117" spans="1:7" ht="23.25" x14ac:dyDescent="0.35">
      <c r="A117" s="31" t="s">
        <v>57</v>
      </c>
      <c r="B117" s="32"/>
      <c r="C117" s="33"/>
      <c r="D117" s="33"/>
      <c r="E117" s="33"/>
      <c r="F117" s="33"/>
      <c r="G117" s="34"/>
    </row>
    <row r="118" spans="1:7" ht="15.75" x14ac:dyDescent="0.25">
      <c r="A118" s="35" t="s">
        <v>96</v>
      </c>
      <c r="B118" s="36"/>
      <c r="C118" s="37"/>
      <c r="D118" s="37"/>
      <c r="E118" s="38"/>
      <c r="F118" s="38"/>
      <c r="G118" s="39"/>
    </row>
    <row r="119" spans="1:7" ht="15.75" x14ac:dyDescent="0.25">
      <c r="A119" s="40"/>
      <c r="B119" s="41"/>
      <c r="C119" s="38"/>
      <c r="D119" s="38"/>
      <c r="E119" s="38"/>
      <c r="F119" s="38"/>
      <c r="G119" s="39"/>
    </row>
    <row r="120" spans="1:7" ht="15" x14ac:dyDescent="0.2">
      <c r="A120" s="272" t="s">
        <v>21</v>
      </c>
      <c r="B120" s="273"/>
      <c r="C120" s="273"/>
      <c r="D120" s="273"/>
      <c r="E120" s="273"/>
      <c r="F120" s="273"/>
      <c r="G120" s="274"/>
    </row>
    <row r="121" spans="1:7" ht="15" x14ac:dyDescent="0.2">
      <c r="A121" s="42"/>
      <c r="B121" s="38"/>
      <c r="C121" s="38"/>
      <c r="D121" s="38"/>
      <c r="E121" s="38"/>
      <c r="F121" s="38"/>
      <c r="G121" s="39"/>
    </row>
    <row r="122" spans="1:7" ht="15.75" x14ac:dyDescent="0.25">
      <c r="A122" s="42"/>
      <c r="B122" s="38"/>
      <c r="C122" s="43"/>
      <c r="D122" s="43"/>
      <c r="E122" s="43" t="s">
        <v>13</v>
      </c>
      <c r="F122" s="43" t="s">
        <v>3</v>
      </c>
      <c r="G122" s="39"/>
    </row>
    <row r="123" spans="1:7" ht="15.75" x14ac:dyDescent="0.25">
      <c r="A123" s="42"/>
      <c r="B123" s="38"/>
      <c r="C123" s="44" t="s">
        <v>5</v>
      </c>
      <c r="D123" s="44"/>
      <c r="E123" s="44" t="s">
        <v>22</v>
      </c>
      <c r="F123" s="44" t="s">
        <v>6</v>
      </c>
      <c r="G123" s="39"/>
    </row>
    <row r="124" spans="1:7" ht="15.75" x14ac:dyDescent="0.25">
      <c r="A124" s="45" t="s">
        <v>98</v>
      </c>
      <c r="B124" s="36"/>
      <c r="C124" s="46"/>
      <c r="D124" s="46"/>
      <c r="E124" s="46"/>
      <c r="F124" s="46"/>
      <c r="G124" s="39"/>
    </row>
    <row r="125" spans="1:7" ht="15.75" x14ac:dyDescent="0.25">
      <c r="A125" s="42" t="s">
        <v>58</v>
      </c>
      <c r="B125" s="38"/>
      <c r="C125" s="47">
        <v>44693</v>
      </c>
      <c r="D125" s="47"/>
      <c r="E125" s="48">
        <v>1.71</v>
      </c>
      <c r="F125" s="131">
        <f>C125*E125</f>
        <v>76425.03</v>
      </c>
      <c r="G125" s="39"/>
    </row>
    <row r="126" spans="1:7" ht="17.25" x14ac:dyDescent="0.35">
      <c r="A126" s="49" t="s">
        <v>59</v>
      </c>
      <c r="B126" s="50"/>
      <c r="C126" s="51">
        <v>225967</v>
      </c>
      <c r="D126" s="51"/>
      <c r="E126" s="48">
        <v>2.23</v>
      </c>
      <c r="F126" s="132">
        <f>C126*E126</f>
        <v>503906.41</v>
      </c>
      <c r="G126" s="39"/>
    </row>
    <row r="127" spans="1:7" ht="17.25" x14ac:dyDescent="0.35">
      <c r="A127" s="42" t="s">
        <v>3</v>
      </c>
      <c r="B127" s="38"/>
      <c r="C127" s="47">
        <f>SUM(C125:C126)</f>
        <v>270660</v>
      </c>
      <c r="D127" s="51"/>
      <c r="E127" s="38"/>
      <c r="F127" s="131">
        <f>SUM(F125:F126)</f>
        <v>580331.43999999994</v>
      </c>
      <c r="G127" s="39"/>
    </row>
    <row r="128" spans="1:7" ht="15" x14ac:dyDescent="0.2">
      <c r="A128" s="42"/>
      <c r="B128" s="38"/>
      <c r="C128" s="38"/>
      <c r="D128" s="38"/>
      <c r="E128" s="38"/>
      <c r="F128" s="38"/>
      <c r="G128" s="39"/>
    </row>
    <row r="129" spans="1:8" ht="15.75" x14ac:dyDescent="0.25">
      <c r="A129" s="35" t="s">
        <v>23</v>
      </c>
      <c r="B129" s="38"/>
      <c r="C129" s="38"/>
      <c r="D129" s="38"/>
      <c r="E129" s="38"/>
      <c r="F129" s="131">
        <v>519430</v>
      </c>
      <c r="G129" s="39"/>
    </row>
    <row r="130" spans="1:8" ht="15" x14ac:dyDescent="0.2">
      <c r="A130" s="42"/>
      <c r="B130" s="38"/>
      <c r="C130" s="38"/>
      <c r="D130" s="38"/>
      <c r="E130" s="38"/>
      <c r="F130" s="131"/>
      <c r="G130" s="39"/>
    </row>
    <row r="131" spans="1:8" ht="15" x14ac:dyDescent="0.2">
      <c r="A131" s="42" t="s">
        <v>24</v>
      </c>
      <c r="B131" s="38"/>
      <c r="C131" s="38"/>
      <c r="D131" s="38"/>
      <c r="E131" s="38"/>
      <c r="F131" s="47">
        <f>F129-F127</f>
        <v>-60901.439999999944</v>
      </c>
      <c r="G131" s="39"/>
    </row>
    <row r="132" spans="1:8" ht="17.25" x14ac:dyDescent="0.35">
      <c r="A132" s="42"/>
      <c r="B132" s="38"/>
      <c r="C132" s="130"/>
      <c r="D132" s="38"/>
      <c r="E132" s="38"/>
      <c r="F132" s="133"/>
      <c r="G132" s="39"/>
    </row>
    <row r="133" spans="1:8" ht="15" x14ac:dyDescent="0.2">
      <c r="A133" s="42" t="s">
        <v>25</v>
      </c>
      <c r="B133" s="38"/>
      <c r="C133" s="38"/>
      <c r="D133" s="38"/>
      <c r="E133" s="38"/>
      <c r="F133" s="47">
        <f>+C127</f>
        <v>270660</v>
      </c>
      <c r="G133" s="39"/>
    </row>
    <row r="134" spans="1:8" ht="15" x14ac:dyDescent="0.2">
      <c r="A134" s="42"/>
      <c r="B134" s="38"/>
      <c r="C134" s="38"/>
      <c r="D134" s="38"/>
      <c r="E134" s="38"/>
      <c r="F134" s="38"/>
      <c r="G134" s="39"/>
    </row>
    <row r="135" spans="1:8" ht="15" x14ac:dyDescent="0.2">
      <c r="A135" s="42" t="s">
        <v>26</v>
      </c>
      <c r="B135" s="38"/>
      <c r="C135" s="38"/>
      <c r="D135" s="38"/>
      <c r="E135" s="38"/>
      <c r="F135" s="61"/>
      <c r="G135" s="52">
        <f>ROUND(F131/F133,2)</f>
        <v>-0.23</v>
      </c>
    </row>
    <row r="136" spans="1:8" ht="15" x14ac:dyDescent="0.2">
      <c r="A136" s="42"/>
      <c r="B136" s="38"/>
      <c r="C136" s="38"/>
      <c r="D136" s="38"/>
      <c r="E136" s="38"/>
      <c r="F136" s="38"/>
      <c r="G136" s="52"/>
    </row>
    <row r="137" spans="1:8" ht="15" x14ac:dyDescent="0.2">
      <c r="A137" s="42"/>
      <c r="B137" s="38"/>
      <c r="C137" s="38"/>
      <c r="D137" s="38"/>
      <c r="E137" s="38"/>
      <c r="F137" s="38"/>
      <c r="G137" s="52"/>
    </row>
    <row r="138" spans="1:8" ht="15" x14ac:dyDescent="0.2">
      <c r="A138" s="42"/>
      <c r="B138" s="38"/>
      <c r="C138" s="38"/>
      <c r="D138" s="38"/>
      <c r="E138" s="38"/>
      <c r="F138" s="38"/>
      <c r="G138" s="52"/>
      <c r="H138" s="63"/>
    </row>
    <row r="139" spans="1:8" ht="15.75" x14ac:dyDescent="0.25">
      <c r="A139" s="152" t="s">
        <v>145</v>
      </c>
      <c r="B139" s="36"/>
      <c r="C139" s="38"/>
      <c r="D139" s="38"/>
      <c r="E139" s="38"/>
      <c r="F139" s="164">
        <v>115861</v>
      </c>
      <c r="G139" s="52"/>
      <c r="H139" s="161"/>
    </row>
    <row r="140" spans="1:8" ht="17.25" x14ac:dyDescent="0.35">
      <c r="A140" s="42" t="s">
        <v>25</v>
      </c>
      <c r="B140" s="38"/>
      <c r="C140" s="38"/>
      <c r="D140" s="38"/>
      <c r="E140" s="38"/>
      <c r="F140" s="165">
        <f>135817</f>
        <v>135817</v>
      </c>
      <c r="G140" s="52"/>
      <c r="H140" s="162"/>
    </row>
    <row r="141" spans="1:8" ht="17.25" x14ac:dyDescent="0.35">
      <c r="A141" s="42" t="s">
        <v>105</v>
      </c>
      <c r="B141" s="38"/>
      <c r="C141" s="38"/>
      <c r="D141" s="38"/>
      <c r="E141" s="38"/>
      <c r="F141" s="38"/>
      <c r="G141" s="55">
        <f>ROUND(+F139/F140,2)</f>
        <v>0.85</v>
      </c>
      <c r="H141" s="163"/>
    </row>
    <row r="142" spans="1:8" ht="15" x14ac:dyDescent="0.2">
      <c r="A142" s="42"/>
      <c r="B142" s="38"/>
      <c r="C142" s="38"/>
      <c r="D142" s="38"/>
      <c r="E142" s="38"/>
      <c r="F142" s="38"/>
      <c r="G142" s="52"/>
    </row>
    <row r="143" spans="1:8" ht="15.75" x14ac:dyDescent="0.25">
      <c r="A143" s="35" t="s">
        <v>28</v>
      </c>
      <c r="B143" s="36"/>
      <c r="C143" s="38"/>
      <c r="D143" s="38"/>
      <c r="E143" s="38"/>
      <c r="F143" s="38"/>
      <c r="G143" s="169">
        <f>SUM(G135:G141)</f>
        <v>0.62</v>
      </c>
      <c r="H143" s="160"/>
    </row>
    <row r="144" spans="1:8" ht="15.75" x14ac:dyDescent="0.25">
      <c r="A144" s="35"/>
      <c r="B144" s="36"/>
      <c r="C144" s="38"/>
      <c r="D144" s="38"/>
      <c r="E144" s="38"/>
      <c r="F144" s="38"/>
      <c r="G144" s="151"/>
    </row>
    <row r="145" spans="1:8" ht="20.25" x14ac:dyDescent="0.55000000000000004">
      <c r="A145" s="49"/>
      <c r="B145" s="38"/>
      <c r="C145" s="38"/>
      <c r="D145" s="38"/>
      <c r="E145" s="139"/>
      <c r="F145" s="38"/>
      <c r="G145" s="153"/>
      <c r="H145" s="163"/>
    </row>
    <row r="146" spans="1:8" ht="20.25" x14ac:dyDescent="0.55000000000000004">
      <c r="A146" s="49"/>
      <c r="B146" s="38"/>
      <c r="C146" s="38"/>
      <c r="D146" s="38"/>
      <c r="E146" s="139"/>
      <c r="F146" s="38"/>
      <c r="G146" s="153"/>
      <c r="H146" s="119"/>
    </row>
    <row r="147" spans="1:8" ht="18" x14ac:dyDescent="0.4">
      <c r="A147" s="35" t="s">
        <v>129</v>
      </c>
      <c r="B147" s="38"/>
      <c r="C147" s="38"/>
      <c r="D147" s="38"/>
      <c r="E147" s="139"/>
      <c r="F147" s="38"/>
      <c r="G147" s="154">
        <f>+G143+G145</f>
        <v>0.62</v>
      </c>
      <c r="H147" s="160"/>
    </row>
    <row r="148" spans="1:8" ht="13.5" thickBot="1" x14ac:dyDescent="0.25">
      <c r="A148" s="19"/>
      <c r="B148" s="20"/>
      <c r="C148" s="20"/>
      <c r="D148" s="20"/>
      <c r="E148" s="20"/>
      <c r="F148" s="20"/>
      <c r="G148" s="21"/>
    </row>
    <row r="149" spans="1:8" ht="15" x14ac:dyDescent="0.2">
      <c r="A149" s="272" t="s">
        <v>29</v>
      </c>
      <c r="B149" s="273"/>
      <c r="C149" s="273"/>
      <c r="D149" s="273"/>
      <c r="E149" s="273"/>
      <c r="F149" s="273"/>
      <c r="G149" s="274"/>
    </row>
    <row r="150" spans="1:8" ht="15" x14ac:dyDescent="0.2">
      <c r="A150" s="49"/>
      <c r="B150" s="50"/>
      <c r="C150" s="50"/>
      <c r="D150" s="50"/>
      <c r="E150" s="50"/>
      <c r="F150" s="50"/>
      <c r="G150" s="64"/>
    </row>
    <row r="151" spans="1:8" ht="15.75" x14ac:dyDescent="0.25">
      <c r="A151" s="49"/>
      <c r="B151" s="50"/>
      <c r="C151" s="43"/>
      <c r="D151" s="43"/>
      <c r="E151" s="43" t="s">
        <v>13</v>
      </c>
      <c r="F151" s="43" t="s">
        <v>3</v>
      </c>
      <c r="G151" s="64"/>
    </row>
    <row r="152" spans="1:8" ht="15.75" x14ac:dyDescent="0.25">
      <c r="A152" s="49"/>
      <c r="B152" s="50"/>
      <c r="C152" s="65" t="s">
        <v>20</v>
      </c>
      <c r="D152" s="65"/>
      <c r="E152" s="65" t="s">
        <v>22</v>
      </c>
      <c r="F152" s="65" t="s">
        <v>6</v>
      </c>
      <c r="G152" s="64"/>
    </row>
    <row r="153" spans="1:8" ht="15.75" x14ac:dyDescent="0.25">
      <c r="A153" s="45" t="s">
        <v>98</v>
      </c>
      <c r="B153" s="36"/>
      <c r="C153" s="66"/>
      <c r="D153" s="66"/>
      <c r="E153" s="66"/>
      <c r="F153" s="66"/>
      <c r="G153" s="64"/>
    </row>
    <row r="154" spans="1:8" ht="15.75" x14ac:dyDescent="0.25">
      <c r="A154" s="42" t="s">
        <v>58</v>
      </c>
      <c r="B154" s="50"/>
      <c r="C154" s="67" t="e">
        <f>+'Res''l &amp; MF Customers'!#REF!+'Res''l &amp; MF Customers'!#REF!</f>
        <v>#REF!</v>
      </c>
      <c r="D154" s="67"/>
      <c r="E154" s="68">
        <v>0.24</v>
      </c>
      <c r="F154" s="54" t="e">
        <f>E154*C154</f>
        <v>#REF!</v>
      </c>
      <c r="G154" s="64"/>
    </row>
    <row r="155" spans="1:8" ht="17.25" x14ac:dyDescent="0.35">
      <c r="A155" s="49" t="s">
        <v>59</v>
      </c>
      <c r="B155" s="50"/>
      <c r="C155" s="51">
        <v>17388</v>
      </c>
      <c r="D155" s="51"/>
      <c r="E155" s="68">
        <v>0.34</v>
      </c>
      <c r="F155" s="132">
        <f>E155*C155</f>
        <v>5911.92</v>
      </c>
      <c r="G155" s="64"/>
    </row>
    <row r="156" spans="1:8" ht="15" x14ac:dyDescent="0.2">
      <c r="A156" s="42" t="s">
        <v>3</v>
      </c>
      <c r="B156" s="50"/>
      <c r="C156" s="67" t="e">
        <f>SUM(C154:C155)</f>
        <v>#REF!</v>
      </c>
      <c r="D156" s="67"/>
      <c r="E156" s="50"/>
      <c r="F156" s="54" t="e">
        <f>SUM(F154:F155)</f>
        <v>#REF!</v>
      </c>
      <c r="G156" s="64"/>
    </row>
    <row r="157" spans="1:8" ht="15" x14ac:dyDescent="0.2">
      <c r="A157" s="42"/>
      <c r="B157" s="50"/>
      <c r="C157" s="50"/>
      <c r="D157" s="50"/>
      <c r="E157" s="50"/>
      <c r="F157" s="54"/>
      <c r="G157" s="64"/>
    </row>
    <row r="158" spans="1:8" ht="15.75" x14ac:dyDescent="0.25">
      <c r="A158" s="35" t="s">
        <v>23</v>
      </c>
      <c r="B158" s="50"/>
      <c r="C158" s="50"/>
      <c r="D158" s="50"/>
      <c r="E158" s="50"/>
      <c r="F158" s="54">
        <v>7108</v>
      </c>
      <c r="G158" s="64"/>
    </row>
    <row r="159" spans="1:8" ht="15" x14ac:dyDescent="0.2">
      <c r="A159" s="42"/>
      <c r="B159" s="50"/>
      <c r="C159" s="50"/>
      <c r="D159" s="50"/>
      <c r="E159" s="50"/>
      <c r="F159" s="54"/>
      <c r="G159" s="64"/>
    </row>
    <row r="160" spans="1:8" ht="15" x14ac:dyDescent="0.2">
      <c r="A160" s="42" t="s">
        <v>101</v>
      </c>
      <c r="B160" s="50"/>
      <c r="C160" s="50"/>
      <c r="D160" s="50"/>
      <c r="E160" s="50"/>
      <c r="F160" s="131" t="e">
        <f>F158-F156</f>
        <v>#REF!</v>
      </c>
      <c r="G160" s="64"/>
    </row>
    <row r="161" spans="1:8" ht="17.25" x14ac:dyDescent="0.35">
      <c r="A161" s="42"/>
      <c r="B161" s="50"/>
      <c r="C161" s="135"/>
      <c r="D161" s="50"/>
      <c r="E161" s="50"/>
      <c r="F161" s="133"/>
      <c r="G161" s="64"/>
    </row>
    <row r="162" spans="1:8" ht="15" x14ac:dyDescent="0.2">
      <c r="A162" s="42" t="s">
        <v>25</v>
      </c>
      <c r="B162" s="50"/>
      <c r="C162" s="50"/>
      <c r="D162" s="50"/>
      <c r="E162" s="50"/>
      <c r="F162" s="67" t="e">
        <f>+C156</f>
        <v>#REF!</v>
      </c>
      <c r="G162" s="64"/>
    </row>
    <row r="163" spans="1:8" ht="15" x14ac:dyDescent="0.2">
      <c r="A163" s="42"/>
      <c r="B163" s="50"/>
      <c r="C163" s="50"/>
      <c r="D163" s="50"/>
      <c r="E163" s="50"/>
      <c r="F163" s="50"/>
      <c r="G163" s="64"/>
    </row>
    <row r="164" spans="1:8" ht="15" x14ac:dyDescent="0.2">
      <c r="A164" s="42" t="s">
        <v>26</v>
      </c>
      <c r="B164" s="50"/>
      <c r="C164" s="50"/>
      <c r="D164" s="50"/>
      <c r="E164" s="50"/>
      <c r="F164" s="50"/>
      <c r="G164" s="70" t="e">
        <f>ROUND(F160/F162,2)</f>
        <v>#REF!</v>
      </c>
    </row>
    <row r="165" spans="1:8" ht="15" x14ac:dyDescent="0.2">
      <c r="A165" s="42"/>
      <c r="B165" s="50"/>
      <c r="C165" s="50"/>
      <c r="D165" s="50"/>
      <c r="E165" s="50"/>
      <c r="F165" s="50"/>
      <c r="G165" s="70"/>
    </row>
    <row r="166" spans="1:8" ht="15" x14ac:dyDescent="0.2">
      <c r="A166" s="42"/>
      <c r="B166" s="50"/>
      <c r="C166" s="50"/>
      <c r="D166" s="50"/>
      <c r="E166" s="50"/>
      <c r="F166" s="67"/>
      <c r="G166" s="64"/>
    </row>
    <row r="167" spans="1:8" ht="15.75" x14ac:dyDescent="0.25">
      <c r="A167" s="42"/>
      <c r="B167" s="36"/>
      <c r="C167" s="50"/>
      <c r="D167" s="50"/>
      <c r="E167" s="50"/>
      <c r="F167" s="67"/>
      <c r="G167" s="64"/>
    </row>
    <row r="168" spans="1:8" ht="15.75" x14ac:dyDescent="0.25">
      <c r="A168" s="152" t="s">
        <v>145</v>
      </c>
      <c r="B168" s="50"/>
      <c r="C168" s="50"/>
      <c r="D168" s="50"/>
      <c r="E168" s="50"/>
      <c r="F168" s="166">
        <v>1586</v>
      </c>
      <c r="G168" s="64"/>
      <c r="H168" s="159"/>
    </row>
    <row r="169" spans="1:8" ht="17.25" x14ac:dyDescent="0.35">
      <c r="A169" s="49" t="s">
        <v>25</v>
      </c>
      <c r="B169" s="36"/>
      <c r="C169" s="139"/>
      <c r="D169" s="38"/>
      <c r="E169" s="38"/>
      <c r="F169" s="167">
        <v>10624</v>
      </c>
      <c r="G169" s="64"/>
    </row>
    <row r="170" spans="1:8" ht="17.25" x14ac:dyDescent="0.35">
      <c r="A170" s="42" t="s">
        <v>105</v>
      </c>
      <c r="B170" s="38"/>
      <c r="C170" s="38"/>
      <c r="D170" s="38"/>
      <c r="E170" s="38"/>
      <c r="F170" s="38"/>
      <c r="G170" s="55">
        <f>ROUND(+F168/F169,2)</f>
        <v>0.15</v>
      </c>
    </row>
    <row r="171" spans="1:8" ht="15" x14ac:dyDescent="0.2">
      <c r="A171" s="42"/>
      <c r="B171" s="50"/>
      <c r="C171" s="50"/>
      <c r="D171" s="50"/>
      <c r="E171" s="50"/>
      <c r="F171" s="67"/>
      <c r="G171" s="64"/>
    </row>
    <row r="172" spans="1:8" ht="15.75" x14ac:dyDescent="0.25">
      <c r="A172" s="35" t="s">
        <v>134</v>
      </c>
      <c r="B172" s="36"/>
      <c r="C172" s="38"/>
      <c r="D172" s="38"/>
      <c r="E172" s="38"/>
      <c r="F172" s="38"/>
      <c r="G172" s="169" t="e">
        <f>SUM(G164:G170)</f>
        <v>#REF!</v>
      </c>
      <c r="H172" s="160"/>
    </row>
    <row r="173" spans="1:8" ht="17.25" x14ac:dyDescent="0.35">
      <c r="A173" s="42"/>
      <c r="B173" s="50"/>
      <c r="C173" s="50"/>
      <c r="D173" s="50"/>
      <c r="E173" s="50"/>
      <c r="F173" s="50"/>
      <c r="G173" s="55"/>
    </row>
    <row r="174" spans="1:8" ht="20.25" x14ac:dyDescent="0.55000000000000004">
      <c r="A174" s="49"/>
      <c r="B174" s="38"/>
      <c r="C174" s="38"/>
      <c r="D174" s="38"/>
      <c r="E174" s="139"/>
      <c r="F174" s="38"/>
      <c r="G174" s="153"/>
    </row>
    <row r="175" spans="1:8" ht="20.25" x14ac:dyDescent="0.55000000000000004">
      <c r="A175" s="49"/>
      <c r="B175" s="38"/>
      <c r="C175" s="38"/>
      <c r="D175" s="38"/>
      <c r="E175" s="139"/>
      <c r="F175" s="38"/>
      <c r="G175" s="153"/>
      <c r="H175" s="119"/>
    </row>
    <row r="176" spans="1:8" ht="18" x14ac:dyDescent="0.4">
      <c r="A176" s="35" t="s">
        <v>129</v>
      </c>
      <c r="B176" s="38"/>
      <c r="C176" s="38"/>
      <c r="D176" s="38"/>
      <c r="E176" s="139"/>
      <c r="F176" s="38"/>
      <c r="G176" s="154" t="e">
        <f>+G172+G174</f>
        <v>#REF!</v>
      </c>
      <c r="H176" s="160"/>
    </row>
    <row r="177" spans="1:7" ht="15.75" thickBot="1" x14ac:dyDescent="0.25">
      <c r="A177" s="72"/>
      <c r="B177" s="73"/>
      <c r="C177" s="73"/>
      <c r="D177" s="73"/>
      <c r="E177" s="73"/>
      <c r="F177" s="73"/>
      <c r="G177" s="74"/>
    </row>
    <row r="178" spans="1:7" ht="23.25" x14ac:dyDescent="0.35">
      <c r="A178" s="31" t="s">
        <v>57</v>
      </c>
      <c r="B178" s="32"/>
      <c r="C178" s="33"/>
      <c r="D178" s="33"/>
      <c r="E178" s="33"/>
      <c r="F178" s="33"/>
      <c r="G178" s="34"/>
    </row>
    <row r="179" spans="1:7" ht="15.75" x14ac:dyDescent="0.25">
      <c r="A179" s="35" t="s">
        <v>96</v>
      </c>
      <c r="B179" s="36"/>
      <c r="C179" s="37"/>
      <c r="D179" s="37"/>
      <c r="E179" s="38"/>
      <c r="F179" s="38"/>
      <c r="G179" s="39"/>
    </row>
    <row r="180" spans="1:7" ht="15.75" x14ac:dyDescent="0.25">
      <c r="A180" s="40"/>
      <c r="B180" s="41"/>
      <c r="C180" s="38"/>
      <c r="D180" s="38"/>
      <c r="E180" s="38"/>
      <c r="F180" s="38"/>
      <c r="G180" s="39"/>
    </row>
    <row r="181" spans="1:7" ht="15" x14ac:dyDescent="0.2">
      <c r="A181" s="272" t="s">
        <v>21</v>
      </c>
      <c r="B181" s="273"/>
      <c r="C181" s="273"/>
      <c r="D181" s="273"/>
      <c r="E181" s="273"/>
      <c r="F181" s="273"/>
      <c r="G181" s="274"/>
    </row>
    <row r="182" spans="1:7" ht="15" x14ac:dyDescent="0.2">
      <c r="A182" s="42"/>
      <c r="B182" s="38"/>
      <c r="C182" s="38"/>
      <c r="D182" s="38"/>
      <c r="E182" s="38"/>
      <c r="F182" s="38"/>
      <c r="G182" s="39"/>
    </row>
    <row r="183" spans="1:7" ht="15.75" x14ac:dyDescent="0.25">
      <c r="A183" s="42"/>
      <c r="B183" s="38"/>
      <c r="C183" s="43"/>
      <c r="D183" s="43"/>
      <c r="E183" s="43" t="s">
        <v>13</v>
      </c>
      <c r="F183" s="43" t="s">
        <v>3</v>
      </c>
      <c r="G183" s="39"/>
    </row>
    <row r="184" spans="1:7" ht="15.75" x14ac:dyDescent="0.25">
      <c r="A184" s="42"/>
      <c r="B184" s="38"/>
      <c r="C184" s="44" t="s">
        <v>5</v>
      </c>
      <c r="D184" s="44"/>
      <c r="E184" s="44" t="s">
        <v>22</v>
      </c>
      <c r="F184" s="44" t="s">
        <v>6</v>
      </c>
      <c r="G184" s="39"/>
    </row>
    <row r="185" spans="1:7" ht="15.75" x14ac:dyDescent="0.25">
      <c r="A185" s="45" t="s">
        <v>85</v>
      </c>
      <c r="B185" s="36"/>
      <c r="C185" s="46"/>
      <c r="D185" s="46"/>
      <c r="E185" s="46"/>
      <c r="F185" s="46"/>
      <c r="G185" s="39"/>
    </row>
    <row r="186" spans="1:7" ht="15.75" x14ac:dyDescent="0.25">
      <c r="A186" s="42" t="s">
        <v>58</v>
      </c>
      <c r="B186" s="38"/>
      <c r="C186" s="47">
        <v>43420</v>
      </c>
      <c r="D186" s="47"/>
      <c r="E186" s="48">
        <f>+E245</f>
        <v>1.99</v>
      </c>
      <c r="F186" s="131">
        <f>C186*E186</f>
        <v>86405.8</v>
      </c>
      <c r="G186" s="39"/>
    </row>
    <row r="187" spans="1:7" ht="17.25" x14ac:dyDescent="0.35">
      <c r="A187" s="49" t="s">
        <v>59</v>
      </c>
      <c r="B187" s="50"/>
      <c r="C187" s="51">
        <v>219122</v>
      </c>
      <c r="D187" s="51"/>
      <c r="E187" s="48">
        <f>+G260</f>
        <v>1.71</v>
      </c>
      <c r="F187" s="132">
        <f>C187*E187</f>
        <v>374698.62</v>
      </c>
      <c r="G187" s="39"/>
    </row>
    <row r="188" spans="1:7" ht="17.25" x14ac:dyDescent="0.35">
      <c r="A188" s="42" t="s">
        <v>3</v>
      </c>
      <c r="B188" s="38"/>
      <c r="C188" s="47">
        <f>SUM(C186:C187)</f>
        <v>262542</v>
      </c>
      <c r="D188" s="51"/>
      <c r="E188" s="38"/>
      <c r="F188" s="131">
        <f>SUM(F186:F187)</f>
        <v>461104.42</v>
      </c>
      <c r="G188" s="39"/>
    </row>
    <row r="189" spans="1:7" ht="15" x14ac:dyDescent="0.2">
      <c r="A189" s="42"/>
      <c r="B189" s="38"/>
      <c r="C189" s="38"/>
      <c r="D189" s="38"/>
      <c r="E189" s="38"/>
      <c r="F189" s="38"/>
      <c r="G189" s="39"/>
    </row>
    <row r="190" spans="1:7" ht="15.75" x14ac:dyDescent="0.25">
      <c r="A190" s="35" t="s">
        <v>23</v>
      </c>
      <c r="B190" s="38"/>
      <c r="C190" s="38"/>
      <c r="D190" s="38"/>
      <c r="E190" s="38"/>
      <c r="F190" s="131">
        <v>585067</v>
      </c>
      <c r="G190" s="39"/>
    </row>
    <row r="191" spans="1:7" ht="15" x14ac:dyDescent="0.2">
      <c r="A191" s="42"/>
      <c r="B191" s="38"/>
      <c r="C191" s="38"/>
      <c r="D191" s="38"/>
      <c r="E191" s="38"/>
      <c r="F191" s="131"/>
      <c r="G191" s="39"/>
    </row>
    <row r="192" spans="1:7" ht="15" x14ac:dyDescent="0.2">
      <c r="A192" s="42" t="s">
        <v>101</v>
      </c>
      <c r="B192" s="38"/>
      <c r="C192" s="38"/>
      <c r="D192" s="38"/>
      <c r="E192" s="38"/>
      <c r="F192" s="131">
        <f>F190-F188</f>
        <v>123962.58000000002</v>
      </c>
      <c r="G192" s="39"/>
    </row>
    <row r="193" spans="1:7" ht="17.25" x14ac:dyDescent="0.35">
      <c r="A193" s="42" t="s">
        <v>102</v>
      </c>
      <c r="B193" s="38"/>
      <c r="C193" s="130">
        <f>-1.78+1.44</f>
        <v>-0.34000000000000008</v>
      </c>
      <c r="D193" s="38"/>
      <c r="E193" s="38"/>
      <c r="F193" s="133">
        <f>C193*C186</f>
        <v>-14762.800000000003</v>
      </c>
      <c r="G193" s="39"/>
    </row>
    <row r="194" spans="1:7" ht="15" x14ac:dyDescent="0.2">
      <c r="A194" s="134" t="s">
        <v>100</v>
      </c>
      <c r="B194" s="38"/>
      <c r="C194" s="38"/>
      <c r="D194" s="38"/>
      <c r="E194" s="38"/>
      <c r="F194" s="131">
        <f>SUM(F192:F193)</f>
        <v>109199.78000000001</v>
      </c>
      <c r="G194" s="39"/>
    </row>
    <row r="195" spans="1:7" ht="15" x14ac:dyDescent="0.2">
      <c r="A195" s="42"/>
      <c r="B195" s="38"/>
      <c r="C195" s="38"/>
      <c r="D195" s="38"/>
      <c r="E195" s="38"/>
      <c r="F195" s="38"/>
      <c r="G195" s="39"/>
    </row>
    <row r="196" spans="1:7" ht="15" x14ac:dyDescent="0.2">
      <c r="A196" s="42" t="s">
        <v>25</v>
      </c>
      <c r="B196" s="38"/>
      <c r="C196" s="38"/>
      <c r="D196" s="38"/>
      <c r="E196" s="38"/>
      <c r="F196" s="47">
        <f>+C188</f>
        <v>262542</v>
      </c>
      <c r="G196" s="39"/>
    </row>
    <row r="197" spans="1:7" ht="15" x14ac:dyDescent="0.2">
      <c r="A197" s="42"/>
      <c r="B197" s="38"/>
      <c r="C197" s="38"/>
      <c r="D197" s="38"/>
      <c r="E197" s="38"/>
      <c r="F197" s="38"/>
      <c r="G197" s="39"/>
    </row>
    <row r="198" spans="1:7" ht="15" x14ac:dyDescent="0.2">
      <c r="A198" s="42" t="s">
        <v>26</v>
      </c>
      <c r="B198" s="38"/>
      <c r="C198" s="38"/>
      <c r="D198" s="38"/>
      <c r="E198" s="38"/>
      <c r="F198" s="61"/>
      <c r="G198" s="52">
        <f>ROUND(F194/F196,2)</f>
        <v>0.42</v>
      </c>
    </row>
    <row r="199" spans="1:7" ht="15" x14ac:dyDescent="0.2">
      <c r="A199" s="42"/>
      <c r="B199" s="38"/>
      <c r="C199" s="38"/>
      <c r="D199" s="38"/>
      <c r="E199" s="38"/>
      <c r="F199" s="38"/>
      <c r="G199" s="52"/>
    </row>
    <row r="200" spans="1:7" ht="15" x14ac:dyDescent="0.2">
      <c r="A200" s="42"/>
      <c r="B200" s="38"/>
      <c r="C200" s="38"/>
      <c r="D200" s="38"/>
      <c r="E200" s="38"/>
      <c r="F200" s="38"/>
      <c r="G200" s="52"/>
    </row>
    <row r="201" spans="1:7" ht="15" x14ac:dyDescent="0.2">
      <c r="A201" s="42"/>
      <c r="B201" s="38"/>
      <c r="C201" s="38"/>
      <c r="D201" s="38"/>
      <c r="E201" s="38"/>
      <c r="F201" s="38"/>
      <c r="G201" s="52"/>
    </row>
    <row r="202" spans="1:7" ht="15.75" x14ac:dyDescent="0.25">
      <c r="A202" s="45" t="s">
        <v>98</v>
      </c>
      <c r="B202" s="36"/>
      <c r="C202" s="38"/>
      <c r="D202" s="38"/>
      <c r="E202" s="38"/>
      <c r="F202" s="53">
        <f>+F190</f>
        <v>585067</v>
      </c>
      <c r="G202" s="52"/>
    </row>
    <row r="203" spans="1:7" ht="15" x14ac:dyDescent="0.2">
      <c r="A203" s="42" t="s">
        <v>25</v>
      </c>
      <c r="B203" s="38"/>
      <c r="C203" s="38"/>
      <c r="D203" s="38"/>
      <c r="E203" s="38"/>
      <c r="F203" s="47">
        <f>+C188</f>
        <v>262542</v>
      </c>
      <c r="G203" s="52"/>
    </row>
    <row r="204" spans="1:7" ht="17.25" x14ac:dyDescent="0.35">
      <c r="A204" s="42" t="s">
        <v>27</v>
      </c>
      <c r="B204" s="38"/>
      <c r="C204" s="38"/>
      <c r="D204" s="38"/>
      <c r="E204" s="38"/>
      <c r="F204" s="38"/>
      <c r="G204" s="55">
        <f>ROUND(+F202/F203,2)</f>
        <v>2.23</v>
      </c>
    </row>
    <row r="205" spans="1:7" ht="15" x14ac:dyDescent="0.2">
      <c r="A205" s="42"/>
      <c r="B205" s="38"/>
      <c r="C205" s="38"/>
      <c r="D205" s="38"/>
      <c r="E205" s="38"/>
      <c r="F205" s="38"/>
      <c r="G205" s="52"/>
    </row>
    <row r="206" spans="1:7" ht="15" x14ac:dyDescent="0.2">
      <c r="A206" s="42"/>
      <c r="B206" s="38"/>
      <c r="C206" s="38"/>
      <c r="D206" s="38"/>
      <c r="E206" s="38"/>
      <c r="F206" s="38"/>
      <c r="G206" s="52"/>
    </row>
    <row r="207" spans="1:7" ht="16.5" thickBot="1" x14ac:dyDescent="0.3">
      <c r="A207" s="35" t="s">
        <v>28</v>
      </c>
      <c r="B207" s="36"/>
      <c r="C207" s="38"/>
      <c r="D207" s="38"/>
      <c r="E207" s="38"/>
      <c r="F207" s="38"/>
      <c r="G207" s="58">
        <f>SUM(G198:G204)</f>
        <v>2.65</v>
      </c>
    </row>
    <row r="208" spans="1:7" ht="14.25" thickTop="1" thickBot="1" x14ac:dyDescent="0.25">
      <c r="A208" s="19"/>
      <c r="B208" s="20"/>
      <c r="C208" s="20"/>
      <c r="D208" s="20"/>
      <c r="E208" s="20"/>
      <c r="F208" s="20"/>
      <c r="G208" s="21"/>
    </row>
    <row r="209" spans="1:7" ht="15" x14ac:dyDescent="0.2">
      <c r="A209" s="272" t="s">
        <v>29</v>
      </c>
      <c r="B209" s="273"/>
      <c r="C209" s="273"/>
      <c r="D209" s="273"/>
      <c r="E209" s="273"/>
      <c r="F209" s="273"/>
      <c r="G209" s="274"/>
    </row>
    <row r="210" spans="1:7" ht="15" x14ac:dyDescent="0.2">
      <c r="A210" s="49"/>
      <c r="B210" s="50"/>
      <c r="C210" s="50"/>
      <c r="D210" s="50"/>
      <c r="E210" s="50"/>
      <c r="F210" s="50"/>
      <c r="G210" s="64"/>
    </row>
    <row r="211" spans="1:7" ht="15.75" x14ac:dyDescent="0.25">
      <c r="A211" s="49"/>
      <c r="B211" s="50"/>
      <c r="C211" s="43"/>
      <c r="D211" s="43"/>
      <c r="E211" s="43" t="s">
        <v>13</v>
      </c>
      <c r="F211" s="43" t="s">
        <v>3</v>
      </c>
      <c r="G211" s="64"/>
    </row>
    <row r="212" spans="1:7" ht="15.75" x14ac:dyDescent="0.25">
      <c r="A212" s="49"/>
      <c r="B212" s="50"/>
      <c r="C212" s="65" t="s">
        <v>20</v>
      </c>
      <c r="D212" s="65"/>
      <c r="E212" s="65" t="s">
        <v>22</v>
      </c>
      <c r="F212" s="65" t="s">
        <v>6</v>
      </c>
      <c r="G212" s="64"/>
    </row>
    <row r="213" spans="1:7" ht="15.75" x14ac:dyDescent="0.25">
      <c r="A213" s="45" t="s">
        <v>85</v>
      </c>
      <c r="B213" s="36"/>
      <c r="C213" s="66"/>
      <c r="D213" s="66"/>
      <c r="E213" s="66"/>
      <c r="F213" s="66"/>
      <c r="G213" s="64"/>
    </row>
    <row r="214" spans="1:7" ht="15.75" x14ac:dyDescent="0.25">
      <c r="A214" s="42" t="s">
        <v>58</v>
      </c>
      <c r="B214" s="50"/>
      <c r="C214" s="67">
        <v>3165.2666666666669</v>
      </c>
      <c r="D214" s="67"/>
      <c r="E214" s="68">
        <f>+E271</f>
        <v>0.26</v>
      </c>
      <c r="F214" s="54">
        <f>E214*C214</f>
        <v>822.96933333333345</v>
      </c>
      <c r="G214" s="64"/>
    </row>
    <row r="215" spans="1:7" ht="17.25" x14ac:dyDescent="0.35">
      <c r="A215" s="49" t="s">
        <v>59</v>
      </c>
      <c r="B215" s="50"/>
      <c r="C215" s="51">
        <v>15187.712732919255</v>
      </c>
      <c r="D215" s="51"/>
      <c r="E215" s="68">
        <f>+G286</f>
        <v>0.24</v>
      </c>
      <c r="F215" s="132">
        <f>E215*C215</f>
        <v>3645.0510559006211</v>
      </c>
      <c r="G215" s="64"/>
    </row>
    <row r="216" spans="1:7" ht="15" x14ac:dyDescent="0.2">
      <c r="A216" s="42" t="s">
        <v>3</v>
      </c>
      <c r="B216" s="50"/>
      <c r="C216" s="67">
        <f>SUM(C214:C215)</f>
        <v>18352.979399585922</v>
      </c>
      <c r="D216" s="67"/>
      <c r="E216" s="50"/>
      <c r="F216" s="54">
        <f>SUM(F214:F215)</f>
        <v>4468.0203892339541</v>
      </c>
      <c r="G216" s="64"/>
    </row>
    <row r="217" spans="1:7" ht="15" x14ac:dyDescent="0.2">
      <c r="A217" s="42"/>
      <c r="B217" s="50"/>
      <c r="C217" s="50"/>
      <c r="D217" s="50"/>
      <c r="E217" s="50"/>
      <c r="F217" s="54"/>
      <c r="G217" s="64"/>
    </row>
    <row r="218" spans="1:7" ht="15.75" x14ac:dyDescent="0.25">
      <c r="A218" s="35" t="s">
        <v>23</v>
      </c>
      <c r="B218" s="50"/>
      <c r="C218" s="50"/>
      <c r="D218" s="50"/>
      <c r="E218" s="50"/>
      <c r="F218" s="54">
        <v>6208.3877211296831</v>
      </c>
      <c r="G218" s="64"/>
    </row>
    <row r="219" spans="1:7" ht="15" x14ac:dyDescent="0.2">
      <c r="A219" s="42"/>
      <c r="B219" s="50"/>
      <c r="C219" s="50"/>
      <c r="D219" s="50"/>
      <c r="E219" s="50"/>
      <c r="F219" s="54"/>
      <c r="G219" s="64"/>
    </row>
    <row r="220" spans="1:7" ht="15" x14ac:dyDescent="0.2">
      <c r="A220" s="42" t="s">
        <v>101</v>
      </c>
      <c r="B220" s="50"/>
      <c r="C220" s="50"/>
      <c r="D220" s="50"/>
      <c r="E220" s="50"/>
      <c r="F220" s="131">
        <f>F218-F216</f>
        <v>1740.367331895729</v>
      </c>
      <c r="G220" s="64"/>
    </row>
    <row r="221" spans="1:7" ht="17.25" x14ac:dyDescent="0.35">
      <c r="A221" s="42" t="s">
        <v>103</v>
      </c>
      <c r="B221" s="50"/>
      <c r="C221" s="135">
        <f>-0.28+0.23</f>
        <v>-5.0000000000000017E-2</v>
      </c>
      <c r="D221" s="50"/>
      <c r="E221" s="50"/>
      <c r="F221" s="133">
        <f>C221*C214</f>
        <v>-158.26333333333341</v>
      </c>
      <c r="G221" s="64"/>
    </row>
    <row r="222" spans="1:7" ht="15" x14ac:dyDescent="0.2">
      <c r="A222" s="134" t="s">
        <v>100</v>
      </c>
      <c r="B222" s="50"/>
      <c r="C222" s="50"/>
      <c r="D222" s="50"/>
      <c r="E222" s="50"/>
      <c r="F222" s="131">
        <f>SUM(F220:F221)</f>
        <v>1582.1039985623956</v>
      </c>
      <c r="G222" s="64"/>
    </row>
    <row r="223" spans="1:7" ht="15" x14ac:dyDescent="0.2">
      <c r="A223" s="42"/>
      <c r="B223" s="50"/>
      <c r="C223" s="50"/>
      <c r="D223" s="50"/>
      <c r="E223" s="50"/>
      <c r="F223" s="50"/>
      <c r="G223" s="64"/>
    </row>
    <row r="224" spans="1:7" ht="15" x14ac:dyDescent="0.2">
      <c r="A224" s="42" t="s">
        <v>25</v>
      </c>
      <c r="B224" s="50"/>
      <c r="C224" s="50"/>
      <c r="D224" s="50"/>
      <c r="E224" s="50"/>
      <c r="F224" s="67">
        <f>+C216</f>
        <v>18352.979399585922</v>
      </c>
      <c r="G224" s="64"/>
    </row>
    <row r="225" spans="1:7" ht="15" x14ac:dyDescent="0.2">
      <c r="A225" s="42"/>
      <c r="B225" s="50"/>
      <c r="C225" s="50"/>
      <c r="D225" s="50"/>
      <c r="E225" s="50"/>
      <c r="F225" s="50"/>
      <c r="G225" s="64"/>
    </row>
    <row r="226" spans="1:7" ht="15" x14ac:dyDescent="0.2">
      <c r="A226" s="42" t="s">
        <v>26</v>
      </c>
      <c r="B226" s="50"/>
      <c r="C226" s="50"/>
      <c r="D226" s="50"/>
      <c r="E226" s="50"/>
      <c r="F226" s="50"/>
      <c r="G226" s="70">
        <f>ROUND(F222/F224,2)</f>
        <v>0.09</v>
      </c>
    </row>
    <row r="227" spans="1:7" ht="15" x14ac:dyDescent="0.2">
      <c r="A227" s="42"/>
      <c r="B227" s="50"/>
      <c r="C227" s="50"/>
      <c r="D227" s="50"/>
      <c r="E227" s="50"/>
      <c r="F227" s="50"/>
      <c r="G227" s="70"/>
    </row>
    <row r="228" spans="1:7" ht="15" x14ac:dyDescent="0.2">
      <c r="A228" s="42"/>
      <c r="B228" s="50"/>
      <c r="C228" s="50"/>
      <c r="D228" s="50"/>
      <c r="E228" s="50"/>
      <c r="F228" s="67"/>
      <c r="G228" s="64"/>
    </row>
    <row r="229" spans="1:7" ht="15.75" x14ac:dyDescent="0.25">
      <c r="A229" s="42"/>
      <c r="B229" s="36"/>
      <c r="C229" s="50"/>
      <c r="D229" s="50"/>
      <c r="E229" s="50"/>
      <c r="F229" s="67"/>
      <c r="G229" s="64"/>
    </row>
    <row r="230" spans="1:7" ht="15.75" x14ac:dyDescent="0.25">
      <c r="A230" s="45" t="s">
        <v>98</v>
      </c>
      <c r="B230" s="50"/>
      <c r="C230" s="50"/>
      <c r="D230" s="50"/>
      <c r="E230" s="50"/>
      <c r="F230" s="54">
        <f>+F218</f>
        <v>6208.3877211296831</v>
      </c>
      <c r="G230" s="64"/>
    </row>
    <row r="231" spans="1:7" ht="15" x14ac:dyDescent="0.2">
      <c r="A231" s="42" t="s">
        <v>25</v>
      </c>
      <c r="B231" s="50"/>
      <c r="C231" s="50"/>
      <c r="D231" s="50"/>
      <c r="E231" s="50"/>
      <c r="F231" s="67">
        <f>+C216</f>
        <v>18352.979399585922</v>
      </c>
      <c r="G231" s="64"/>
    </row>
    <row r="232" spans="1:7" ht="17.25" x14ac:dyDescent="0.35">
      <c r="A232" s="42" t="s">
        <v>27</v>
      </c>
      <c r="B232" s="50"/>
      <c r="C232" s="50"/>
      <c r="D232" s="50"/>
      <c r="E232" s="50"/>
      <c r="F232" s="50"/>
      <c r="G232" s="57">
        <f>ROUND(+F230/F231,2)</f>
        <v>0.34</v>
      </c>
    </row>
    <row r="233" spans="1:7" ht="17.25" x14ac:dyDescent="0.35">
      <c r="A233" s="42"/>
      <c r="B233" s="50"/>
      <c r="C233" s="50"/>
      <c r="D233" s="50"/>
      <c r="E233" s="50"/>
      <c r="F233" s="50"/>
      <c r="G233" s="57"/>
    </row>
    <row r="234" spans="1:7" ht="16.5" thickBot="1" x14ac:dyDescent="0.3">
      <c r="A234" s="35" t="s">
        <v>30</v>
      </c>
      <c r="B234" s="36"/>
      <c r="C234" s="50"/>
      <c r="D234" s="50"/>
      <c r="E234" s="50"/>
      <c r="F234" s="50"/>
      <c r="G234" s="71">
        <f>+G232+G226+G227</f>
        <v>0.43000000000000005</v>
      </c>
    </row>
    <row r="235" spans="1:7" ht="16.5" thickTop="1" thickBot="1" x14ac:dyDescent="0.25">
      <c r="A235" s="72"/>
      <c r="B235" s="73"/>
      <c r="C235" s="73"/>
      <c r="D235" s="73"/>
      <c r="E235" s="73"/>
      <c r="F235" s="73"/>
      <c r="G235" s="74"/>
    </row>
    <row r="236" spans="1:7" ht="23.25" x14ac:dyDescent="0.35">
      <c r="A236" s="31" t="s">
        <v>57</v>
      </c>
      <c r="B236" s="32"/>
      <c r="C236" s="33"/>
      <c r="D236" s="33"/>
      <c r="E236" s="33"/>
      <c r="F236" s="33"/>
      <c r="G236" s="34"/>
    </row>
    <row r="237" spans="1:7" ht="15.75" x14ac:dyDescent="0.25">
      <c r="A237" s="35" t="s">
        <v>84</v>
      </c>
      <c r="B237" s="36"/>
      <c r="C237" s="37"/>
      <c r="D237" s="37"/>
      <c r="E237" s="38"/>
      <c r="F237" s="38"/>
      <c r="G237" s="39"/>
    </row>
    <row r="238" spans="1:7" ht="15.75" x14ac:dyDescent="0.25">
      <c r="A238" s="40"/>
      <c r="B238" s="41"/>
      <c r="C238" s="38"/>
      <c r="D238" s="38"/>
      <c r="E238" s="38"/>
      <c r="F238" s="38"/>
      <c r="G238" s="39"/>
    </row>
    <row r="239" spans="1:7" ht="15" x14ac:dyDescent="0.2">
      <c r="A239" s="272" t="s">
        <v>21</v>
      </c>
      <c r="B239" s="273"/>
      <c r="C239" s="273"/>
      <c r="D239" s="273"/>
      <c r="E239" s="273"/>
      <c r="F239" s="273"/>
      <c r="G239" s="274"/>
    </row>
    <row r="240" spans="1:7" ht="15" x14ac:dyDescent="0.2">
      <c r="A240" s="42"/>
      <c r="B240" s="38"/>
      <c r="C240" s="38"/>
      <c r="D240" s="38"/>
      <c r="E240" s="38"/>
      <c r="F240" s="38"/>
      <c r="G240" s="39"/>
    </row>
    <row r="241" spans="1:7" ht="15.75" x14ac:dyDescent="0.25">
      <c r="A241" s="42"/>
      <c r="B241" s="38"/>
      <c r="C241" s="43"/>
      <c r="D241" s="43"/>
      <c r="E241" s="43" t="s">
        <v>13</v>
      </c>
      <c r="F241" s="43" t="s">
        <v>3</v>
      </c>
      <c r="G241" s="39"/>
    </row>
    <row r="242" spans="1:7" ht="15.75" x14ac:dyDescent="0.25">
      <c r="A242" s="42"/>
      <c r="B242" s="38"/>
      <c r="C242" s="44" t="s">
        <v>5</v>
      </c>
      <c r="D242" s="44"/>
      <c r="E242" s="44" t="s">
        <v>22</v>
      </c>
      <c r="F242" s="44" t="s">
        <v>6</v>
      </c>
      <c r="G242" s="39"/>
    </row>
    <row r="243" spans="1:7" ht="15.75" x14ac:dyDescent="0.25">
      <c r="A243" s="45" t="s">
        <v>78</v>
      </c>
      <c r="B243" s="36"/>
      <c r="C243" s="46"/>
      <c r="D243" s="46"/>
      <c r="E243" s="46"/>
      <c r="F243" s="46"/>
      <c r="G243" s="39"/>
    </row>
    <row r="244" spans="1:7" ht="15.75" x14ac:dyDescent="0.25">
      <c r="A244" s="42" t="s">
        <v>58</v>
      </c>
      <c r="B244" s="38"/>
      <c r="C244" s="47">
        <v>42479</v>
      </c>
      <c r="D244" s="47"/>
      <c r="E244" s="48">
        <f>+E299</f>
        <v>1.96</v>
      </c>
      <c r="F244" s="47">
        <f>C244*E244</f>
        <v>83258.84</v>
      </c>
      <c r="G244" s="39"/>
    </row>
    <row r="245" spans="1:7" ht="17.25" x14ac:dyDescent="0.35">
      <c r="A245" s="49" t="s">
        <v>59</v>
      </c>
      <c r="B245" s="50"/>
      <c r="C245" s="51">
        <v>213820</v>
      </c>
      <c r="D245" s="51"/>
      <c r="E245" s="48">
        <f>+G314</f>
        <v>1.99</v>
      </c>
      <c r="F245" s="51">
        <f>C245*E245</f>
        <v>425501.8</v>
      </c>
      <c r="G245" s="39"/>
    </row>
    <row r="246" spans="1:7" ht="17.25" x14ac:dyDescent="0.35">
      <c r="A246" s="42" t="s">
        <v>3</v>
      </c>
      <c r="B246" s="38"/>
      <c r="C246" s="47">
        <f>SUM(C244:C245)</f>
        <v>256299</v>
      </c>
      <c r="D246" s="51"/>
      <c r="E246" s="38"/>
      <c r="F246" s="47">
        <f>SUM(F244:F245)</f>
        <v>508760.64</v>
      </c>
      <c r="G246" s="39"/>
    </row>
    <row r="247" spans="1:7" ht="15" x14ac:dyDescent="0.2">
      <c r="A247" s="42"/>
      <c r="B247" s="38"/>
      <c r="C247" s="38"/>
      <c r="D247" s="38"/>
      <c r="E247" s="38"/>
      <c r="F247" s="38"/>
      <c r="G247" s="39"/>
    </row>
    <row r="248" spans="1:7" ht="15.75" x14ac:dyDescent="0.25">
      <c r="A248" s="35" t="s">
        <v>23</v>
      </c>
      <c r="B248" s="38"/>
      <c r="C248" s="38"/>
      <c r="D248" s="38"/>
      <c r="E248" s="38"/>
      <c r="F248" s="47">
        <v>438426</v>
      </c>
      <c r="G248" s="39"/>
    </row>
    <row r="249" spans="1:7" ht="15" x14ac:dyDescent="0.2">
      <c r="A249" s="42"/>
      <c r="B249" s="38"/>
      <c r="C249" s="38"/>
      <c r="D249" s="38"/>
      <c r="E249" s="38"/>
      <c r="F249" s="38"/>
      <c r="G249" s="39"/>
    </row>
    <row r="250" spans="1:7" ht="15" x14ac:dyDescent="0.2">
      <c r="A250" s="42" t="s">
        <v>24</v>
      </c>
      <c r="B250" s="38"/>
      <c r="C250" s="38"/>
      <c r="D250" s="38"/>
      <c r="E250" s="38"/>
      <c r="F250" s="47">
        <f>F248-F246</f>
        <v>-70334.640000000014</v>
      </c>
      <c r="G250" s="39"/>
    </row>
    <row r="251" spans="1:7" ht="15" x14ac:dyDescent="0.2">
      <c r="A251" s="42"/>
      <c r="B251" s="38"/>
      <c r="C251" s="38"/>
      <c r="D251" s="38"/>
      <c r="E251" s="38"/>
      <c r="F251" s="38"/>
      <c r="G251" s="39"/>
    </row>
    <row r="252" spans="1:7" ht="15" x14ac:dyDescent="0.2">
      <c r="A252" s="42" t="s">
        <v>25</v>
      </c>
      <c r="B252" s="38"/>
      <c r="C252" s="38"/>
      <c r="D252" s="38"/>
      <c r="E252" s="38"/>
      <c r="F252" s="47">
        <f>+C246</f>
        <v>256299</v>
      </c>
      <c r="G252" s="39"/>
    </row>
    <row r="253" spans="1:7" ht="15" x14ac:dyDescent="0.2">
      <c r="A253" s="42"/>
      <c r="B253" s="38"/>
      <c r="C253" s="38"/>
      <c r="D253" s="38"/>
      <c r="E253" s="38"/>
      <c r="F253" s="38"/>
      <c r="G253" s="39"/>
    </row>
    <row r="254" spans="1:7" ht="15" x14ac:dyDescent="0.2">
      <c r="A254" s="42" t="s">
        <v>26</v>
      </c>
      <c r="B254" s="38"/>
      <c r="C254" s="38"/>
      <c r="D254" s="38"/>
      <c r="E254" s="38"/>
      <c r="F254" s="61"/>
      <c r="G254" s="52">
        <f>ROUND(F250/F252,2)</f>
        <v>-0.27</v>
      </c>
    </row>
    <row r="255" spans="1:7" ht="15" x14ac:dyDescent="0.2">
      <c r="A255" s="42"/>
      <c r="B255" s="38"/>
      <c r="C255" s="38"/>
      <c r="D255" s="38"/>
      <c r="E255" s="38"/>
      <c r="F255" s="38"/>
      <c r="G255" s="52"/>
    </row>
    <row r="256" spans="1:7" ht="15" x14ac:dyDescent="0.2">
      <c r="A256" s="42"/>
      <c r="B256" s="38"/>
      <c r="C256" s="38"/>
      <c r="D256" s="38"/>
      <c r="E256" s="38"/>
      <c r="F256" s="38"/>
      <c r="G256" s="52"/>
    </row>
    <row r="257" spans="1:8" ht="15" x14ac:dyDescent="0.2">
      <c r="A257" s="42"/>
      <c r="B257" s="38"/>
      <c r="C257" s="38"/>
      <c r="D257" s="38"/>
      <c r="E257" s="38"/>
      <c r="F257" s="38"/>
      <c r="G257" s="52"/>
    </row>
    <row r="258" spans="1:8" ht="15.75" x14ac:dyDescent="0.25">
      <c r="A258" s="45" t="s">
        <v>85</v>
      </c>
      <c r="B258" s="36"/>
      <c r="C258" s="38"/>
      <c r="D258" s="38"/>
      <c r="E258" s="38"/>
      <c r="F258" s="53">
        <f>+F248</f>
        <v>438426</v>
      </c>
      <c r="G258" s="52"/>
    </row>
    <row r="259" spans="1:8" ht="15" x14ac:dyDescent="0.2">
      <c r="A259" s="42" t="s">
        <v>25</v>
      </c>
      <c r="B259" s="38"/>
      <c r="C259" s="38"/>
      <c r="D259" s="38"/>
      <c r="E259" s="38"/>
      <c r="F259" s="47">
        <f>+C246</f>
        <v>256299</v>
      </c>
      <c r="G259" s="52"/>
    </row>
    <row r="260" spans="1:8" ht="17.25" x14ac:dyDescent="0.35">
      <c r="A260" s="42" t="s">
        <v>27</v>
      </c>
      <c r="B260" s="38"/>
      <c r="C260" s="38"/>
      <c r="D260" s="38"/>
      <c r="E260" s="38"/>
      <c r="F260" s="38"/>
      <c r="G260" s="55">
        <f>ROUND(+F258/F259,2)</f>
        <v>1.71</v>
      </c>
    </row>
    <row r="261" spans="1:8" ht="15" x14ac:dyDescent="0.2">
      <c r="A261" s="42"/>
      <c r="B261" s="38"/>
      <c r="C261" s="38"/>
      <c r="D261" s="38"/>
      <c r="E261" s="38"/>
      <c r="F261" s="38"/>
      <c r="G261" s="52"/>
    </row>
    <row r="262" spans="1:8" ht="15" x14ac:dyDescent="0.2">
      <c r="A262" s="42"/>
      <c r="B262" s="38"/>
      <c r="C262" s="38"/>
      <c r="D262" s="38"/>
      <c r="E262" s="38"/>
      <c r="F262" s="38"/>
      <c r="G262" s="52"/>
    </row>
    <row r="263" spans="1:8" ht="16.5" thickBot="1" x14ac:dyDescent="0.3">
      <c r="A263" s="35" t="s">
        <v>28</v>
      </c>
      <c r="B263" s="36"/>
      <c r="C263" s="38"/>
      <c r="D263" s="38"/>
      <c r="E263" s="38"/>
      <c r="F263" s="38"/>
      <c r="G263" s="58">
        <f>SUM(G254:G260)</f>
        <v>1.44</v>
      </c>
      <c r="H263" s="18"/>
    </row>
    <row r="264" spans="1:8" ht="14.25" thickTop="1" thickBot="1" x14ac:dyDescent="0.25">
      <c r="A264" s="19"/>
      <c r="B264" s="20"/>
      <c r="C264" s="20"/>
      <c r="D264" s="20"/>
      <c r="E264" s="20"/>
      <c r="F264" s="20"/>
      <c r="G264" s="21"/>
    </row>
    <row r="265" spans="1:8" ht="15" x14ac:dyDescent="0.2">
      <c r="A265" s="272" t="s">
        <v>29</v>
      </c>
      <c r="B265" s="273"/>
      <c r="C265" s="273"/>
      <c r="D265" s="273"/>
      <c r="E265" s="273"/>
      <c r="F265" s="273"/>
      <c r="G265" s="274"/>
    </row>
    <row r="266" spans="1:8" ht="15" x14ac:dyDescent="0.2">
      <c r="A266" s="49"/>
      <c r="B266" s="50"/>
      <c r="C266" s="50"/>
      <c r="D266" s="50"/>
      <c r="E266" s="50"/>
      <c r="F266" s="50"/>
      <c r="G266" s="64"/>
    </row>
    <row r="267" spans="1:8" ht="15.75" x14ac:dyDescent="0.25">
      <c r="A267" s="49"/>
      <c r="B267" s="50"/>
      <c r="C267" s="43"/>
      <c r="D267" s="43"/>
      <c r="E267" s="43" t="s">
        <v>13</v>
      </c>
      <c r="F267" s="43" t="s">
        <v>3</v>
      </c>
      <c r="G267" s="64"/>
    </row>
    <row r="268" spans="1:8" ht="15.75" x14ac:dyDescent="0.25">
      <c r="A268" s="49"/>
      <c r="B268" s="50"/>
      <c r="C268" s="65" t="s">
        <v>20</v>
      </c>
      <c r="D268" s="65"/>
      <c r="E268" s="65" t="s">
        <v>22</v>
      </c>
      <c r="F268" s="65" t="s">
        <v>6</v>
      </c>
      <c r="G268" s="64"/>
    </row>
    <row r="269" spans="1:8" ht="15.75" x14ac:dyDescent="0.25">
      <c r="A269" s="45" t="s">
        <v>78</v>
      </c>
      <c r="B269" s="36"/>
      <c r="C269" s="66"/>
      <c r="D269" s="66"/>
      <c r="E269" s="66"/>
      <c r="F269" s="66"/>
      <c r="G269" s="64"/>
    </row>
    <row r="270" spans="1:8" ht="15.75" x14ac:dyDescent="0.25">
      <c r="A270" s="42" t="s">
        <v>58</v>
      </c>
      <c r="B270" s="50"/>
      <c r="C270" s="67">
        <v>3158</v>
      </c>
      <c r="D270" s="67"/>
      <c r="E270" s="68">
        <f>+E325</f>
        <v>0.23</v>
      </c>
      <c r="F270" s="67">
        <f>E270*C270</f>
        <v>726.34</v>
      </c>
      <c r="G270" s="64"/>
    </row>
    <row r="271" spans="1:8" ht="17.25" x14ac:dyDescent="0.35">
      <c r="A271" s="49" t="s">
        <v>59</v>
      </c>
      <c r="B271" s="50"/>
      <c r="C271" s="51">
        <v>15916</v>
      </c>
      <c r="D271" s="51"/>
      <c r="E271" s="68">
        <f>+G340</f>
        <v>0.26</v>
      </c>
      <c r="F271" s="51">
        <f>E271*C271</f>
        <v>4138.16</v>
      </c>
      <c r="G271" s="64"/>
    </row>
    <row r="272" spans="1:8" ht="15" x14ac:dyDescent="0.2">
      <c r="A272" s="42" t="s">
        <v>3</v>
      </c>
      <c r="B272" s="50"/>
      <c r="C272" s="67">
        <f>SUM(C270:C271)</f>
        <v>19074</v>
      </c>
      <c r="D272" s="67"/>
      <c r="E272" s="50"/>
      <c r="F272" s="67">
        <f>SUM(F270:F271)</f>
        <v>4864.5</v>
      </c>
      <c r="G272" s="64"/>
    </row>
    <row r="273" spans="1:8" ht="15" x14ac:dyDescent="0.2">
      <c r="A273" s="42"/>
      <c r="B273" s="50"/>
      <c r="C273" s="50"/>
      <c r="D273" s="50"/>
      <c r="E273" s="50"/>
      <c r="F273" s="50"/>
      <c r="G273" s="64"/>
    </row>
    <row r="274" spans="1:8" ht="15.75" x14ac:dyDescent="0.25">
      <c r="A274" s="35" t="s">
        <v>23</v>
      </c>
      <c r="B274" s="50"/>
      <c r="C274" s="50"/>
      <c r="D274" s="50"/>
      <c r="E274" s="50"/>
      <c r="F274" s="69">
        <v>4652</v>
      </c>
      <c r="G274" s="64"/>
    </row>
    <row r="275" spans="1:8" ht="15" x14ac:dyDescent="0.2">
      <c r="A275" s="42"/>
      <c r="B275" s="50"/>
      <c r="C275" s="50"/>
      <c r="D275" s="50"/>
      <c r="E275" s="50"/>
      <c r="F275" s="50"/>
      <c r="G275" s="64"/>
    </row>
    <row r="276" spans="1:8" ht="15" x14ac:dyDescent="0.2">
      <c r="A276" s="42" t="s">
        <v>24</v>
      </c>
      <c r="B276" s="50"/>
      <c r="C276" s="50"/>
      <c r="D276" s="50"/>
      <c r="E276" s="50"/>
      <c r="F276" s="47">
        <f>F274-F272</f>
        <v>-212.5</v>
      </c>
      <c r="G276" s="64"/>
    </row>
    <row r="277" spans="1:8" ht="15" x14ac:dyDescent="0.2">
      <c r="A277" s="42"/>
      <c r="B277" s="50"/>
      <c r="C277" s="50"/>
      <c r="D277" s="50"/>
      <c r="E277" s="50"/>
      <c r="F277" s="50"/>
      <c r="G277" s="64"/>
    </row>
    <row r="278" spans="1:8" ht="15" x14ac:dyDescent="0.2">
      <c r="A278" s="42" t="s">
        <v>25</v>
      </c>
      <c r="B278" s="50"/>
      <c r="C278" s="50"/>
      <c r="D278" s="50"/>
      <c r="E278" s="50"/>
      <c r="F278" s="67">
        <f>+C272</f>
        <v>19074</v>
      </c>
      <c r="G278" s="64"/>
    </row>
    <row r="279" spans="1:8" ht="15" x14ac:dyDescent="0.2">
      <c r="A279" s="42"/>
      <c r="B279" s="50"/>
      <c r="C279" s="50"/>
      <c r="D279" s="50"/>
      <c r="E279" s="50"/>
      <c r="F279" s="50"/>
      <c r="G279" s="64"/>
    </row>
    <row r="280" spans="1:8" ht="15" x14ac:dyDescent="0.2">
      <c r="A280" s="42" t="s">
        <v>26</v>
      </c>
      <c r="B280" s="50"/>
      <c r="C280" s="50"/>
      <c r="D280" s="50"/>
      <c r="E280" s="50"/>
      <c r="F280" s="50"/>
      <c r="G280" s="70">
        <f>ROUND(F276/F278,2)</f>
        <v>-0.01</v>
      </c>
    </row>
    <row r="281" spans="1:8" ht="15" x14ac:dyDescent="0.2">
      <c r="A281" s="42"/>
      <c r="B281" s="50"/>
      <c r="C281" s="50"/>
      <c r="D281" s="50"/>
      <c r="E281" s="50"/>
      <c r="F281" s="50"/>
      <c r="G281" s="70"/>
    </row>
    <row r="282" spans="1:8" ht="15" x14ac:dyDescent="0.2">
      <c r="A282" s="42"/>
      <c r="B282" s="50"/>
      <c r="C282" s="50"/>
      <c r="D282" s="50"/>
      <c r="E282" s="50"/>
      <c r="F282" s="67"/>
      <c r="G282" s="64"/>
    </row>
    <row r="283" spans="1:8" ht="15.75" x14ac:dyDescent="0.25">
      <c r="A283" s="42"/>
      <c r="B283" s="36"/>
      <c r="C283" s="50"/>
      <c r="D283" s="50"/>
      <c r="E283" s="50"/>
      <c r="F283" s="67"/>
      <c r="G283" s="64"/>
    </row>
    <row r="284" spans="1:8" ht="15.75" x14ac:dyDescent="0.25">
      <c r="A284" s="45" t="s">
        <v>85</v>
      </c>
      <c r="B284" s="50"/>
      <c r="C284" s="50"/>
      <c r="D284" s="50"/>
      <c r="E284" s="50"/>
      <c r="F284" s="54">
        <f>+F274</f>
        <v>4652</v>
      </c>
      <c r="G284" s="64"/>
    </row>
    <row r="285" spans="1:8" ht="15" x14ac:dyDescent="0.2">
      <c r="A285" s="42" t="s">
        <v>25</v>
      </c>
      <c r="B285" s="50"/>
      <c r="C285" s="50"/>
      <c r="D285" s="50"/>
      <c r="E285" s="50"/>
      <c r="F285" s="67">
        <f>+C272</f>
        <v>19074</v>
      </c>
      <c r="G285" s="64"/>
    </row>
    <row r="286" spans="1:8" ht="17.25" x14ac:dyDescent="0.35">
      <c r="A286" s="42" t="s">
        <v>27</v>
      </c>
      <c r="B286" s="50"/>
      <c r="C286" s="50"/>
      <c r="D286" s="50"/>
      <c r="E286" s="50"/>
      <c r="F286" s="50"/>
      <c r="G286" s="57">
        <f>ROUND(+F284/F285,2)</f>
        <v>0.24</v>
      </c>
      <c r="H286" s="18"/>
    </row>
    <row r="287" spans="1:8" ht="17.25" x14ac:dyDescent="0.35">
      <c r="A287" s="42"/>
      <c r="B287" s="50"/>
      <c r="C287" s="50"/>
      <c r="D287" s="50"/>
      <c r="E287" s="50"/>
      <c r="F287" s="50"/>
      <c r="G287" s="57"/>
    </row>
    <row r="288" spans="1:8" ht="16.5" thickBot="1" x14ac:dyDescent="0.3">
      <c r="A288" s="35" t="s">
        <v>30</v>
      </c>
      <c r="B288" s="36"/>
      <c r="C288" s="50"/>
      <c r="D288" s="50"/>
      <c r="E288" s="50"/>
      <c r="F288" s="50"/>
      <c r="G288" s="71">
        <f>+G286+G280+G281</f>
        <v>0.22999999999999998</v>
      </c>
    </row>
    <row r="289" spans="1:7" ht="16.5" thickTop="1" thickBot="1" x14ac:dyDescent="0.25">
      <c r="A289" s="72"/>
      <c r="B289" s="73"/>
      <c r="C289" s="73"/>
      <c r="D289" s="73"/>
      <c r="E289" s="73"/>
      <c r="F289" s="73"/>
      <c r="G289" s="74"/>
    </row>
    <row r="290" spans="1:7" ht="23.25" x14ac:dyDescent="0.35">
      <c r="A290" s="31" t="s">
        <v>57</v>
      </c>
      <c r="B290" s="32"/>
      <c r="C290" s="33"/>
      <c r="D290" s="33"/>
      <c r="E290" s="33"/>
      <c r="F290" s="33"/>
      <c r="G290" s="34"/>
    </row>
    <row r="291" spans="1:7" ht="15.75" x14ac:dyDescent="0.25">
      <c r="A291" s="35" t="s">
        <v>79</v>
      </c>
      <c r="B291" s="36"/>
      <c r="C291" s="37"/>
      <c r="D291" s="37"/>
      <c r="E291" s="38"/>
      <c r="F291" s="38"/>
      <c r="G291" s="39"/>
    </row>
    <row r="292" spans="1:7" ht="15.75" x14ac:dyDescent="0.25">
      <c r="A292" s="40"/>
      <c r="B292" s="41"/>
      <c r="C292" s="38"/>
      <c r="D292" s="38"/>
      <c r="E292" s="38"/>
      <c r="F292" s="38"/>
      <c r="G292" s="39"/>
    </row>
    <row r="293" spans="1:7" ht="15" x14ac:dyDescent="0.2">
      <c r="A293" s="272" t="s">
        <v>21</v>
      </c>
      <c r="B293" s="273"/>
      <c r="C293" s="273"/>
      <c r="D293" s="273"/>
      <c r="E293" s="273"/>
      <c r="F293" s="273"/>
      <c r="G293" s="274"/>
    </row>
    <row r="294" spans="1:7" ht="15" x14ac:dyDescent="0.2">
      <c r="A294" s="42"/>
      <c r="B294" s="38"/>
      <c r="C294" s="38"/>
      <c r="D294" s="38"/>
      <c r="E294" s="38"/>
      <c r="F294" s="38"/>
      <c r="G294" s="39"/>
    </row>
    <row r="295" spans="1:7" ht="15.75" x14ac:dyDescent="0.25">
      <c r="A295" s="42"/>
      <c r="B295" s="38"/>
      <c r="C295" s="43"/>
      <c r="D295" s="43"/>
      <c r="E295" s="43" t="s">
        <v>13</v>
      </c>
      <c r="F295" s="43" t="s">
        <v>3</v>
      </c>
      <c r="G295" s="39"/>
    </row>
    <row r="296" spans="1:7" ht="15.75" x14ac:dyDescent="0.25">
      <c r="A296" s="42"/>
      <c r="B296" s="38"/>
      <c r="C296" s="44" t="s">
        <v>5</v>
      </c>
      <c r="D296" s="44"/>
      <c r="E296" s="44" t="s">
        <v>22</v>
      </c>
      <c r="F296" s="44" t="s">
        <v>6</v>
      </c>
      <c r="G296" s="39"/>
    </row>
    <row r="297" spans="1:7" ht="15.75" x14ac:dyDescent="0.25">
      <c r="A297" s="45" t="s">
        <v>61</v>
      </c>
      <c r="B297" s="36"/>
      <c r="C297" s="46"/>
      <c r="D297" s="46"/>
      <c r="E297" s="46"/>
      <c r="F297" s="46"/>
      <c r="G297" s="39"/>
    </row>
    <row r="298" spans="1:7" ht="15.75" x14ac:dyDescent="0.25">
      <c r="A298" s="42" t="s">
        <v>58</v>
      </c>
      <c r="B298" s="38"/>
      <c r="C298" s="47">
        <v>41334</v>
      </c>
      <c r="D298" s="47"/>
      <c r="E298" s="48">
        <f>+E353</f>
        <v>1.6641107756753206</v>
      </c>
      <c r="F298" s="47">
        <f>C298*E298</f>
        <v>68784.354801763708</v>
      </c>
      <c r="G298" s="39"/>
    </row>
    <row r="299" spans="1:7" ht="17.25" x14ac:dyDescent="0.35">
      <c r="A299" s="49" t="s">
        <v>59</v>
      </c>
      <c r="B299" s="50"/>
      <c r="C299" s="51">
        <v>206670</v>
      </c>
      <c r="D299" s="51"/>
      <c r="E299" s="48">
        <f>+G368</f>
        <v>1.96</v>
      </c>
      <c r="F299" s="51">
        <f>C299*E299</f>
        <v>405073.2</v>
      </c>
      <c r="G299" s="39"/>
    </row>
    <row r="300" spans="1:7" ht="17.25" x14ac:dyDescent="0.35">
      <c r="A300" s="42" t="s">
        <v>3</v>
      </c>
      <c r="B300" s="38"/>
      <c r="C300" s="47">
        <f>SUM(C298:C299)</f>
        <v>248004</v>
      </c>
      <c r="D300" s="51"/>
      <c r="E300" s="38"/>
      <c r="F300" s="47">
        <f>SUM(F298:F299)</f>
        <v>473857.55480176373</v>
      </c>
      <c r="G300" s="39"/>
    </row>
    <row r="301" spans="1:7" ht="15" x14ac:dyDescent="0.2">
      <c r="A301" s="42"/>
      <c r="B301" s="38"/>
      <c r="C301" s="38"/>
      <c r="D301" s="38"/>
      <c r="E301" s="38"/>
      <c r="F301" s="38"/>
      <c r="G301" s="39"/>
    </row>
    <row r="302" spans="1:7" ht="15.75" x14ac:dyDescent="0.25">
      <c r="A302" s="35" t="s">
        <v>23</v>
      </c>
      <c r="B302" s="38"/>
      <c r="C302" s="38"/>
      <c r="D302" s="38"/>
      <c r="E302" s="38"/>
      <c r="F302" s="47">
        <v>494632</v>
      </c>
      <c r="G302" s="39"/>
    </row>
    <row r="303" spans="1:7" ht="15" x14ac:dyDescent="0.2">
      <c r="A303" s="42"/>
      <c r="B303" s="38"/>
      <c r="C303" s="38"/>
      <c r="D303" s="38"/>
      <c r="E303" s="38"/>
      <c r="F303" s="38"/>
      <c r="G303" s="39"/>
    </row>
    <row r="304" spans="1:7" ht="15" x14ac:dyDescent="0.2">
      <c r="A304" s="42" t="s">
        <v>24</v>
      </c>
      <c r="B304" s="38"/>
      <c r="C304" s="38"/>
      <c r="D304" s="38"/>
      <c r="E304" s="38"/>
      <c r="F304" s="47">
        <v>20775</v>
      </c>
      <c r="G304" s="39"/>
    </row>
    <row r="305" spans="1:7" ht="15" x14ac:dyDescent="0.2">
      <c r="A305" s="42"/>
      <c r="B305" s="38"/>
      <c r="C305" s="38"/>
      <c r="D305" s="38"/>
      <c r="E305" s="38"/>
      <c r="F305" s="38"/>
      <c r="G305" s="39"/>
    </row>
    <row r="306" spans="1:7" ht="15" x14ac:dyDescent="0.2">
      <c r="A306" s="42" t="s">
        <v>25</v>
      </c>
      <c r="B306" s="38"/>
      <c r="C306" s="38"/>
      <c r="D306" s="38"/>
      <c r="E306" s="38"/>
      <c r="F306" s="47">
        <f>+C300</f>
        <v>248004</v>
      </c>
      <c r="G306" s="39"/>
    </row>
    <row r="307" spans="1:7" ht="15" x14ac:dyDescent="0.2">
      <c r="A307" s="42"/>
      <c r="B307" s="38"/>
      <c r="C307" s="38"/>
      <c r="D307" s="38"/>
      <c r="E307" s="38"/>
      <c r="F307" s="38"/>
      <c r="G307" s="39"/>
    </row>
    <row r="308" spans="1:7" ht="15" x14ac:dyDescent="0.2">
      <c r="A308" s="42" t="s">
        <v>26</v>
      </c>
      <c r="B308" s="38"/>
      <c r="C308" s="38"/>
      <c r="D308" s="38"/>
      <c r="E308" s="38"/>
      <c r="F308" s="61"/>
      <c r="G308" s="52">
        <f>ROUND(F304/F306,2)</f>
        <v>0.08</v>
      </c>
    </row>
    <row r="309" spans="1:7" ht="15" x14ac:dyDescent="0.2">
      <c r="A309" s="42"/>
      <c r="B309" s="38"/>
      <c r="C309" s="38"/>
      <c r="D309" s="38"/>
      <c r="E309" s="38"/>
      <c r="F309" s="38"/>
      <c r="G309" s="52"/>
    </row>
    <row r="310" spans="1:7" ht="15" x14ac:dyDescent="0.2">
      <c r="A310" s="42"/>
      <c r="B310" s="38"/>
      <c r="C310" s="38"/>
      <c r="D310" s="38"/>
      <c r="E310" s="38"/>
      <c r="F310" s="38"/>
      <c r="G310" s="52"/>
    </row>
    <row r="311" spans="1:7" ht="15" x14ac:dyDescent="0.2">
      <c r="A311" s="42"/>
      <c r="B311" s="38"/>
      <c r="C311" s="38"/>
      <c r="D311" s="38"/>
      <c r="E311" s="38"/>
      <c r="F311" s="38"/>
      <c r="G311" s="52"/>
    </row>
    <row r="312" spans="1:7" ht="15.75" x14ac:dyDescent="0.25">
      <c r="A312" s="45" t="s">
        <v>78</v>
      </c>
      <c r="B312" s="36"/>
      <c r="C312" s="38"/>
      <c r="D312" s="38"/>
      <c r="E312" s="38"/>
      <c r="F312" s="53">
        <f>+F302</f>
        <v>494632</v>
      </c>
      <c r="G312" s="52"/>
    </row>
    <row r="313" spans="1:7" ht="15" x14ac:dyDescent="0.2">
      <c r="A313" s="42" t="s">
        <v>25</v>
      </c>
      <c r="B313" s="38"/>
      <c r="C313" s="38"/>
      <c r="D313" s="38"/>
      <c r="E313" s="38"/>
      <c r="F313" s="47">
        <f>+C300</f>
        <v>248004</v>
      </c>
      <c r="G313" s="52"/>
    </row>
    <row r="314" spans="1:7" ht="17.25" x14ac:dyDescent="0.35">
      <c r="A314" s="42" t="s">
        <v>27</v>
      </c>
      <c r="B314" s="38"/>
      <c r="C314" s="38"/>
      <c r="D314" s="38"/>
      <c r="E314" s="38"/>
      <c r="F314" s="38"/>
      <c r="G314" s="55">
        <f>ROUND(+F312/F313,2)</f>
        <v>1.99</v>
      </c>
    </row>
    <row r="315" spans="1:7" ht="15" x14ac:dyDescent="0.2">
      <c r="A315" s="42"/>
      <c r="B315" s="38"/>
      <c r="C315" s="38"/>
      <c r="D315" s="38"/>
      <c r="E315" s="38"/>
      <c r="F315" s="38"/>
      <c r="G315" s="52"/>
    </row>
    <row r="316" spans="1:7" ht="15" x14ac:dyDescent="0.2">
      <c r="A316" s="42"/>
      <c r="B316" s="38"/>
      <c r="C316" s="38"/>
      <c r="D316" s="38"/>
      <c r="E316" s="38"/>
      <c r="F316" s="38"/>
      <c r="G316" s="52"/>
    </row>
    <row r="317" spans="1:7" ht="16.5" thickBot="1" x14ac:dyDescent="0.3">
      <c r="A317" s="35" t="s">
        <v>28</v>
      </c>
      <c r="B317" s="36"/>
      <c r="C317" s="38"/>
      <c r="D317" s="38"/>
      <c r="E317" s="38"/>
      <c r="F317" s="38"/>
      <c r="G317" s="58">
        <f>SUM(G308:G314)</f>
        <v>2.0699999999999998</v>
      </c>
    </row>
    <row r="318" spans="1:7" ht="14.25" thickTop="1" thickBot="1" x14ac:dyDescent="0.25">
      <c r="A318" s="19"/>
      <c r="B318" s="20"/>
      <c r="C318" s="20"/>
      <c r="D318" s="20"/>
      <c r="E318" s="20"/>
      <c r="F318" s="20"/>
      <c r="G318" s="21"/>
    </row>
    <row r="319" spans="1:7" ht="15" x14ac:dyDescent="0.2">
      <c r="A319" s="272" t="s">
        <v>29</v>
      </c>
      <c r="B319" s="273"/>
      <c r="C319" s="273"/>
      <c r="D319" s="273"/>
      <c r="E319" s="273"/>
      <c r="F319" s="273"/>
      <c r="G319" s="274"/>
    </row>
    <row r="320" spans="1:7" ht="15" x14ac:dyDescent="0.2">
      <c r="A320" s="49"/>
      <c r="B320" s="50"/>
      <c r="C320" s="50"/>
      <c r="D320" s="50"/>
      <c r="E320" s="50"/>
      <c r="F320" s="50"/>
      <c r="G320" s="64"/>
    </row>
    <row r="321" spans="1:7" ht="15.75" x14ac:dyDescent="0.25">
      <c r="A321" s="49"/>
      <c r="B321" s="50"/>
      <c r="C321" s="43"/>
      <c r="D321" s="43"/>
      <c r="E321" s="43" t="s">
        <v>13</v>
      </c>
      <c r="F321" s="43" t="s">
        <v>3</v>
      </c>
      <c r="G321" s="64"/>
    </row>
    <row r="322" spans="1:7" ht="15.75" x14ac:dyDescent="0.25">
      <c r="A322" s="49"/>
      <c r="B322" s="50"/>
      <c r="C322" s="65" t="s">
        <v>20</v>
      </c>
      <c r="D322" s="65"/>
      <c r="E322" s="65" t="s">
        <v>22</v>
      </c>
      <c r="F322" s="65" t="s">
        <v>6</v>
      </c>
      <c r="G322" s="64"/>
    </row>
    <row r="323" spans="1:7" ht="15.75" x14ac:dyDescent="0.25">
      <c r="A323" s="45" t="s">
        <v>61</v>
      </c>
      <c r="B323" s="36"/>
      <c r="C323" s="66"/>
      <c r="D323" s="66"/>
      <c r="E323" s="66"/>
      <c r="F323" s="66"/>
      <c r="G323" s="64"/>
    </row>
    <row r="324" spans="1:7" ht="15.75" x14ac:dyDescent="0.25">
      <c r="A324" s="42" t="s">
        <v>58</v>
      </c>
      <c r="B324" s="50"/>
      <c r="C324" s="67">
        <v>3534</v>
      </c>
      <c r="D324" s="67"/>
      <c r="E324" s="68">
        <f>+E379</f>
        <v>0.19</v>
      </c>
      <c r="F324" s="67">
        <f>E324*C324</f>
        <v>671.46</v>
      </c>
      <c r="G324" s="64"/>
    </row>
    <row r="325" spans="1:7" ht="17.25" x14ac:dyDescent="0.35">
      <c r="A325" s="49" t="s">
        <v>59</v>
      </c>
      <c r="B325" s="50"/>
      <c r="C325" s="51">
        <v>17099</v>
      </c>
      <c r="D325" s="51"/>
      <c r="E325" s="68">
        <f>+G394</f>
        <v>0.23</v>
      </c>
      <c r="F325" s="51">
        <f>E325*C325</f>
        <v>3932.77</v>
      </c>
      <c r="G325" s="64"/>
    </row>
    <row r="326" spans="1:7" ht="15" x14ac:dyDescent="0.2">
      <c r="A326" s="42" t="s">
        <v>3</v>
      </c>
      <c r="B326" s="50"/>
      <c r="C326" s="67">
        <f>SUM(C324:C325)</f>
        <v>20633</v>
      </c>
      <c r="D326" s="67"/>
      <c r="E326" s="50"/>
      <c r="F326" s="67">
        <f>SUM(F324:F325)</f>
        <v>4604.2299999999996</v>
      </c>
      <c r="G326" s="64"/>
    </row>
    <row r="327" spans="1:7" ht="15" x14ac:dyDescent="0.2">
      <c r="A327" s="42"/>
      <c r="B327" s="50"/>
      <c r="C327" s="50"/>
      <c r="D327" s="50"/>
      <c r="E327" s="50"/>
      <c r="F327" s="50"/>
      <c r="G327" s="64"/>
    </row>
    <row r="328" spans="1:7" ht="15.75" x14ac:dyDescent="0.25">
      <c r="A328" s="35" t="s">
        <v>23</v>
      </c>
      <c r="B328" s="50"/>
      <c r="C328" s="50"/>
      <c r="D328" s="50"/>
      <c r="E328" s="50"/>
      <c r="F328" s="69">
        <v>5419</v>
      </c>
      <c r="G328" s="64"/>
    </row>
    <row r="329" spans="1:7" ht="15" x14ac:dyDescent="0.2">
      <c r="A329" s="42"/>
      <c r="B329" s="50"/>
      <c r="C329" s="50"/>
      <c r="D329" s="50"/>
      <c r="E329" s="50"/>
      <c r="F329" s="50"/>
      <c r="G329" s="64"/>
    </row>
    <row r="330" spans="1:7" ht="15" x14ac:dyDescent="0.2">
      <c r="A330" s="42" t="s">
        <v>24</v>
      </c>
      <c r="B330" s="50"/>
      <c r="C330" s="50"/>
      <c r="D330" s="50"/>
      <c r="E330" s="50"/>
      <c r="F330" s="67">
        <v>814</v>
      </c>
      <c r="G330" s="64"/>
    </row>
    <row r="331" spans="1:7" ht="15" x14ac:dyDescent="0.2">
      <c r="A331" s="42"/>
      <c r="B331" s="50"/>
      <c r="C331" s="50"/>
      <c r="D331" s="50"/>
      <c r="E331" s="50"/>
      <c r="F331" s="50"/>
      <c r="G331" s="64"/>
    </row>
    <row r="332" spans="1:7" ht="15" x14ac:dyDescent="0.2">
      <c r="A332" s="42" t="s">
        <v>25</v>
      </c>
      <c r="B332" s="50"/>
      <c r="C332" s="50"/>
      <c r="D332" s="50"/>
      <c r="E332" s="50"/>
      <c r="F332" s="67">
        <f>+C326</f>
        <v>20633</v>
      </c>
      <c r="G332" s="64"/>
    </row>
    <row r="333" spans="1:7" ht="15" x14ac:dyDescent="0.2">
      <c r="A333" s="42"/>
      <c r="B333" s="50"/>
      <c r="C333" s="50"/>
      <c r="D333" s="50"/>
      <c r="E333" s="50"/>
      <c r="F333" s="50"/>
      <c r="G333" s="64"/>
    </row>
    <row r="334" spans="1:7" ht="15" x14ac:dyDescent="0.2">
      <c r="A334" s="42" t="s">
        <v>26</v>
      </c>
      <c r="B334" s="50"/>
      <c r="C334" s="50"/>
      <c r="D334" s="50"/>
      <c r="E334" s="50"/>
      <c r="F334" s="50"/>
      <c r="G334" s="70">
        <f>ROUND(F330/F332,2)</f>
        <v>0.04</v>
      </c>
    </row>
    <row r="335" spans="1:7" ht="15" x14ac:dyDescent="0.2">
      <c r="A335" s="42"/>
      <c r="B335" s="50"/>
      <c r="C335" s="50"/>
      <c r="D335" s="50"/>
      <c r="E335" s="50"/>
      <c r="F335" s="50"/>
      <c r="G335" s="70"/>
    </row>
    <row r="336" spans="1:7" ht="15" x14ac:dyDescent="0.2">
      <c r="A336" s="42"/>
      <c r="B336" s="50"/>
      <c r="C336" s="50"/>
      <c r="D336" s="50"/>
      <c r="E336" s="50"/>
      <c r="F336" s="67"/>
      <c r="G336" s="64"/>
    </row>
    <row r="337" spans="1:7" ht="15.75" x14ac:dyDescent="0.25">
      <c r="A337" s="42"/>
      <c r="B337" s="36"/>
      <c r="C337" s="50"/>
      <c r="D337" s="50"/>
      <c r="E337" s="50"/>
      <c r="F337" s="67"/>
      <c r="G337" s="64"/>
    </row>
    <row r="338" spans="1:7" ht="15.75" x14ac:dyDescent="0.25">
      <c r="A338" s="45" t="s">
        <v>78</v>
      </c>
      <c r="B338" s="50"/>
      <c r="C338" s="50"/>
      <c r="D338" s="50"/>
      <c r="E338" s="50"/>
      <c r="F338" s="54">
        <f>+F328</f>
        <v>5419</v>
      </c>
      <c r="G338" s="64"/>
    </row>
    <row r="339" spans="1:7" ht="15" x14ac:dyDescent="0.2">
      <c r="A339" s="42" t="s">
        <v>25</v>
      </c>
      <c r="B339" s="50"/>
      <c r="C339" s="50"/>
      <c r="D339" s="50"/>
      <c r="E339" s="50"/>
      <c r="F339" s="67">
        <f>+C326</f>
        <v>20633</v>
      </c>
      <c r="G339" s="64"/>
    </row>
    <row r="340" spans="1:7" ht="17.25" x14ac:dyDescent="0.35">
      <c r="A340" s="42" t="s">
        <v>27</v>
      </c>
      <c r="B340" s="50"/>
      <c r="C340" s="50"/>
      <c r="D340" s="50"/>
      <c r="E340" s="50"/>
      <c r="F340" s="50"/>
      <c r="G340" s="57">
        <f>ROUND(+F338/F339,2)</f>
        <v>0.26</v>
      </c>
    </row>
    <row r="341" spans="1:7" ht="17.25" x14ac:dyDescent="0.35">
      <c r="A341" s="42"/>
      <c r="B341" s="50"/>
      <c r="C341" s="50"/>
      <c r="D341" s="50"/>
      <c r="E341" s="50"/>
      <c r="F341" s="50"/>
      <c r="G341" s="57"/>
    </row>
    <row r="342" spans="1:7" ht="16.5" thickBot="1" x14ac:dyDescent="0.3">
      <c r="A342" s="35" t="s">
        <v>30</v>
      </c>
      <c r="B342" s="36"/>
      <c r="C342" s="50"/>
      <c r="D342" s="50"/>
      <c r="E342" s="50"/>
      <c r="F342" s="50"/>
      <c r="G342" s="71">
        <f>+G340+G334+G335</f>
        <v>0.3</v>
      </c>
    </row>
    <row r="343" spans="1:7" ht="16.5" thickTop="1" thickBot="1" x14ac:dyDescent="0.25">
      <c r="A343" s="72"/>
      <c r="B343" s="73"/>
      <c r="C343" s="73"/>
      <c r="D343" s="73"/>
      <c r="E343" s="73"/>
      <c r="F343" s="73"/>
      <c r="G343" s="74"/>
    </row>
    <row r="344" spans="1:7" ht="23.25" x14ac:dyDescent="0.35">
      <c r="A344" s="31" t="s">
        <v>57</v>
      </c>
      <c r="B344" s="32"/>
      <c r="C344" s="33"/>
      <c r="D344" s="33"/>
      <c r="E344" s="33"/>
      <c r="F344" s="33"/>
      <c r="G344" s="34"/>
    </row>
    <row r="345" spans="1:7" ht="15.75" x14ac:dyDescent="0.25">
      <c r="A345" s="35" t="s">
        <v>55</v>
      </c>
      <c r="B345" s="36"/>
      <c r="C345" s="37"/>
      <c r="D345" s="37"/>
      <c r="E345" s="38"/>
      <c r="F345" s="38"/>
      <c r="G345" s="39"/>
    </row>
    <row r="346" spans="1:7" ht="15.75" x14ac:dyDescent="0.25">
      <c r="A346" s="40"/>
      <c r="B346" s="41"/>
      <c r="C346" s="38"/>
      <c r="D346" s="38"/>
      <c r="E346" s="38"/>
      <c r="F346" s="38"/>
      <c r="G346" s="39"/>
    </row>
    <row r="347" spans="1:7" ht="15" x14ac:dyDescent="0.2">
      <c r="A347" s="272" t="s">
        <v>21</v>
      </c>
      <c r="B347" s="273"/>
      <c r="C347" s="273"/>
      <c r="D347" s="273"/>
      <c r="E347" s="273"/>
      <c r="F347" s="273"/>
      <c r="G347" s="274"/>
    </row>
    <row r="348" spans="1:7" ht="15" x14ac:dyDescent="0.2">
      <c r="A348" s="42"/>
      <c r="B348" s="38"/>
      <c r="C348" s="38"/>
      <c r="D348" s="38"/>
      <c r="E348" s="38"/>
      <c r="F348" s="38"/>
      <c r="G348" s="39"/>
    </row>
    <row r="349" spans="1:7" ht="15.75" x14ac:dyDescent="0.25">
      <c r="A349" s="42"/>
      <c r="B349" s="38"/>
      <c r="C349" s="43"/>
      <c r="D349" s="43"/>
      <c r="E349" s="43" t="s">
        <v>13</v>
      </c>
      <c r="F349" s="43" t="s">
        <v>3</v>
      </c>
      <c r="G349" s="39"/>
    </row>
    <row r="350" spans="1:7" ht="15.75" x14ac:dyDescent="0.25">
      <c r="A350" s="42"/>
      <c r="B350" s="38"/>
      <c r="C350" s="44" t="s">
        <v>5</v>
      </c>
      <c r="D350" s="44"/>
      <c r="E350" s="44" t="s">
        <v>22</v>
      </c>
      <c r="F350" s="44" t="s">
        <v>6</v>
      </c>
      <c r="G350" s="39"/>
    </row>
    <row r="351" spans="1:7" ht="15.75" x14ac:dyDescent="0.25">
      <c r="A351" s="45" t="s">
        <v>60</v>
      </c>
      <c r="B351" s="36"/>
      <c r="C351" s="46"/>
      <c r="D351" s="46"/>
      <c r="E351" s="46"/>
      <c r="F351" s="46"/>
      <c r="G351" s="39"/>
    </row>
    <row r="352" spans="1:7" ht="15.75" x14ac:dyDescent="0.25">
      <c r="A352" s="42" t="s">
        <v>58</v>
      </c>
      <c r="B352" s="38"/>
      <c r="C352" s="47">
        <v>90954</v>
      </c>
      <c r="D352" s="47"/>
      <c r="E352" s="48">
        <f>+E407</f>
        <v>0.91</v>
      </c>
      <c r="F352" s="47">
        <f>C352*E352</f>
        <v>82768.14</v>
      </c>
      <c r="G352" s="39"/>
    </row>
    <row r="353" spans="1:7" ht="17.25" x14ac:dyDescent="0.35">
      <c r="A353" s="49" t="s">
        <v>59</v>
      </c>
      <c r="B353" s="50"/>
      <c r="C353" s="51">
        <v>454770</v>
      </c>
      <c r="D353" s="51"/>
      <c r="E353" s="48">
        <f>+G422</f>
        <v>1.6641107756753206</v>
      </c>
      <c r="F353" s="51">
        <f>C353*E353</f>
        <v>756787.65745386551</v>
      </c>
      <c r="G353" s="39"/>
    </row>
    <row r="354" spans="1:7" ht="15" x14ac:dyDescent="0.2">
      <c r="A354" s="42" t="s">
        <v>3</v>
      </c>
      <c r="B354" s="38"/>
      <c r="C354" s="47">
        <f>SUM(C352:C353)</f>
        <v>545724</v>
      </c>
      <c r="D354" s="47"/>
      <c r="E354" s="38"/>
      <c r="F354" s="47">
        <f>SUM(F352:F353)</f>
        <v>839555.79745386553</v>
      </c>
      <c r="G354" s="39"/>
    </row>
    <row r="355" spans="1:7" ht="15" x14ac:dyDescent="0.2">
      <c r="A355" s="42"/>
      <c r="B355" s="38"/>
      <c r="C355" s="38"/>
      <c r="D355" s="38"/>
      <c r="E355" s="38"/>
      <c r="F355" s="38"/>
      <c r="G355" s="39"/>
    </row>
    <row r="356" spans="1:7" ht="15.75" x14ac:dyDescent="0.25">
      <c r="A356" s="35" t="s">
        <v>23</v>
      </c>
      <c r="B356" s="38"/>
      <c r="C356" s="38"/>
      <c r="D356" s="38"/>
      <c r="E356" s="38"/>
      <c r="F356" s="47">
        <v>1070318.8014882323</v>
      </c>
      <c r="G356" s="39"/>
    </row>
    <row r="357" spans="1:7" ht="15" x14ac:dyDescent="0.2">
      <c r="A357" s="42"/>
      <c r="B357" s="38"/>
      <c r="C357" s="38"/>
      <c r="D357" s="38"/>
      <c r="E357" s="38"/>
      <c r="F357" s="38"/>
      <c r="G357" s="39"/>
    </row>
    <row r="358" spans="1:7" ht="15" x14ac:dyDescent="0.2">
      <c r="A358" s="42" t="s">
        <v>24</v>
      </c>
      <c r="B358" s="38"/>
      <c r="C358" s="38"/>
      <c r="D358" s="38"/>
      <c r="E358" s="38"/>
      <c r="F358" s="47">
        <f>F356-F354</f>
        <v>230763.00403436681</v>
      </c>
      <c r="G358" s="39"/>
    </row>
    <row r="359" spans="1:7" ht="15" x14ac:dyDescent="0.2">
      <c r="A359" s="42"/>
      <c r="B359" s="38"/>
      <c r="C359" s="38"/>
      <c r="D359" s="38"/>
      <c r="E359" s="38"/>
      <c r="F359" s="38"/>
      <c r="G359" s="39"/>
    </row>
    <row r="360" spans="1:7" ht="15" x14ac:dyDescent="0.2">
      <c r="A360" s="42" t="s">
        <v>25</v>
      </c>
      <c r="B360" s="38"/>
      <c r="C360" s="38"/>
      <c r="D360" s="38"/>
      <c r="E360" s="38"/>
      <c r="F360" s="47">
        <f>+C354</f>
        <v>545724</v>
      </c>
      <c r="G360" s="39"/>
    </row>
    <row r="361" spans="1:7" ht="15" x14ac:dyDescent="0.2">
      <c r="A361" s="42"/>
      <c r="B361" s="38"/>
      <c r="C361" s="38"/>
      <c r="D361" s="38"/>
      <c r="E361" s="38"/>
      <c r="F361" s="38"/>
      <c r="G361" s="39"/>
    </row>
    <row r="362" spans="1:7" ht="15" x14ac:dyDescent="0.2">
      <c r="A362" s="42" t="s">
        <v>26</v>
      </c>
      <c r="B362" s="38"/>
      <c r="C362" s="38"/>
      <c r="D362" s="38"/>
      <c r="E362" s="38"/>
      <c r="F362" s="61"/>
      <c r="G362" s="52">
        <f>ROUND(F358/F360,2)</f>
        <v>0.42</v>
      </c>
    </row>
    <row r="363" spans="1:7" ht="15" x14ac:dyDescent="0.2">
      <c r="A363" s="42"/>
      <c r="B363" s="38"/>
      <c r="C363" s="38"/>
      <c r="D363" s="38"/>
      <c r="E363" s="38"/>
      <c r="F363" s="38"/>
      <c r="G363" s="52"/>
    </row>
    <row r="364" spans="1:7" ht="15" x14ac:dyDescent="0.2">
      <c r="A364" s="42"/>
      <c r="B364" s="38"/>
      <c r="C364" s="38"/>
      <c r="D364" s="38"/>
      <c r="E364" s="38"/>
      <c r="F364" s="38"/>
      <c r="G364" s="52"/>
    </row>
    <row r="365" spans="1:7" ht="15" x14ac:dyDescent="0.2">
      <c r="A365" s="42"/>
      <c r="B365" s="38"/>
      <c r="C365" s="38"/>
      <c r="D365" s="38"/>
      <c r="E365" s="38"/>
      <c r="F365" s="38"/>
      <c r="G365" s="52"/>
    </row>
    <row r="366" spans="1:7" ht="15.75" x14ac:dyDescent="0.25">
      <c r="A366" s="45" t="s">
        <v>61</v>
      </c>
      <c r="B366" s="36"/>
      <c r="C366" s="38"/>
      <c r="D366" s="38"/>
      <c r="E366" s="38"/>
      <c r="F366" s="53">
        <f>+F356</f>
        <v>1070318.8014882323</v>
      </c>
      <c r="G366" s="52"/>
    </row>
    <row r="367" spans="1:7" ht="15" x14ac:dyDescent="0.2">
      <c r="A367" s="42" t="s">
        <v>25</v>
      </c>
      <c r="B367" s="38"/>
      <c r="C367" s="38"/>
      <c r="D367" s="38"/>
      <c r="E367" s="38"/>
      <c r="F367" s="47">
        <f>+C354</f>
        <v>545724</v>
      </c>
      <c r="G367" s="52"/>
    </row>
    <row r="368" spans="1:7" ht="17.25" x14ac:dyDescent="0.35">
      <c r="A368" s="42" t="s">
        <v>27</v>
      </c>
      <c r="B368" s="38"/>
      <c r="C368" s="38"/>
      <c r="D368" s="38"/>
      <c r="E368" s="38"/>
      <c r="F368" s="38"/>
      <c r="G368" s="55">
        <f>ROUND(+F366/F367,2)</f>
        <v>1.96</v>
      </c>
    </row>
    <row r="369" spans="1:7" ht="15" x14ac:dyDescent="0.2">
      <c r="A369" s="42"/>
      <c r="B369" s="38"/>
      <c r="C369" s="38"/>
      <c r="D369" s="38"/>
      <c r="E369" s="38"/>
      <c r="F369" s="38"/>
      <c r="G369" s="52"/>
    </row>
    <row r="370" spans="1:7" ht="15" x14ac:dyDescent="0.2">
      <c r="A370" s="42"/>
      <c r="B370" s="38"/>
      <c r="C370" s="38"/>
      <c r="D370" s="38"/>
      <c r="E370" s="38"/>
      <c r="F370" s="38"/>
      <c r="G370" s="52"/>
    </row>
    <row r="371" spans="1:7" ht="16.5" thickBot="1" x14ac:dyDescent="0.3">
      <c r="A371" s="35" t="s">
        <v>28</v>
      </c>
      <c r="B371" s="36"/>
      <c r="C371" s="38"/>
      <c r="D371" s="38"/>
      <c r="E371" s="38"/>
      <c r="F371" s="38"/>
      <c r="G371" s="58">
        <f>SUM(G362:G368)</f>
        <v>2.38</v>
      </c>
    </row>
    <row r="372" spans="1:7" ht="14.25" thickTop="1" thickBot="1" x14ac:dyDescent="0.25">
      <c r="A372" s="19"/>
      <c r="B372" s="20"/>
      <c r="C372" s="20"/>
      <c r="D372" s="20"/>
      <c r="E372" s="20"/>
      <c r="F372" s="20"/>
      <c r="G372" s="21"/>
    </row>
    <row r="373" spans="1:7" ht="15" x14ac:dyDescent="0.2">
      <c r="A373" s="272" t="s">
        <v>29</v>
      </c>
      <c r="B373" s="273"/>
      <c r="C373" s="273"/>
      <c r="D373" s="273"/>
      <c r="E373" s="273"/>
      <c r="F373" s="273"/>
      <c r="G373" s="274"/>
    </row>
    <row r="374" spans="1:7" ht="15" x14ac:dyDescent="0.2">
      <c r="A374" s="49"/>
      <c r="B374" s="50"/>
      <c r="C374" s="50"/>
      <c r="D374" s="50"/>
      <c r="E374" s="50"/>
      <c r="F374" s="50"/>
      <c r="G374" s="64"/>
    </row>
    <row r="375" spans="1:7" ht="15.75" x14ac:dyDescent="0.25">
      <c r="A375" s="49"/>
      <c r="B375" s="50"/>
      <c r="C375" s="43"/>
      <c r="D375" s="43"/>
      <c r="E375" s="43" t="s">
        <v>13</v>
      </c>
      <c r="F375" s="43" t="s">
        <v>3</v>
      </c>
      <c r="G375" s="64"/>
    </row>
    <row r="376" spans="1:7" ht="15.75" x14ac:dyDescent="0.25">
      <c r="A376" s="49"/>
      <c r="B376" s="50"/>
      <c r="C376" s="65" t="s">
        <v>20</v>
      </c>
      <c r="D376" s="65"/>
      <c r="E376" s="65" t="s">
        <v>22</v>
      </c>
      <c r="F376" s="65" t="s">
        <v>6</v>
      </c>
      <c r="G376" s="64"/>
    </row>
    <row r="377" spans="1:7" ht="15.75" x14ac:dyDescent="0.25">
      <c r="A377" s="45" t="s">
        <v>60</v>
      </c>
      <c r="B377" s="36"/>
      <c r="C377" s="66"/>
      <c r="D377" s="66"/>
      <c r="E377" s="66"/>
      <c r="F377" s="66"/>
      <c r="G377" s="64"/>
    </row>
    <row r="378" spans="1:7" ht="15.75" x14ac:dyDescent="0.25">
      <c r="A378" s="42" t="s">
        <v>58</v>
      </c>
      <c r="B378" s="50"/>
      <c r="C378" s="67">
        <v>15544.573148514854</v>
      </c>
      <c r="D378" s="67"/>
      <c r="E378" s="68">
        <f>+E433</f>
        <v>0.23</v>
      </c>
      <c r="F378" s="67">
        <f>E378*C378</f>
        <v>3575.2518241584166</v>
      </c>
      <c r="G378" s="64"/>
    </row>
    <row r="379" spans="1:7" ht="17.25" x14ac:dyDescent="0.35">
      <c r="A379" s="49" t="s">
        <v>59</v>
      </c>
      <c r="B379" s="50"/>
      <c r="C379" s="51">
        <v>77722.865742574271</v>
      </c>
      <c r="D379" s="51"/>
      <c r="E379" s="68">
        <f>+G448</f>
        <v>0.19</v>
      </c>
      <c r="F379" s="51">
        <f>E379*C379</f>
        <v>14767.344491089112</v>
      </c>
      <c r="G379" s="64"/>
    </row>
    <row r="380" spans="1:7" ht="15" x14ac:dyDescent="0.2">
      <c r="A380" s="42" t="s">
        <v>3</v>
      </c>
      <c r="B380" s="50"/>
      <c r="C380" s="67">
        <f>SUM(C378:C379)</f>
        <v>93267.438891089128</v>
      </c>
      <c r="D380" s="67"/>
      <c r="E380" s="50"/>
      <c r="F380" s="67">
        <f>SUM(F378:F379)</f>
        <v>18342.596315247531</v>
      </c>
      <c r="G380" s="64"/>
    </row>
    <row r="381" spans="1:7" ht="15" x14ac:dyDescent="0.2">
      <c r="A381" s="42"/>
      <c r="B381" s="50"/>
      <c r="C381" s="50"/>
      <c r="D381" s="50"/>
      <c r="E381" s="50"/>
      <c r="F381" s="50"/>
      <c r="G381" s="64"/>
    </row>
    <row r="382" spans="1:7" ht="15.75" x14ac:dyDescent="0.25">
      <c r="A382" s="35" t="s">
        <v>23</v>
      </c>
      <c r="B382" s="50"/>
      <c r="C382" s="50"/>
      <c r="D382" s="50"/>
      <c r="E382" s="50"/>
      <c r="F382" s="69">
        <v>21605.51866847141</v>
      </c>
      <c r="G382" s="64"/>
    </row>
    <row r="383" spans="1:7" ht="15" x14ac:dyDescent="0.2">
      <c r="A383" s="42"/>
      <c r="B383" s="50"/>
      <c r="C383" s="50"/>
      <c r="D383" s="50"/>
      <c r="E383" s="50"/>
      <c r="F383" s="50"/>
      <c r="G383" s="64"/>
    </row>
    <row r="384" spans="1:7" ht="15" x14ac:dyDescent="0.2">
      <c r="A384" s="42" t="s">
        <v>24</v>
      </c>
      <c r="B384" s="50"/>
      <c r="C384" s="50"/>
      <c r="D384" s="50"/>
      <c r="E384" s="50"/>
      <c r="F384" s="67">
        <f>F382-F380</f>
        <v>3262.9223532238793</v>
      </c>
      <c r="G384" s="64"/>
    </row>
    <row r="385" spans="1:8" ht="15" x14ac:dyDescent="0.2">
      <c r="A385" s="42"/>
      <c r="B385" s="50"/>
      <c r="C385" s="50"/>
      <c r="D385" s="50"/>
      <c r="E385" s="50"/>
      <c r="F385" s="50"/>
      <c r="G385" s="64"/>
    </row>
    <row r="386" spans="1:8" ht="15" x14ac:dyDescent="0.2">
      <c r="A386" s="42" t="s">
        <v>25</v>
      </c>
      <c r="B386" s="50"/>
      <c r="C386" s="50"/>
      <c r="D386" s="50"/>
      <c r="E386" s="50"/>
      <c r="F386" s="67">
        <f>+C380</f>
        <v>93267.438891089128</v>
      </c>
      <c r="G386" s="64"/>
    </row>
    <row r="387" spans="1:8" ht="15" x14ac:dyDescent="0.2">
      <c r="A387" s="42"/>
      <c r="B387" s="50"/>
      <c r="C387" s="50"/>
      <c r="D387" s="50"/>
      <c r="E387" s="50"/>
      <c r="F387" s="50"/>
      <c r="G387" s="64"/>
    </row>
    <row r="388" spans="1:8" ht="15" x14ac:dyDescent="0.2">
      <c r="A388" s="42" t="s">
        <v>26</v>
      </c>
      <c r="B388" s="50"/>
      <c r="C388" s="50"/>
      <c r="D388" s="50"/>
      <c r="E388" s="50"/>
      <c r="F388" s="50"/>
      <c r="G388" s="70">
        <f>ROUND(F384/F386,2)</f>
        <v>0.03</v>
      </c>
    </row>
    <row r="389" spans="1:8" ht="15" x14ac:dyDescent="0.2">
      <c r="A389" s="42"/>
      <c r="B389" s="50"/>
      <c r="C389" s="50"/>
      <c r="D389" s="50"/>
      <c r="E389" s="50"/>
      <c r="F389" s="50"/>
      <c r="G389" s="70"/>
    </row>
    <row r="390" spans="1:8" ht="15" x14ac:dyDescent="0.2">
      <c r="A390" s="42"/>
      <c r="B390" s="50"/>
      <c r="C390" s="50"/>
      <c r="D390" s="50"/>
      <c r="E390" s="50"/>
      <c r="F390" s="67"/>
      <c r="G390" s="64"/>
    </row>
    <row r="391" spans="1:8" ht="15.75" x14ac:dyDescent="0.25">
      <c r="A391" s="42"/>
      <c r="B391" s="36"/>
      <c r="C391" s="50"/>
      <c r="D391" s="50"/>
      <c r="E391" s="50"/>
      <c r="F391" s="67"/>
      <c r="G391" s="64"/>
    </row>
    <row r="392" spans="1:8" ht="15.75" x14ac:dyDescent="0.25">
      <c r="A392" s="45" t="s">
        <v>61</v>
      </c>
      <c r="B392" s="50"/>
      <c r="C392" s="50"/>
      <c r="D392" s="50"/>
      <c r="E392" s="50"/>
      <c r="F392" s="54">
        <f>+F382</f>
        <v>21605.51866847141</v>
      </c>
      <c r="G392" s="64"/>
    </row>
    <row r="393" spans="1:8" ht="15" x14ac:dyDescent="0.2">
      <c r="A393" s="42" t="s">
        <v>25</v>
      </c>
      <c r="B393" s="50"/>
      <c r="C393" s="50"/>
      <c r="D393" s="50"/>
      <c r="E393" s="50"/>
      <c r="F393" s="67">
        <f>+C380</f>
        <v>93267.438891089128</v>
      </c>
      <c r="G393" s="64"/>
      <c r="H393" s="119"/>
    </row>
    <row r="394" spans="1:8" ht="17.25" x14ac:dyDescent="0.35">
      <c r="A394" s="42" t="s">
        <v>27</v>
      </c>
      <c r="B394" s="50"/>
      <c r="C394" s="50"/>
      <c r="D394" s="50"/>
      <c r="E394" s="50"/>
      <c r="F394" s="50"/>
      <c r="G394" s="57">
        <f>ROUND(+F392/F393,2)</f>
        <v>0.23</v>
      </c>
    </row>
    <row r="395" spans="1:8" ht="17.25" x14ac:dyDescent="0.35">
      <c r="A395" s="42"/>
      <c r="B395" s="50"/>
      <c r="C395" s="50"/>
      <c r="D395" s="50"/>
      <c r="E395" s="50"/>
      <c r="F395" s="50"/>
      <c r="G395" s="57"/>
    </row>
    <row r="396" spans="1:8" ht="16.5" thickBot="1" x14ac:dyDescent="0.3">
      <c r="A396" s="35" t="s">
        <v>30</v>
      </c>
      <c r="B396" s="36"/>
      <c r="C396" s="50"/>
      <c r="D396" s="50"/>
      <c r="E396" s="50"/>
      <c r="F396" s="50"/>
      <c r="G396" s="71">
        <f>+G394+G388+G389</f>
        <v>0.26</v>
      </c>
    </row>
    <row r="397" spans="1:8" ht="16.5" thickTop="1" thickBot="1" x14ac:dyDescent="0.25">
      <c r="A397" s="72"/>
      <c r="B397" s="73"/>
      <c r="C397" s="73"/>
      <c r="D397" s="73"/>
      <c r="E397" s="73"/>
      <c r="F397" s="73"/>
      <c r="G397" s="74"/>
    </row>
    <row r="398" spans="1:8" ht="23.25" x14ac:dyDescent="0.35">
      <c r="A398" s="31" t="s">
        <v>57</v>
      </c>
      <c r="B398" s="32"/>
      <c r="C398" s="33"/>
      <c r="D398" s="33"/>
      <c r="E398" s="33"/>
      <c r="F398" s="33"/>
      <c r="G398" s="34"/>
    </row>
    <row r="399" spans="1:8" ht="15.75" x14ac:dyDescent="0.25">
      <c r="A399" s="35" t="s">
        <v>56</v>
      </c>
      <c r="B399" s="36"/>
      <c r="C399" s="37"/>
      <c r="D399" s="37"/>
      <c r="E399" s="38"/>
      <c r="F399" s="38"/>
      <c r="G399" s="39"/>
    </row>
    <row r="400" spans="1:8" ht="15.75" x14ac:dyDescent="0.25">
      <c r="A400" s="40"/>
      <c r="B400" s="41"/>
      <c r="C400" s="38"/>
      <c r="D400" s="38"/>
      <c r="E400" s="38"/>
      <c r="F400" s="38"/>
      <c r="G400" s="39"/>
    </row>
    <row r="401" spans="1:7" ht="15" x14ac:dyDescent="0.2">
      <c r="A401" s="272" t="s">
        <v>21</v>
      </c>
      <c r="B401" s="273"/>
      <c r="C401" s="273"/>
      <c r="D401" s="273"/>
      <c r="E401" s="273"/>
      <c r="F401" s="273"/>
      <c r="G401" s="274"/>
    </row>
    <row r="402" spans="1:7" ht="15" x14ac:dyDescent="0.2">
      <c r="A402" s="42"/>
      <c r="B402" s="38"/>
      <c r="C402" s="38"/>
      <c r="D402" s="38"/>
      <c r="E402" s="38"/>
      <c r="F402" s="38"/>
      <c r="G402" s="39"/>
    </row>
    <row r="403" spans="1:7" ht="15.75" x14ac:dyDescent="0.25">
      <c r="A403" s="42"/>
      <c r="B403" s="38"/>
      <c r="C403" s="43"/>
      <c r="D403" s="43"/>
      <c r="E403" s="43" t="s">
        <v>13</v>
      </c>
      <c r="F403" s="43" t="s">
        <v>3</v>
      </c>
      <c r="G403" s="39"/>
    </row>
    <row r="404" spans="1:7" ht="15.75" x14ac:dyDescent="0.25">
      <c r="A404" s="42"/>
      <c r="B404" s="38"/>
      <c r="C404" s="44" t="s">
        <v>5</v>
      </c>
      <c r="D404" s="44"/>
      <c r="E404" s="44" t="s">
        <v>22</v>
      </c>
      <c r="F404" s="44" t="s">
        <v>6</v>
      </c>
      <c r="G404" s="39"/>
    </row>
    <row r="405" spans="1:7" ht="15.75" x14ac:dyDescent="0.25">
      <c r="A405" s="45" t="s">
        <v>60</v>
      </c>
      <c r="B405" s="36"/>
      <c r="C405" s="46"/>
      <c r="D405" s="46"/>
      <c r="E405" s="46"/>
      <c r="F405" s="46"/>
      <c r="G405" s="39"/>
    </row>
    <row r="406" spans="1:7" ht="15.75" x14ac:dyDescent="0.25">
      <c r="A406" s="42" t="s">
        <v>58</v>
      </c>
      <c r="B406" s="38"/>
      <c r="C406" s="47">
        <v>87362</v>
      </c>
      <c r="D406" s="47"/>
      <c r="E406" s="48">
        <v>0.73</v>
      </c>
      <c r="F406" s="47">
        <f>C406*E406</f>
        <v>63774.26</v>
      </c>
      <c r="G406" s="39"/>
    </row>
    <row r="407" spans="1:7" ht="17.25" x14ac:dyDescent="0.35">
      <c r="A407" s="49" t="s">
        <v>59</v>
      </c>
      <c r="B407" s="50"/>
      <c r="C407" s="51">
        <v>443080</v>
      </c>
      <c r="D407" s="51"/>
      <c r="E407" s="48">
        <v>0.91</v>
      </c>
      <c r="F407" s="51">
        <f>C407*E407</f>
        <v>403202.8</v>
      </c>
      <c r="G407" s="39"/>
    </row>
    <row r="408" spans="1:7" ht="15" x14ac:dyDescent="0.2">
      <c r="A408" s="42" t="s">
        <v>3</v>
      </c>
      <c r="B408" s="38"/>
      <c r="C408" s="47">
        <f>SUM(C406:C407)</f>
        <v>530442</v>
      </c>
      <c r="D408" s="47"/>
      <c r="E408" s="38"/>
      <c r="F408" s="47">
        <f>SUM(F406:F407)</f>
        <v>466977.06</v>
      </c>
      <c r="G408" s="39"/>
    </row>
    <row r="409" spans="1:7" ht="15" x14ac:dyDescent="0.2">
      <c r="A409" s="42"/>
      <c r="B409" s="38"/>
      <c r="C409" s="38"/>
      <c r="D409" s="38"/>
      <c r="E409" s="38"/>
      <c r="F409" s="38"/>
      <c r="G409" s="39"/>
    </row>
    <row r="410" spans="1:7" ht="15.75" x14ac:dyDescent="0.25">
      <c r="A410" s="35" t="s">
        <v>23</v>
      </c>
      <c r="B410" s="38"/>
      <c r="C410" s="38"/>
      <c r="D410" s="38"/>
      <c r="E410" s="38"/>
      <c r="F410" s="47">
        <v>894186.62775827409</v>
      </c>
      <c r="G410" s="39"/>
    </row>
    <row r="411" spans="1:7" ht="15" x14ac:dyDescent="0.2">
      <c r="A411" s="42"/>
      <c r="B411" s="38"/>
      <c r="C411" s="38"/>
      <c r="D411" s="38"/>
      <c r="E411" s="38"/>
      <c r="F411" s="38"/>
      <c r="G411" s="39"/>
    </row>
    <row r="412" spans="1:7" ht="15" x14ac:dyDescent="0.2">
      <c r="A412" s="42" t="s">
        <v>24</v>
      </c>
      <c r="B412" s="38"/>
      <c r="C412" s="38"/>
      <c r="D412" s="38"/>
      <c r="E412" s="38"/>
      <c r="F412" s="60">
        <f>F410-F408</f>
        <v>427209.56775827409</v>
      </c>
      <c r="G412" s="39"/>
    </row>
    <row r="413" spans="1:7" ht="15" x14ac:dyDescent="0.2">
      <c r="A413" s="42"/>
      <c r="B413" s="38"/>
      <c r="C413" s="38"/>
      <c r="D413" s="38"/>
      <c r="E413" s="38"/>
      <c r="F413" s="38"/>
      <c r="G413" s="39"/>
    </row>
    <row r="414" spans="1:7" ht="15" x14ac:dyDescent="0.2">
      <c r="A414" s="49" t="s">
        <v>25</v>
      </c>
      <c r="B414" s="38"/>
      <c r="C414" s="38"/>
      <c r="D414" s="38"/>
      <c r="E414" s="38"/>
      <c r="F414" s="47">
        <f>+C408</f>
        <v>530442</v>
      </c>
      <c r="G414" s="39"/>
    </row>
    <row r="415" spans="1:7" ht="15" x14ac:dyDescent="0.2">
      <c r="A415" s="42"/>
      <c r="B415" s="38"/>
      <c r="C415" s="38"/>
      <c r="D415" s="38"/>
      <c r="E415" s="38"/>
      <c r="F415" s="38"/>
      <c r="G415" s="39"/>
    </row>
    <row r="416" spans="1:7" ht="15" x14ac:dyDescent="0.2">
      <c r="A416" s="42" t="s">
        <v>26</v>
      </c>
      <c r="B416" s="38"/>
      <c r="C416" s="38"/>
      <c r="D416" s="38"/>
      <c r="E416" s="38"/>
      <c r="F416" s="38"/>
      <c r="G416" s="52">
        <f>ROUND(F412/F414,2)</f>
        <v>0.81</v>
      </c>
    </row>
    <row r="417" spans="1:7" ht="15" x14ac:dyDescent="0.2">
      <c r="A417" s="42"/>
      <c r="B417" s="38"/>
      <c r="C417" s="38"/>
      <c r="D417" s="38"/>
      <c r="E417" s="38"/>
      <c r="F417" s="38"/>
      <c r="G417" s="52"/>
    </row>
    <row r="418" spans="1:7" ht="15" x14ac:dyDescent="0.2">
      <c r="A418" s="42"/>
      <c r="B418" s="38"/>
      <c r="C418" s="38"/>
      <c r="D418" s="38"/>
      <c r="E418" s="38"/>
      <c r="F418" s="38"/>
      <c r="G418" s="52"/>
    </row>
    <row r="419" spans="1:7" ht="15" x14ac:dyDescent="0.2">
      <c r="A419" s="42"/>
      <c r="B419" s="38"/>
      <c r="C419" s="38"/>
      <c r="D419" s="38"/>
      <c r="E419" s="38"/>
      <c r="F419" s="38"/>
      <c r="G419" s="52"/>
    </row>
    <row r="420" spans="1:7" ht="15.75" x14ac:dyDescent="0.25">
      <c r="A420" s="45" t="s">
        <v>60</v>
      </c>
      <c r="B420" s="36"/>
      <c r="C420" s="38"/>
      <c r="D420" s="38"/>
      <c r="E420" s="38"/>
      <c r="F420" s="54">
        <f>+F410</f>
        <v>894186.62775827409</v>
      </c>
      <c r="G420" s="52"/>
    </row>
    <row r="421" spans="1:7" ht="15" x14ac:dyDescent="0.2">
      <c r="A421" s="42" t="s">
        <v>25</v>
      </c>
      <c r="B421" s="38"/>
      <c r="C421" s="38"/>
      <c r="D421" s="38"/>
      <c r="E421" s="38"/>
      <c r="F421" s="47">
        <v>537336</v>
      </c>
      <c r="G421" s="52"/>
    </row>
    <row r="422" spans="1:7" ht="17.25" x14ac:dyDescent="0.35">
      <c r="A422" s="42" t="s">
        <v>27</v>
      </c>
      <c r="B422" s="38"/>
      <c r="C422" s="38"/>
      <c r="D422" s="38"/>
      <c r="E422" s="38"/>
      <c r="F422" s="38"/>
      <c r="G422" s="56">
        <f>+F420/F421</f>
        <v>1.6641107756753206</v>
      </c>
    </row>
    <row r="423" spans="1:7" ht="17.25" x14ac:dyDescent="0.35">
      <c r="A423" s="42"/>
      <c r="B423" s="38"/>
      <c r="C423" s="38"/>
      <c r="D423" s="38"/>
      <c r="E423" s="38"/>
      <c r="F423" s="38"/>
      <c r="G423" s="57"/>
    </row>
    <row r="424" spans="1:7" ht="15" x14ac:dyDescent="0.2">
      <c r="A424" s="42"/>
      <c r="B424" s="38"/>
      <c r="C424" s="38"/>
      <c r="D424" s="38"/>
      <c r="E424" s="38"/>
      <c r="F424" s="38"/>
      <c r="G424" s="52"/>
    </row>
    <row r="425" spans="1:7" ht="16.5" thickBot="1" x14ac:dyDescent="0.3">
      <c r="A425" s="35" t="s">
        <v>28</v>
      </c>
      <c r="B425" s="36"/>
      <c r="C425" s="38"/>
      <c r="D425" s="38"/>
      <c r="E425" s="38"/>
      <c r="F425" s="38"/>
      <c r="G425" s="59">
        <f>+G422+G416+G417</f>
        <v>2.4741107756753209</v>
      </c>
    </row>
    <row r="426" spans="1:7" ht="14.25" thickTop="1" thickBot="1" x14ac:dyDescent="0.25">
      <c r="A426" s="19"/>
      <c r="B426" s="20"/>
      <c r="C426" s="20"/>
      <c r="D426" s="20"/>
      <c r="E426" s="20"/>
      <c r="F426" s="20"/>
      <c r="G426" s="21"/>
    </row>
    <row r="427" spans="1:7" ht="15" x14ac:dyDescent="0.2">
      <c r="A427" s="272" t="s">
        <v>29</v>
      </c>
      <c r="B427" s="273"/>
      <c r="C427" s="273"/>
      <c r="D427" s="273"/>
      <c r="E427" s="273"/>
      <c r="F427" s="273"/>
      <c r="G427" s="274"/>
    </row>
    <row r="428" spans="1:7" ht="15" x14ac:dyDescent="0.2">
      <c r="A428" s="49"/>
      <c r="B428" s="50"/>
      <c r="C428" s="50"/>
      <c r="D428" s="50"/>
      <c r="E428" s="50"/>
      <c r="F428" s="50"/>
      <c r="G428" s="64"/>
    </row>
    <row r="429" spans="1:7" ht="15.75" x14ac:dyDescent="0.25">
      <c r="A429" s="49"/>
      <c r="B429" s="50"/>
      <c r="C429" s="43"/>
      <c r="D429" s="43"/>
      <c r="E429" s="43" t="s">
        <v>13</v>
      </c>
      <c r="F429" s="43" t="s">
        <v>3</v>
      </c>
      <c r="G429" s="64"/>
    </row>
    <row r="430" spans="1:7" ht="15.75" x14ac:dyDescent="0.25">
      <c r="A430" s="49"/>
      <c r="B430" s="50"/>
      <c r="C430" s="65" t="s">
        <v>5</v>
      </c>
      <c r="D430" s="65"/>
      <c r="E430" s="65" t="s">
        <v>22</v>
      </c>
      <c r="F430" s="65" t="s">
        <v>6</v>
      </c>
      <c r="G430" s="64"/>
    </row>
    <row r="431" spans="1:7" ht="15.75" x14ac:dyDescent="0.25">
      <c r="A431" s="45" t="s">
        <v>60</v>
      </c>
      <c r="B431" s="36"/>
      <c r="C431" s="66"/>
      <c r="D431" s="66"/>
      <c r="E431" s="66"/>
      <c r="F431" s="66"/>
      <c r="G431" s="64"/>
    </row>
    <row r="432" spans="1:7" ht="15.75" x14ac:dyDescent="0.25">
      <c r="A432" s="42" t="s">
        <v>58</v>
      </c>
      <c r="B432" s="50"/>
      <c r="C432" s="67">
        <v>13606</v>
      </c>
      <c r="D432" s="67"/>
      <c r="E432" s="68">
        <v>0.21</v>
      </c>
      <c r="F432" s="67">
        <f>C432*E432</f>
        <v>2857.2599999999998</v>
      </c>
      <c r="G432" s="64"/>
    </row>
    <row r="433" spans="1:7" ht="17.25" x14ac:dyDescent="0.35">
      <c r="A433" s="49" t="s">
        <v>59</v>
      </c>
      <c r="B433" s="50"/>
      <c r="C433" s="51">
        <v>72828</v>
      </c>
      <c r="D433" s="51"/>
      <c r="E433" s="68">
        <v>0.23</v>
      </c>
      <c r="F433" s="51">
        <f>C433*E433</f>
        <v>16750.440000000002</v>
      </c>
      <c r="G433" s="64"/>
    </row>
    <row r="434" spans="1:7" ht="15" x14ac:dyDescent="0.2">
      <c r="A434" s="42" t="s">
        <v>3</v>
      </c>
      <c r="B434" s="50"/>
      <c r="C434" s="67">
        <f>+C433+C432</f>
        <v>86434</v>
      </c>
      <c r="D434" s="67"/>
      <c r="E434" s="50"/>
      <c r="F434" s="67">
        <f>+F433+F432</f>
        <v>19607.7</v>
      </c>
      <c r="G434" s="64"/>
    </row>
    <row r="435" spans="1:7" ht="15" x14ac:dyDescent="0.2">
      <c r="A435" s="42"/>
      <c r="B435" s="50"/>
      <c r="C435" s="50"/>
      <c r="D435" s="50"/>
      <c r="E435" s="50"/>
      <c r="F435" s="50"/>
      <c r="G435" s="64"/>
    </row>
    <row r="436" spans="1:7" ht="15.75" x14ac:dyDescent="0.25">
      <c r="A436" s="35" t="s">
        <v>23</v>
      </c>
      <c r="B436" s="50"/>
      <c r="C436" s="50"/>
      <c r="D436" s="50"/>
      <c r="E436" s="50"/>
      <c r="F436" s="69">
        <v>17896.735447015508</v>
      </c>
      <c r="G436" s="64"/>
    </row>
    <row r="437" spans="1:7" ht="15" x14ac:dyDescent="0.2">
      <c r="A437" s="42"/>
      <c r="B437" s="50"/>
      <c r="C437" s="50"/>
      <c r="D437" s="50"/>
      <c r="E437" s="50"/>
      <c r="F437" s="50"/>
      <c r="G437" s="64"/>
    </row>
    <row r="438" spans="1:7" ht="15" x14ac:dyDescent="0.2">
      <c r="A438" s="42" t="s">
        <v>24</v>
      </c>
      <c r="B438" s="50"/>
      <c r="C438" s="50"/>
      <c r="D438" s="50"/>
      <c r="E438" s="50"/>
      <c r="F438" s="67">
        <v>-1710.9364485785482</v>
      </c>
      <c r="G438" s="64"/>
    </row>
    <row r="439" spans="1:7" ht="15" x14ac:dyDescent="0.2">
      <c r="A439" s="42"/>
      <c r="B439" s="50"/>
      <c r="C439" s="50"/>
      <c r="D439" s="50"/>
      <c r="E439" s="50"/>
      <c r="F439" s="50"/>
      <c r="G439" s="64"/>
    </row>
    <row r="440" spans="1:7" ht="15" x14ac:dyDescent="0.2">
      <c r="A440" s="49" t="s">
        <v>25</v>
      </c>
      <c r="B440" s="50"/>
      <c r="C440" s="50"/>
      <c r="D440" s="50"/>
      <c r="E440" s="50"/>
      <c r="F440" s="67">
        <f>+C434</f>
        <v>86434</v>
      </c>
      <c r="G440" s="64"/>
    </row>
    <row r="441" spans="1:7" ht="15" x14ac:dyDescent="0.2">
      <c r="A441" s="42"/>
      <c r="B441" s="50"/>
      <c r="C441" s="50"/>
      <c r="D441" s="50"/>
      <c r="E441" s="50"/>
      <c r="F441" s="50"/>
      <c r="G441" s="64"/>
    </row>
    <row r="442" spans="1:7" ht="15" x14ac:dyDescent="0.2">
      <c r="A442" s="42" t="s">
        <v>26</v>
      </c>
      <c r="B442" s="50"/>
      <c r="C442" s="50"/>
      <c r="D442" s="50"/>
      <c r="E442" s="50"/>
      <c r="F442" s="50"/>
      <c r="G442" s="70">
        <f>ROUND(F438/F440,2)</f>
        <v>-0.02</v>
      </c>
    </row>
    <row r="443" spans="1:7" ht="15" x14ac:dyDescent="0.2">
      <c r="A443" s="42"/>
      <c r="B443" s="50"/>
      <c r="C443" s="50"/>
      <c r="D443" s="50"/>
      <c r="E443" s="50"/>
      <c r="F443" s="50"/>
      <c r="G443" s="70"/>
    </row>
    <row r="444" spans="1:7" ht="15" x14ac:dyDescent="0.2">
      <c r="A444" s="42"/>
      <c r="B444" s="50"/>
      <c r="C444" s="50"/>
      <c r="D444" s="50"/>
      <c r="E444" s="50"/>
      <c r="F444" s="67"/>
      <c r="G444" s="64"/>
    </row>
    <row r="445" spans="1:7" ht="15.75" x14ac:dyDescent="0.25">
      <c r="A445" s="42"/>
      <c r="B445" s="36"/>
      <c r="C445" s="50"/>
      <c r="D445" s="50"/>
      <c r="E445" s="50"/>
      <c r="F445" s="67"/>
      <c r="G445" s="64"/>
    </row>
    <row r="446" spans="1:7" ht="15.75" x14ac:dyDescent="0.25">
      <c r="A446" s="45" t="s">
        <v>60</v>
      </c>
      <c r="B446" s="50"/>
      <c r="C446" s="50"/>
      <c r="D446" s="50"/>
      <c r="E446" s="50"/>
      <c r="F446" s="54">
        <f>+F436</f>
        <v>17896.735447015508</v>
      </c>
      <c r="G446" s="64"/>
    </row>
    <row r="447" spans="1:7" ht="15" x14ac:dyDescent="0.2">
      <c r="A447" s="42" t="s">
        <v>25</v>
      </c>
      <c r="B447" s="50"/>
      <c r="C447" s="50"/>
      <c r="D447" s="50"/>
      <c r="E447" s="50"/>
      <c r="F447" s="67">
        <v>91907</v>
      </c>
      <c r="G447" s="64"/>
    </row>
    <row r="448" spans="1:7" ht="17.25" x14ac:dyDescent="0.35">
      <c r="A448" s="42" t="s">
        <v>27</v>
      </c>
      <c r="B448" s="50"/>
      <c r="C448" s="50"/>
      <c r="D448" s="50"/>
      <c r="E448" s="50"/>
      <c r="F448" s="50"/>
      <c r="G448" s="57">
        <f>ROUND(+F446/F447,2)</f>
        <v>0.19</v>
      </c>
    </row>
    <row r="449" spans="1:7" ht="17.25" x14ac:dyDescent="0.35">
      <c r="A449" s="42"/>
      <c r="B449" s="50"/>
      <c r="C449" s="50"/>
      <c r="D449" s="50"/>
      <c r="E449" s="50"/>
      <c r="F449" s="50"/>
      <c r="G449" s="57"/>
    </row>
    <row r="450" spans="1:7" ht="16.5" thickBot="1" x14ac:dyDescent="0.3">
      <c r="A450" s="35" t="s">
        <v>30</v>
      </c>
      <c r="B450" s="36"/>
      <c r="C450" s="50"/>
      <c r="D450" s="50"/>
      <c r="E450" s="50"/>
      <c r="F450" s="50"/>
      <c r="G450" s="71">
        <f>+G448+G442</f>
        <v>0.17</v>
      </c>
    </row>
    <row r="451" spans="1:7" ht="16.5" thickTop="1" thickBot="1" x14ac:dyDescent="0.25">
      <c r="A451" s="72"/>
      <c r="B451" s="73"/>
      <c r="C451" s="73"/>
      <c r="D451" s="73"/>
      <c r="E451" s="73"/>
      <c r="F451" s="73"/>
      <c r="G451" s="74"/>
    </row>
  </sheetData>
  <mergeCells count="16">
    <mergeCell ref="A347:G347"/>
    <mergeCell ref="A373:G373"/>
    <mergeCell ref="A401:G401"/>
    <mergeCell ref="A427:G427"/>
    <mergeCell ref="A181:G181"/>
    <mergeCell ref="A209:G209"/>
    <mergeCell ref="A239:G239"/>
    <mergeCell ref="A265:G265"/>
    <mergeCell ref="A293:G293"/>
    <mergeCell ref="A319:G319"/>
    <mergeCell ref="A149:G149"/>
    <mergeCell ref="A4:G4"/>
    <mergeCell ref="A33:G33"/>
    <mergeCell ref="A65:G65"/>
    <mergeCell ref="A91:G91"/>
    <mergeCell ref="A120:G120"/>
  </mergeCells>
  <pageMargins left="0.45" right="0.4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1"/>
  <sheetViews>
    <sheetView zoomScale="80" zoomScaleNormal="80" workbookViewId="0">
      <selection activeCell="F17" sqref="F17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6" width="15.5703125" bestFit="1" customWidth="1"/>
    <col min="7" max="7" width="9.1406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8" ht="23.25" x14ac:dyDescent="0.35">
      <c r="A1" s="31" t="s">
        <v>57</v>
      </c>
      <c r="B1" s="32"/>
      <c r="C1" s="33"/>
      <c r="D1" s="33"/>
      <c r="E1" s="33"/>
      <c r="F1" s="33"/>
      <c r="G1" s="34"/>
    </row>
    <row r="2" spans="1:8" ht="15.75" x14ac:dyDescent="0.25">
      <c r="A2" s="35" t="s">
        <v>104</v>
      </c>
      <c r="B2" s="36"/>
      <c r="C2" s="37"/>
      <c r="D2" s="37"/>
      <c r="E2" s="38"/>
      <c r="F2" s="38"/>
      <c r="G2" s="39"/>
    </row>
    <row r="3" spans="1:8" ht="15.75" x14ac:dyDescent="0.25">
      <c r="A3" s="40"/>
      <c r="B3" s="41"/>
      <c r="C3" s="38"/>
      <c r="D3" s="38"/>
      <c r="E3" s="38"/>
      <c r="F3" s="38"/>
      <c r="G3" s="39"/>
    </row>
    <row r="4" spans="1:8" ht="15" x14ac:dyDescent="0.2">
      <c r="A4" s="272" t="s">
        <v>21</v>
      </c>
      <c r="B4" s="273"/>
      <c r="C4" s="273"/>
      <c r="D4" s="273"/>
      <c r="E4" s="273"/>
      <c r="F4" s="273"/>
      <c r="G4" s="274"/>
    </row>
    <row r="5" spans="1:8" ht="15" x14ac:dyDescent="0.2">
      <c r="A5" s="42"/>
      <c r="B5" s="38"/>
      <c r="C5" s="38"/>
      <c r="D5" s="38"/>
      <c r="E5" s="38"/>
      <c r="F5" s="38"/>
      <c r="G5" s="39"/>
    </row>
    <row r="6" spans="1:8" ht="15.75" x14ac:dyDescent="0.25">
      <c r="A6" s="42"/>
      <c r="B6" s="38"/>
      <c r="C6" s="43"/>
      <c r="D6" s="43"/>
      <c r="E6" s="43" t="s">
        <v>13</v>
      </c>
      <c r="F6" s="43" t="s">
        <v>3</v>
      </c>
      <c r="G6" s="39"/>
    </row>
    <row r="7" spans="1:8" ht="15.75" x14ac:dyDescent="0.25">
      <c r="A7" s="42"/>
      <c r="B7" s="38"/>
      <c r="C7" s="44" t="s">
        <v>5</v>
      </c>
      <c r="D7" s="44"/>
      <c r="E7" s="44" t="s">
        <v>22</v>
      </c>
      <c r="F7" s="44" t="s">
        <v>6</v>
      </c>
      <c r="G7" s="39"/>
    </row>
    <row r="8" spans="1:8" ht="15.75" x14ac:dyDescent="0.25">
      <c r="A8" s="45" t="s">
        <v>163</v>
      </c>
      <c r="B8" s="36"/>
      <c r="C8" s="46"/>
      <c r="D8" s="46"/>
      <c r="E8" s="46"/>
      <c r="F8" s="46"/>
      <c r="G8" s="39"/>
    </row>
    <row r="9" spans="1:8" ht="15.75" x14ac:dyDescent="0.25">
      <c r="A9" s="42" t="s">
        <v>167</v>
      </c>
      <c r="B9" s="38"/>
      <c r="C9" s="47">
        <f>+'Res''l &amp; MF Customers'!C12+'Res''l &amp; MF Customers'!D12</f>
        <v>46369</v>
      </c>
      <c r="D9" s="47"/>
      <c r="E9" s="48">
        <f>+G86</f>
        <v>0.97</v>
      </c>
      <c r="F9" s="131">
        <f>C9*E9</f>
        <v>44977.93</v>
      </c>
      <c r="G9" s="39"/>
    </row>
    <row r="10" spans="1:8" ht="17.25" x14ac:dyDescent="0.35">
      <c r="A10" s="49" t="s">
        <v>168</v>
      </c>
      <c r="B10" s="50"/>
      <c r="C10" s="51">
        <f>+'Res''l &amp; MF Customers'!E12+'Res''l &amp; MF Customers'!F12+'Res''l &amp; MF Customers'!G12+'Res''l &amp; MF Customers'!H12</f>
        <v>94573</v>
      </c>
      <c r="D10" s="51"/>
      <c r="E10" s="48">
        <f>+G28</f>
        <v>1.08</v>
      </c>
      <c r="F10" s="132">
        <f>C10*E10</f>
        <v>102138.84000000001</v>
      </c>
      <c r="G10" s="39"/>
      <c r="H10" s="63"/>
    </row>
    <row r="11" spans="1:8" ht="17.25" x14ac:dyDescent="0.35">
      <c r="A11" s="184" t="s">
        <v>165</v>
      </c>
      <c r="B11" s="38"/>
      <c r="C11" s="185">
        <f>SUM(C9:C10)</f>
        <v>140942</v>
      </c>
      <c r="D11" s="51"/>
      <c r="E11" s="38"/>
      <c r="F11" s="186">
        <f>SUM(F9:F10)</f>
        <v>147116.77000000002</v>
      </c>
      <c r="G11" s="39"/>
    </row>
    <row r="12" spans="1:8" ht="15" x14ac:dyDescent="0.2">
      <c r="A12" s="42"/>
      <c r="B12" s="38"/>
      <c r="C12" s="38"/>
      <c r="D12" s="38"/>
      <c r="E12" s="38"/>
      <c r="F12" s="38"/>
      <c r="G12" s="39"/>
    </row>
    <row r="13" spans="1:8" ht="15.75" x14ac:dyDescent="0.25">
      <c r="A13" s="35" t="s">
        <v>159</v>
      </c>
      <c r="B13" s="38"/>
      <c r="C13" s="38"/>
      <c r="D13" s="38"/>
      <c r="E13" s="38"/>
      <c r="F13" s="131">
        <f>SUM('Tons &amp; Revenue'!M85:M90)</f>
        <v>159521.94717881392</v>
      </c>
      <c r="G13" s="39"/>
    </row>
    <row r="14" spans="1:8" ht="15.75" x14ac:dyDescent="0.25">
      <c r="A14" s="35"/>
      <c r="B14" s="38"/>
      <c r="C14" s="38"/>
      <c r="D14" s="38"/>
      <c r="E14" s="38"/>
      <c r="F14" s="131"/>
      <c r="G14" s="39"/>
    </row>
    <row r="15" spans="1:8" ht="15" x14ac:dyDescent="0.2">
      <c r="A15" s="42" t="s">
        <v>24</v>
      </c>
      <c r="B15" s="38"/>
      <c r="C15" s="38"/>
      <c r="D15" s="38"/>
      <c r="E15" s="38"/>
      <c r="F15" s="47">
        <f>F13-F11</f>
        <v>12405.177178813901</v>
      </c>
      <c r="G15" s="39"/>
    </row>
    <row r="16" spans="1:8" ht="17.25" x14ac:dyDescent="0.35">
      <c r="A16" s="42"/>
      <c r="B16" s="38"/>
      <c r="C16" s="130"/>
      <c r="D16" s="38"/>
      <c r="E16" s="38"/>
      <c r="F16" s="133"/>
      <c r="G16" s="39"/>
    </row>
    <row r="17" spans="1:9" ht="15" x14ac:dyDescent="0.2">
      <c r="A17" s="42" t="s">
        <v>25</v>
      </c>
      <c r="B17" s="38"/>
      <c r="C17" s="38"/>
      <c r="D17" s="38"/>
      <c r="E17" s="38"/>
      <c r="F17" s="47">
        <f>+C11</f>
        <v>140942</v>
      </c>
      <c r="G17" s="39"/>
    </row>
    <row r="18" spans="1:9" ht="15" x14ac:dyDescent="0.2">
      <c r="A18" s="42"/>
      <c r="B18" s="38"/>
      <c r="C18" s="38"/>
      <c r="D18" s="38"/>
      <c r="E18" s="38"/>
      <c r="F18" s="38"/>
      <c r="G18" s="39"/>
    </row>
    <row r="19" spans="1:9" ht="15" x14ac:dyDescent="0.2">
      <c r="A19" s="42" t="s">
        <v>26</v>
      </c>
      <c r="B19" s="38"/>
      <c r="C19" s="38"/>
      <c r="D19" s="38"/>
      <c r="E19" s="38"/>
      <c r="F19" s="61"/>
      <c r="G19" s="52">
        <f>ROUND(F15/F17,2)</f>
        <v>0.09</v>
      </c>
    </row>
    <row r="20" spans="1:9" ht="15" x14ac:dyDescent="0.2">
      <c r="A20" s="42"/>
      <c r="B20" s="38"/>
      <c r="C20" s="38"/>
      <c r="D20" s="38"/>
      <c r="E20" s="38"/>
      <c r="F20" s="38"/>
      <c r="G20" s="52"/>
    </row>
    <row r="21" spans="1:9" ht="15" x14ac:dyDescent="0.2">
      <c r="A21" s="42"/>
      <c r="B21" s="38"/>
      <c r="C21" s="38"/>
      <c r="D21" s="38"/>
      <c r="E21" s="38"/>
      <c r="F21" s="38"/>
      <c r="G21" s="52"/>
    </row>
    <row r="22" spans="1:9" ht="15" x14ac:dyDescent="0.2">
      <c r="A22" s="42"/>
      <c r="B22" s="38"/>
      <c r="C22" s="38"/>
      <c r="D22" s="38"/>
      <c r="E22" s="38"/>
      <c r="F22" s="38"/>
      <c r="G22" s="52"/>
    </row>
    <row r="23" spans="1:9" ht="15.75" x14ac:dyDescent="0.25">
      <c r="A23" s="152" t="s">
        <v>169</v>
      </c>
      <c r="B23" s="36"/>
      <c r="C23" s="38"/>
      <c r="D23" s="38"/>
      <c r="E23" s="38"/>
      <c r="F23" s="164">
        <f>SUM('Tons &amp; Revenue'!M85:M90)*2</f>
        <v>319043.89435762784</v>
      </c>
      <c r="G23" s="52"/>
    </row>
    <row r="24" spans="1:9" ht="17.25" x14ac:dyDescent="0.35">
      <c r="A24" s="49" t="s">
        <v>164</v>
      </c>
      <c r="B24" s="36"/>
      <c r="C24" s="38"/>
      <c r="D24" s="38"/>
      <c r="E24" s="181">
        <v>0.5</v>
      </c>
      <c r="F24" s="182">
        <f>-F23*E24</f>
        <v>-159521.94717881392</v>
      </c>
      <c r="G24" s="52"/>
    </row>
    <row r="25" spans="1:9" ht="20.25" x14ac:dyDescent="0.55000000000000004">
      <c r="A25" s="49"/>
      <c r="B25" s="36"/>
      <c r="C25" s="38"/>
      <c r="D25" s="38"/>
      <c r="E25" s="181"/>
      <c r="F25" s="183">
        <f>+F24+F23</f>
        <v>159521.94717881392</v>
      </c>
      <c r="G25" s="52"/>
    </row>
    <row r="26" spans="1:9" ht="17.25" x14ac:dyDescent="0.35">
      <c r="A26" s="49"/>
      <c r="B26" s="36"/>
      <c r="C26" s="38"/>
      <c r="D26" s="38"/>
      <c r="E26" s="181"/>
      <c r="F26" s="182"/>
      <c r="G26" s="52"/>
    </row>
    <row r="27" spans="1:9" ht="17.25" x14ac:dyDescent="0.35">
      <c r="A27" s="42" t="s">
        <v>166</v>
      </c>
      <c r="B27" s="38"/>
      <c r="C27" s="38"/>
      <c r="D27" s="38"/>
      <c r="E27" s="38"/>
      <c r="F27" s="165">
        <f>+'Res''l &amp; MF Customers'!H12*12</f>
        <v>294660</v>
      </c>
      <c r="G27" s="52"/>
    </row>
    <row r="28" spans="1:9" ht="17.25" x14ac:dyDescent="0.35">
      <c r="A28" s="42" t="s">
        <v>105</v>
      </c>
      <c r="B28" s="38"/>
      <c r="C28" s="38"/>
      <c r="D28" s="38"/>
      <c r="E28" s="38"/>
      <c r="F28" s="38"/>
      <c r="G28" s="55">
        <f>ROUND(+F23/F27,2)</f>
        <v>1.08</v>
      </c>
    </row>
    <row r="29" spans="1:9" ht="15" x14ac:dyDescent="0.2">
      <c r="A29" s="42"/>
      <c r="B29" s="38"/>
      <c r="C29" s="38"/>
      <c r="D29" s="38"/>
      <c r="E29" s="38"/>
      <c r="F29" s="38"/>
      <c r="G29" s="52"/>
    </row>
    <row r="30" spans="1:9" ht="18" x14ac:dyDescent="0.4">
      <c r="A30" s="35" t="s">
        <v>28</v>
      </c>
      <c r="B30" s="36"/>
      <c r="C30" s="38"/>
      <c r="D30" s="38"/>
      <c r="E30" s="38"/>
      <c r="F30" s="38"/>
      <c r="G30" s="188">
        <f>SUM(G19:G28)</f>
        <v>1.1700000000000002</v>
      </c>
      <c r="I30" s="160"/>
    </row>
    <row r="31" spans="1:9" ht="15.75" x14ac:dyDescent="0.25">
      <c r="A31" s="35"/>
      <c r="B31" s="36"/>
      <c r="C31" s="38"/>
      <c r="D31" s="38"/>
      <c r="E31" s="38"/>
      <c r="F31" s="38"/>
      <c r="G31" s="151"/>
    </row>
    <row r="32" spans="1:9" ht="13.5" thickBot="1" x14ac:dyDescent="0.25">
      <c r="A32" s="19"/>
      <c r="B32" s="20"/>
      <c r="C32" s="20"/>
      <c r="D32" s="20"/>
      <c r="E32" s="20"/>
      <c r="F32" s="20"/>
      <c r="G32" s="21"/>
    </row>
    <row r="33" spans="1:7" ht="15" x14ac:dyDescent="0.2">
      <c r="A33" s="272" t="s">
        <v>29</v>
      </c>
      <c r="B33" s="273"/>
      <c r="C33" s="273"/>
      <c r="D33" s="273"/>
      <c r="E33" s="273"/>
      <c r="F33" s="273"/>
      <c r="G33" s="274"/>
    </row>
    <row r="34" spans="1:7" ht="15" x14ac:dyDescent="0.2">
      <c r="A34" s="49"/>
      <c r="B34" s="50"/>
      <c r="C34" s="50"/>
      <c r="D34" s="50"/>
      <c r="E34" s="50"/>
      <c r="F34" s="50"/>
      <c r="G34" s="64"/>
    </row>
    <row r="35" spans="1:7" ht="15.75" x14ac:dyDescent="0.25">
      <c r="A35" s="49"/>
      <c r="B35" s="50"/>
      <c r="C35" s="43"/>
      <c r="D35" s="43"/>
      <c r="E35" s="43" t="s">
        <v>13</v>
      </c>
      <c r="F35" s="43" t="s">
        <v>3</v>
      </c>
      <c r="G35" s="64"/>
    </row>
    <row r="36" spans="1:7" ht="15.75" x14ac:dyDescent="0.25">
      <c r="A36" s="49"/>
      <c r="B36" s="50"/>
      <c r="C36" s="65" t="s">
        <v>20</v>
      </c>
      <c r="D36" s="65"/>
      <c r="E36" s="65" t="s">
        <v>22</v>
      </c>
      <c r="F36" s="65" t="s">
        <v>6</v>
      </c>
      <c r="G36" s="64"/>
    </row>
    <row r="37" spans="1:7" ht="15.75" x14ac:dyDescent="0.25">
      <c r="A37" s="45" t="s">
        <v>163</v>
      </c>
      <c r="B37" s="36"/>
      <c r="C37" s="66"/>
      <c r="D37" s="66"/>
      <c r="E37" s="66"/>
      <c r="F37" s="66"/>
      <c r="G37" s="64"/>
    </row>
    <row r="38" spans="1:7" ht="15.75" x14ac:dyDescent="0.25">
      <c r="A38" s="42" t="s">
        <v>167</v>
      </c>
      <c r="B38" s="50"/>
      <c r="C38" s="67">
        <f>+'Res''l &amp; MF Customers'!C25+'Res''l &amp; MF Customers'!D25</f>
        <v>3428.8235294117644</v>
      </c>
      <c r="D38" s="67"/>
      <c r="E38" s="68">
        <f>+G112</f>
        <v>0.18</v>
      </c>
      <c r="F38" s="54">
        <f>E38*C38</f>
        <v>617.18823529411759</v>
      </c>
      <c r="G38" s="64"/>
    </row>
    <row r="39" spans="1:7" ht="17.25" x14ac:dyDescent="0.35">
      <c r="A39" s="49" t="s">
        <v>168</v>
      </c>
      <c r="B39" s="50"/>
      <c r="C39" s="51">
        <f>+'Res''l &amp; MF Customers'!E25+'Res''l &amp; MF Customers'!F25+'Res''l &amp; MF Customers'!G25+'Res''l &amp; MF Customers'!H25</f>
        <v>6962.5271493212667</v>
      </c>
      <c r="D39" s="51"/>
      <c r="E39" s="68">
        <f>+G57</f>
        <v>0.21</v>
      </c>
      <c r="F39" s="132">
        <f>E39*C39</f>
        <v>1462.130701357466</v>
      </c>
      <c r="G39" s="64"/>
    </row>
    <row r="40" spans="1:7" ht="15" x14ac:dyDescent="0.2">
      <c r="A40" s="42" t="s">
        <v>3</v>
      </c>
      <c r="B40" s="50"/>
      <c r="C40" s="67">
        <f>SUM(C38:C39)</f>
        <v>10391.350678733032</v>
      </c>
      <c r="D40" s="67"/>
      <c r="E40" s="50"/>
      <c r="F40" s="54">
        <f>SUM(F38:F39)</f>
        <v>2079.3189366515835</v>
      </c>
      <c r="G40" s="64"/>
    </row>
    <row r="41" spans="1:7" ht="15" x14ac:dyDescent="0.2">
      <c r="A41" s="42"/>
      <c r="B41" s="50"/>
      <c r="C41" s="50"/>
      <c r="D41" s="50"/>
      <c r="E41" s="50"/>
      <c r="F41" s="54"/>
      <c r="G41" s="64"/>
    </row>
    <row r="42" spans="1:7" ht="15.75" x14ac:dyDescent="0.25">
      <c r="A42" s="35" t="s">
        <v>159</v>
      </c>
      <c r="B42" s="50"/>
      <c r="C42" s="50"/>
      <c r="D42" s="50"/>
      <c r="E42" s="50"/>
      <c r="F42" s="54">
        <f>SUM('Tons &amp; Revenue'!M75:M80)</f>
        <v>2183.0170166386092</v>
      </c>
      <c r="G42" s="64"/>
    </row>
    <row r="43" spans="1:7" ht="15.75" x14ac:dyDescent="0.25">
      <c r="A43" s="35"/>
      <c r="B43" s="50"/>
      <c r="C43" s="50"/>
      <c r="D43" s="50"/>
      <c r="E43" s="50"/>
      <c r="F43" s="54"/>
      <c r="G43" s="64"/>
    </row>
    <row r="44" spans="1:7" ht="15" x14ac:dyDescent="0.2">
      <c r="A44" s="42" t="s">
        <v>101</v>
      </c>
      <c r="B44" s="50"/>
      <c r="C44" s="50"/>
      <c r="D44" s="50"/>
      <c r="E44" s="50"/>
      <c r="F44" s="131">
        <f>F42-F40</f>
        <v>103.69807998702572</v>
      </c>
      <c r="G44" s="64"/>
    </row>
    <row r="45" spans="1:7" ht="17.25" x14ac:dyDescent="0.35">
      <c r="A45" s="42"/>
      <c r="B45" s="50"/>
      <c r="C45" s="135"/>
      <c r="D45" s="50"/>
      <c r="E45" s="50"/>
      <c r="F45" s="133"/>
      <c r="G45" s="64"/>
    </row>
    <row r="46" spans="1:7" ht="15" x14ac:dyDescent="0.2">
      <c r="A46" s="42" t="s">
        <v>25</v>
      </c>
      <c r="B46" s="50"/>
      <c r="C46" s="50"/>
      <c r="D46" s="50"/>
      <c r="E46" s="50"/>
      <c r="F46" s="67">
        <f>+C40</f>
        <v>10391.350678733032</v>
      </c>
      <c r="G46" s="64"/>
    </row>
    <row r="47" spans="1:7" ht="15" x14ac:dyDescent="0.2">
      <c r="A47" s="42"/>
      <c r="B47" s="50"/>
      <c r="C47" s="50"/>
      <c r="D47" s="50"/>
      <c r="E47" s="50"/>
      <c r="F47" s="50"/>
      <c r="G47" s="64"/>
    </row>
    <row r="48" spans="1:7" ht="15" x14ac:dyDescent="0.2">
      <c r="A48" s="42" t="s">
        <v>26</v>
      </c>
      <c r="B48" s="50"/>
      <c r="C48" s="50"/>
      <c r="D48" s="50"/>
      <c r="E48" s="50"/>
      <c r="F48" s="50"/>
      <c r="G48" s="70">
        <f>ROUND(F44/F46,2)</f>
        <v>0.01</v>
      </c>
    </row>
    <row r="49" spans="1:7" ht="15" x14ac:dyDescent="0.2">
      <c r="A49" s="42"/>
      <c r="B49" s="50"/>
      <c r="C49" s="50"/>
      <c r="D49" s="50"/>
      <c r="E49" s="50"/>
      <c r="F49" s="50"/>
      <c r="G49" s="70"/>
    </row>
    <row r="50" spans="1:7" ht="15" x14ac:dyDescent="0.2">
      <c r="A50" s="42"/>
      <c r="B50" s="50"/>
      <c r="C50" s="50"/>
      <c r="D50" s="50"/>
      <c r="E50" s="50"/>
      <c r="F50" s="67"/>
      <c r="G50" s="64"/>
    </row>
    <row r="51" spans="1:7" ht="15.75" x14ac:dyDescent="0.25">
      <c r="A51" s="42"/>
      <c r="B51" s="36"/>
      <c r="C51" s="50"/>
      <c r="D51" s="50"/>
      <c r="E51" s="50"/>
      <c r="F51" s="67"/>
      <c r="G51" s="64"/>
    </row>
    <row r="52" spans="1:7" ht="15.75" x14ac:dyDescent="0.25">
      <c r="A52" s="152" t="s">
        <v>169</v>
      </c>
      <c r="B52" s="50"/>
      <c r="C52" s="50"/>
      <c r="D52" s="50"/>
      <c r="E52" s="50"/>
      <c r="F52" s="166">
        <f>SUM('Tons &amp; Revenue'!M75:M80)*2</f>
        <v>4366.0340332772184</v>
      </c>
      <c r="G52" s="64"/>
    </row>
    <row r="53" spans="1:7" ht="17.25" x14ac:dyDescent="0.35">
      <c r="A53" s="49" t="s">
        <v>164</v>
      </c>
      <c r="B53" s="36"/>
      <c r="C53" s="38"/>
      <c r="D53" s="38"/>
      <c r="E53" s="181">
        <v>0.5</v>
      </c>
      <c r="F53" s="182">
        <f>-F52*E53</f>
        <v>-2183.0170166386092</v>
      </c>
      <c r="G53" s="52"/>
    </row>
    <row r="54" spans="1:7" ht="20.25" x14ac:dyDescent="0.55000000000000004">
      <c r="A54" s="49"/>
      <c r="B54" s="36"/>
      <c r="C54" s="38"/>
      <c r="D54" s="38"/>
      <c r="E54" s="181"/>
      <c r="F54" s="183">
        <f>+F53+F52</f>
        <v>2183.0170166386092</v>
      </c>
      <c r="G54" s="52"/>
    </row>
    <row r="55" spans="1:7" ht="17.25" x14ac:dyDescent="0.35">
      <c r="A55" s="49"/>
      <c r="B55" s="36"/>
      <c r="C55" s="38"/>
      <c r="D55" s="38"/>
      <c r="E55" s="181"/>
      <c r="F55" s="182"/>
      <c r="G55" s="52"/>
    </row>
    <row r="56" spans="1:7" ht="17.25" x14ac:dyDescent="0.35">
      <c r="A56" s="42" t="s">
        <v>166</v>
      </c>
      <c r="B56" s="38"/>
      <c r="C56" s="38"/>
      <c r="D56" s="38"/>
      <c r="E56" s="38"/>
      <c r="F56" s="165">
        <f>+'Res''l &amp; MF Customers'!H25*12</f>
        <v>21101.999999999996</v>
      </c>
      <c r="G56" s="52"/>
    </row>
    <row r="57" spans="1:7" ht="17.25" x14ac:dyDescent="0.35">
      <c r="A57" s="42" t="s">
        <v>105</v>
      </c>
      <c r="B57" s="38"/>
      <c r="C57" s="38"/>
      <c r="D57" s="38"/>
      <c r="E57" s="38"/>
      <c r="F57" s="38"/>
      <c r="G57" s="55">
        <f>ROUND(+F52/F56,2)</f>
        <v>0.21</v>
      </c>
    </row>
    <row r="58" spans="1:7" ht="15" x14ac:dyDescent="0.2">
      <c r="A58" s="42"/>
      <c r="B58" s="38"/>
      <c r="C58" s="38"/>
      <c r="D58" s="38"/>
      <c r="E58" s="38"/>
      <c r="F58" s="38"/>
      <c r="G58" s="52"/>
    </row>
    <row r="59" spans="1:7" ht="18" x14ac:dyDescent="0.4">
      <c r="A59" s="35" t="s">
        <v>134</v>
      </c>
      <c r="B59" s="36"/>
      <c r="C59" s="38"/>
      <c r="D59" s="38"/>
      <c r="E59" s="38"/>
      <c r="F59" s="38"/>
      <c r="G59" s="188">
        <f>SUM(G48:G57)</f>
        <v>0.22</v>
      </c>
    </row>
    <row r="60" spans="1:7" ht="15.75" x14ac:dyDescent="0.25">
      <c r="A60" s="35"/>
      <c r="B60" s="36"/>
      <c r="C60" s="38"/>
      <c r="D60" s="38"/>
      <c r="E60" s="38"/>
      <c r="F60" s="38"/>
      <c r="G60" s="151"/>
    </row>
    <row r="61" spans="1:7" ht="15.75" thickBot="1" x14ac:dyDescent="0.25">
      <c r="A61" s="72"/>
      <c r="B61" s="73"/>
      <c r="C61" s="73"/>
      <c r="D61" s="73"/>
      <c r="E61" s="73"/>
      <c r="F61" s="73"/>
      <c r="G61" s="74"/>
    </row>
    <row r="62" spans="1:7" ht="23.25" x14ac:dyDescent="0.35">
      <c r="A62" s="31" t="s">
        <v>57</v>
      </c>
      <c r="B62" s="32"/>
      <c r="C62" s="33"/>
      <c r="D62" s="33"/>
      <c r="E62" s="33"/>
      <c r="F62" s="33"/>
      <c r="G62" s="34"/>
    </row>
    <row r="63" spans="1:7" ht="15.75" x14ac:dyDescent="0.25">
      <c r="A63" s="35" t="s">
        <v>104</v>
      </c>
      <c r="B63" s="36"/>
      <c r="C63" s="37"/>
      <c r="D63" s="37"/>
      <c r="E63" s="38"/>
      <c r="F63" s="38"/>
      <c r="G63" s="39"/>
    </row>
    <row r="64" spans="1:7" ht="15.75" x14ac:dyDescent="0.25">
      <c r="A64" s="40"/>
      <c r="B64" s="41"/>
      <c r="C64" s="38"/>
      <c r="D64" s="38"/>
      <c r="E64" s="38"/>
      <c r="F64" s="38"/>
      <c r="G64" s="39"/>
    </row>
    <row r="65" spans="1:7" ht="15" x14ac:dyDescent="0.2">
      <c r="A65" s="272" t="s">
        <v>21</v>
      </c>
      <c r="B65" s="273"/>
      <c r="C65" s="273"/>
      <c r="D65" s="273"/>
      <c r="E65" s="273"/>
      <c r="F65" s="273"/>
      <c r="G65" s="274"/>
    </row>
    <row r="66" spans="1:7" ht="15" x14ac:dyDescent="0.2">
      <c r="A66" s="42"/>
      <c r="B66" s="38"/>
      <c r="C66" s="38"/>
      <c r="D66" s="38"/>
      <c r="E66" s="38"/>
      <c r="F66" s="38"/>
      <c r="G66" s="39"/>
    </row>
    <row r="67" spans="1:7" ht="15.75" x14ac:dyDescent="0.25">
      <c r="A67" s="42"/>
      <c r="B67" s="38"/>
      <c r="C67" s="43"/>
      <c r="D67" s="43"/>
      <c r="E67" s="43" t="s">
        <v>13</v>
      </c>
      <c r="F67" s="43" t="s">
        <v>3</v>
      </c>
      <c r="G67" s="39"/>
    </row>
    <row r="68" spans="1:7" ht="15.75" x14ac:dyDescent="0.25">
      <c r="A68" s="42"/>
      <c r="B68" s="38"/>
      <c r="C68" s="44" t="s">
        <v>5</v>
      </c>
      <c r="D68" s="44"/>
      <c r="E68" s="44" t="s">
        <v>22</v>
      </c>
      <c r="F68" s="44" t="s">
        <v>6</v>
      </c>
      <c r="G68" s="39"/>
    </row>
    <row r="69" spans="1:7" ht="15.75" x14ac:dyDescent="0.25">
      <c r="A69" s="45" t="s">
        <v>160</v>
      </c>
      <c r="B69" s="36"/>
      <c r="C69" s="46"/>
      <c r="D69" s="46"/>
      <c r="E69" s="46"/>
      <c r="F69" s="46"/>
      <c r="G69" s="39"/>
    </row>
    <row r="70" spans="1:7" ht="15.75" x14ac:dyDescent="0.25">
      <c r="A70" s="42" t="s">
        <v>146</v>
      </c>
      <c r="B70" s="38"/>
      <c r="C70" s="47">
        <v>44693</v>
      </c>
      <c r="D70" s="47"/>
      <c r="E70" s="48">
        <v>2.23</v>
      </c>
      <c r="F70" s="131">
        <f>C70*E70</f>
        <v>99665.39</v>
      </c>
      <c r="G70" s="39"/>
    </row>
    <row r="71" spans="1:7" ht="17.25" x14ac:dyDescent="0.35">
      <c r="A71" s="49" t="s">
        <v>161</v>
      </c>
      <c r="B71" s="50"/>
      <c r="C71" s="51">
        <v>90150</v>
      </c>
      <c r="D71" s="51"/>
      <c r="E71" s="48">
        <v>1.7</v>
      </c>
      <c r="F71" s="132">
        <f>C71*E71</f>
        <v>153255</v>
      </c>
      <c r="G71" s="39"/>
    </row>
    <row r="72" spans="1:7" ht="17.25" x14ac:dyDescent="0.35">
      <c r="A72" s="42" t="s">
        <v>3</v>
      </c>
      <c r="B72" s="38"/>
      <c r="C72" s="47">
        <f>SUM(C70:C71)</f>
        <v>134843</v>
      </c>
      <c r="D72" s="51"/>
      <c r="E72" s="38"/>
      <c r="F72" s="131">
        <f>SUM(F70:F71)</f>
        <v>252920.39</v>
      </c>
      <c r="G72" s="39"/>
    </row>
    <row r="73" spans="1:7" ht="15" x14ac:dyDescent="0.2">
      <c r="A73" s="42"/>
      <c r="B73" s="38"/>
      <c r="C73" s="38"/>
      <c r="D73" s="38"/>
      <c r="E73" s="38"/>
      <c r="F73" s="38"/>
      <c r="G73" s="39"/>
    </row>
    <row r="74" spans="1:7" ht="15.75" x14ac:dyDescent="0.25">
      <c r="A74" s="35" t="s">
        <v>23</v>
      </c>
      <c r="B74" s="38"/>
      <c r="C74" s="38"/>
      <c r="D74" s="38"/>
      <c r="E74" s="38"/>
      <c r="F74" s="131">
        <v>261404</v>
      </c>
      <c r="G74" s="39"/>
    </row>
    <row r="75" spans="1:7" ht="15" x14ac:dyDescent="0.2">
      <c r="A75" s="42"/>
      <c r="B75" s="38"/>
      <c r="C75" s="38"/>
      <c r="D75" s="38"/>
      <c r="E75" s="38"/>
      <c r="F75" s="131"/>
      <c r="G75" s="39"/>
    </row>
    <row r="76" spans="1:7" ht="15" x14ac:dyDescent="0.2">
      <c r="A76" s="42" t="s">
        <v>24</v>
      </c>
      <c r="B76" s="38"/>
      <c r="C76" s="38"/>
      <c r="D76" s="38"/>
      <c r="E76" s="38"/>
      <c r="F76" s="47">
        <f>F74-F72</f>
        <v>8483.609999999986</v>
      </c>
      <c r="G76" s="39"/>
    </row>
    <row r="77" spans="1:7" ht="17.25" x14ac:dyDescent="0.35">
      <c r="A77" s="42"/>
      <c r="B77" s="38"/>
      <c r="C77" s="130"/>
      <c r="D77" s="38"/>
      <c r="E77" s="38"/>
      <c r="F77" s="133"/>
      <c r="G77" s="39"/>
    </row>
    <row r="78" spans="1:7" ht="15" x14ac:dyDescent="0.2">
      <c r="A78" s="42" t="s">
        <v>25</v>
      </c>
      <c r="B78" s="38"/>
      <c r="C78" s="38"/>
      <c r="D78" s="38"/>
      <c r="E78" s="38"/>
      <c r="F78" s="47">
        <f>+C72</f>
        <v>134843</v>
      </c>
      <c r="G78" s="39"/>
    </row>
    <row r="79" spans="1:7" ht="15" x14ac:dyDescent="0.2">
      <c r="A79" s="42"/>
      <c r="B79" s="38"/>
      <c r="C79" s="38"/>
      <c r="D79" s="38"/>
      <c r="E79" s="38"/>
      <c r="F79" s="38"/>
      <c r="G79" s="39"/>
    </row>
    <row r="80" spans="1:7" ht="15" x14ac:dyDescent="0.2">
      <c r="A80" s="42" t="s">
        <v>26</v>
      </c>
      <c r="B80" s="38"/>
      <c r="C80" s="38"/>
      <c r="D80" s="38"/>
      <c r="E80" s="38"/>
      <c r="F80" s="61"/>
      <c r="G80" s="52">
        <f>ROUND(F76/F78,2)</f>
        <v>0.06</v>
      </c>
    </row>
    <row r="81" spans="1:7" ht="15" x14ac:dyDescent="0.2">
      <c r="A81" s="42"/>
      <c r="B81" s="38"/>
      <c r="C81" s="38"/>
      <c r="D81" s="38"/>
      <c r="E81" s="38"/>
      <c r="F81" s="38"/>
      <c r="G81" s="52"/>
    </row>
    <row r="82" spans="1:7" ht="15" x14ac:dyDescent="0.2">
      <c r="A82" s="42"/>
      <c r="B82" s="38"/>
      <c r="C82" s="38"/>
      <c r="D82" s="38"/>
      <c r="E82" s="38"/>
      <c r="F82" s="38"/>
      <c r="G82" s="52"/>
    </row>
    <row r="83" spans="1:7" ht="15" x14ac:dyDescent="0.2">
      <c r="A83" s="42"/>
      <c r="B83" s="38"/>
      <c r="C83" s="38"/>
      <c r="D83" s="38"/>
      <c r="E83" s="38"/>
      <c r="F83" s="38"/>
      <c r="G83" s="52"/>
    </row>
    <row r="84" spans="1:7" ht="15.75" x14ac:dyDescent="0.25">
      <c r="A84" s="152" t="s">
        <v>162</v>
      </c>
      <c r="B84" s="36"/>
      <c r="C84" s="38"/>
      <c r="D84" s="38"/>
      <c r="E84" s="38"/>
      <c r="F84" s="164">
        <v>130702</v>
      </c>
      <c r="G84" s="52"/>
    </row>
    <row r="85" spans="1:7" ht="17.25" x14ac:dyDescent="0.35">
      <c r="A85" s="42" t="s">
        <v>25</v>
      </c>
      <c r="B85" s="38"/>
      <c r="C85" s="38"/>
      <c r="D85" s="38"/>
      <c r="E85" s="38"/>
      <c r="F85" s="165">
        <f>+C72</f>
        <v>134843</v>
      </c>
      <c r="G85" s="52"/>
    </row>
    <row r="86" spans="1:7" ht="17.25" x14ac:dyDescent="0.35">
      <c r="A86" s="42" t="s">
        <v>105</v>
      </c>
      <c r="B86" s="38"/>
      <c r="C86" s="38"/>
      <c r="D86" s="38"/>
      <c r="E86" s="38"/>
      <c r="F86" s="38"/>
      <c r="G86" s="55">
        <f>ROUND(+F84/F85,2)</f>
        <v>0.97</v>
      </c>
    </row>
    <row r="87" spans="1:7" ht="15" x14ac:dyDescent="0.2">
      <c r="A87" s="42"/>
      <c r="B87" s="38"/>
      <c r="C87" s="38"/>
      <c r="D87" s="38"/>
      <c r="E87" s="38"/>
      <c r="F87" s="38"/>
      <c r="G87" s="52"/>
    </row>
    <row r="88" spans="1:7" ht="18" x14ac:dyDescent="0.4">
      <c r="A88" s="35" t="s">
        <v>28</v>
      </c>
      <c r="B88" s="36"/>
      <c r="C88" s="38"/>
      <c r="D88" s="38"/>
      <c r="E88" s="38"/>
      <c r="F88" s="38"/>
      <c r="G88" s="188">
        <f>SUM(G80:G86)</f>
        <v>1.03</v>
      </c>
    </row>
    <row r="89" spans="1:7" ht="15.75" x14ac:dyDescent="0.25">
      <c r="A89" s="35"/>
      <c r="B89" s="36"/>
      <c r="C89" s="38"/>
      <c r="D89" s="38"/>
      <c r="E89" s="38"/>
      <c r="F89" s="38"/>
      <c r="G89" s="151"/>
    </row>
    <row r="90" spans="1:7" ht="13.5" thickBot="1" x14ac:dyDescent="0.25">
      <c r="A90" s="19"/>
      <c r="B90" s="20"/>
      <c r="C90" s="20"/>
      <c r="D90" s="20"/>
      <c r="E90" s="20"/>
      <c r="F90" s="20"/>
      <c r="G90" s="21"/>
    </row>
    <row r="91" spans="1:7" ht="15" x14ac:dyDescent="0.2">
      <c r="A91" s="272" t="s">
        <v>29</v>
      </c>
      <c r="B91" s="273"/>
      <c r="C91" s="273"/>
      <c r="D91" s="273"/>
      <c r="E91" s="273"/>
      <c r="F91" s="273"/>
      <c r="G91" s="274"/>
    </row>
    <row r="92" spans="1:7" ht="15" x14ac:dyDescent="0.2">
      <c r="A92" s="49"/>
      <c r="B92" s="50"/>
      <c r="C92" s="50"/>
      <c r="D92" s="50"/>
      <c r="E92" s="50"/>
      <c r="F92" s="50"/>
      <c r="G92" s="64"/>
    </row>
    <row r="93" spans="1:7" ht="15.75" x14ac:dyDescent="0.25">
      <c r="A93" s="49"/>
      <c r="B93" s="50"/>
      <c r="C93" s="43"/>
      <c r="D93" s="43"/>
      <c r="E93" s="43" t="s">
        <v>13</v>
      </c>
      <c r="F93" s="43" t="s">
        <v>3</v>
      </c>
      <c r="G93" s="64"/>
    </row>
    <row r="94" spans="1:7" ht="15.75" x14ac:dyDescent="0.25">
      <c r="A94" s="49"/>
      <c r="B94" s="50"/>
      <c r="C94" s="65" t="s">
        <v>20</v>
      </c>
      <c r="D94" s="65"/>
      <c r="E94" s="65" t="s">
        <v>22</v>
      </c>
      <c r="F94" s="65" t="s">
        <v>6</v>
      </c>
      <c r="G94" s="64"/>
    </row>
    <row r="95" spans="1:7" ht="15.75" x14ac:dyDescent="0.25">
      <c r="A95" s="45" t="s">
        <v>160</v>
      </c>
      <c r="B95" s="36"/>
      <c r="C95" s="66"/>
      <c r="D95" s="66"/>
      <c r="E95" s="66"/>
      <c r="F95" s="66"/>
      <c r="G95" s="64"/>
    </row>
    <row r="96" spans="1:7" ht="15.75" x14ac:dyDescent="0.25">
      <c r="A96" s="42" t="s">
        <v>58</v>
      </c>
      <c r="B96" s="50"/>
      <c r="C96" s="67">
        <v>3064</v>
      </c>
      <c r="D96" s="67"/>
      <c r="E96" s="68">
        <v>0.24</v>
      </c>
      <c r="F96" s="54">
        <f>E96*C96</f>
        <v>735.36</v>
      </c>
      <c r="G96" s="64"/>
    </row>
    <row r="97" spans="1:7" ht="17.25" x14ac:dyDescent="0.35">
      <c r="A97" s="49" t="s">
        <v>59</v>
      </c>
      <c r="B97" s="50"/>
      <c r="C97" s="51">
        <v>6764</v>
      </c>
      <c r="D97" s="51"/>
      <c r="E97" s="68">
        <v>0.3</v>
      </c>
      <c r="F97" s="132">
        <f>E97*C97</f>
        <v>2029.1999999999998</v>
      </c>
      <c r="G97" s="64"/>
    </row>
    <row r="98" spans="1:7" ht="15" x14ac:dyDescent="0.2">
      <c r="A98" s="42" t="s">
        <v>3</v>
      </c>
      <c r="B98" s="50"/>
      <c r="C98" s="67">
        <f>SUM(C96:C97)</f>
        <v>9828</v>
      </c>
      <c r="D98" s="67"/>
      <c r="E98" s="50"/>
      <c r="F98" s="54">
        <f>SUM(F96:F97)</f>
        <v>2764.56</v>
      </c>
      <c r="G98" s="64"/>
    </row>
    <row r="99" spans="1:7" ht="15" x14ac:dyDescent="0.2">
      <c r="A99" s="42"/>
      <c r="B99" s="50"/>
      <c r="C99" s="50"/>
      <c r="D99" s="50"/>
      <c r="E99" s="50"/>
      <c r="F99" s="54"/>
      <c r="G99" s="64"/>
    </row>
    <row r="100" spans="1:7" ht="15.75" x14ac:dyDescent="0.25">
      <c r="A100" s="35" t="s">
        <v>23</v>
      </c>
      <c r="B100" s="50"/>
      <c r="C100" s="50"/>
      <c r="D100" s="50"/>
      <c r="E100" s="50"/>
      <c r="F100" s="54">
        <v>3577</v>
      </c>
      <c r="G100" s="64"/>
    </row>
    <row r="101" spans="1:7" ht="15" x14ac:dyDescent="0.2">
      <c r="A101" s="42"/>
      <c r="B101" s="50"/>
      <c r="C101" s="50"/>
      <c r="D101" s="50"/>
      <c r="E101" s="50"/>
      <c r="F101" s="54"/>
      <c r="G101" s="64"/>
    </row>
    <row r="102" spans="1:7" ht="15" x14ac:dyDescent="0.2">
      <c r="A102" s="42" t="s">
        <v>101</v>
      </c>
      <c r="B102" s="50"/>
      <c r="C102" s="50"/>
      <c r="D102" s="50"/>
      <c r="E102" s="50"/>
      <c r="F102" s="131">
        <f>F100-F98</f>
        <v>812.44</v>
      </c>
      <c r="G102" s="64"/>
    </row>
    <row r="103" spans="1:7" ht="17.25" x14ac:dyDescent="0.35">
      <c r="A103" s="42"/>
      <c r="B103" s="50"/>
      <c r="C103" s="135"/>
      <c r="D103" s="50"/>
      <c r="E103" s="50"/>
      <c r="F103" s="133"/>
      <c r="G103" s="64"/>
    </row>
    <row r="104" spans="1:7" ht="15" x14ac:dyDescent="0.2">
      <c r="A104" s="42" t="s">
        <v>25</v>
      </c>
      <c r="B104" s="50"/>
      <c r="C104" s="50"/>
      <c r="D104" s="50"/>
      <c r="E104" s="50"/>
      <c r="F104" s="67">
        <f>+C98</f>
        <v>9828</v>
      </c>
      <c r="G104" s="64"/>
    </row>
    <row r="105" spans="1:7" ht="15" x14ac:dyDescent="0.2">
      <c r="A105" s="42"/>
      <c r="B105" s="50"/>
      <c r="C105" s="50"/>
      <c r="D105" s="50"/>
      <c r="E105" s="50"/>
      <c r="F105" s="50"/>
      <c r="G105" s="64"/>
    </row>
    <row r="106" spans="1:7" ht="15" x14ac:dyDescent="0.2">
      <c r="A106" s="42" t="s">
        <v>26</v>
      </c>
      <c r="B106" s="50"/>
      <c r="C106" s="50"/>
      <c r="D106" s="50"/>
      <c r="E106" s="50"/>
      <c r="F106" s="50"/>
      <c r="G106" s="70">
        <f>ROUND(F102/F104,2)</f>
        <v>0.08</v>
      </c>
    </row>
    <row r="107" spans="1:7" ht="15" x14ac:dyDescent="0.2">
      <c r="A107" s="42"/>
      <c r="B107" s="50"/>
      <c r="C107" s="50"/>
      <c r="D107" s="50"/>
      <c r="E107" s="50"/>
      <c r="F107" s="50"/>
      <c r="G107" s="70"/>
    </row>
    <row r="108" spans="1:7" ht="15" x14ac:dyDescent="0.2">
      <c r="A108" s="42"/>
      <c r="B108" s="50"/>
      <c r="C108" s="50"/>
      <c r="D108" s="50"/>
      <c r="E108" s="50"/>
      <c r="F108" s="67"/>
      <c r="G108" s="64"/>
    </row>
    <row r="109" spans="1:7" ht="15.75" x14ac:dyDescent="0.25">
      <c r="A109" s="42"/>
      <c r="B109" s="36"/>
      <c r="C109" s="50"/>
      <c r="D109" s="50"/>
      <c r="E109" s="50"/>
      <c r="F109" s="67"/>
      <c r="G109" s="64"/>
    </row>
    <row r="110" spans="1:7" ht="15.75" x14ac:dyDescent="0.25">
      <c r="A110" s="152" t="s">
        <v>162</v>
      </c>
      <c r="B110" s="50"/>
      <c r="C110" s="50"/>
      <c r="D110" s="50"/>
      <c r="E110" s="50"/>
      <c r="F110" s="166">
        <v>1789</v>
      </c>
      <c r="G110" s="64"/>
    </row>
    <row r="111" spans="1:7" ht="17.25" x14ac:dyDescent="0.35">
      <c r="A111" s="49" t="s">
        <v>25</v>
      </c>
      <c r="B111" s="36"/>
      <c r="C111" s="139"/>
      <c r="D111" s="38"/>
      <c r="E111" s="38"/>
      <c r="F111" s="167">
        <f>+C98</f>
        <v>9828</v>
      </c>
      <c r="G111" s="64"/>
    </row>
    <row r="112" spans="1:7" ht="17.25" x14ac:dyDescent="0.35">
      <c r="A112" s="42" t="s">
        <v>105</v>
      </c>
      <c r="B112" s="38"/>
      <c r="C112" s="38"/>
      <c r="D112" s="38"/>
      <c r="E112" s="38"/>
      <c r="F112" s="38"/>
      <c r="G112" s="55">
        <f>ROUND(+F110/F111,2)</f>
        <v>0.18</v>
      </c>
    </row>
    <row r="113" spans="1:7" ht="15" x14ac:dyDescent="0.2">
      <c r="A113" s="42"/>
      <c r="B113" s="50"/>
      <c r="C113" s="50"/>
      <c r="D113" s="50"/>
      <c r="E113" s="50"/>
      <c r="F113" s="67"/>
      <c r="G113" s="64"/>
    </row>
    <row r="114" spans="1:7" ht="18" x14ac:dyDescent="0.4">
      <c r="A114" s="35" t="s">
        <v>134</v>
      </c>
      <c r="B114" s="36"/>
      <c r="C114" s="38"/>
      <c r="D114" s="38"/>
      <c r="E114" s="38"/>
      <c r="F114" s="38"/>
      <c r="G114" s="188">
        <f>SUM(G106:G112)</f>
        <v>0.26</v>
      </c>
    </row>
    <row r="115" spans="1:7" ht="17.25" x14ac:dyDescent="0.35">
      <c r="A115" s="42"/>
      <c r="B115" s="50"/>
      <c r="C115" s="50"/>
      <c r="D115" s="50"/>
      <c r="E115" s="50"/>
      <c r="F115" s="50"/>
      <c r="G115" s="55"/>
    </row>
    <row r="116" spans="1:7" ht="15.75" thickBot="1" x14ac:dyDescent="0.25">
      <c r="A116" s="72"/>
      <c r="B116" s="73"/>
      <c r="C116" s="73"/>
      <c r="D116" s="73"/>
      <c r="E116" s="73"/>
      <c r="F116" s="73"/>
      <c r="G116" s="74"/>
    </row>
    <row r="117" spans="1:7" ht="23.25" x14ac:dyDescent="0.35">
      <c r="A117" s="31" t="s">
        <v>57</v>
      </c>
      <c r="B117" s="32"/>
      <c r="C117" s="33"/>
      <c r="D117" s="33"/>
      <c r="E117" s="33"/>
      <c r="F117" s="33"/>
      <c r="G117" s="34"/>
    </row>
    <row r="118" spans="1:7" ht="15.75" x14ac:dyDescent="0.25">
      <c r="A118" s="35" t="s">
        <v>96</v>
      </c>
      <c r="B118" s="36"/>
      <c r="C118" s="37"/>
      <c r="D118" s="37"/>
      <c r="E118" s="38"/>
      <c r="F118" s="38"/>
      <c r="G118" s="39"/>
    </row>
    <row r="119" spans="1:7" ht="15.75" x14ac:dyDescent="0.25">
      <c r="A119" s="40"/>
      <c r="B119" s="41"/>
      <c r="C119" s="38"/>
      <c r="D119" s="38"/>
      <c r="E119" s="38"/>
      <c r="F119" s="38"/>
      <c r="G119" s="39"/>
    </row>
    <row r="120" spans="1:7" ht="15" x14ac:dyDescent="0.2">
      <c r="A120" s="272" t="s">
        <v>21</v>
      </c>
      <c r="B120" s="273"/>
      <c r="C120" s="273"/>
      <c r="D120" s="273"/>
      <c r="E120" s="273"/>
      <c r="F120" s="273"/>
      <c r="G120" s="274"/>
    </row>
    <row r="121" spans="1:7" ht="15" x14ac:dyDescent="0.2">
      <c r="A121" s="42"/>
      <c r="B121" s="38"/>
      <c r="C121" s="38"/>
      <c r="D121" s="38"/>
      <c r="E121" s="38"/>
      <c r="F121" s="38"/>
      <c r="G121" s="39"/>
    </row>
    <row r="122" spans="1:7" ht="15.75" x14ac:dyDescent="0.25">
      <c r="A122" s="42"/>
      <c r="B122" s="38"/>
      <c r="C122" s="43"/>
      <c r="D122" s="43"/>
      <c r="E122" s="43" t="s">
        <v>13</v>
      </c>
      <c r="F122" s="43" t="s">
        <v>3</v>
      </c>
      <c r="G122" s="39"/>
    </row>
    <row r="123" spans="1:7" ht="15.75" x14ac:dyDescent="0.25">
      <c r="A123" s="42"/>
      <c r="B123" s="38"/>
      <c r="C123" s="44" t="s">
        <v>5</v>
      </c>
      <c r="D123" s="44"/>
      <c r="E123" s="44" t="s">
        <v>22</v>
      </c>
      <c r="F123" s="44" t="s">
        <v>6</v>
      </c>
      <c r="G123" s="39"/>
    </row>
    <row r="124" spans="1:7" ht="15.75" x14ac:dyDescent="0.25">
      <c r="A124" s="45" t="s">
        <v>98</v>
      </c>
      <c r="B124" s="36"/>
      <c r="C124" s="46"/>
      <c r="D124" s="46"/>
      <c r="E124" s="46"/>
      <c r="F124" s="46"/>
      <c r="G124" s="39"/>
    </row>
    <row r="125" spans="1:7" ht="15.75" x14ac:dyDescent="0.25">
      <c r="A125" s="42" t="s">
        <v>58</v>
      </c>
      <c r="B125" s="38"/>
      <c r="C125" s="47">
        <v>44693</v>
      </c>
      <c r="D125" s="47"/>
      <c r="E125" s="48">
        <v>1.71</v>
      </c>
      <c r="F125" s="131">
        <f>C125*E125</f>
        <v>76425.03</v>
      </c>
      <c r="G125" s="39"/>
    </row>
    <row r="126" spans="1:7" ht="17.25" x14ac:dyDescent="0.35">
      <c r="A126" s="49" t="s">
        <v>59</v>
      </c>
      <c r="B126" s="50"/>
      <c r="C126" s="51">
        <v>225967</v>
      </c>
      <c r="D126" s="51"/>
      <c r="E126" s="48">
        <v>2.23</v>
      </c>
      <c r="F126" s="132">
        <f>C126*E126</f>
        <v>503906.41</v>
      </c>
      <c r="G126" s="39"/>
    </row>
    <row r="127" spans="1:7" ht="17.25" x14ac:dyDescent="0.35">
      <c r="A127" s="42" t="s">
        <v>3</v>
      </c>
      <c r="B127" s="38"/>
      <c r="C127" s="47">
        <f>SUM(C125:C126)</f>
        <v>270660</v>
      </c>
      <c r="D127" s="51"/>
      <c r="E127" s="38"/>
      <c r="F127" s="131">
        <f>SUM(F125:F126)</f>
        <v>580331.43999999994</v>
      </c>
      <c r="G127" s="39"/>
    </row>
    <row r="128" spans="1:7" ht="15" x14ac:dyDescent="0.2">
      <c r="A128" s="42"/>
      <c r="B128" s="38"/>
      <c r="C128" s="38"/>
      <c r="D128" s="38"/>
      <c r="E128" s="38"/>
      <c r="F128" s="38"/>
      <c r="G128" s="39"/>
    </row>
    <row r="129" spans="1:8" ht="15.75" x14ac:dyDescent="0.25">
      <c r="A129" s="35" t="s">
        <v>23</v>
      </c>
      <c r="B129" s="38"/>
      <c r="C129" s="38"/>
      <c r="D129" s="38"/>
      <c r="E129" s="38"/>
      <c r="F129" s="131">
        <v>519430</v>
      </c>
      <c r="G129" s="39"/>
    </row>
    <row r="130" spans="1:8" ht="15" x14ac:dyDescent="0.2">
      <c r="A130" s="42"/>
      <c r="B130" s="38"/>
      <c r="C130" s="38"/>
      <c r="D130" s="38"/>
      <c r="E130" s="38"/>
      <c r="F130" s="131"/>
      <c r="G130" s="39"/>
    </row>
    <row r="131" spans="1:8" ht="15" x14ac:dyDescent="0.2">
      <c r="A131" s="42" t="s">
        <v>24</v>
      </c>
      <c r="B131" s="38"/>
      <c r="C131" s="38"/>
      <c r="D131" s="38"/>
      <c r="E131" s="38"/>
      <c r="F131" s="47">
        <f>F129-F127</f>
        <v>-60901.439999999944</v>
      </c>
      <c r="G131" s="39"/>
    </row>
    <row r="132" spans="1:8" ht="17.25" x14ac:dyDescent="0.35">
      <c r="A132" s="42"/>
      <c r="B132" s="38"/>
      <c r="C132" s="130"/>
      <c r="D132" s="38"/>
      <c r="E132" s="38"/>
      <c r="F132" s="133"/>
      <c r="G132" s="39"/>
    </row>
    <row r="133" spans="1:8" ht="15" x14ac:dyDescent="0.2">
      <c r="A133" s="42" t="s">
        <v>25</v>
      </c>
      <c r="B133" s="38"/>
      <c r="C133" s="38"/>
      <c r="D133" s="38"/>
      <c r="E133" s="38"/>
      <c r="F133" s="47">
        <f>+C127</f>
        <v>270660</v>
      </c>
      <c r="G133" s="39"/>
    </row>
    <row r="134" spans="1:8" ht="15" x14ac:dyDescent="0.2">
      <c r="A134" s="42"/>
      <c r="B134" s="38"/>
      <c r="C134" s="38"/>
      <c r="D134" s="38"/>
      <c r="E134" s="38"/>
      <c r="F134" s="38"/>
      <c r="G134" s="39"/>
    </row>
    <row r="135" spans="1:8" ht="15" x14ac:dyDescent="0.2">
      <c r="A135" s="42" t="s">
        <v>26</v>
      </c>
      <c r="B135" s="38"/>
      <c r="C135" s="38"/>
      <c r="D135" s="38"/>
      <c r="E135" s="38"/>
      <c r="F135" s="61"/>
      <c r="G135" s="52">
        <f>ROUND(F131/F133,2)</f>
        <v>-0.23</v>
      </c>
    </row>
    <row r="136" spans="1:8" ht="15" x14ac:dyDescent="0.2">
      <c r="A136" s="42"/>
      <c r="B136" s="38"/>
      <c r="C136" s="38"/>
      <c r="D136" s="38"/>
      <c r="E136" s="38"/>
      <c r="F136" s="38"/>
      <c r="G136" s="52"/>
    </row>
    <row r="137" spans="1:8" ht="15" x14ac:dyDescent="0.2">
      <c r="A137" s="42"/>
      <c r="B137" s="38"/>
      <c r="C137" s="38"/>
      <c r="D137" s="38"/>
      <c r="E137" s="38"/>
      <c r="F137" s="38"/>
      <c r="G137" s="52"/>
    </row>
    <row r="138" spans="1:8" ht="15" x14ac:dyDescent="0.2">
      <c r="A138" s="42"/>
      <c r="B138" s="38"/>
      <c r="C138" s="38"/>
      <c r="D138" s="38"/>
      <c r="E138" s="38"/>
      <c r="F138" s="38"/>
      <c r="G138" s="52"/>
      <c r="H138" s="63"/>
    </row>
    <row r="139" spans="1:8" ht="15.75" x14ac:dyDescent="0.25">
      <c r="A139" s="152" t="s">
        <v>145</v>
      </c>
      <c r="B139" s="36"/>
      <c r="C139" s="38"/>
      <c r="D139" s="38"/>
      <c r="E139" s="38"/>
      <c r="F139" s="164">
        <v>115861</v>
      </c>
      <c r="G139" s="52"/>
      <c r="H139" s="161"/>
    </row>
    <row r="140" spans="1:8" ht="17.25" x14ac:dyDescent="0.35">
      <c r="A140" s="42" t="s">
        <v>25</v>
      </c>
      <c r="B140" s="38"/>
      <c r="C140" s="38"/>
      <c r="D140" s="38"/>
      <c r="E140" s="38"/>
      <c r="F140" s="165">
        <f>135817</f>
        <v>135817</v>
      </c>
      <c r="G140" s="52"/>
      <c r="H140" s="162"/>
    </row>
    <row r="141" spans="1:8" ht="17.25" x14ac:dyDescent="0.35">
      <c r="A141" s="42" t="s">
        <v>105</v>
      </c>
      <c r="B141" s="38"/>
      <c r="C141" s="38"/>
      <c r="D141" s="38"/>
      <c r="E141" s="38"/>
      <c r="F141" s="38"/>
      <c r="G141" s="55">
        <f>ROUND(+F139/F140,2)</f>
        <v>0.85</v>
      </c>
      <c r="H141" s="163"/>
    </row>
    <row r="142" spans="1:8" ht="15" x14ac:dyDescent="0.2">
      <c r="A142" s="42"/>
      <c r="B142" s="38"/>
      <c r="C142" s="38"/>
      <c r="D142" s="38"/>
      <c r="E142" s="38"/>
      <c r="F142" s="38"/>
      <c r="G142" s="52"/>
    </row>
    <row r="143" spans="1:8" ht="15.75" x14ac:dyDescent="0.25">
      <c r="A143" s="35" t="s">
        <v>28</v>
      </c>
      <c r="B143" s="36"/>
      <c r="C143" s="38"/>
      <c r="D143" s="38"/>
      <c r="E143" s="38"/>
      <c r="F143" s="38"/>
      <c r="G143" s="169">
        <f>SUM(G135:G141)</f>
        <v>0.62</v>
      </c>
      <c r="H143" s="160"/>
    </row>
    <row r="144" spans="1:8" ht="15.75" x14ac:dyDescent="0.25">
      <c r="A144" s="35"/>
      <c r="B144" s="36"/>
      <c r="C144" s="38"/>
      <c r="D144" s="38"/>
      <c r="E144" s="38"/>
      <c r="F144" s="38"/>
      <c r="G144" s="151"/>
    </row>
    <row r="145" spans="1:8" ht="20.25" x14ac:dyDescent="0.55000000000000004">
      <c r="A145" s="49"/>
      <c r="B145" s="38"/>
      <c r="C145" s="38"/>
      <c r="D145" s="38"/>
      <c r="E145" s="139"/>
      <c r="F145" s="38"/>
      <c r="G145" s="153"/>
      <c r="H145" s="163"/>
    </row>
    <row r="146" spans="1:8" ht="20.25" x14ac:dyDescent="0.55000000000000004">
      <c r="A146" s="49"/>
      <c r="B146" s="38"/>
      <c r="C146" s="38"/>
      <c r="D146" s="38"/>
      <c r="E146" s="139"/>
      <c r="F146" s="38"/>
      <c r="G146" s="153"/>
      <c r="H146" s="119"/>
    </row>
    <row r="147" spans="1:8" ht="18" x14ac:dyDescent="0.4">
      <c r="A147" s="35" t="s">
        <v>129</v>
      </c>
      <c r="B147" s="38"/>
      <c r="C147" s="38"/>
      <c r="D147" s="38"/>
      <c r="E147" s="139"/>
      <c r="F147" s="38"/>
      <c r="G147" s="154">
        <f>+G143+G145</f>
        <v>0.62</v>
      </c>
      <c r="H147" s="160"/>
    </row>
    <row r="148" spans="1:8" ht="13.5" thickBot="1" x14ac:dyDescent="0.25">
      <c r="A148" s="19"/>
      <c r="B148" s="20"/>
      <c r="C148" s="20"/>
      <c r="D148" s="20"/>
      <c r="E148" s="20"/>
      <c r="F148" s="20"/>
      <c r="G148" s="21"/>
    </row>
    <row r="149" spans="1:8" ht="15" x14ac:dyDescent="0.2">
      <c r="A149" s="272" t="s">
        <v>29</v>
      </c>
      <c r="B149" s="273"/>
      <c r="C149" s="273"/>
      <c r="D149" s="273"/>
      <c r="E149" s="273"/>
      <c r="F149" s="273"/>
      <c r="G149" s="274"/>
    </row>
    <row r="150" spans="1:8" ht="15" x14ac:dyDescent="0.2">
      <c r="A150" s="49"/>
      <c r="B150" s="50"/>
      <c r="C150" s="50"/>
      <c r="D150" s="50"/>
      <c r="E150" s="50"/>
      <c r="F150" s="50"/>
      <c r="G150" s="64"/>
    </row>
    <row r="151" spans="1:8" ht="15.75" x14ac:dyDescent="0.25">
      <c r="A151" s="49"/>
      <c r="B151" s="50"/>
      <c r="C151" s="43"/>
      <c r="D151" s="43"/>
      <c r="E151" s="43" t="s">
        <v>13</v>
      </c>
      <c r="F151" s="43" t="s">
        <v>3</v>
      </c>
      <c r="G151" s="64"/>
    </row>
    <row r="152" spans="1:8" ht="15.75" x14ac:dyDescent="0.25">
      <c r="A152" s="49"/>
      <c r="B152" s="50"/>
      <c r="C152" s="65" t="s">
        <v>20</v>
      </c>
      <c r="D152" s="65"/>
      <c r="E152" s="65" t="s">
        <v>22</v>
      </c>
      <c r="F152" s="65" t="s">
        <v>6</v>
      </c>
      <c r="G152" s="64"/>
    </row>
    <row r="153" spans="1:8" ht="15.75" x14ac:dyDescent="0.25">
      <c r="A153" s="45" t="s">
        <v>98</v>
      </c>
      <c r="B153" s="36"/>
      <c r="C153" s="66"/>
      <c r="D153" s="66"/>
      <c r="E153" s="66"/>
      <c r="F153" s="66"/>
      <c r="G153" s="64"/>
    </row>
    <row r="154" spans="1:8" ht="15.75" x14ac:dyDescent="0.25">
      <c r="A154" s="42" t="s">
        <v>58</v>
      </c>
      <c r="B154" s="50"/>
      <c r="C154" s="67" t="e">
        <f>+'Res''l &amp; MF Customers'!#REF!+'Res''l &amp; MF Customers'!#REF!</f>
        <v>#REF!</v>
      </c>
      <c r="D154" s="67"/>
      <c r="E154" s="68">
        <v>0.24</v>
      </c>
      <c r="F154" s="54" t="e">
        <f>E154*C154</f>
        <v>#REF!</v>
      </c>
      <c r="G154" s="64"/>
    </row>
    <row r="155" spans="1:8" ht="17.25" x14ac:dyDescent="0.35">
      <c r="A155" s="49" t="s">
        <v>59</v>
      </c>
      <c r="B155" s="50"/>
      <c r="C155" s="51">
        <v>17388</v>
      </c>
      <c r="D155" s="51"/>
      <c r="E155" s="68">
        <v>0.34</v>
      </c>
      <c r="F155" s="132">
        <f>E155*C155</f>
        <v>5911.92</v>
      </c>
      <c r="G155" s="64"/>
    </row>
    <row r="156" spans="1:8" ht="15" x14ac:dyDescent="0.2">
      <c r="A156" s="42" t="s">
        <v>3</v>
      </c>
      <c r="B156" s="50"/>
      <c r="C156" s="67" t="e">
        <f>SUM(C154:C155)</f>
        <v>#REF!</v>
      </c>
      <c r="D156" s="67"/>
      <c r="E156" s="50"/>
      <c r="F156" s="54" t="e">
        <f>SUM(F154:F155)</f>
        <v>#REF!</v>
      </c>
      <c r="G156" s="64"/>
    </row>
    <row r="157" spans="1:8" ht="15" x14ac:dyDescent="0.2">
      <c r="A157" s="42"/>
      <c r="B157" s="50"/>
      <c r="C157" s="50"/>
      <c r="D157" s="50"/>
      <c r="E157" s="50"/>
      <c r="F157" s="54"/>
      <c r="G157" s="64"/>
    </row>
    <row r="158" spans="1:8" ht="15.75" x14ac:dyDescent="0.25">
      <c r="A158" s="35" t="s">
        <v>23</v>
      </c>
      <c r="B158" s="50"/>
      <c r="C158" s="50"/>
      <c r="D158" s="50"/>
      <c r="E158" s="50"/>
      <c r="F158" s="54">
        <v>7108</v>
      </c>
      <c r="G158" s="64"/>
    </row>
    <row r="159" spans="1:8" ht="15" x14ac:dyDescent="0.2">
      <c r="A159" s="42"/>
      <c r="B159" s="50"/>
      <c r="C159" s="50"/>
      <c r="D159" s="50"/>
      <c r="E159" s="50"/>
      <c r="F159" s="54"/>
      <c r="G159" s="64"/>
    </row>
    <row r="160" spans="1:8" ht="15" x14ac:dyDescent="0.2">
      <c r="A160" s="42" t="s">
        <v>101</v>
      </c>
      <c r="B160" s="50"/>
      <c r="C160" s="50"/>
      <c r="D160" s="50"/>
      <c r="E160" s="50"/>
      <c r="F160" s="131" t="e">
        <f>F158-F156</f>
        <v>#REF!</v>
      </c>
      <c r="G160" s="64"/>
    </row>
    <row r="161" spans="1:8" ht="17.25" x14ac:dyDescent="0.35">
      <c r="A161" s="42"/>
      <c r="B161" s="50"/>
      <c r="C161" s="135"/>
      <c r="D161" s="50"/>
      <c r="E161" s="50"/>
      <c r="F161" s="133"/>
      <c r="G161" s="64"/>
    </row>
    <row r="162" spans="1:8" ht="15" x14ac:dyDescent="0.2">
      <c r="A162" s="42" t="s">
        <v>25</v>
      </c>
      <c r="B162" s="50"/>
      <c r="C162" s="50"/>
      <c r="D162" s="50"/>
      <c r="E162" s="50"/>
      <c r="F162" s="67" t="e">
        <f>+C156</f>
        <v>#REF!</v>
      </c>
      <c r="G162" s="64"/>
    </row>
    <row r="163" spans="1:8" ht="15" x14ac:dyDescent="0.2">
      <c r="A163" s="42"/>
      <c r="B163" s="50"/>
      <c r="C163" s="50"/>
      <c r="D163" s="50"/>
      <c r="E163" s="50"/>
      <c r="F163" s="50"/>
      <c r="G163" s="64"/>
    </row>
    <row r="164" spans="1:8" ht="15" x14ac:dyDescent="0.2">
      <c r="A164" s="42" t="s">
        <v>26</v>
      </c>
      <c r="B164" s="50"/>
      <c r="C164" s="50"/>
      <c r="D164" s="50"/>
      <c r="E164" s="50"/>
      <c r="F164" s="50"/>
      <c r="G164" s="70" t="e">
        <f>ROUND(F160/F162,2)</f>
        <v>#REF!</v>
      </c>
    </row>
    <row r="165" spans="1:8" ht="15" x14ac:dyDescent="0.2">
      <c r="A165" s="42"/>
      <c r="B165" s="50"/>
      <c r="C165" s="50"/>
      <c r="D165" s="50"/>
      <c r="E165" s="50"/>
      <c r="F165" s="50"/>
      <c r="G165" s="70"/>
    </row>
    <row r="166" spans="1:8" ht="15" x14ac:dyDescent="0.2">
      <c r="A166" s="42"/>
      <c r="B166" s="50"/>
      <c r="C166" s="50"/>
      <c r="D166" s="50"/>
      <c r="E166" s="50"/>
      <c r="F166" s="67"/>
      <c r="G166" s="64"/>
    </row>
    <row r="167" spans="1:8" ht="15.75" x14ac:dyDescent="0.25">
      <c r="A167" s="42"/>
      <c r="B167" s="36"/>
      <c r="C167" s="50"/>
      <c r="D167" s="50"/>
      <c r="E167" s="50"/>
      <c r="F167" s="67"/>
      <c r="G167" s="64"/>
    </row>
    <row r="168" spans="1:8" ht="15.75" x14ac:dyDescent="0.25">
      <c r="A168" s="152" t="s">
        <v>145</v>
      </c>
      <c r="B168" s="50"/>
      <c r="C168" s="50"/>
      <c r="D168" s="50"/>
      <c r="E168" s="50"/>
      <c r="F168" s="166">
        <v>1586</v>
      </c>
      <c r="G168" s="64"/>
      <c r="H168" s="159"/>
    </row>
    <row r="169" spans="1:8" ht="17.25" x14ac:dyDescent="0.35">
      <c r="A169" s="49" t="s">
        <v>25</v>
      </c>
      <c r="B169" s="36"/>
      <c r="C169" s="139"/>
      <c r="D169" s="38"/>
      <c r="E169" s="38"/>
      <c r="F169" s="167">
        <v>10624</v>
      </c>
      <c r="G169" s="64"/>
    </row>
    <row r="170" spans="1:8" ht="17.25" x14ac:dyDescent="0.35">
      <c r="A170" s="42" t="s">
        <v>105</v>
      </c>
      <c r="B170" s="38"/>
      <c r="C170" s="38"/>
      <c r="D170" s="38"/>
      <c r="E170" s="38"/>
      <c r="F170" s="38"/>
      <c r="G170" s="55">
        <f>ROUND(+F168/F169,2)</f>
        <v>0.15</v>
      </c>
    </row>
    <row r="171" spans="1:8" ht="15" x14ac:dyDescent="0.2">
      <c r="A171" s="42"/>
      <c r="B171" s="50"/>
      <c r="C171" s="50"/>
      <c r="D171" s="50"/>
      <c r="E171" s="50"/>
      <c r="F171" s="67"/>
      <c r="G171" s="64"/>
    </row>
    <row r="172" spans="1:8" ht="15.75" x14ac:dyDescent="0.25">
      <c r="A172" s="35" t="s">
        <v>134</v>
      </c>
      <c r="B172" s="36"/>
      <c r="C172" s="38"/>
      <c r="D172" s="38"/>
      <c r="E172" s="38"/>
      <c r="F172" s="38"/>
      <c r="G172" s="169" t="e">
        <f>SUM(G164:G170)</f>
        <v>#REF!</v>
      </c>
      <c r="H172" s="160"/>
    </row>
    <row r="173" spans="1:8" ht="17.25" x14ac:dyDescent="0.35">
      <c r="A173" s="42"/>
      <c r="B173" s="50"/>
      <c r="C173" s="50"/>
      <c r="D173" s="50"/>
      <c r="E173" s="50"/>
      <c r="F173" s="50"/>
      <c r="G173" s="55"/>
    </row>
    <row r="174" spans="1:8" ht="20.25" x14ac:dyDescent="0.55000000000000004">
      <c r="A174" s="49"/>
      <c r="B174" s="38"/>
      <c r="C174" s="38"/>
      <c r="D174" s="38"/>
      <c r="E174" s="139"/>
      <c r="F174" s="38"/>
      <c r="G174" s="153"/>
    </row>
    <row r="175" spans="1:8" ht="20.25" x14ac:dyDescent="0.55000000000000004">
      <c r="A175" s="49"/>
      <c r="B175" s="38"/>
      <c r="C175" s="38"/>
      <c r="D175" s="38"/>
      <c r="E175" s="139"/>
      <c r="F175" s="38"/>
      <c r="G175" s="153"/>
      <c r="H175" s="119"/>
    </row>
    <row r="176" spans="1:8" ht="18" x14ac:dyDescent="0.4">
      <c r="A176" s="35" t="s">
        <v>129</v>
      </c>
      <c r="B176" s="38"/>
      <c r="C176" s="38"/>
      <c r="D176" s="38"/>
      <c r="E176" s="139"/>
      <c r="F176" s="38"/>
      <c r="G176" s="154" t="e">
        <f>+G172+G174</f>
        <v>#REF!</v>
      </c>
      <c r="H176" s="160"/>
    </row>
    <row r="177" spans="1:7" ht="15.75" thickBot="1" x14ac:dyDescent="0.25">
      <c r="A177" s="72"/>
      <c r="B177" s="73"/>
      <c r="C177" s="73"/>
      <c r="D177" s="73"/>
      <c r="E177" s="73"/>
      <c r="F177" s="73"/>
      <c r="G177" s="74"/>
    </row>
    <row r="178" spans="1:7" ht="23.25" x14ac:dyDescent="0.35">
      <c r="A178" s="31" t="s">
        <v>57</v>
      </c>
      <c r="B178" s="32"/>
      <c r="C178" s="33"/>
      <c r="D178" s="33"/>
      <c r="E178" s="33"/>
      <c r="F178" s="33"/>
      <c r="G178" s="34"/>
    </row>
    <row r="179" spans="1:7" ht="15.75" x14ac:dyDescent="0.25">
      <c r="A179" s="35" t="s">
        <v>96</v>
      </c>
      <c r="B179" s="36"/>
      <c r="C179" s="37"/>
      <c r="D179" s="37"/>
      <c r="E179" s="38"/>
      <c r="F179" s="38"/>
      <c r="G179" s="39"/>
    </row>
    <row r="180" spans="1:7" ht="15.75" x14ac:dyDescent="0.25">
      <c r="A180" s="40"/>
      <c r="B180" s="41"/>
      <c r="C180" s="38"/>
      <c r="D180" s="38"/>
      <c r="E180" s="38"/>
      <c r="F180" s="38"/>
      <c r="G180" s="39"/>
    </row>
    <row r="181" spans="1:7" ht="15" x14ac:dyDescent="0.2">
      <c r="A181" s="272" t="s">
        <v>21</v>
      </c>
      <c r="B181" s="273"/>
      <c r="C181" s="273"/>
      <c r="D181" s="273"/>
      <c r="E181" s="273"/>
      <c r="F181" s="273"/>
      <c r="G181" s="274"/>
    </row>
    <row r="182" spans="1:7" ht="15" x14ac:dyDescent="0.2">
      <c r="A182" s="42"/>
      <c r="B182" s="38"/>
      <c r="C182" s="38"/>
      <c r="D182" s="38"/>
      <c r="E182" s="38"/>
      <c r="F182" s="38"/>
      <c r="G182" s="39"/>
    </row>
    <row r="183" spans="1:7" ht="15.75" x14ac:dyDescent="0.25">
      <c r="A183" s="42"/>
      <c r="B183" s="38"/>
      <c r="C183" s="43"/>
      <c r="D183" s="43"/>
      <c r="E183" s="43" t="s">
        <v>13</v>
      </c>
      <c r="F183" s="43" t="s">
        <v>3</v>
      </c>
      <c r="G183" s="39"/>
    </row>
    <row r="184" spans="1:7" ht="15.75" x14ac:dyDescent="0.25">
      <c r="A184" s="42"/>
      <c r="B184" s="38"/>
      <c r="C184" s="44" t="s">
        <v>5</v>
      </c>
      <c r="D184" s="44"/>
      <c r="E184" s="44" t="s">
        <v>22</v>
      </c>
      <c r="F184" s="44" t="s">
        <v>6</v>
      </c>
      <c r="G184" s="39"/>
    </row>
    <row r="185" spans="1:7" ht="15.75" x14ac:dyDescent="0.25">
      <c r="A185" s="45" t="s">
        <v>85</v>
      </c>
      <c r="B185" s="36"/>
      <c r="C185" s="46"/>
      <c r="D185" s="46"/>
      <c r="E185" s="46"/>
      <c r="F185" s="46"/>
      <c r="G185" s="39"/>
    </row>
    <row r="186" spans="1:7" ht="15.75" x14ac:dyDescent="0.25">
      <c r="A186" s="42" t="s">
        <v>58</v>
      </c>
      <c r="B186" s="38"/>
      <c r="C186" s="47">
        <v>43420</v>
      </c>
      <c r="D186" s="47"/>
      <c r="E186" s="48">
        <f>+E245</f>
        <v>1.99</v>
      </c>
      <c r="F186" s="131">
        <f>C186*E186</f>
        <v>86405.8</v>
      </c>
      <c r="G186" s="39"/>
    </row>
    <row r="187" spans="1:7" ht="17.25" x14ac:dyDescent="0.35">
      <c r="A187" s="49" t="s">
        <v>59</v>
      </c>
      <c r="B187" s="50"/>
      <c r="C187" s="51">
        <v>219122</v>
      </c>
      <c r="D187" s="51"/>
      <c r="E187" s="48">
        <f>+G260</f>
        <v>1.71</v>
      </c>
      <c r="F187" s="132">
        <f>C187*E187</f>
        <v>374698.62</v>
      </c>
      <c r="G187" s="39"/>
    </row>
    <row r="188" spans="1:7" ht="17.25" x14ac:dyDescent="0.35">
      <c r="A188" s="42" t="s">
        <v>3</v>
      </c>
      <c r="B188" s="38"/>
      <c r="C188" s="47">
        <f>SUM(C186:C187)</f>
        <v>262542</v>
      </c>
      <c r="D188" s="51"/>
      <c r="E188" s="38"/>
      <c r="F188" s="131">
        <f>SUM(F186:F187)</f>
        <v>461104.42</v>
      </c>
      <c r="G188" s="39"/>
    </row>
    <row r="189" spans="1:7" ht="15" x14ac:dyDescent="0.2">
      <c r="A189" s="42"/>
      <c r="B189" s="38"/>
      <c r="C189" s="38"/>
      <c r="D189" s="38"/>
      <c r="E189" s="38"/>
      <c r="F189" s="38"/>
      <c r="G189" s="39"/>
    </row>
    <row r="190" spans="1:7" ht="15.75" x14ac:dyDescent="0.25">
      <c r="A190" s="35" t="s">
        <v>23</v>
      </c>
      <c r="B190" s="38"/>
      <c r="C190" s="38"/>
      <c r="D190" s="38"/>
      <c r="E190" s="38"/>
      <c r="F190" s="131">
        <v>585067</v>
      </c>
      <c r="G190" s="39"/>
    </row>
    <row r="191" spans="1:7" ht="15" x14ac:dyDescent="0.2">
      <c r="A191" s="42"/>
      <c r="B191" s="38"/>
      <c r="C191" s="38"/>
      <c r="D191" s="38"/>
      <c r="E191" s="38"/>
      <c r="F191" s="131"/>
      <c r="G191" s="39"/>
    </row>
    <row r="192" spans="1:7" ht="15" x14ac:dyDescent="0.2">
      <c r="A192" s="42" t="s">
        <v>101</v>
      </c>
      <c r="B192" s="38"/>
      <c r="C192" s="38"/>
      <c r="D192" s="38"/>
      <c r="E192" s="38"/>
      <c r="F192" s="131">
        <f>F190-F188</f>
        <v>123962.58000000002</v>
      </c>
      <c r="G192" s="39"/>
    </row>
    <row r="193" spans="1:7" ht="17.25" x14ac:dyDescent="0.35">
      <c r="A193" s="42" t="s">
        <v>102</v>
      </c>
      <c r="B193" s="38"/>
      <c r="C193" s="130">
        <f>-1.78+1.44</f>
        <v>-0.34000000000000008</v>
      </c>
      <c r="D193" s="38"/>
      <c r="E193" s="38"/>
      <c r="F193" s="133">
        <f>C193*C186</f>
        <v>-14762.800000000003</v>
      </c>
      <c r="G193" s="39"/>
    </row>
    <row r="194" spans="1:7" ht="15" x14ac:dyDescent="0.2">
      <c r="A194" s="134" t="s">
        <v>100</v>
      </c>
      <c r="B194" s="38"/>
      <c r="C194" s="38"/>
      <c r="D194" s="38"/>
      <c r="E194" s="38"/>
      <c r="F194" s="131">
        <f>SUM(F192:F193)</f>
        <v>109199.78000000001</v>
      </c>
      <c r="G194" s="39"/>
    </row>
    <row r="195" spans="1:7" ht="15" x14ac:dyDescent="0.2">
      <c r="A195" s="42"/>
      <c r="B195" s="38"/>
      <c r="C195" s="38"/>
      <c r="D195" s="38"/>
      <c r="E195" s="38"/>
      <c r="F195" s="38"/>
      <c r="G195" s="39"/>
    </row>
    <row r="196" spans="1:7" ht="15" x14ac:dyDescent="0.2">
      <c r="A196" s="42" t="s">
        <v>25</v>
      </c>
      <c r="B196" s="38"/>
      <c r="C196" s="38"/>
      <c r="D196" s="38"/>
      <c r="E196" s="38"/>
      <c r="F196" s="47">
        <f>+C188</f>
        <v>262542</v>
      </c>
      <c r="G196" s="39"/>
    </row>
    <row r="197" spans="1:7" ht="15" x14ac:dyDescent="0.2">
      <c r="A197" s="42"/>
      <c r="B197" s="38"/>
      <c r="C197" s="38"/>
      <c r="D197" s="38"/>
      <c r="E197" s="38"/>
      <c r="F197" s="38"/>
      <c r="G197" s="39"/>
    </row>
    <row r="198" spans="1:7" ht="15" x14ac:dyDescent="0.2">
      <c r="A198" s="42" t="s">
        <v>26</v>
      </c>
      <c r="B198" s="38"/>
      <c r="C198" s="38"/>
      <c r="D198" s="38"/>
      <c r="E198" s="38"/>
      <c r="F198" s="61"/>
      <c r="G198" s="52">
        <f>ROUND(F194/F196,2)</f>
        <v>0.42</v>
      </c>
    </row>
    <row r="199" spans="1:7" ht="15" x14ac:dyDescent="0.2">
      <c r="A199" s="42"/>
      <c r="B199" s="38"/>
      <c r="C199" s="38"/>
      <c r="D199" s="38"/>
      <c r="E199" s="38"/>
      <c r="F199" s="38"/>
      <c r="G199" s="52"/>
    </row>
    <row r="200" spans="1:7" ht="15" x14ac:dyDescent="0.2">
      <c r="A200" s="42"/>
      <c r="B200" s="38"/>
      <c r="C200" s="38"/>
      <c r="D200" s="38"/>
      <c r="E200" s="38"/>
      <c r="F200" s="38"/>
      <c r="G200" s="52"/>
    </row>
    <row r="201" spans="1:7" ht="15" x14ac:dyDescent="0.2">
      <c r="A201" s="42"/>
      <c r="B201" s="38"/>
      <c r="C201" s="38"/>
      <c r="D201" s="38"/>
      <c r="E201" s="38"/>
      <c r="F201" s="38"/>
      <c r="G201" s="52"/>
    </row>
    <row r="202" spans="1:7" ht="15.75" x14ac:dyDescent="0.25">
      <c r="A202" s="45" t="s">
        <v>98</v>
      </c>
      <c r="B202" s="36"/>
      <c r="C202" s="38"/>
      <c r="D202" s="38"/>
      <c r="E202" s="38"/>
      <c r="F202" s="53">
        <f>+F190</f>
        <v>585067</v>
      </c>
      <c r="G202" s="52"/>
    </row>
    <row r="203" spans="1:7" ht="15" x14ac:dyDescent="0.2">
      <c r="A203" s="42" t="s">
        <v>25</v>
      </c>
      <c r="B203" s="38"/>
      <c r="C203" s="38"/>
      <c r="D203" s="38"/>
      <c r="E203" s="38"/>
      <c r="F203" s="47">
        <f>+C188</f>
        <v>262542</v>
      </c>
      <c r="G203" s="52"/>
    </row>
    <row r="204" spans="1:7" ht="17.25" x14ac:dyDescent="0.35">
      <c r="A204" s="42" t="s">
        <v>27</v>
      </c>
      <c r="B204" s="38"/>
      <c r="C204" s="38"/>
      <c r="D204" s="38"/>
      <c r="E204" s="38"/>
      <c r="F204" s="38"/>
      <c r="G204" s="55">
        <f>ROUND(+F202/F203,2)</f>
        <v>2.23</v>
      </c>
    </row>
    <row r="205" spans="1:7" ht="15" x14ac:dyDescent="0.2">
      <c r="A205" s="42"/>
      <c r="B205" s="38"/>
      <c r="C205" s="38"/>
      <c r="D205" s="38"/>
      <c r="E205" s="38"/>
      <c r="F205" s="38"/>
      <c r="G205" s="52"/>
    </row>
    <row r="206" spans="1:7" ht="15" x14ac:dyDescent="0.2">
      <c r="A206" s="42"/>
      <c r="B206" s="38"/>
      <c r="C206" s="38"/>
      <c r="D206" s="38"/>
      <c r="E206" s="38"/>
      <c r="F206" s="38"/>
      <c r="G206" s="52"/>
    </row>
    <row r="207" spans="1:7" ht="16.5" thickBot="1" x14ac:dyDescent="0.3">
      <c r="A207" s="35" t="s">
        <v>28</v>
      </c>
      <c r="B207" s="36"/>
      <c r="C207" s="38"/>
      <c r="D207" s="38"/>
      <c r="E207" s="38"/>
      <c r="F207" s="38"/>
      <c r="G207" s="58">
        <f>SUM(G198:G204)</f>
        <v>2.65</v>
      </c>
    </row>
    <row r="208" spans="1:7" ht="14.25" thickTop="1" thickBot="1" x14ac:dyDescent="0.25">
      <c r="A208" s="19"/>
      <c r="B208" s="20"/>
      <c r="C208" s="20"/>
      <c r="D208" s="20"/>
      <c r="E208" s="20"/>
      <c r="F208" s="20"/>
      <c r="G208" s="21"/>
    </row>
    <row r="209" spans="1:7" ht="15" x14ac:dyDescent="0.2">
      <c r="A209" s="272" t="s">
        <v>29</v>
      </c>
      <c r="B209" s="273"/>
      <c r="C209" s="273"/>
      <c r="D209" s="273"/>
      <c r="E209" s="273"/>
      <c r="F209" s="273"/>
      <c r="G209" s="274"/>
    </row>
    <row r="210" spans="1:7" ht="15" x14ac:dyDescent="0.2">
      <c r="A210" s="49"/>
      <c r="B210" s="50"/>
      <c r="C210" s="50"/>
      <c r="D210" s="50"/>
      <c r="E210" s="50"/>
      <c r="F210" s="50"/>
      <c r="G210" s="64"/>
    </row>
    <row r="211" spans="1:7" ht="15.75" x14ac:dyDescent="0.25">
      <c r="A211" s="49"/>
      <c r="B211" s="50"/>
      <c r="C211" s="43"/>
      <c r="D211" s="43"/>
      <c r="E211" s="43" t="s">
        <v>13</v>
      </c>
      <c r="F211" s="43" t="s">
        <v>3</v>
      </c>
      <c r="G211" s="64"/>
    </row>
    <row r="212" spans="1:7" ht="15.75" x14ac:dyDescent="0.25">
      <c r="A212" s="49"/>
      <c r="B212" s="50"/>
      <c r="C212" s="65" t="s">
        <v>20</v>
      </c>
      <c r="D212" s="65"/>
      <c r="E212" s="65" t="s">
        <v>22</v>
      </c>
      <c r="F212" s="65" t="s">
        <v>6</v>
      </c>
      <c r="G212" s="64"/>
    </row>
    <row r="213" spans="1:7" ht="15.75" x14ac:dyDescent="0.25">
      <c r="A213" s="45" t="s">
        <v>85</v>
      </c>
      <c r="B213" s="36"/>
      <c r="C213" s="66"/>
      <c r="D213" s="66"/>
      <c r="E213" s="66"/>
      <c r="F213" s="66"/>
      <c r="G213" s="64"/>
    </row>
    <row r="214" spans="1:7" ht="15.75" x14ac:dyDescent="0.25">
      <c r="A214" s="42" t="s">
        <v>58</v>
      </c>
      <c r="B214" s="50"/>
      <c r="C214" s="67">
        <v>3165.2666666666669</v>
      </c>
      <c r="D214" s="67"/>
      <c r="E214" s="68">
        <f>+E271</f>
        <v>0.26</v>
      </c>
      <c r="F214" s="54">
        <f>E214*C214</f>
        <v>822.96933333333345</v>
      </c>
      <c r="G214" s="64"/>
    </row>
    <row r="215" spans="1:7" ht="17.25" x14ac:dyDescent="0.35">
      <c r="A215" s="49" t="s">
        <v>59</v>
      </c>
      <c r="B215" s="50"/>
      <c r="C215" s="51">
        <v>15187.712732919255</v>
      </c>
      <c r="D215" s="51"/>
      <c r="E215" s="68">
        <f>+G286</f>
        <v>0.24</v>
      </c>
      <c r="F215" s="132">
        <f>E215*C215</f>
        <v>3645.0510559006211</v>
      </c>
      <c r="G215" s="64"/>
    </row>
    <row r="216" spans="1:7" ht="15" x14ac:dyDescent="0.2">
      <c r="A216" s="42" t="s">
        <v>3</v>
      </c>
      <c r="B216" s="50"/>
      <c r="C216" s="67">
        <f>SUM(C214:C215)</f>
        <v>18352.979399585922</v>
      </c>
      <c r="D216" s="67"/>
      <c r="E216" s="50"/>
      <c r="F216" s="54">
        <f>SUM(F214:F215)</f>
        <v>4468.0203892339541</v>
      </c>
      <c r="G216" s="64"/>
    </row>
    <row r="217" spans="1:7" ht="15" x14ac:dyDescent="0.2">
      <c r="A217" s="42"/>
      <c r="B217" s="50"/>
      <c r="C217" s="50"/>
      <c r="D217" s="50"/>
      <c r="E217" s="50"/>
      <c r="F217" s="54"/>
      <c r="G217" s="64"/>
    </row>
    <row r="218" spans="1:7" ht="15.75" x14ac:dyDescent="0.25">
      <c r="A218" s="35" t="s">
        <v>23</v>
      </c>
      <c r="B218" s="50"/>
      <c r="C218" s="50"/>
      <c r="D218" s="50"/>
      <c r="E218" s="50"/>
      <c r="F218" s="54">
        <v>6208.3877211296831</v>
      </c>
      <c r="G218" s="64"/>
    </row>
    <row r="219" spans="1:7" ht="15" x14ac:dyDescent="0.2">
      <c r="A219" s="42"/>
      <c r="B219" s="50"/>
      <c r="C219" s="50"/>
      <c r="D219" s="50"/>
      <c r="E219" s="50"/>
      <c r="F219" s="54"/>
      <c r="G219" s="64"/>
    </row>
    <row r="220" spans="1:7" ht="15" x14ac:dyDescent="0.2">
      <c r="A220" s="42" t="s">
        <v>101</v>
      </c>
      <c r="B220" s="50"/>
      <c r="C220" s="50"/>
      <c r="D220" s="50"/>
      <c r="E220" s="50"/>
      <c r="F220" s="131">
        <f>F218-F216</f>
        <v>1740.367331895729</v>
      </c>
      <c r="G220" s="64"/>
    </row>
    <row r="221" spans="1:7" ht="17.25" x14ac:dyDescent="0.35">
      <c r="A221" s="42" t="s">
        <v>103</v>
      </c>
      <c r="B221" s="50"/>
      <c r="C221" s="135">
        <f>-0.28+0.23</f>
        <v>-5.0000000000000017E-2</v>
      </c>
      <c r="D221" s="50"/>
      <c r="E221" s="50"/>
      <c r="F221" s="133">
        <f>C221*C214</f>
        <v>-158.26333333333341</v>
      </c>
      <c r="G221" s="64"/>
    </row>
    <row r="222" spans="1:7" ht="15" x14ac:dyDescent="0.2">
      <c r="A222" s="134" t="s">
        <v>100</v>
      </c>
      <c r="B222" s="50"/>
      <c r="C222" s="50"/>
      <c r="D222" s="50"/>
      <c r="E222" s="50"/>
      <c r="F222" s="131">
        <f>SUM(F220:F221)</f>
        <v>1582.1039985623956</v>
      </c>
      <c r="G222" s="64"/>
    </row>
    <row r="223" spans="1:7" ht="15" x14ac:dyDescent="0.2">
      <c r="A223" s="42"/>
      <c r="B223" s="50"/>
      <c r="C223" s="50"/>
      <c r="D223" s="50"/>
      <c r="E223" s="50"/>
      <c r="F223" s="50"/>
      <c r="G223" s="64"/>
    </row>
    <row r="224" spans="1:7" ht="15" x14ac:dyDescent="0.2">
      <c r="A224" s="42" t="s">
        <v>25</v>
      </c>
      <c r="B224" s="50"/>
      <c r="C224" s="50"/>
      <c r="D224" s="50"/>
      <c r="E224" s="50"/>
      <c r="F224" s="67">
        <f>+C216</f>
        <v>18352.979399585922</v>
      </c>
      <c r="G224" s="64"/>
    </row>
    <row r="225" spans="1:7" ht="15" x14ac:dyDescent="0.2">
      <c r="A225" s="42"/>
      <c r="B225" s="50"/>
      <c r="C225" s="50"/>
      <c r="D225" s="50"/>
      <c r="E225" s="50"/>
      <c r="F225" s="50"/>
      <c r="G225" s="64"/>
    </row>
    <row r="226" spans="1:7" ht="15" x14ac:dyDescent="0.2">
      <c r="A226" s="42" t="s">
        <v>26</v>
      </c>
      <c r="B226" s="50"/>
      <c r="C226" s="50"/>
      <c r="D226" s="50"/>
      <c r="E226" s="50"/>
      <c r="F226" s="50"/>
      <c r="G226" s="70">
        <f>ROUND(F222/F224,2)</f>
        <v>0.09</v>
      </c>
    </row>
    <row r="227" spans="1:7" ht="15" x14ac:dyDescent="0.2">
      <c r="A227" s="42"/>
      <c r="B227" s="50"/>
      <c r="C227" s="50"/>
      <c r="D227" s="50"/>
      <c r="E227" s="50"/>
      <c r="F227" s="50"/>
      <c r="G227" s="70"/>
    </row>
    <row r="228" spans="1:7" ht="15" x14ac:dyDescent="0.2">
      <c r="A228" s="42"/>
      <c r="B228" s="50"/>
      <c r="C228" s="50"/>
      <c r="D228" s="50"/>
      <c r="E228" s="50"/>
      <c r="F228" s="67"/>
      <c r="G228" s="64"/>
    </row>
    <row r="229" spans="1:7" ht="15.75" x14ac:dyDescent="0.25">
      <c r="A229" s="42"/>
      <c r="B229" s="36"/>
      <c r="C229" s="50"/>
      <c r="D229" s="50"/>
      <c r="E229" s="50"/>
      <c r="F229" s="67"/>
      <c r="G229" s="64"/>
    </row>
    <row r="230" spans="1:7" ht="15.75" x14ac:dyDescent="0.25">
      <c r="A230" s="45" t="s">
        <v>98</v>
      </c>
      <c r="B230" s="50"/>
      <c r="C230" s="50"/>
      <c r="D230" s="50"/>
      <c r="E230" s="50"/>
      <c r="F230" s="54">
        <f>+F218</f>
        <v>6208.3877211296831</v>
      </c>
      <c r="G230" s="64"/>
    </row>
    <row r="231" spans="1:7" ht="15" x14ac:dyDescent="0.2">
      <c r="A231" s="42" t="s">
        <v>25</v>
      </c>
      <c r="B231" s="50"/>
      <c r="C231" s="50"/>
      <c r="D231" s="50"/>
      <c r="E231" s="50"/>
      <c r="F231" s="67">
        <f>+C216</f>
        <v>18352.979399585922</v>
      </c>
      <c r="G231" s="64"/>
    </row>
    <row r="232" spans="1:7" ht="17.25" x14ac:dyDescent="0.35">
      <c r="A232" s="42" t="s">
        <v>27</v>
      </c>
      <c r="B232" s="50"/>
      <c r="C232" s="50"/>
      <c r="D232" s="50"/>
      <c r="E232" s="50"/>
      <c r="F232" s="50"/>
      <c r="G232" s="57">
        <f>ROUND(+F230/F231,2)</f>
        <v>0.34</v>
      </c>
    </row>
    <row r="233" spans="1:7" ht="17.25" x14ac:dyDescent="0.35">
      <c r="A233" s="42"/>
      <c r="B233" s="50"/>
      <c r="C233" s="50"/>
      <c r="D233" s="50"/>
      <c r="E233" s="50"/>
      <c r="F233" s="50"/>
      <c r="G233" s="57"/>
    </row>
    <row r="234" spans="1:7" ht="16.5" thickBot="1" x14ac:dyDescent="0.3">
      <c r="A234" s="35" t="s">
        <v>30</v>
      </c>
      <c r="B234" s="36"/>
      <c r="C234" s="50"/>
      <c r="D234" s="50"/>
      <c r="E234" s="50"/>
      <c r="F234" s="50"/>
      <c r="G234" s="71">
        <f>+G232+G226+G227</f>
        <v>0.43000000000000005</v>
      </c>
    </row>
    <row r="235" spans="1:7" ht="16.5" thickTop="1" thickBot="1" x14ac:dyDescent="0.25">
      <c r="A235" s="72"/>
      <c r="B235" s="73"/>
      <c r="C235" s="73"/>
      <c r="D235" s="73"/>
      <c r="E235" s="73"/>
      <c r="F235" s="73"/>
      <c r="G235" s="74"/>
    </row>
    <row r="236" spans="1:7" ht="23.25" x14ac:dyDescent="0.35">
      <c r="A236" s="31" t="s">
        <v>57</v>
      </c>
      <c r="B236" s="32"/>
      <c r="C236" s="33"/>
      <c r="D236" s="33"/>
      <c r="E236" s="33"/>
      <c r="F236" s="33"/>
      <c r="G236" s="34"/>
    </row>
    <row r="237" spans="1:7" ht="15.75" x14ac:dyDescent="0.25">
      <c r="A237" s="35" t="s">
        <v>84</v>
      </c>
      <c r="B237" s="36"/>
      <c r="C237" s="37"/>
      <c r="D237" s="37"/>
      <c r="E237" s="38"/>
      <c r="F237" s="38"/>
      <c r="G237" s="39"/>
    </row>
    <row r="238" spans="1:7" ht="15.75" x14ac:dyDescent="0.25">
      <c r="A238" s="40"/>
      <c r="B238" s="41"/>
      <c r="C238" s="38"/>
      <c r="D238" s="38"/>
      <c r="E238" s="38"/>
      <c r="F238" s="38"/>
      <c r="G238" s="39"/>
    </row>
    <row r="239" spans="1:7" ht="15" x14ac:dyDescent="0.2">
      <c r="A239" s="272" t="s">
        <v>21</v>
      </c>
      <c r="B239" s="273"/>
      <c r="C239" s="273"/>
      <c r="D239" s="273"/>
      <c r="E239" s="273"/>
      <c r="F239" s="273"/>
      <c r="G239" s="274"/>
    </row>
    <row r="240" spans="1:7" ht="15" x14ac:dyDescent="0.2">
      <c r="A240" s="42"/>
      <c r="B240" s="38"/>
      <c r="C240" s="38"/>
      <c r="D240" s="38"/>
      <c r="E240" s="38"/>
      <c r="F240" s="38"/>
      <c r="G240" s="39"/>
    </row>
    <row r="241" spans="1:7" ht="15.75" x14ac:dyDescent="0.25">
      <c r="A241" s="42"/>
      <c r="B241" s="38"/>
      <c r="C241" s="43"/>
      <c r="D241" s="43"/>
      <c r="E241" s="43" t="s">
        <v>13</v>
      </c>
      <c r="F241" s="43" t="s">
        <v>3</v>
      </c>
      <c r="G241" s="39"/>
    </row>
    <row r="242" spans="1:7" ht="15.75" x14ac:dyDescent="0.25">
      <c r="A242" s="42"/>
      <c r="B242" s="38"/>
      <c r="C242" s="44" t="s">
        <v>5</v>
      </c>
      <c r="D242" s="44"/>
      <c r="E242" s="44" t="s">
        <v>22</v>
      </c>
      <c r="F242" s="44" t="s">
        <v>6</v>
      </c>
      <c r="G242" s="39"/>
    </row>
    <row r="243" spans="1:7" ht="15.75" x14ac:dyDescent="0.25">
      <c r="A243" s="45" t="s">
        <v>78</v>
      </c>
      <c r="B243" s="36"/>
      <c r="C243" s="46"/>
      <c r="D243" s="46"/>
      <c r="E243" s="46"/>
      <c r="F243" s="46"/>
      <c r="G243" s="39"/>
    </row>
    <row r="244" spans="1:7" ht="15.75" x14ac:dyDescent="0.25">
      <c r="A244" s="42" t="s">
        <v>58</v>
      </c>
      <c r="B244" s="38"/>
      <c r="C244" s="47">
        <v>42479</v>
      </c>
      <c r="D244" s="47"/>
      <c r="E244" s="48">
        <f>+E299</f>
        <v>1.96</v>
      </c>
      <c r="F244" s="47">
        <f>C244*E244</f>
        <v>83258.84</v>
      </c>
      <c r="G244" s="39"/>
    </row>
    <row r="245" spans="1:7" ht="17.25" x14ac:dyDescent="0.35">
      <c r="A245" s="49" t="s">
        <v>59</v>
      </c>
      <c r="B245" s="50"/>
      <c r="C245" s="51">
        <v>213820</v>
      </c>
      <c r="D245" s="51"/>
      <c r="E245" s="48">
        <f>+G314</f>
        <v>1.99</v>
      </c>
      <c r="F245" s="51">
        <f>C245*E245</f>
        <v>425501.8</v>
      </c>
      <c r="G245" s="39"/>
    </row>
    <row r="246" spans="1:7" ht="17.25" x14ac:dyDescent="0.35">
      <c r="A246" s="42" t="s">
        <v>3</v>
      </c>
      <c r="B246" s="38"/>
      <c r="C246" s="47">
        <f>SUM(C244:C245)</f>
        <v>256299</v>
      </c>
      <c r="D246" s="51"/>
      <c r="E246" s="38"/>
      <c r="F246" s="47">
        <f>SUM(F244:F245)</f>
        <v>508760.64</v>
      </c>
      <c r="G246" s="39"/>
    </row>
    <row r="247" spans="1:7" ht="15" x14ac:dyDescent="0.2">
      <c r="A247" s="42"/>
      <c r="B247" s="38"/>
      <c r="C247" s="38"/>
      <c r="D247" s="38"/>
      <c r="E247" s="38"/>
      <c r="F247" s="38"/>
      <c r="G247" s="39"/>
    </row>
    <row r="248" spans="1:7" ht="15.75" x14ac:dyDescent="0.25">
      <c r="A248" s="35" t="s">
        <v>23</v>
      </c>
      <c r="B248" s="38"/>
      <c r="C248" s="38"/>
      <c r="D248" s="38"/>
      <c r="E248" s="38"/>
      <c r="F248" s="47">
        <v>438426</v>
      </c>
      <c r="G248" s="39"/>
    </row>
    <row r="249" spans="1:7" ht="15" x14ac:dyDescent="0.2">
      <c r="A249" s="42"/>
      <c r="B249" s="38"/>
      <c r="C249" s="38"/>
      <c r="D249" s="38"/>
      <c r="E249" s="38"/>
      <c r="F249" s="38"/>
      <c r="G249" s="39"/>
    </row>
    <row r="250" spans="1:7" ht="15" x14ac:dyDescent="0.2">
      <c r="A250" s="42" t="s">
        <v>24</v>
      </c>
      <c r="B250" s="38"/>
      <c r="C250" s="38"/>
      <c r="D250" s="38"/>
      <c r="E250" s="38"/>
      <c r="F250" s="47">
        <f>F248-F246</f>
        <v>-70334.640000000014</v>
      </c>
      <c r="G250" s="39"/>
    </row>
    <row r="251" spans="1:7" ht="15" x14ac:dyDescent="0.2">
      <c r="A251" s="42"/>
      <c r="B251" s="38"/>
      <c r="C251" s="38"/>
      <c r="D251" s="38"/>
      <c r="E251" s="38"/>
      <c r="F251" s="38"/>
      <c r="G251" s="39"/>
    </row>
    <row r="252" spans="1:7" ht="15" x14ac:dyDescent="0.2">
      <c r="A252" s="42" t="s">
        <v>25</v>
      </c>
      <c r="B252" s="38"/>
      <c r="C252" s="38"/>
      <c r="D252" s="38"/>
      <c r="E252" s="38"/>
      <c r="F252" s="47">
        <f>+C246</f>
        <v>256299</v>
      </c>
      <c r="G252" s="39"/>
    </row>
    <row r="253" spans="1:7" ht="15" x14ac:dyDescent="0.2">
      <c r="A253" s="42"/>
      <c r="B253" s="38"/>
      <c r="C253" s="38"/>
      <c r="D253" s="38"/>
      <c r="E253" s="38"/>
      <c r="F253" s="38"/>
      <c r="G253" s="39"/>
    </row>
    <row r="254" spans="1:7" ht="15" x14ac:dyDescent="0.2">
      <c r="A254" s="42" t="s">
        <v>26</v>
      </c>
      <c r="B254" s="38"/>
      <c r="C254" s="38"/>
      <c r="D254" s="38"/>
      <c r="E254" s="38"/>
      <c r="F254" s="61"/>
      <c r="G254" s="52">
        <f>ROUND(F250/F252,2)</f>
        <v>-0.27</v>
      </c>
    </row>
    <row r="255" spans="1:7" ht="15" x14ac:dyDescent="0.2">
      <c r="A255" s="42"/>
      <c r="B255" s="38"/>
      <c r="C255" s="38"/>
      <c r="D255" s="38"/>
      <c r="E255" s="38"/>
      <c r="F255" s="38"/>
      <c r="G255" s="52"/>
    </row>
    <row r="256" spans="1:7" ht="15" x14ac:dyDescent="0.2">
      <c r="A256" s="42"/>
      <c r="B256" s="38"/>
      <c r="C256" s="38"/>
      <c r="D256" s="38"/>
      <c r="E256" s="38"/>
      <c r="F256" s="38"/>
      <c r="G256" s="52"/>
    </row>
    <row r="257" spans="1:8" ht="15" x14ac:dyDescent="0.2">
      <c r="A257" s="42"/>
      <c r="B257" s="38"/>
      <c r="C257" s="38"/>
      <c r="D257" s="38"/>
      <c r="E257" s="38"/>
      <c r="F257" s="38"/>
      <c r="G257" s="52"/>
    </row>
    <row r="258" spans="1:8" ht="15.75" x14ac:dyDescent="0.25">
      <c r="A258" s="45" t="s">
        <v>85</v>
      </c>
      <c r="B258" s="36"/>
      <c r="C258" s="38"/>
      <c r="D258" s="38"/>
      <c r="E258" s="38"/>
      <c r="F258" s="53">
        <f>+F248</f>
        <v>438426</v>
      </c>
      <c r="G258" s="52"/>
    </row>
    <row r="259" spans="1:8" ht="15" x14ac:dyDescent="0.2">
      <c r="A259" s="42" t="s">
        <v>25</v>
      </c>
      <c r="B259" s="38"/>
      <c r="C259" s="38"/>
      <c r="D259" s="38"/>
      <c r="E259" s="38"/>
      <c r="F259" s="47">
        <f>+C246</f>
        <v>256299</v>
      </c>
      <c r="G259" s="52"/>
    </row>
    <row r="260" spans="1:8" ht="17.25" x14ac:dyDescent="0.35">
      <c r="A260" s="42" t="s">
        <v>27</v>
      </c>
      <c r="B260" s="38"/>
      <c r="C260" s="38"/>
      <c r="D260" s="38"/>
      <c r="E260" s="38"/>
      <c r="F260" s="38"/>
      <c r="G260" s="55">
        <f>ROUND(+F258/F259,2)</f>
        <v>1.71</v>
      </c>
    </row>
    <row r="261" spans="1:8" ht="15" x14ac:dyDescent="0.2">
      <c r="A261" s="42"/>
      <c r="B261" s="38"/>
      <c r="C261" s="38"/>
      <c r="D261" s="38"/>
      <c r="E261" s="38"/>
      <c r="F261" s="38"/>
      <c r="G261" s="52"/>
    </row>
    <row r="262" spans="1:8" ht="15" x14ac:dyDescent="0.2">
      <c r="A262" s="42"/>
      <c r="B262" s="38"/>
      <c r="C262" s="38"/>
      <c r="D262" s="38"/>
      <c r="E262" s="38"/>
      <c r="F262" s="38"/>
      <c r="G262" s="52"/>
    </row>
    <row r="263" spans="1:8" ht="16.5" thickBot="1" x14ac:dyDescent="0.3">
      <c r="A263" s="35" t="s">
        <v>28</v>
      </c>
      <c r="B263" s="36"/>
      <c r="C263" s="38"/>
      <c r="D263" s="38"/>
      <c r="E263" s="38"/>
      <c r="F263" s="38"/>
      <c r="G263" s="58">
        <f>SUM(G254:G260)</f>
        <v>1.44</v>
      </c>
      <c r="H263" s="18"/>
    </row>
    <row r="264" spans="1:8" ht="14.25" thickTop="1" thickBot="1" x14ac:dyDescent="0.25">
      <c r="A264" s="19"/>
      <c r="B264" s="20"/>
      <c r="C264" s="20"/>
      <c r="D264" s="20"/>
      <c r="E264" s="20"/>
      <c r="F264" s="20"/>
      <c r="G264" s="21"/>
    </row>
    <row r="265" spans="1:8" ht="15" x14ac:dyDescent="0.2">
      <c r="A265" s="272" t="s">
        <v>29</v>
      </c>
      <c r="B265" s="273"/>
      <c r="C265" s="273"/>
      <c r="D265" s="273"/>
      <c r="E265" s="273"/>
      <c r="F265" s="273"/>
      <c r="G265" s="274"/>
    </row>
    <row r="266" spans="1:8" ht="15" x14ac:dyDescent="0.2">
      <c r="A266" s="49"/>
      <c r="B266" s="50"/>
      <c r="C266" s="50"/>
      <c r="D266" s="50"/>
      <c r="E266" s="50"/>
      <c r="F266" s="50"/>
      <c r="G266" s="64"/>
    </row>
    <row r="267" spans="1:8" ht="15.75" x14ac:dyDescent="0.25">
      <c r="A267" s="49"/>
      <c r="B267" s="50"/>
      <c r="C267" s="43"/>
      <c r="D267" s="43"/>
      <c r="E267" s="43" t="s">
        <v>13</v>
      </c>
      <c r="F267" s="43" t="s">
        <v>3</v>
      </c>
      <c r="G267" s="64"/>
    </row>
    <row r="268" spans="1:8" ht="15.75" x14ac:dyDescent="0.25">
      <c r="A268" s="49"/>
      <c r="B268" s="50"/>
      <c r="C268" s="65" t="s">
        <v>20</v>
      </c>
      <c r="D268" s="65"/>
      <c r="E268" s="65" t="s">
        <v>22</v>
      </c>
      <c r="F268" s="65" t="s">
        <v>6</v>
      </c>
      <c r="G268" s="64"/>
    </row>
    <row r="269" spans="1:8" ht="15.75" x14ac:dyDescent="0.25">
      <c r="A269" s="45" t="s">
        <v>78</v>
      </c>
      <c r="B269" s="36"/>
      <c r="C269" s="66"/>
      <c r="D269" s="66"/>
      <c r="E269" s="66"/>
      <c r="F269" s="66"/>
      <c r="G269" s="64"/>
    </row>
    <row r="270" spans="1:8" ht="15.75" x14ac:dyDescent="0.25">
      <c r="A270" s="42" t="s">
        <v>58</v>
      </c>
      <c r="B270" s="50"/>
      <c r="C270" s="67">
        <v>3158</v>
      </c>
      <c r="D270" s="67"/>
      <c r="E270" s="68">
        <f>+E325</f>
        <v>0.23</v>
      </c>
      <c r="F270" s="67">
        <f>E270*C270</f>
        <v>726.34</v>
      </c>
      <c r="G270" s="64"/>
    </row>
    <row r="271" spans="1:8" ht="17.25" x14ac:dyDescent="0.35">
      <c r="A271" s="49" t="s">
        <v>59</v>
      </c>
      <c r="B271" s="50"/>
      <c r="C271" s="51">
        <v>15916</v>
      </c>
      <c r="D271" s="51"/>
      <c r="E271" s="68">
        <f>+G340</f>
        <v>0.26</v>
      </c>
      <c r="F271" s="51">
        <f>E271*C271</f>
        <v>4138.16</v>
      </c>
      <c r="G271" s="64"/>
    </row>
    <row r="272" spans="1:8" ht="15" x14ac:dyDescent="0.2">
      <c r="A272" s="42" t="s">
        <v>3</v>
      </c>
      <c r="B272" s="50"/>
      <c r="C272" s="67">
        <f>SUM(C270:C271)</f>
        <v>19074</v>
      </c>
      <c r="D272" s="67"/>
      <c r="E272" s="50"/>
      <c r="F272" s="67">
        <f>SUM(F270:F271)</f>
        <v>4864.5</v>
      </c>
      <c r="G272" s="64"/>
    </row>
    <row r="273" spans="1:8" ht="15" x14ac:dyDescent="0.2">
      <c r="A273" s="42"/>
      <c r="B273" s="50"/>
      <c r="C273" s="50"/>
      <c r="D273" s="50"/>
      <c r="E273" s="50"/>
      <c r="F273" s="50"/>
      <c r="G273" s="64"/>
    </row>
    <row r="274" spans="1:8" ht="15.75" x14ac:dyDescent="0.25">
      <c r="A274" s="35" t="s">
        <v>23</v>
      </c>
      <c r="B274" s="50"/>
      <c r="C274" s="50"/>
      <c r="D274" s="50"/>
      <c r="E274" s="50"/>
      <c r="F274" s="69">
        <v>4652</v>
      </c>
      <c r="G274" s="64"/>
    </row>
    <row r="275" spans="1:8" ht="15" x14ac:dyDescent="0.2">
      <c r="A275" s="42"/>
      <c r="B275" s="50"/>
      <c r="C275" s="50"/>
      <c r="D275" s="50"/>
      <c r="E275" s="50"/>
      <c r="F275" s="50"/>
      <c r="G275" s="64"/>
    </row>
    <row r="276" spans="1:8" ht="15" x14ac:dyDescent="0.2">
      <c r="A276" s="42" t="s">
        <v>24</v>
      </c>
      <c r="B276" s="50"/>
      <c r="C276" s="50"/>
      <c r="D276" s="50"/>
      <c r="E276" s="50"/>
      <c r="F276" s="47">
        <f>F274-F272</f>
        <v>-212.5</v>
      </c>
      <c r="G276" s="64"/>
    </row>
    <row r="277" spans="1:8" ht="15" x14ac:dyDescent="0.2">
      <c r="A277" s="42"/>
      <c r="B277" s="50"/>
      <c r="C277" s="50"/>
      <c r="D277" s="50"/>
      <c r="E277" s="50"/>
      <c r="F277" s="50"/>
      <c r="G277" s="64"/>
    </row>
    <row r="278" spans="1:8" ht="15" x14ac:dyDescent="0.2">
      <c r="A278" s="42" t="s">
        <v>25</v>
      </c>
      <c r="B278" s="50"/>
      <c r="C278" s="50"/>
      <c r="D278" s="50"/>
      <c r="E278" s="50"/>
      <c r="F278" s="67">
        <f>+C272</f>
        <v>19074</v>
      </c>
      <c r="G278" s="64"/>
    </row>
    <row r="279" spans="1:8" ht="15" x14ac:dyDescent="0.2">
      <c r="A279" s="42"/>
      <c r="B279" s="50"/>
      <c r="C279" s="50"/>
      <c r="D279" s="50"/>
      <c r="E279" s="50"/>
      <c r="F279" s="50"/>
      <c r="G279" s="64"/>
    </row>
    <row r="280" spans="1:8" ht="15" x14ac:dyDescent="0.2">
      <c r="A280" s="42" t="s">
        <v>26</v>
      </c>
      <c r="B280" s="50"/>
      <c r="C280" s="50"/>
      <c r="D280" s="50"/>
      <c r="E280" s="50"/>
      <c r="F280" s="50"/>
      <c r="G280" s="70">
        <f>ROUND(F276/F278,2)</f>
        <v>-0.01</v>
      </c>
    </row>
    <row r="281" spans="1:8" ht="15" x14ac:dyDescent="0.2">
      <c r="A281" s="42"/>
      <c r="B281" s="50"/>
      <c r="C281" s="50"/>
      <c r="D281" s="50"/>
      <c r="E281" s="50"/>
      <c r="F281" s="50"/>
      <c r="G281" s="70"/>
    </row>
    <row r="282" spans="1:8" ht="15" x14ac:dyDescent="0.2">
      <c r="A282" s="42"/>
      <c r="B282" s="50"/>
      <c r="C282" s="50"/>
      <c r="D282" s="50"/>
      <c r="E282" s="50"/>
      <c r="F282" s="67"/>
      <c r="G282" s="64"/>
    </row>
    <row r="283" spans="1:8" ht="15.75" x14ac:dyDescent="0.25">
      <c r="A283" s="42"/>
      <c r="B283" s="36"/>
      <c r="C283" s="50"/>
      <c r="D283" s="50"/>
      <c r="E283" s="50"/>
      <c r="F283" s="67"/>
      <c r="G283" s="64"/>
    </row>
    <row r="284" spans="1:8" ht="15.75" x14ac:dyDescent="0.25">
      <c r="A284" s="45" t="s">
        <v>85</v>
      </c>
      <c r="B284" s="50"/>
      <c r="C284" s="50"/>
      <c r="D284" s="50"/>
      <c r="E284" s="50"/>
      <c r="F284" s="54">
        <f>+F274</f>
        <v>4652</v>
      </c>
      <c r="G284" s="64"/>
    </row>
    <row r="285" spans="1:8" ht="15" x14ac:dyDescent="0.2">
      <c r="A285" s="42" t="s">
        <v>25</v>
      </c>
      <c r="B285" s="50"/>
      <c r="C285" s="50"/>
      <c r="D285" s="50"/>
      <c r="E285" s="50"/>
      <c r="F285" s="67">
        <f>+C272</f>
        <v>19074</v>
      </c>
      <c r="G285" s="64"/>
    </row>
    <row r="286" spans="1:8" ht="17.25" x14ac:dyDescent="0.35">
      <c r="A286" s="42" t="s">
        <v>27</v>
      </c>
      <c r="B286" s="50"/>
      <c r="C286" s="50"/>
      <c r="D286" s="50"/>
      <c r="E286" s="50"/>
      <c r="F286" s="50"/>
      <c r="G286" s="57">
        <f>ROUND(+F284/F285,2)</f>
        <v>0.24</v>
      </c>
      <c r="H286" s="18"/>
    </row>
    <row r="287" spans="1:8" ht="17.25" x14ac:dyDescent="0.35">
      <c r="A287" s="42"/>
      <c r="B287" s="50"/>
      <c r="C287" s="50"/>
      <c r="D287" s="50"/>
      <c r="E287" s="50"/>
      <c r="F287" s="50"/>
      <c r="G287" s="57"/>
    </row>
    <row r="288" spans="1:8" ht="16.5" thickBot="1" x14ac:dyDescent="0.3">
      <c r="A288" s="35" t="s">
        <v>30</v>
      </c>
      <c r="B288" s="36"/>
      <c r="C288" s="50"/>
      <c r="D288" s="50"/>
      <c r="E288" s="50"/>
      <c r="F288" s="50"/>
      <c r="G288" s="71">
        <f>+G286+G280+G281</f>
        <v>0.22999999999999998</v>
      </c>
    </row>
    <row r="289" spans="1:7" ht="16.5" thickTop="1" thickBot="1" x14ac:dyDescent="0.25">
      <c r="A289" s="72"/>
      <c r="B289" s="73"/>
      <c r="C289" s="73"/>
      <c r="D289" s="73"/>
      <c r="E289" s="73"/>
      <c r="F289" s="73"/>
      <c r="G289" s="74"/>
    </row>
    <row r="290" spans="1:7" ht="23.25" x14ac:dyDescent="0.35">
      <c r="A290" s="31" t="s">
        <v>57</v>
      </c>
      <c r="B290" s="32"/>
      <c r="C290" s="33"/>
      <c r="D290" s="33"/>
      <c r="E290" s="33"/>
      <c r="F290" s="33"/>
      <c r="G290" s="34"/>
    </row>
    <row r="291" spans="1:7" ht="15.75" x14ac:dyDescent="0.25">
      <c r="A291" s="35" t="s">
        <v>79</v>
      </c>
      <c r="B291" s="36"/>
      <c r="C291" s="37"/>
      <c r="D291" s="37"/>
      <c r="E291" s="38"/>
      <c r="F291" s="38"/>
      <c r="G291" s="39"/>
    </row>
    <row r="292" spans="1:7" ht="15.75" x14ac:dyDescent="0.25">
      <c r="A292" s="40"/>
      <c r="B292" s="41"/>
      <c r="C292" s="38"/>
      <c r="D292" s="38"/>
      <c r="E292" s="38"/>
      <c r="F292" s="38"/>
      <c r="G292" s="39"/>
    </row>
    <row r="293" spans="1:7" ht="15" x14ac:dyDescent="0.2">
      <c r="A293" s="272" t="s">
        <v>21</v>
      </c>
      <c r="B293" s="273"/>
      <c r="C293" s="273"/>
      <c r="D293" s="273"/>
      <c r="E293" s="273"/>
      <c r="F293" s="273"/>
      <c r="G293" s="274"/>
    </row>
    <row r="294" spans="1:7" ht="15" x14ac:dyDescent="0.2">
      <c r="A294" s="42"/>
      <c r="B294" s="38"/>
      <c r="C294" s="38"/>
      <c r="D294" s="38"/>
      <c r="E294" s="38"/>
      <c r="F294" s="38"/>
      <c r="G294" s="39"/>
    </row>
    <row r="295" spans="1:7" ht="15.75" x14ac:dyDescent="0.25">
      <c r="A295" s="42"/>
      <c r="B295" s="38"/>
      <c r="C295" s="43"/>
      <c r="D295" s="43"/>
      <c r="E295" s="43" t="s">
        <v>13</v>
      </c>
      <c r="F295" s="43" t="s">
        <v>3</v>
      </c>
      <c r="G295" s="39"/>
    </row>
    <row r="296" spans="1:7" ht="15.75" x14ac:dyDescent="0.25">
      <c r="A296" s="42"/>
      <c r="B296" s="38"/>
      <c r="C296" s="44" t="s">
        <v>5</v>
      </c>
      <c r="D296" s="44"/>
      <c r="E296" s="44" t="s">
        <v>22</v>
      </c>
      <c r="F296" s="44" t="s">
        <v>6</v>
      </c>
      <c r="G296" s="39"/>
    </row>
    <row r="297" spans="1:7" ht="15.75" x14ac:dyDescent="0.25">
      <c r="A297" s="45" t="s">
        <v>61</v>
      </c>
      <c r="B297" s="36"/>
      <c r="C297" s="46"/>
      <c r="D297" s="46"/>
      <c r="E297" s="46"/>
      <c r="F297" s="46"/>
      <c r="G297" s="39"/>
    </row>
    <row r="298" spans="1:7" ht="15.75" x14ac:dyDescent="0.25">
      <c r="A298" s="42" t="s">
        <v>58</v>
      </c>
      <c r="B298" s="38"/>
      <c r="C298" s="47">
        <v>41334</v>
      </c>
      <c r="D298" s="47"/>
      <c r="E298" s="48">
        <f>+E353</f>
        <v>1.6641107756753206</v>
      </c>
      <c r="F298" s="47">
        <f>C298*E298</f>
        <v>68784.354801763708</v>
      </c>
      <c r="G298" s="39"/>
    </row>
    <row r="299" spans="1:7" ht="17.25" x14ac:dyDescent="0.35">
      <c r="A299" s="49" t="s">
        <v>59</v>
      </c>
      <c r="B299" s="50"/>
      <c r="C299" s="51">
        <v>206670</v>
      </c>
      <c r="D299" s="51"/>
      <c r="E299" s="48">
        <f>+G368</f>
        <v>1.96</v>
      </c>
      <c r="F299" s="51">
        <f>C299*E299</f>
        <v>405073.2</v>
      </c>
      <c r="G299" s="39"/>
    </row>
    <row r="300" spans="1:7" ht="17.25" x14ac:dyDescent="0.35">
      <c r="A300" s="42" t="s">
        <v>3</v>
      </c>
      <c r="B300" s="38"/>
      <c r="C300" s="47">
        <f>SUM(C298:C299)</f>
        <v>248004</v>
      </c>
      <c r="D300" s="51"/>
      <c r="E300" s="38"/>
      <c r="F300" s="47">
        <f>SUM(F298:F299)</f>
        <v>473857.55480176373</v>
      </c>
      <c r="G300" s="39"/>
    </row>
    <row r="301" spans="1:7" ht="15" x14ac:dyDescent="0.2">
      <c r="A301" s="42"/>
      <c r="B301" s="38"/>
      <c r="C301" s="38"/>
      <c r="D301" s="38"/>
      <c r="E301" s="38"/>
      <c r="F301" s="38"/>
      <c r="G301" s="39"/>
    </row>
    <row r="302" spans="1:7" ht="15.75" x14ac:dyDescent="0.25">
      <c r="A302" s="35" t="s">
        <v>23</v>
      </c>
      <c r="B302" s="38"/>
      <c r="C302" s="38"/>
      <c r="D302" s="38"/>
      <c r="E302" s="38"/>
      <c r="F302" s="47">
        <v>494632</v>
      </c>
      <c r="G302" s="39"/>
    </row>
    <row r="303" spans="1:7" ht="15" x14ac:dyDescent="0.2">
      <c r="A303" s="42"/>
      <c r="B303" s="38"/>
      <c r="C303" s="38"/>
      <c r="D303" s="38"/>
      <c r="E303" s="38"/>
      <c r="F303" s="38"/>
      <c r="G303" s="39"/>
    </row>
    <row r="304" spans="1:7" ht="15" x14ac:dyDescent="0.2">
      <c r="A304" s="42" t="s">
        <v>24</v>
      </c>
      <c r="B304" s="38"/>
      <c r="C304" s="38"/>
      <c r="D304" s="38"/>
      <c r="E304" s="38"/>
      <c r="F304" s="47">
        <v>20775</v>
      </c>
      <c r="G304" s="39"/>
    </row>
    <row r="305" spans="1:7" ht="15" x14ac:dyDescent="0.2">
      <c r="A305" s="42"/>
      <c r="B305" s="38"/>
      <c r="C305" s="38"/>
      <c r="D305" s="38"/>
      <c r="E305" s="38"/>
      <c r="F305" s="38"/>
      <c r="G305" s="39"/>
    </row>
    <row r="306" spans="1:7" ht="15" x14ac:dyDescent="0.2">
      <c r="A306" s="42" t="s">
        <v>25</v>
      </c>
      <c r="B306" s="38"/>
      <c r="C306" s="38"/>
      <c r="D306" s="38"/>
      <c r="E306" s="38"/>
      <c r="F306" s="47">
        <f>+C300</f>
        <v>248004</v>
      </c>
      <c r="G306" s="39"/>
    </row>
    <row r="307" spans="1:7" ht="15" x14ac:dyDescent="0.2">
      <c r="A307" s="42"/>
      <c r="B307" s="38"/>
      <c r="C307" s="38"/>
      <c r="D307" s="38"/>
      <c r="E307" s="38"/>
      <c r="F307" s="38"/>
      <c r="G307" s="39"/>
    </row>
    <row r="308" spans="1:7" ht="15" x14ac:dyDescent="0.2">
      <c r="A308" s="42" t="s">
        <v>26</v>
      </c>
      <c r="B308" s="38"/>
      <c r="C308" s="38"/>
      <c r="D308" s="38"/>
      <c r="E308" s="38"/>
      <c r="F308" s="61"/>
      <c r="G308" s="52">
        <f>ROUND(F304/F306,2)</f>
        <v>0.08</v>
      </c>
    </row>
    <row r="309" spans="1:7" ht="15" x14ac:dyDescent="0.2">
      <c r="A309" s="42"/>
      <c r="B309" s="38"/>
      <c r="C309" s="38"/>
      <c r="D309" s="38"/>
      <c r="E309" s="38"/>
      <c r="F309" s="38"/>
      <c r="G309" s="52"/>
    </row>
    <row r="310" spans="1:7" ht="15" x14ac:dyDescent="0.2">
      <c r="A310" s="42"/>
      <c r="B310" s="38"/>
      <c r="C310" s="38"/>
      <c r="D310" s="38"/>
      <c r="E310" s="38"/>
      <c r="F310" s="38"/>
      <c r="G310" s="52"/>
    </row>
    <row r="311" spans="1:7" ht="15" x14ac:dyDescent="0.2">
      <c r="A311" s="42"/>
      <c r="B311" s="38"/>
      <c r="C311" s="38"/>
      <c r="D311" s="38"/>
      <c r="E311" s="38"/>
      <c r="F311" s="38"/>
      <c r="G311" s="52"/>
    </row>
    <row r="312" spans="1:7" ht="15.75" x14ac:dyDescent="0.25">
      <c r="A312" s="45" t="s">
        <v>78</v>
      </c>
      <c r="B312" s="36"/>
      <c r="C312" s="38"/>
      <c r="D312" s="38"/>
      <c r="E312" s="38"/>
      <c r="F312" s="53">
        <f>+F302</f>
        <v>494632</v>
      </c>
      <c r="G312" s="52"/>
    </row>
    <row r="313" spans="1:7" ht="15" x14ac:dyDescent="0.2">
      <c r="A313" s="42" t="s">
        <v>25</v>
      </c>
      <c r="B313" s="38"/>
      <c r="C313" s="38"/>
      <c r="D313" s="38"/>
      <c r="E313" s="38"/>
      <c r="F313" s="47">
        <f>+C300</f>
        <v>248004</v>
      </c>
      <c r="G313" s="52"/>
    </row>
    <row r="314" spans="1:7" ht="17.25" x14ac:dyDescent="0.35">
      <c r="A314" s="42" t="s">
        <v>27</v>
      </c>
      <c r="B314" s="38"/>
      <c r="C314" s="38"/>
      <c r="D314" s="38"/>
      <c r="E314" s="38"/>
      <c r="F314" s="38"/>
      <c r="G314" s="55">
        <f>ROUND(+F312/F313,2)</f>
        <v>1.99</v>
      </c>
    </row>
    <row r="315" spans="1:7" ht="15" x14ac:dyDescent="0.2">
      <c r="A315" s="42"/>
      <c r="B315" s="38"/>
      <c r="C315" s="38"/>
      <c r="D315" s="38"/>
      <c r="E315" s="38"/>
      <c r="F315" s="38"/>
      <c r="G315" s="52"/>
    </row>
    <row r="316" spans="1:7" ht="15" x14ac:dyDescent="0.2">
      <c r="A316" s="42"/>
      <c r="B316" s="38"/>
      <c r="C316" s="38"/>
      <c r="D316" s="38"/>
      <c r="E316" s="38"/>
      <c r="F316" s="38"/>
      <c r="G316" s="52"/>
    </row>
    <row r="317" spans="1:7" ht="16.5" thickBot="1" x14ac:dyDescent="0.3">
      <c r="A317" s="35" t="s">
        <v>28</v>
      </c>
      <c r="B317" s="36"/>
      <c r="C317" s="38"/>
      <c r="D317" s="38"/>
      <c r="E317" s="38"/>
      <c r="F317" s="38"/>
      <c r="G317" s="58">
        <f>SUM(G308:G314)</f>
        <v>2.0699999999999998</v>
      </c>
    </row>
    <row r="318" spans="1:7" ht="14.25" thickTop="1" thickBot="1" x14ac:dyDescent="0.25">
      <c r="A318" s="19"/>
      <c r="B318" s="20"/>
      <c r="C318" s="20"/>
      <c r="D318" s="20"/>
      <c r="E318" s="20"/>
      <c r="F318" s="20"/>
      <c r="G318" s="21"/>
    </row>
    <row r="319" spans="1:7" ht="15" x14ac:dyDescent="0.2">
      <c r="A319" s="272" t="s">
        <v>29</v>
      </c>
      <c r="B319" s="273"/>
      <c r="C319" s="273"/>
      <c r="D319" s="273"/>
      <c r="E319" s="273"/>
      <c r="F319" s="273"/>
      <c r="G319" s="274"/>
    </row>
    <row r="320" spans="1:7" ht="15" x14ac:dyDescent="0.2">
      <c r="A320" s="49"/>
      <c r="B320" s="50"/>
      <c r="C320" s="50"/>
      <c r="D320" s="50"/>
      <c r="E320" s="50"/>
      <c r="F320" s="50"/>
      <c r="G320" s="64"/>
    </row>
    <row r="321" spans="1:7" ht="15.75" x14ac:dyDescent="0.25">
      <c r="A321" s="49"/>
      <c r="B321" s="50"/>
      <c r="C321" s="43"/>
      <c r="D321" s="43"/>
      <c r="E321" s="43" t="s">
        <v>13</v>
      </c>
      <c r="F321" s="43" t="s">
        <v>3</v>
      </c>
      <c r="G321" s="64"/>
    </row>
    <row r="322" spans="1:7" ht="15.75" x14ac:dyDescent="0.25">
      <c r="A322" s="49"/>
      <c r="B322" s="50"/>
      <c r="C322" s="65" t="s">
        <v>20</v>
      </c>
      <c r="D322" s="65"/>
      <c r="E322" s="65" t="s">
        <v>22</v>
      </c>
      <c r="F322" s="65" t="s">
        <v>6</v>
      </c>
      <c r="G322" s="64"/>
    </row>
    <row r="323" spans="1:7" ht="15.75" x14ac:dyDescent="0.25">
      <c r="A323" s="45" t="s">
        <v>61</v>
      </c>
      <c r="B323" s="36"/>
      <c r="C323" s="66"/>
      <c r="D323" s="66"/>
      <c r="E323" s="66"/>
      <c r="F323" s="66"/>
      <c r="G323" s="64"/>
    </row>
    <row r="324" spans="1:7" ht="15.75" x14ac:dyDescent="0.25">
      <c r="A324" s="42" t="s">
        <v>58</v>
      </c>
      <c r="B324" s="50"/>
      <c r="C324" s="67">
        <v>3534</v>
      </c>
      <c r="D324" s="67"/>
      <c r="E324" s="68">
        <f>+E379</f>
        <v>0.19</v>
      </c>
      <c r="F324" s="67">
        <f>E324*C324</f>
        <v>671.46</v>
      </c>
      <c r="G324" s="64"/>
    </row>
    <row r="325" spans="1:7" ht="17.25" x14ac:dyDescent="0.35">
      <c r="A325" s="49" t="s">
        <v>59</v>
      </c>
      <c r="B325" s="50"/>
      <c r="C325" s="51">
        <v>17099</v>
      </c>
      <c r="D325" s="51"/>
      <c r="E325" s="68">
        <f>+G394</f>
        <v>0.23</v>
      </c>
      <c r="F325" s="51">
        <f>E325*C325</f>
        <v>3932.77</v>
      </c>
      <c r="G325" s="64"/>
    </row>
    <row r="326" spans="1:7" ht="15" x14ac:dyDescent="0.2">
      <c r="A326" s="42" t="s">
        <v>3</v>
      </c>
      <c r="B326" s="50"/>
      <c r="C326" s="67">
        <f>SUM(C324:C325)</f>
        <v>20633</v>
      </c>
      <c r="D326" s="67"/>
      <c r="E326" s="50"/>
      <c r="F326" s="67">
        <f>SUM(F324:F325)</f>
        <v>4604.2299999999996</v>
      </c>
      <c r="G326" s="64"/>
    </row>
    <row r="327" spans="1:7" ht="15" x14ac:dyDescent="0.2">
      <c r="A327" s="42"/>
      <c r="B327" s="50"/>
      <c r="C327" s="50"/>
      <c r="D327" s="50"/>
      <c r="E327" s="50"/>
      <c r="F327" s="50"/>
      <c r="G327" s="64"/>
    </row>
    <row r="328" spans="1:7" ht="15.75" x14ac:dyDescent="0.25">
      <c r="A328" s="35" t="s">
        <v>23</v>
      </c>
      <c r="B328" s="50"/>
      <c r="C328" s="50"/>
      <c r="D328" s="50"/>
      <c r="E328" s="50"/>
      <c r="F328" s="69">
        <v>5419</v>
      </c>
      <c r="G328" s="64"/>
    </row>
    <row r="329" spans="1:7" ht="15" x14ac:dyDescent="0.2">
      <c r="A329" s="42"/>
      <c r="B329" s="50"/>
      <c r="C329" s="50"/>
      <c r="D329" s="50"/>
      <c r="E329" s="50"/>
      <c r="F329" s="50"/>
      <c r="G329" s="64"/>
    </row>
    <row r="330" spans="1:7" ht="15" x14ac:dyDescent="0.2">
      <c r="A330" s="42" t="s">
        <v>24</v>
      </c>
      <c r="B330" s="50"/>
      <c r="C330" s="50"/>
      <c r="D330" s="50"/>
      <c r="E330" s="50"/>
      <c r="F330" s="67">
        <v>814</v>
      </c>
      <c r="G330" s="64"/>
    </row>
    <row r="331" spans="1:7" ht="15" x14ac:dyDescent="0.2">
      <c r="A331" s="42"/>
      <c r="B331" s="50"/>
      <c r="C331" s="50"/>
      <c r="D331" s="50"/>
      <c r="E331" s="50"/>
      <c r="F331" s="50"/>
      <c r="G331" s="64"/>
    </row>
    <row r="332" spans="1:7" ht="15" x14ac:dyDescent="0.2">
      <c r="A332" s="42" t="s">
        <v>25</v>
      </c>
      <c r="B332" s="50"/>
      <c r="C332" s="50"/>
      <c r="D332" s="50"/>
      <c r="E332" s="50"/>
      <c r="F332" s="67">
        <f>+C326</f>
        <v>20633</v>
      </c>
      <c r="G332" s="64"/>
    </row>
    <row r="333" spans="1:7" ht="15" x14ac:dyDescent="0.2">
      <c r="A333" s="42"/>
      <c r="B333" s="50"/>
      <c r="C333" s="50"/>
      <c r="D333" s="50"/>
      <c r="E333" s="50"/>
      <c r="F333" s="50"/>
      <c r="G333" s="64"/>
    </row>
    <row r="334" spans="1:7" ht="15" x14ac:dyDescent="0.2">
      <c r="A334" s="42" t="s">
        <v>26</v>
      </c>
      <c r="B334" s="50"/>
      <c r="C334" s="50"/>
      <c r="D334" s="50"/>
      <c r="E334" s="50"/>
      <c r="F334" s="50"/>
      <c r="G334" s="70">
        <f>ROUND(F330/F332,2)</f>
        <v>0.04</v>
      </c>
    </row>
    <row r="335" spans="1:7" ht="15" x14ac:dyDescent="0.2">
      <c r="A335" s="42"/>
      <c r="B335" s="50"/>
      <c r="C335" s="50"/>
      <c r="D335" s="50"/>
      <c r="E335" s="50"/>
      <c r="F335" s="50"/>
      <c r="G335" s="70"/>
    </row>
    <row r="336" spans="1:7" ht="15" x14ac:dyDescent="0.2">
      <c r="A336" s="42"/>
      <c r="B336" s="50"/>
      <c r="C336" s="50"/>
      <c r="D336" s="50"/>
      <c r="E336" s="50"/>
      <c r="F336" s="67"/>
      <c r="G336" s="64"/>
    </row>
    <row r="337" spans="1:7" ht="15.75" x14ac:dyDescent="0.25">
      <c r="A337" s="42"/>
      <c r="B337" s="36"/>
      <c r="C337" s="50"/>
      <c r="D337" s="50"/>
      <c r="E337" s="50"/>
      <c r="F337" s="67"/>
      <c r="G337" s="64"/>
    </row>
    <row r="338" spans="1:7" ht="15.75" x14ac:dyDescent="0.25">
      <c r="A338" s="45" t="s">
        <v>78</v>
      </c>
      <c r="B338" s="50"/>
      <c r="C338" s="50"/>
      <c r="D338" s="50"/>
      <c r="E338" s="50"/>
      <c r="F338" s="54">
        <f>+F328</f>
        <v>5419</v>
      </c>
      <c r="G338" s="64"/>
    </row>
    <row r="339" spans="1:7" ht="15" x14ac:dyDescent="0.2">
      <c r="A339" s="42" t="s">
        <v>25</v>
      </c>
      <c r="B339" s="50"/>
      <c r="C339" s="50"/>
      <c r="D339" s="50"/>
      <c r="E339" s="50"/>
      <c r="F339" s="67">
        <f>+C326</f>
        <v>20633</v>
      </c>
      <c r="G339" s="64"/>
    </row>
    <row r="340" spans="1:7" ht="17.25" x14ac:dyDescent="0.35">
      <c r="A340" s="42" t="s">
        <v>27</v>
      </c>
      <c r="B340" s="50"/>
      <c r="C340" s="50"/>
      <c r="D340" s="50"/>
      <c r="E340" s="50"/>
      <c r="F340" s="50"/>
      <c r="G340" s="57">
        <f>ROUND(+F338/F339,2)</f>
        <v>0.26</v>
      </c>
    </row>
    <row r="341" spans="1:7" ht="17.25" x14ac:dyDescent="0.35">
      <c r="A341" s="42"/>
      <c r="B341" s="50"/>
      <c r="C341" s="50"/>
      <c r="D341" s="50"/>
      <c r="E341" s="50"/>
      <c r="F341" s="50"/>
      <c r="G341" s="57"/>
    </row>
    <row r="342" spans="1:7" ht="16.5" thickBot="1" x14ac:dyDescent="0.3">
      <c r="A342" s="35" t="s">
        <v>30</v>
      </c>
      <c r="B342" s="36"/>
      <c r="C342" s="50"/>
      <c r="D342" s="50"/>
      <c r="E342" s="50"/>
      <c r="F342" s="50"/>
      <c r="G342" s="71">
        <f>+G340+G334+G335</f>
        <v>0.3</v>
      </c>
    </row>
    <row r="343" spans="1:7" ht="16.5" thickTop="1" thickBot="1" x14ac:dyDescent="0.25">
      <c r="A343" s="72"/>
      <c r="B343" s="73"/>
      <c r="C343" s="73"/>
      <c r="D343" s="73"/>
      <c r="E343" s="73"/>
      <c r="F343" s="73"/>
      <c r="G343" s="74"/>
    </row>
    <row r="344" spans="1:7" ht="23.25" x14ac:dyDescent="0.35">
      <c r="A344" s="31" t="s">
        <v>57</v>
      </c>
      <c r="B344" s="32"/>
      <c r="C344" s="33"/>
      <c r="D344" s="33"/>
      <c r="E344" s="33"/>
      <c r="F344" s="33"/>
      <c r="G344" s="34"/>
    </row>
    <row r="345" spans="1:7" ht="15.75" x14ac:dyDescent="0.25">
      <c r="A345" s="35" t="s">
        <v>55</v>
      </c>
      <c r="B345" s="36"/>
      <c r="C345" s="37"/>
      <c r="D345" s="37"/>
      <c r="E345" s="38"/>
      <c r="F345" s="38"/>
      <c r="G345" s="39"/>
    </row>
    <row r="346" spans="1:7" ht="15.75" x14ac:dyDescent="0.25">
      <c r="A346" s="40"/>
      <c r="B346" s="41"/>
      <c r="C346" s="38"/>
      <c r="D346" s="38"/>
      <c r="E346" s="38"/>
      <c r="F346" s="38"/>
      <c r="G346" s="39"/>
    </row>
    <row r="347" spans="1:7" ht="15" x14ac:dyDescent="0.2">
      <c r="A347" s="272" t="s">
        <v>21</v>
      </c>
      <c r="B347" s="273"/>
      <c r="C347" s="273"/>
      <c r="D347" s="273"/>
      <c r="E347" s="273"/>
      <c r="F347" s="273"/>
      <c r="G347" s="274"/>
    </row>
    <row r="348" spans="1:7" ht="15" x14ac:dyDescent="0.2">
      <c r="A348" s="42"/>
      <c r="B348" s="38"/>
      <c r="C348" s="38"/>
      <c r="D348" s="38"/>
      <c r="E348" s="38"/>
      <c r="F348" s="38"/>
      <c r="G348" s="39"/>
    </row>
    <row r="349" spans="1:7" ht="15.75" x14ac:dyDescent="0.25">
      <c r="A349" s="42"/>
      <c r="B349" s="38"/>
      <c r="C349" s="43"/>
      <c r="D349" s="43"/>
      <c r="E349" s="43" t="s">
        <v>13</v>
      </c>
      <c r="F349" s="43" t="s">
        <v>3</v>
      </c>
      <c r="G349" s="39"/>
    </row>
    <row r="350" spans="1:7" ht="15.75" x14ac:dyDescent="0.25">
      <c r="A350" s="42"/>
      <c r="B350" s="38"/>
      <c r="C350" s="44" t="s">
        <v>5</v>
      </c>
      <c r="D350" s="44"/>
      <c r="E350" s="44" t="s">
        <v>22</v>
      </c>
      <c r="F350" s="44" t="s">
        <v>6</v>
      </c>
      <c r="G350" s="39"/>
    </row>
    <row r="351" spans="1:7" ht="15.75" x14ac:dyDescent="0.25">
      <c r="A351" s="45" t="s">
        <v>60</v>
      </c>
      <c r="B351" s="36"/>
      <c r="C351" s="46"/>
      <c r="D351" s="46"/>
      <c r="E351" s="46"/>
      <c r="F351" s="46"/>
      <c r="G351" s="39"/>
    </row>
    <row r="352" spans="1:7" ht="15.75" x14ac:dyDescent="0.25">
      <c r="A352" s="42" t="s">
        <v>58</v>
      </c>
      <c r="B352" s="38"/>
      <c r="C352" s="47">
        <v>90954</v>
      </c>
      <c r="D352" s="47"/>
      <c r="E352" s="48">
        <f>+E407</f>
        <v>0.91</v>
      </c>
      <c r="F352" s="47">
        <f>C352*E352</f>
        <v>82768.14</v>
      </c>
      <c r="G352" s="39"/>
    </row>
    <row r="353" spans="1:7" ht="17.25" x14ac:dyDescent="0.35">
      <c r="A353" s="49" t="s">
        <v>59</v>
      </c>
      <c r="B353" s="50"/>
      <c r="C353" s="51">
        <v>454770</v>
      </c>
      <c r="D353" s="51"/>
      <c r="E353" s="48">
        <f>+G422</f>
        <v>1.6641107756753206</v>
      </c>
      <c r="F353" s="51">
        <f>C353*E353</f>
        <v>756787.65745386551</v>
      </c>
      <c r="G353" s="39"/>
    </row>
    <row r="354" spans="1:7" ht="15" x14ac:dyDescent="0.2">
      <c r="A354" s="42" t="s">
        <v>3</v>
      </c>
      <c r="B354" s="38"/>
      <c r="C354" s="47">
        <f>SUM(C352:C353)</f>
        <v>545724</v>
      </c>
      <c r="D354" s="47"/>
      <c r="E354" s="38"/>
      <c r="F354" s="47">
        <f>SUM(F352:F353)</f>
        <v>839555.79745386553</v>
      </c>
      <c r="G354" s="39"/>
    </row>
    <row r="355" spans="1:7" ht="15" x14ac:dyDescent="0.2">
      <c r="A355" s="42"/>
      <c r="B355" s="38"/>
      <c r="C355" s="38"/>
      <c r="D355" s="38"/>
      <c r="E355" s="38"/>
      <c r="F355" s="38"/>
      <c r="G355" s="39"/>
    </row>
    <row r="356" spans="1:7" ht="15.75" x14ac:dyDescent="0.25">
      <c r="A356" s="35" t="s">
        <v>23</v>
      </c>
      <c r="B356" s="38"/>
      <c r="C356" s="38"/>
      <c r="D356" s="38"/>
      <c r="E356" s="38"/>
      <c r="F356" s="47">
        <v>1070318.8014882323</v>
      </c>
      <c r="G356" s="39"/>
    </row>
    <row r="357" spans="1:7" ht="15" x14ac:dyDescent="0.2">
      <c r="A357" s="42"/>
      <c r="B357" s="38"/>
      <c r="C357" s="38"/>
      <c r="D357" s="38"/>
      <c r="E357" s="38"/>
      <c r="F357" s="38"/>
      <c r="G357" s="39"/>
    </row>
    <row r="358" spans="1:7" ht="15" x14ac:dyDescent="0.2">
      <c r="A358" s="42" t="s">
        <v>24</v>
      </c>
      <c r="B358" s="38"/>
      <c r="C358" s="38"/>
      <c r="D358" s="38"/>
      <c r="E358" s="38"/>
      <c r="F358" s="47">
        <f>F356-F354</f>
        <v>230763.00403436681</v>
      </c>
      <c r="G358" s="39"/>
    </row>
    <row r="359" spans="1:7" ht="15" x14ac:dyDescent="0.2">
      <c r="A359" s="42"/>
      <c r="B359" s="38"/>
      <c r="C359" s="38"/>
      <c r="D359" s="38"/>
      <c r="E359" s="38"/>
      <c r="F359" s="38"/>
      <c r="G359" s="39"/>
    </row>
    <row r="360" spans="1:7" ht="15" x14ac:dyDescent="0.2">
      <c r="A360" s="42" t="s">
        <v>25</v>
      </c>
      <c r="B360" s="38"/>
      <c r="C360" s="38"/>
      <c r="D360" s="38"/>
      <c r="E360" s="38"/>
      <c r="F360" s="47">
        <f>+C354</f>
        <v>545724</v>
      </c>
      <c r="G360" s="39"/>
    </row>
    <row r="361" spans="1:7" ht="15" x14ac:dyDescent="0.2">
      <c r="A361" s="42"/>
      <c r="B361" s="38"/>
      <c r="C361" s="38"/>
      <c r="D361" s="38"/>
      <c r="E361" s="38"/>
      <c r="F361" s="38"/>
      <c r="G361" s="39"/>
    </row>
    <row r="362" spans="1:7" ht="15" x14ac:dyDescent="0.2">
      <c r="A362" s="42" t="s">
        <v>26</v>
      </c>
      <c r="B362" s="38"/>
      <c r="C362" s="38"/>
      <c r="D362" s="38"/>
      <c r="E362" s="38"/>
      <c r="F362" s="61"/>
      <c r="G362" s="52">
        <f>ROUND(F358/F360,2)</f>
        <v>0.42</v>
      </c>
    </row>
    <row r="363" spans="1:7" ht="15" x14ac:dyDescent="0.2">
      <c r="A363" s="42"/>
      <c r="B363" s="38"/>
      <c r="C363" s="38"/>
      <c r="D363" s="38"/>
      <c r="E363" s="38"/>
      <c r="F363" s="38"/>
      <c r="G363" s="52"/>
    </row>
    <row r="364" spans="1:7" ht="15" x14ac:dyDescent="0.2">
      <c r="A364" s="42"/>
      <c r="B364" s="38"/>
      <c r="C364" s="38"/>
      <c r="D364" s="38"/>
      <c r="E364" s="38"/>
      <c r="F364" s="38"/>
      <c r="G364" s="52"/>
    </row>
    <row r="365" spans="1:7" ht="15" x14ac:dyDescent="0.2">
      <c r="A365" s="42"/>
      <c r="B365" s="38"/>
      <c r="C365" s="38"/>
      <c r="D365" s="38"/>
      <c r="E365" s="38"/>
      <c r="F365" s="38"/>
      <c r="G365" s="52"/>
    </row>
    <row r="366" spans="1:7" ht="15.75" x14ac:dyDescent="0.25">
      <c r="A366" s="45" t="s">
        <v>61</v>
      </c>
      <c r="B366" s="36"/>
      <c r="C366" s="38"/>
      <c r="D366" s="38"/>
      <c r="E366" s="38"/>
      <c r="F366" s="53">
        <f>+F356</f>
        <v>1070318.8014882323</v>
      </c>
      <c r="G366" s="52"/>
    </row>
    <row r="367" spans="1:7" ht="15" x14ac:dyDescent="0.2">
      <c r="A367" s="42" t="s">
        <v>25</v>
      </c>
      <c r="B367" s="38"/>
      <c r="C367" s="38"/>
      <c r="D367" s="38"/>
      <c r="E367" s="38"/>
      <c r="F367" s="47">
        <f>+C354</f>
        <v>545724</v>
      </c>
      <c r="G367" s="52"/>
    </row>
    <row r="368" spans="1:7" ht="17.25" x14ac:dyDescent="0.35">
      <c r="A368" s="42" t="s">
        <v>27</v>
      </c>
      <c r="B368" s="38"/>
      <c r="C368" s="38"/>
      <c r="D368" s="38"/>
      <c r="E368" s="38"/>
      <c r="F368" s="38"/>
      <c r="G368" s="55">
        <f>ROUND(+F366/F367,2)</f>
        <v>1.96</v>
      </c>
    </row>
    <row r="369" spans="1:7" ht="15" x14ac:dyDescent="0.2">
      <c r="A369" s="42"/>
      <c r="B369" s="38"/>
      <c r="C369" s="38"/>
      <c r="D369" s="38"/>
      <c r="E369" s="38"/>
      <c r="F369" s="38"/>
      <c r="G369" s="52"/>
    </row>
    <row r="370" spans="1:7" ht="15" x14ac:dyDescent="0.2">
      <c r="A370" s="42"/>
      <c r="B370" s="38"/>
      <c r="C370" s="38"/>
      <c r="D370" s="38"/>
      <c r="E370" s="38"/>
      <c r="F370" s="38"/>
      <c r="G370" s="52"/>
    </row>
    <row r="371" spans="1:7" ht="16.5" thickBot="1" x14ac:dyDescent="0.3">
      <c r="A371" s="35" t="s">
        <v>28</v>
      </c>
      <c r="B371" s="36"/>
      <c r="C371" s="38"/>
      <c r="D371" s="38"/>
      <c r="E371" s="38"/>
      <c r="F371" s="38"/>
      <c r="G371" s="58">
        <f>SUM(G362:G368)</f>
        <v>2.38</v>
      </c>
    </row>
    <row r="372" spans="1:7" ht="14.25" thickTop="1" thickBot="1" x14ac:dyDescent="0.25">
      <c r="A372" s="19"/>
      <c r="B372" s="20"/>
      <c r="C372" s="20"/>
      <c r="D372" s="20"/>
      <c r="E372" s="20"/>
      <c r="F372" s="20"/>
      <c r="G372" s="21"/>
    </row>
    <row r="373" spans="1:7" ht="15" x14ac:dyDescent="0.2">
      <c r="A373" s="272" t="s">
        <v>29</v>
      </c>
      <c r="B373" s="273"/>
      <c r="C373" s="273"/>
      <c r="D373" s="273"/>
      <c r="E373" s="273"/>
      <c r="F373" s="273"/>
      <c r="G373" s="274"/>
    </row>
    <row r="374" spans="1:7" ht="15" x14ac:dyDescent="0.2">
      <c r="A374" s="49"/>
      <c r="B374" s="50"/>
      <c r="C374" s="50"/>
      <c r="D374" s="50"/>
      <c r="E374" s="50"/>
      <c r="F374" s="50"/>
      <c r="G374" s="64"/>
    </row>
    <row r="375" spans="1:7" ht="15.75" x14ac:dyDescent="0.25">
      <c r="A375" s="49"/>
      <c r="B375" s="50"/>
      <c r="C375" s="43"/>
      <c r="D375" s="43"/>
      <c r="E375" s="43" t="s">
        <v>13</v>
      </c>
      <c r="F375" s="43" t="s">
        <v>3</v>
      </c>
      <c r="G375" s="64"/>
    </row>
    <row r="376" spans="1:7" ht="15.75" x14ac:dyDescent="0.25">
      <c r="A376" s="49"/>
      <c r="B376" s="50"/>
      <c r="C376" s="65" t="s">
        <v>20</v>
      </c>
      <c r="D376" s="65"/>
      <c r="E376" s="65" t="s">
        <v>22</v>
      </c>
      <c r="F376" s="65" t="s">
        <v>6</v>
      </c>
      <c r="G376" s="64"/>
    </row>
    <row r="377" spans="1:7" ht="15.75" x14ac:dyDescent="0.25">
      <c r="A377" s="45" t="s">
        <v>60</v>
      </c>
      <c r="B377" s="36"/>
      <c r="C377" s="66"/>
      <c r="D377" s="66"/>
      <c r="E377" s="66"/>
      <c r="F377" s="66"/>
      <c r="G377" s="64"/>
    </row>
    <row r="378" spans="1:7" ht="15.75" x14ac:dyDescent="0.25">
      <c r="A378" s="42" t="s">
        <v>58</v>
      </c>
      <c r="B378" s="50"/>
      <c r="C378" s="67">
        <v>15544.573148514854</v>
      </c>
      <c r="D378" s="67"/>
      <c r="E378" s="68">
        <f>+E433</f>
        <v>0.23</v>
      </c>
      <c r="F378" s="67">
        <f>E378*C378</f>
        <v>3575.2518241584166</v>
      </c>
      <c r="G378" s="64"/>
    </row>
    <row r="379" spans="1:7" ht="17.25" x14ac:dyDescent="0.35">
      <c r="A379" s="49" t="s">
        <v>59</v>
      </c>
      <c r="B379" s="50"/>
      <c r="C379" s="51">
        <v>77722.865742574271</v>
      </c>
      <c r="D379" s="51"/>
      <c r="E379" s="68">
        <f>+G448</f>
        <v>0.19</v>
      </c>
      <c r="F379" s="51">
        <f>E379*C379</f>
        <v>14767.344491089112</v>
      </c>
      <c r="G379" s="64"/>
    </row>
    <row r="380" spans="1:7" ht="15" x14ac:dyDescent="0.2">
      <c r="A380" s="42" t="s">
        <v>3</v>
      </c>
      <c r="B380" s="50"/>
      <c r="C380" s="67">
        <f>SUM(C378:C379)</f>
        <v>93267.438891089128</v>
      </c>
      <c r="D380" s="67"/>
      <c r="E380" s="50"/>
      <c r="F380" s="67">
        <f>SUM(F378:F379)</f>
        <v>18342.596315247531</v>
      </c>
      <c r="G380" s="64"/>
    </row>
    <row r="381" spans="1:7" ht="15" x14ac:dyDescent="0.2">
      <c r="A381" s="42"/>
      <c r="B381" s="50"/>
      <c r="C381" s="50"/>
      <c r="D381" s="50"/>
      <c r="E381" s="50"/>
      <c r="F381" s="50"/>
      <c r="G381" s="64"/>
    </row>
    <row r="382" spans="1:7" ht="15.75" x14ac:dyDescent="0.25">
      <c r="A382" s="35" t="s">
        <v>23</v>
      </c>
      <c r="B382" s="50"/>
      <c r="C382" s="50"/>
      <c r="D382" s="50"/>
      <c r="E382" s="50"/>
      <c r="F382" s="69">
        <v>21605.51866847141</v>
      </c>
      <c r="G382" s="64"/>
    </row>
    <row r="383" spans="1:7" ht="15" x14ac:dyDescent="0.2">
      <c r="A383" s="42"/>
      <c r="B383" s="50"/>
      <c r="C383" s="50"/>
      <c r="D383" s="50"/>
      <c r="E383" s="50"/>
      <c r="F383" s="50"/>
      <c r="G383" s="64"/>
    </row>
    <row r="384" spans="1:7" ht="15" x14ac:dyDescent="0.2">
      <c r="A384" s="42" t="s">
        <v>24</v>
      </c>
      <c r="B384" s="50"/>
      <c r="C384" s="50"/>
      <c r="D384" s="50"/>
      <c r="E384" s="50"/>
      <c r="F384" s="67">
        <f>F382-F380</f>
        <v>3262.9223532238793</v>
      </c>
      <c r="G384" s="64"/>
    </row>
    <row r="385" spans="1:8" ht="15" x14ac:dyDescent="0.2">
      <c r="A385" s="42"/>
      <c r="B385" s="50"/>
      <c r="C385" s="50"/>
      <c r="D385" s="50"/>
      <c r="E385" s="50"/>
      <c r="F385" s="50"/>
      <c r="G385" s="64"/>
    </row>
    <row r="386" spans="1:8" ht="15" x14ac:dyDescent="0.2">
      <c r="A386" s="42" t="s">
        <v>25</v>
      </c>
      <c r="B386" s="50"/>
      <c r="C386" s="50"/>
      <c r="D386" s="50"/>
      <c r="E386" s="50"/>
      <c r="F386" s="67">
        <f>+C380</f>
        <v>93267.438891089128</v>
      </c>
      <c r="G386" s="64"/>
    </row>
    <row r="387" spans="1:8" ht="15" x14ac:dyDescent="0.2">
      <c r="A387" s="42"/>
      <c r="B387" s="50"/>
      <c r="C387" s="50"/>
      <c r="D387" s="50"/>
      <c r="E387" s="50"/>
      <c r="F387" s="50"/>
      <c r="G387" s="64"/>
    </row>
    <row r="388" spans="1:8" ht="15" x14ac:dyDescent="0.2">
      <c r="A388" s="42" t="s">
        <v>26</v>
      </c>
      <c r="B388" s="50"/>
      <c r="C388" s="50"/>
      <c r="D388" s="50"/>
      <c r="E388" s="50"/>
      <c r="F388" s="50"/>
      <c r="G388" s="70">
        <f>ROUND(F384/F386,2)</f>
        <v>0.03</v>
      </c>
    </row>
    <row r="389" spans="1:8" ht="15" x14ac:dyDescent="0.2">
      <c r="A389" s="42"/>
      <c r="B389" s="50"/>
      <c r="C389" s="50"/>
      <c r="D389" s="50"/>
      <c r="E389" s="50"/>
      <c r="F389" s="50"/>
      <c r="G389" s="70"/>
    </row>
    <row r="390" spans="1:8" ht="15" x14ac:dyDescent="0.2">
      <c r="A390" s="42"/>
      <c r="B390" s="50"/>
      <c r="C390" s="50"/>
      <c r="D390" s="50"/>
      <c r="E390" s="50"/>
      <c r="F390" s="67"/>
      <c r="G390" s="64"/>
    </row>
    <row r="391" spans="1:8" ht="15.75" x14ac:dyDescent="0.25">
      <c r="A391" s="42"/>
      <c r="B391" s="36"/>
      <c r="C391" s="50"/>
      <c r="D391" s="50"/>
      <c r="E391" s="50"/>
      <c r="F391" s="67"/>
      <c r="G391" s="64"/>
    </row>
    <row r="392" spans="1:8" ht="15.75" x14ac:dyDescent="0.25">
      <c r="A392" s="45" t="s">
        <v>61</v>
      </c>
      <c r="B392" s="50"/>
      <c r="C392" s="50"/>
      <c r="D392" s="50"/>
      <c r="E392" s="50"/>
      <c r="F392" s="54">
        <f>+F382</f>
        <v>21605.51866847141</v>
      </c>
      <c r="G392" s="64"/>
    </row>
    <row r="393" spans="1:8" ht="15" x14ac:dyDescent="0.2">
      <c r="A393" s="42" t="s">
        <v>25</v>
      </c>
      <c r="B393" s="50"/>
      <c r="C393" s="50"/>
      <c r="D393" s="50"/>
      <c r="E393" s="50"/>
      <c r="F393" s="67">
        <f>+C380</f>
        <v>93267.438891089128</v>
      </c>
      <c r="G393" s="64"/>
      <c r="H393" s="119"/>
    </row>
    <row r="394" spans="1:8" ht="17.25" x14ac:dyDescent="0.35">
      <c r="A394" s="42" t="s">
        <v>27</v>
      </c>
      <c r="B394" s="50"/>
      <c r="C394" s="50"/>
      <c r="D394" s="50"/>
      <c r="E394" s="50"/>
      <c r="F394" s="50"/>
      <c r="G394" s="57">
        <f>ROUND(+F392/F393,2)</f>
        <v>0.23</v>
      </c>
    </row>
    <row r="395" spans="1:8" ht="17.25" x14ac:dyDescent="0.35">
      <c r="A395" s="42"/>
      <c r="B395" s="50"/>
      <c r="C395" s="50"/>
      <c r="D395" s="50"/>
      <c r="E395" s="50"/>
      <c r="F395" s="50"/>
      <c r="G395" s="57"/>
    </row>
    <row r="396" spans="1:8" ht="16.5" thickBot="1" x14ac:dyDescent="0.3">
      <c r="A396" s="35" t="s">
        <v>30</v>
      </c>
      <c r="B396" s="36"/>
      <c r="C396" s="50"/>
      <c r="D396" s="50"/>
      <c r="E396" s="50"/>
      <c r="F396" s="50"/>
      <c r="G396" s="71">
        <f>+G394+G388+G389</f>
        <v>0.26</v>
      </c>
    </row>
    <row r="397" spans="1:8" ht="16.5" thickTop="1" thickBot="1" x14ac:dyDescent="0.25">
      <c r="A397" s="72"/>
      <c r="B397" s="73"/>
      <c r="C397" s="73"/>
      <c r="D397" s="73"/>
      <c r="E397" s="73"/>
      <c r="F397" s="73"/>
      <c r="G397" s="74"/>
    </row>
    <row r="398" spans="1:8" ht="23.25" x14ac:dyDescent="0.35">
      <c r="A398" s="31" t="s">
        <v>57</v>
      </c>
      <c r="B398" s="32"/>
      <c r="C398" s="33"/>
      <c r="D398" s="33"/>
      <c r="E398" s="33"/>
      <c r="F398" s="33"/>
      <c r="G398" s="34"/>
    </row>
    <row r="399" spans="1:8" ht="15.75" x14ac:dyDescent="0.25">
      <c r="A399" s="35" t="s">
        <v>56</v>
      </c>
      <c r="B399" s="36"/>
      <c r="C399" s="37"/>
      <c r="D399" s="37"/>
      <c r="E399" s="38"/>
      <c r="F399" s="38"/>
      <c r="G399" s="39"/>
    </row>
    <row r="400" spans="1:8" ht="15.75" x14ac:dyDescent="0.25">
      <c r="A400" s="40"/>
      <c r="B400" s="41"/>
      <c r="C400" s="38"/>
      <c r="D400" s="38"/>
      <c r="E400" s="38"/>
      <c r="F400" s="38"/>
      <c r="G400" s="39"/>
    </row>
    <row r="401" spans="1:7" ht="15" x14ac:dyDescent="0.2">
      <c r="A401" s="272" t="s">
        <v>21</v>
      </c>
      <c r="B401" s="273"/>
      <c r="C401" s="273"/>
      <c r="D401" s="273"/>
      <c r="E401" s="273"/>
      <c r="F401" s="273"/>
      <c r="G401" s="274"/>
    </row>
    <row r="402" spans="1:7" ht="15" x14ac:dyDescent="0.2">
      <c r="A402" s="42"/>
      <c r="B402" s="38"/>
      <c r="C402" s="38"/>
      <c r="D402" s="38"/>
      <c r="E402" s="38"/>
      <c r="F402" s="38"/>
      <c r="G402" s="39"/>
    </row>
    <row r="403" spans="1:7" ht="15.75" x14ac:dyDescent="0.25">
      <c r="A403" s="42"/>
      <c r="B403" s="38"/>
      <c r="C403" s="43"/>
      <c r="D403" s="43"/>
      <c r="E403" s="43" t="s">
        <v>13</v>
      </c>
      <c r="F403" s="43" t="s">
        <v>3</v>
      </c>
      <c r="G403" s="39"/>
    </row>
    <row r="404" spans="1:7" ht="15.75" x14ac:dyDescent="0.25">
      <c r="A404" s="42"/>
      <c r="B404" s="38"/>
      <c r="C404" s="44" t="s">
        <v>5</v>
      </c>
      <c r="D404" s="44"/>
      <c r="E404" s="44" t="s">
        <v>22</v>
      </c>
      <c r="F404" s="44" t="s">
        <v>6</v>
      </c>
      <c r="G404" s="39"/>
    </row>
    <row r="405" spans="1:7" ht="15.75" x14ac:dyDescent="0.25">
      <c r="A405" s="45" t="s">
        <v>60</v>
      </c>
      <c r="B405" s="36"/>
      <c r="C405" s="46"/>
      <c r="D405" s="46"/>
      <c r="E405" s="46"/>
      <c r="F405" s="46"/>
      <c r="G405" s="39"/>
    </row>
    <row r="406" spans="1:7" ht="15.75" x14ac:dyDescent="0.25">
      <c r="A406" s="42" t="s">
        <v>58</v>
      </c>
      <c r="B406" s="38"/>
      <c r="C406" s="47">
        <v>87362</v>
      </c>
      <c r="D406" s="47"/>
      <c r="E406" s="48">
        <v>0.73</v>
      </c>
      <c r="F406" s="47">
        <f>C406*E406</f>
        <v>63774.26</v>
      </c>
      <c r="G406" s="39"/>
    </row>
    <row r="407" spans="1:7" ht="17.25" x14ac:dyDescent="0.35">
      <c r="A407" s="49" t="s">
        <v>59</v>
      </c>
      <c r="B407" s="50"/>
      <c r="C407" s="51">
        <v>443080</v>
      </c>
      <c r="D407" s="51"/>
      <c r="E407" s="48">
        <v>0.91</v>
      </c>
      <c r="F407" s="51">
        <f>C407*E407</f>
        <v>403202.8</v>
      </c>
      <c r="G407" s="39"/>
    </row>
    <row r="408" spans="1:7" ht="15" x14ac:dyDescent="0.2">
      <c r="A408" s="42" t="s">
        <v>3</v>
      </c>
      <c r="B408" s="38"/>
      <c r="C408" s="47">
        <f>SUM(C406:C407)</f>
        <v>530442</v>
      </c>
      <c r="D408" s="47"/>
      <c r="E408" s="38"/>
      <c r="F408" s="47">
        <f>SUM(F406:F407)</f>
        <v>466977.06</v>
      </c>
      <c r="G408" s="39"/>
    </row>
    <row r="409" spans="1:7" ht="15" x14ac:dyDescent="0.2">
      <c r="A409" s="42"/>
      <c r="B409" s="38"/>
      <c r="C409" s="38"/>
      <c r="D409" s="38"/>
      <c r="E409" s="38"/>
      <c r="F409" s="38"/>
      <c r="G409" s="39"/>
    </row>
    <row r="410" spans="1:7" ht="15.75" x14ac:dyDescent="0.25">
      <c r="A410" s="35" t="s">
        <v>23</v>
      </c>
      <c r="B410" s="38"/>
      <c r="C410" s="38"/>
      <c r="D410" s="38"/>
      <c r="E410" s="38"/>
      <c r="F410" s="47">
        <v>894186.62775827409</v>
      </c>
      <c r="G410" s="39"/>
    </row>
    <row r="411" spans="1:7" ht="15" x14ac:dyDescent="0.2">
      <c r="A411" s="42"/>
      <c r="B411" s="38"/>
      <c r="C411" s="38"/>
      <c r="D411" s="38"/>
      <c r="E411" s="38"/>
      <c r="F411" s="38"/>
      <c r="G411" s="39"/>
    </row>
    <row r="412" spans="1:7" ht="15" x14ac:dyDescent="0.2">
      <c r="A412" s="42" t="s">
        <v>24</v>
      </c>
      <c r="B412" s="38"/>
      <c r="C412" s="38"/>
      <c r="D412" s="38"/>
      <c r="E412" s="38"/>
      <c r="F412" s="60">
        <f>F410-F408</f>
        <v>427209.56775827409</v>
      </c>
      <c r="G412" s="39"/>
    </row>
    <row r="413" spans="1:7" ht="15" x14ac:dyDescent="0.2">
      <c r="A413" s="42"/>
      <c r="B413" s="38"/>
      <c r="C413" s="38"/>
      <c r="D413" s="38"/>
      <c r="E413" s="38"/>
      <c r="F413" s="38"/>
      <c r="G413" s="39"/>
    </row>
    <row r="414" spans="1:7" ht="15" x14ac:dyDescent="0.2">
      <c r="A414" s="49" t="s">
        <v>25</v>
      </c>
      <c r="B414" s="38"/>
      <c r="C414" s="38"/>
      <c r="D414" s="38"/>
      <c r="E414" s="38"/>
      <c r="F414" s="47">
        <f>+C408</f>
        <v>530442</v>
      </c>
      <c r="G414" s="39"/>
    </row>
    <row r="415" spans="1:7" ht="15" x14ac:dyDescent="0.2">
      <c r="A415" s="42"/>
      <c r="B415" s="38"/>
      <c r="C415" s="38"/>
      <c r="D415" s="38"/>
      <c r="E415" s="38"/>
      <c r="F415" s="38"/>
      <c r="G415" s="39"/>
    </row>
    <row r="416" spans="1:7" ht="15" x14ac:dyDescent="0.2">
      <c r="A416" s="42" t="s">
        <v>26</v>
      </c>
      <c r="B416" s="38"/>
      <c r="C416" s="38"/>
      <c r="D416" s="38"/>
      <c r="E416" s="38"/>
      <c r="F416" s="38"/>
      <c r="G416" s="52">
        <f>ROUND(F412/F414,2)</f>
        <v>0.81</v>
      </c>
    </row>
    <row r="417" spans="1:7" ht="15" x14ac:dyDescent="0.2">
      <c r="A417" s="42"/>
      <c r="B417" s="38"/>
      <c r="C417" s="38"/>
      <c r="D417" s="38"/>
      <c r="E417" s="38"/>
      <c r="F417" s="38"/>
      <c r="G417" s="52"/>
    </row>
    <row r="418" spans="1:7" ht="15" x14ac:dyDescent="0.2">
      <c r="A418" s="42"/>
      <c r="B418" s="38"/>
      <c r="C418" s="38"/>
      <c r="D418" s="38"/>
      <c r="E418" s="38"/>
      <c r="F418" s="38"/>
      <c r="G418" s="52"/>
    </row>
    <row r="419" spans="1:7" ht="15" x14ac:dyDescent="0.2">
      <c r="A419" s="42"/>
      <c r="B419" s="38"/>
      <c r="C419" s="38"/>
      <c r="D419" s="38"/>
      <c r="E419" s="38"/>
      <c r="F419" s="38"/>
      <c r="G419" s="52"/>
    </row>
    <row r="420" spans="1:7" ht="15.75" x14ac:dyDescent="0.25">
      <c r="A420" s="45" t="s">
        <v>60</v>
      </c>
      <c r="B420" s="36"/>
      <c r="C420" s="38"/>
      <c r="D420" s="38"/>
      <c r="E420" s="38"/>
      <c r="F420" s="54">
        <f>+F410</f>
        <v>894186.62775827409</v>
      </c>
      <c r="G420" s="52"/>
    </row>
    <row r="421" spans="1:7" ht="15" x14ac:dyDescent="0.2">
      <c r="A421" s="42" t="s">
        <v>25</v>
      </c>
      <c r="B421" s="38"/>
      <c r="C421" s="38"/>
      <c r="D421" s="38"/>
      <c r="E421" s="38"/>
      <c r="F421" s="47">
        <v>537336</v>
      </c>
      <c r="G421" s="52"/>
    </row>
    <row r="422" spans="1:7" ht="17.25" x14ac:dyDescent="0.35">
      <c r="A422" s="42" t="s">
        <v>27</v>
      </c>
      <c r="B422" s="38"/>
      <c r="C422" s="38"/>
      <c r="D422" s="38"/>
      <c r="E422" s="38"/>
      <c r="F422" s="38"/>
      <c r="G422" s="56">
        <f>+F420/F421</f>
        <v>1.6641107756753206</v>
      </c>
    </row>
    <row r="423" spans="1:7" ht="17.25" x14ac:dyDescent="0.35">
      <c r="A423" s="42"/>
      <c r="B423" s="38"/>
      <c r="C423" s="38"/>
      <c r="D423" s="38"/>
      <c r="E423" s="38"/>
      <c r="F423" s="38"/>
      <c r="G423" s="57"/>
    </row>
    <row r="424" spans="1:7" ht="15" x14ac:dyDescent="0.2">
      <c r="A424" s="42"/>
      <c r="B424" s="38"/>
      <c r="C424" s="38"/>
      <c r="D424" s="38"/>
      <c r="E424" s="38"/>
      <c r="F424" s="38"/>
      <c r="G424" s="52"/>
    </row>
    <row r="425" spans="1:7" ht="16.5" thickBot="1" x14ac:dyDescent="0.3">
      <c r="A425" s="35" t="s">
        <v>28</v>
      </c>
      <c r="B425" s="36"/>
      <c r="C425" s="38"/>
      <c r="D425" s="38"/>
      <c r="E425" s="38"/>
      <c r="F425" s="38"/>
      <c r="G425" s="59">
        <f>+G422+G416+G417</f>
        <v>2.4741107756753209</v>
      </c>
    </row>
    <row r="426" spans="1:7" ht="14.25" thickTop="1" thickBot="1" x14ac:dyDescent="0.25">
      <c r="A426" s="19"/>
      <c r="B426" s="20"/>
      <c r="C426" s="20"/>
      <c r="D426" s="20"/>
      <c r="E426" s="20"/>
      <c r="F426" s="20"/>
      <c r="G426" s="21"/>
    </row>
    <row r="427" spans="1:7" ht="15" x14ac:dyDescent="0.2">
      <c r="A427" s="272" t="s">
        <v>29</v>
      </c>
      <c r="B427" s="273"/>
      <c r="C427" s="273"/>
      <c r="D427" s="273"/>
      <c r="E427" s="273"/>
      <c r="F427" s="273"/>
      <c r="G427" s="274"/>
    </row>
    <row r="428" spans="1:7" ht="15" x14ac:dyDescent="0.2">
      <c r="A428" s="49"/>
      <c r="B428" s="50"/>
      <c r="C428" s="50"/>
      <c r="D428" s="50"/>
      <c r="E428" s="50"/>
      <c r="F428" s="50"/>
      <c r="G428" s="64"/>
    </row>
    <row r="429" spans="1:7" ht="15.75" x14ac:dyDescent="0.25">
      <c r="A429" s="49"/>
      <c r="B429" s="50"/>
      <c r="C429" s="43"/>
      <c r="D429" s="43"/>
      <c r="E429" s="43" t="s">
        <v>13</v>
      </c>
      <c r="F429" s="43" t="s">
        <v>3</v>
      </c>
      <c r="G429" s="64"/>
    </row>
    <row r="430" spans="1:7" ht="15.75" x14ac:dyDescent="0.25">
      <c r="A430" s="49"/>
      <c r="B430" s="50"/>
      <c r="C430" s="65" t="s">
        <v>5</v>
      </c>
      <c r="D430" s="65"/>
      <c r="E430" s="65" t="s">
        <v>22</v>
      </c>
      <c r="F430" s="65" t="s">
        <v>6</v>
      </c>
      <c r="G430" s="64"/>
    </row>
    <row r="431" spans="1:7" ht="15.75" x14ac:dyDescent="0.25">
      <c r="A431" s="45" t="s">
        <v>60</v>
      </c>
      <c r="B431" s="36"/>
      <c r="C431" s="66"/>
      <c r="D431" s="66"/>
      <c r="E431" s="66"/>
      <c r="F431" s="66"/>
      <c r="G431" s="64"/>
    </row>
    <row r="432" spans="1:7" ht="15.75" x14ac:dyDescent="0.25">
      <c r="A432" s="42" t="s">
        <v>58</v>
      </c>
      <c r="B432" s="50"/>
      <c r="C432" s="67">
        <v>13606</v>
      </c>
      <c r="D432" s="67"/>
      <c r="E432" s="68">
        <v>0.21</v>
      </c>
      <c r="F432" s="67">
        <f>C432*E432</f>
        <v>2857.2599999999998</v>
      </c>
      <c r="G432" s="64"/>
    </row>
    <row r="433" spans="1:7" ht="17.25" x14ac:dyDescent="0.35">
      <c r="A433" s="49" t="s">
        <v>59</v>
      </c>
      <c r="B433" s="50"/>
      <c r="C433" s="51">
        <v>72828</v>
      </c>
      <c r="D433" s="51"/>
      <c r="E433" s="68">
        <v>0.23</v>
      </c>
      <c r="F433" s="51">
        <f>C433*E433</f>
        <v>16750.440000000002</v>
      </c>
      <c r="G433" s="64"/>
    </row>
    <row r="434" spans="1:7" ht="15" x14ac:dyDescent="0.2">
      <c r="A434" s="42" t="s">
        <v>3</v>
      </c>
      <c r="B434" s="50"/>
      <c r="C434" s="67">
        <f>+C433+C432</f>
        <v>86434</v>
      </c>
      <c r="D434" s="67"/>
      <c r="E434" s="50"/>
      <c r="F434" s="67">
        <f>+F433+F432</f>
        <v>19607.7</v>
      </c>
      <c r="G434" s="64"/>
    </row>
    <row r="435" spans="1:7" ht="15" x14ac:dyDescent="0.2">
      <c r="A435" s="42"/>
      <c r="B435" s="50"/>
      <c r="C435" s="50"/>
      <c r="D435" s="50"/>
      <c r="E435" s="50"/>
      <c r="F435" s="50"/>
      <c r="G435" s="64"/>
    </row>
    <row r="436" spans="1:7" ht="15.75" x14ac:dyDescent="0.25">
      <c r="A436" s="35" t="s">
        <v>23</v>
      </c>
      <c r="B436" s="50"/>
      <c r="C436" s="50"/>
      <c r="D436" s="50"/>
      <c r="E436" s="50"/>
      <c r="F436" s="69">
        <v>17896.735447015508</v>
      </c>
      <c r="G436" s="64"/>
    </row>
    <row r="437" spans="1:7" ht="15" x14ac:dyDescent="0.2">
      <c r="A437" s="42"/>
      <c r="B437" s="50"/>
      <c r="C437" s="50"/>
      <c r="D437" s="50"/>
      <c r="E437" s="50"/>
      <c r="F437" s="50"/>
      <c r="G437" s="64"/>
    </row>
    <row r="438" spans="1:7" ht="15" x14ac:dyDescent="0.2">
      <c r="A438" s="42" t="s">
        <v>24</v>
      </c>
      <c r="B438" s="50"/>
      <c r="C438" s="50"/>
      <c r="D438" s="50"/>
      <c r="E438" s="50"/>
      <c r="F438" s="67">
        <v>-1710.9364485785482</v>
      </c>
      <c r="G438" s="64"/>
    </row>
    <row r="439" spans="1:7" ht="15" x14ac:dyDescent="0.2">
      <c r="A439" s="42"/>
      <c r="B439" s="50"/>
      <c r="C439" s="50"/>
      <c r="D439" s="50"/>
      <c r="E439" s="50"/>
      <c r="F439" s="50"/>
      <c r="G439" s="64"/>
    </row>
    <row r="440" spans="1:7" ht="15" x14ac:dyDescent="0.2">
      <c r="A440" s="49" t="s">
        <v>25</v>
      </c>
      <c r="B440" s="50"/>
      <c r="C440" s="50"/>
      <c r="D440" s="50"/>
      <c r="E440" s="50"/>
      <c r="F440" s="67">
        <f>+C434</f>
        <v>86434</v>
      </c>
      <c r="G440" s="64"/>
    </row>
    <row r="441" spans="1:7" ht="15" x14ac:dyDescent="0.2">
      <c r="A441" s="42"/>
      <c r="B441" s="50"/>
      <c r="C441" s="50"/>
      <c r="D441" s="50"/>
      <c r="E441" s="50"/>
      <c r="F441" s="50"/>
      <c r="G441" s="64"/>
    </row>
    <row r="442" spans="1:7" ht="15" x14ac:dyDescent="0.2">
      <c r="A442" s="42" t="s">
        <v>26</v>
      </c>
      <c r="B442" s="50"/>
      <c r="C442" s="50"/>
      <c r="D442" s="50"/>
      <c r="E442" s="50"/>
      <c r="F442" s="50"/>
      <c r="G442" s="70">
        <f>ROUND(F438/F440,2)</f>
        <v>-0.02</v>
      </c>
    </row>
    <row r="443" spans="1:7" ht="15" x14ac:dyDescent="0.2">
      <c r="A443" s="42"/>
      <c r="B443" s="50"/>
      <c r="C443" s="50"/>
      <c r="D443" s="50"/>
      <c r="E443" s="50"/>
      <c r="F443" s="50"/>
      <c r="G443" s="70"/>
    </row>
    <row r="444" spans="1:7" ht="15" x14ac:dyDescent="0.2">
      <c r="A444" s="42"/>
      <c r="B444" s="50"/>
      <c r="C444" s="50"/>
      <c r="D444" s="50"/>
      <c r="E444" s="50"/>
      <c r="F444" s="67"/>
      <c r="G444" s="64"/>
    </row>
    <row r="445" spans="1:7" ht="15.75" x14ac:dyDescent="0.25">
      <c r="A445" s="42"/>
      <c r="B445" s="36"/>
      <c r="C445" s="50"/>
      <c r="D445" s="50"/>
      <c r="E445" s="50"/>
      <c r="F445" s="67"/>
      <c r="G445" s="64"/>
    </row>
    <row r="446" spans="1:7" ht="15.75" x14ac:dyDescent="0.25">
      <c r="A446" s="45" t="s">
        <v>60</v>
      </c>
      <c r="B446" s="50"/>
      <c r="C446" s="50"/>
      <c r="D446" s="50"/>
      <c r="E446" s="50"/>
      <c r="F446" s="54">
        <f>+F436</f>
        <v>17896.735447015508</v>
      </c>
      <c r="G446" s="64"/>
    </row>
    <row r="447" spans="1:7" ht="15" x14ac:dyDescent="0.2">
      <c r="A447" s="42" t="s">
        <v>25</v>
      </c>
      <c r="B447" s="50"/>
      <c r="C447" s="50"/>
      <c r="D447" s="50"/>
      <c r="E447" s="50"/>
      <c r="F447" s="67">
        <v>91907</v>
      </c>
      <c r="G447" s="64"/>
    </row>
    <row r="448" spans="1:7" ht="17.25" x14ac:dyDescent="0.35">
      <c r="A448" s="42" t="s">
        <v>27</v>
      </c>
      <c r="B448" s="50"/>
      <c r="C448" s="50"/>
      <c r="D448" s="50"/>
      <c r="E448" s="50"/>
      <c r="F448" s="50"/>
      <c r="G448" s="57">
        <f>ROUND(+F446/F447,2)</f>
        <v>0.19</v>
      </c>
    </row>
    <row r="449" spans="1:7" ht="17.25" x14ac:dyDescent="0.35">
      <c r="A449" s="42"/>
      <c r="B449" s="50"/>
      <c r="C449" s="50"/>
      <c r="D449" s="50"/>
      <c r="E449" s="50"/>
      <c r="F449" s="50"/>
      <c r="G449" s="57"/>
    </row>
    <row r="450" spans="1:7" ht="16.5" thickBot="1" x14ac:dyDescent="0.3">
      <c r="A450" s="35" t="s">
        <v>30</v>
      </c>
      <c r="B450" s="36"/>
      <c r="C450" s="50"/>
      <c r="D450" s="50"/>
      <c r="E450" s="50"/>
      <c r="F450" s="50"/>
      <c r="G450" s="71">
        <f>+G448+G442</f>
        <v>0.17</v>
      </c>
    </row>
    <row r="451" spans="1:7" ht="16.5" thickTop="1" thickBot="1" x14ac:dyDescent="0.25">
      <c r="A451" s="72"/>
      <c r="B451" s="73"/>
      <c r="C451" s="73"/>
      <c r="D451" s="73"/>
      <c r="E451" s="73"/>
      <c r="F451" s="73"/>
      <c r="G451" s="74"/>
    </row>
  </sheetData>
  <mergeCells count="16">
    <mergeCell ref="A4:G4"/>
    <mergeCell ref="A33:G33"/>
    <mergeCell ref="A120:G120"/>
    <mergeCell ref="A149:G149"/>
    <mergeCell ref="A181:G181"/>
    <mergeCell ref="A65:G65"/>
    <mergeCell ref="A91:G91"/>
    <mergeCell ref="A209:G209"/>
    <mergeCell ref="A427:G427"/>
    <mergeCell ref="A293:G293"/>
    <mergeCell ref="A319:G319"/>
    <mergeCell ref="A239:G239"/>
    <mergeCell ref="A265:G265"/>
    <mergeCell ref="A347:G347"/>
    <mergeCell ref="A401:G401"/>
    <mergeCell ref="A373:G373"/>
  </mergeCells>
  <pageMargins left="0.45" right="0.45" top="0.5" bottom="0.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46"/>
  <sheetViews>
    <sheetView topLeftCell="A109" zoomScaleNormal="100" workbookViewId="0">
      <selection activeCell="M133" sqref="M133:M138"/>
    </sheetView>
  </sheetViews>
  <sheetFormatPr defaultRowHeight="12.75" x14ac:dyDescent="0.2"/>
  <cols>
    <col min="1" max="1" width="26.140625" customWidth="1"/>
    <col min="2" max="2" width="6.28515625" bestFit="1" customWidth="1"/>
    <col min="3" max="3" width="11.5703125" style="2" bestFit="1" customWidth="1"/>
    <col min="4" max="4" width="10" bestFit="1" customWidth="1"/>
    <col min="5" max="5" width="10.5703125" bestFit="1" customWidth="1"/>
    <col min="6" max="6" width="11.28515625" bestFit="1" customWidth="1"/>
    <col min="7" max="7" width="11" bestFit="1" customWidth="1"/>
    <col min="8" max="8" width="10.5703125" bestFit="1" customWidth="1"/>
    <col min="9" max="9" width="11.42578125" bestFit="1" customWidth="1"/>
    <col min="10" max="10" width="10" bestFit="1" customWidth="1"/>
    <col min="11" max="11" width="10.42578125" bestFit="1" customWidth="1"/>
    <col min="12" max="12" width="9.5703125" bestFit="1" customWidth="1"/>
    <col min="13" max="13" width="12.5703125" bestFit="1" customWidth="1"/>
    <col min="14" max="15" width="12.28515625" bestFit="1" customWidth="1"/>
    <col min="16" max="16" width="10.28515625" bestFit="1" customWidth="1"/>
    <col min="19" max="19" width="10.28515625" bestFit="1" customWidth="1"/>
  </cols>
  <sheetData>
    <row r="1" spans="1:14" s="4" customFormat="1" ht="23.25" x14ac:dyDescent="0.35">
      <c r="A1" s="22" t="s">
        <v>31</v>
      </c>
      <c r="C1" s="27"/>
    </row>
    <row r="2" spans="1:14" s="4" customFormat="1" x14ac:dyDescent="0.2">
      <c r="A2" s="1" t="s">
        <v>64</v>
      </c>
      <c r="C2" s="27"/>
    </row>
    <row r="3" spans="1:14" s="4" customFormat="1" x14ac:dyDescent="0.2">
      <c r="C3" s="27"/>
    </row>
    <row r="4" spans="1:14" s="4" customFormat="1" x14ac:dyDescent="0.2">
      <c r="C4" s="27"/>
    </row>
    <row r="5" spans="1:14" s="4" customFormat="1" x14ac:dyDescent="0.2">
      <c r="C5" s="27" t="s">
        <v>63</v>
      </c>
    </row>
    <row r="6" spans="1:14" s="4" customFormat="1" x14ac:dyDescent="0.2">
      <c r="C6" s="27" t="s">
        <v>34</v>
      </c>
      <c r="G6" s="4" t="s">
        <v>14</v>
      </c>
      <c r="H6" s="4" t="s">
        <v>16</v>
      </c>
      <c r="J6" s="4" t="s">
        <v>131</v>
      </c>
    </row>
    <row r="7" spans="1:14" s="4" customFormat="1" x14ac:dyDescent="0.2">
      <c r="C7" s="27" t="s">
        <v>33</v>
      </c>
      <c r="D7" s="4" t="s">
        <v>14</v>
      </c>
      <c r="E7" s="4" t="s">
        <v>47</v>
      </c>
      <c r="F7" s="4" t="s">
        <v>4</v>
      </c>
      <c r="G7" s="4" t="s">
        <v>15</v>
      </c>
      <c r="H7" s="27" t="s">
        <v>34</v>
      </c>
      <c r="I7" s="4" t="s">
        <v>33</v>
      </c>
      <c r="J7" s="4" t="s">
        <v>132</v>
      </c>
    </row>
    <row r="8" spans="1:14" s="101" customFormat="1" x14ac:dyDescent="0.2">
      <c r="A8" s="101" t="s">
        <v>62</v>
      </c>
      <c r="C8" s="16" t="s">
        <v>12</v>
      </c>
      <c r="D8" s="4" t="s">
        <v>46</v>
      </c>
      <c r="E8" s="101" t="s">
        <v>34</v>
      </c>
      <c r="F8" s="101" t="s">
        <v>15</v>
      </c>
      <c r="G8" s="101" t="s">
        <v>12</v>
      </c>
      <c r="H8" s="101" t="s">
        <v>12</v>
      </c>
      <c r="I8" s="101" t="s">
        <v>5</v>
      </c>
      <c r="J8" s="101" t="s">
        <v>133</v>
      </c>
      <c r="L8" s="4"/>
      <c r="M8" s="4"/>
      <c r="N8" s="4"/>
    </row>
    <row r="9" spans="1:14" x14ac:dyDescent="0.2">
      <c r="A9" s="63" t="s">
        <v>175</v>
      </c>
      <c r="C9" s="2">
        <f>+[1]Composition!B$35-D9</f>
        <v>1359.1100000000001</v>
      </c>
      <c r="D9" s="6">
        <f>-[1]Composition!B$37</f>
        <v>-205.10000000000002</v>
      </c>
      <c r="E9" s="6">
        <f>+D9+C9</f>
        <v>1154.0100000000002</v>
      </c>
      <c r="F9" s="113">
        <f>+'[1]Res''l &amp; MF Customers'!C$18</f>
        <v>0.55903581103794664</v>
      </c>
      <c r="G9" s="6">
        <f>-F9*E9</f>
        <v>-645.13291629590094</v>
      </c>
      <c r="H9" s="6">
        <f t="shared" ref="H9:H20" si="0">+G9+E9</f>
        <v>508.87708370409928</v>
      </c>
      <c r="I9" s="156">
        <f>+'[1]Res''l &amp; MF Customers'!C$12</f>
        <v>22300</v>
      </c>
      <c r="J9" s="6">
        <f>+H9*2000/I9/4.3333</f>
        <v>10.532204170541206</v>
      </c>
      <c r="K9" s="4"/>
      <c r="L9" s="4"/>
      <c r="M9" s="4"/>
      <c r="N9" s="4"/>
    </row>
    <row r="10" spans="1:14" x14ac:dyDescent="0.2">
      <c r="A10" t="s">
        <v>176</v>
      </c>
      <c r="C10" s="2">
        <f>+[1]Composition!D$35-D10</f>
        <v>1287.3900000000001</v>
      </c>
      <c r="D10" s="6">
        <f>-[1]Composition!D$37</f>
        <v>-190.02</v>
      </c>
      <c r="E10" s="6">
        <f t="shared" ref="E10:E20" si="1">+D10+C10</f>
        <v>1097.3700000000001</v>
      </c>
      <c r="F10" s="113">
        <f>+'[1]Res''l &amp; MF Customers'!D$18</f>
        <v>0.55943574407806729</v>
      </c>
      <c r="G10" s="6">
        <f t="shared" ref="G10:G20" si="2">-F10*E10</f>
        <v>-613.90800247894879</v>
      </c>
      <c r="H10" s="6">
        <f t="shared" si="0"/>
        <v>483.46199752105133</v>
      </c>
      <c r="I10" s="156">
        <f>+'[1]Res''l &amp; MF Customers'!D$12</f>
        <v>22393</v>
      </c>
      <c r="J10" s="6">
        <f t="shared" ref="J10:J21" si="3">+H10*2000/I10/4.3333</f>
        <v>9.9646328314432289</v>
      </c>
      <c r="K10" s="4"/>
      <c r="L10" s="4"/>
      <c r="M10" s="4"/>
      <c r="N10" s="4"/>
    </row>
    <row r="11" spans="1:14" x14ac:dyDescent="0.2">
      <c r="A11" t="s">
        <v>177</v>
      </c>
      <c r="C11" s="2">
        <f>+[1]Composition!F$35-D11</f>
        <v>1356.29</v>
      </c>
      <c r="D11" s="6">
        <f>-[1]Composition!F$37</f>
        <v>-201.68</v>
      </c>
      <c r="E11" s="6">
        <f t="shared" si="1"/>
        <v>1154.6099999999999</v>
      </c>
      <c r="F11" s="113">
        <f>+'[1]Res''l &amp; MF Customers'!E$18</f>
        <v>0.5595757587617165</v>
      </c>
      <c r="G11" s="6">
        <f t="shared" si="2"/>
        <v>-646.09176682386544</v>
      </c>
      <c r="H11" s="6">
        <f t="shared" si="0"/>
        <v>508.51823317613446</v>
      </c>
      <c r="I11" s="156">
        <f>+'[1]Res''l &amp; MF Customers'!E$12</f>
        <v>22507</v>
      </c>
      <c r="J11" s="6">
        <f t="shared" si="3"/>
        <v>10.427979224616093</v>
      </c>
      <c r="K11" s="4"/>
      <c r="L11" s="4"/>
      <c r="M11" s="4"/>
      <c r="N11" s="4"/>
    </row>
    <row r="12" spans="1:14" x14ac:dyDescent="0.2">
      <c r="A12" t="s">
        <v>178</v>
      </c>
      <c r="C12" s="2">
        <f>+[1]Composition!H$35-D12</f>
        <v>1238.5300000000002</v>
      </c>
      <c r="D12" s="6">
        <f>-[1]Composition!H$37</f>
        <v>-184.44000000000003</v>
      </c>
      <c r="E12" s="6">
        <f t="shared" si="1"/>
        <v>1054.0900000000001</v>
      </c>
      <c r="F12" s="113">
        <f>+'[1]Res''l &amp; MF Customers'!F$18</f>
        <v>0.55841103188905428</v>
      </c>
      <c r="G12" s="6">
        <f t="shared" si="2"/>
        <v>-588.61548460393328</v>
      </c>
      <c r="H12" s="6">
        <f t="shared" si="0"/>
        <v>465.47451539606686</v>
      </c>
      <c r="I12" s="156">
        <f>+'[1]Res''l &amp; MF Customers'!F$12</f>
        <v>22544</v>
      </c>
      <c r="J12" s="6">
        <f t="shared" si="3"/>
        <v>9.5296329092538059</v>
      </c>
      <c r="K12" s="4"/>
      <c r="L12" s="4"/>
      <c r="M12" s="4"/>
      <c r="N12" s="4"/>
    </row>
    <row r="13" spans="1:14" x14ac:dyDescent="0.2">
      <c r="A13" t="s">
        <v>179</v>
      </c>
      <c r="C13" s="2">
        <f>+[1]Composition!J$35-D13</f>
        <v>1349.6100000000001</v>
      </c>
      <c r="D13" s="6">
        <f>-[1]Composition!J$37</f>
        <v>-195.95999999999998</v>
      </c>
      <c r="E13" s="6">
        <f t="shared" si="1"/>
        <v>1153.6500000000001</v>
      </c>
      <c r="F13" s="113">
        <f>+'[1]Res''l &amp; MF Customers'!G$18</f>
        <v>0.55925614830152559</v>
      </c>
      <c r="G13" s="6">
        <f t="shared" si="2"/>
        <v>-645.18585548805504</v>
      </c>
      <c r="H13" s="6">
        <f t="shared" si="0"/>
        <v>508.46414451194505</v>
      </c>
      <c r="I13" s="156">
        <f>+'[1]Res''l &amp; MF Customers'!G$12</f>
        <v>22563</v>
      </c>
      <c r="J13" s="6">
        <f t="shared" si="3"/>
        <v>10.400991189892546</v>
      </c>
      <c r="K13" s="4"/>
      <c r="L13" s="4"/>
      <c r="M13" s="4"/>
      <c r="N13" s="4"/>
    </row>
    <row r="14" spans="1:14" x14ac:dyDescent="0.2">
      <c r="A14" t="s">
        <v>180</v>
      </c>
      <c r="C14" s="2">
        <f>+[1]Composition!L$35-D14</f>
        <v>1227.03</v>
      </c>
      <c r="D14" s="6">
        <f>-[1]Composition!L$37</f>
        <v>-177.04999999999998</v>
      </c>
      <c r="E14" s="6">
        <f t="shared" si="1"/>
        <v>1049.98</v>
      </c>
      <c r="F14" s="113">
        <f>+'[1]Res''l &amp; MF Customers'!H$18</f>
        <v>0.55957708768981218</v>
      </c>
      <c r="G14" s="6">
        <f t="shared" si="2"/>
        <v>-587.54475053254896</v>
      </c>
      <c r="H14" s="6">
        <f t="shared" si="0"/>
        <v>462.43524946745106</v>
      </c>
      <c r="I14" s="156">
        <f>+'[1]Res''l &amp; MF Customers'!H$12</f>
        <v>22536</v>
      </c>
      <c r="J14" s="6">
        <f t="shared" si="3"/>
        <v>9.4707710061653341</v>
      </c>
      <c r="K14" s="4"/>
      <c r="L14" s="4"/>
      <c r="M14" s="4"/>
      <c r="N14" s="4"/>
    </row>
    <row r="15" spans="1:14" x14ac:dyDescent="0.2">
      <c r="A15" t="s">
        <v>7</v>
      </c>
      <c r="C15" s="260">
        <f>'Tons &amp; Revenue'!C9</f>
        <v>1121.56</v>
      </c>
      <c r="D15" s="260">
        <f>'Tons &amp; Revenue'!D9</f>
        <v>-174.19</v>
      </c>
      <c r="E15" s="261">
        <f t="shared" si="1"/>
        <v>947.36999999999989</v>
      </c>
      <c r="F15" s="168">
        <f>'Tons &amp; Revenue'!F9</f>
        <v>0.56135869050998211</v>
      </c>
      <c r="G15" s="261">
        <f t="shared" si="2"/>
        <v>-531.81438262844165</v>
      </c>
      <c r="H15" s="261">
        <f t="shared" si="0"/>
        <v>415.55561737155824</v>
      </c>
      <c r="I15" s="262">
        <f>'Tons &amp; Revenue'!I9</f>
        <v>23180</v>
      </c>
      <c r="J15" s="261">
        <f t="shared" si="3"/>
        <v>8.2742181053524835</v>
      </c>
      <c r="K15" s="4"/>
      <c r="L15" s="4"/>
      <c r="M15" s="4"/>
      <c r="N15" s="4"/>
    </row>
    <row r="16" spans="1:14" x14ac:dyDescent="0.2">
      <c r="A16" s="63" t="s">
        <v>181</v>
      </c>
      <c r="C16" s="260">
        <f>'Tons &amp; Revenue'!C10</f>
        <v>1160.0900000000001</v>
      </c>
      <c r="D16" s="260">
        <f>'Tons &amp; Revenue'!D10</f>
        <v>-180.93</v>
      </c>
      <c r="E16" s="261">
        <f t="shared" si="1"/>
        <v>979.16000000000008</v>
      </c>
      <c r="F16" s="168">
        <f>'Tons &amp; Revenue'!F10</f>
        <v>0.56089755728081803</v>
      </c>
      <c r="G16" s="261">
        <f t="shared" si="2"/>
        <v>-549.20845218708587</v>
      </c>
      <c r="H16" s="261">
        <f t="shared" si="0"/>
        <v>429.95154781291421</v>
      </c>
      <c r="I16" s="262">
        <f>'Tons &amp; Revenue'!I10</f>
        <v>23189</v>
      </c>
      <c r="J16" s="261">
        <f t="shared" si="3"/>
        <v>8.557536003303035</v>
      </c>
      <c r="K16" s="4"/>
      <c r="L16" s="4"/>
      <c r="M16" s="4"/>
      <c r="N16" s="4"/>
    </row>
    <row r="17" spans="1:28" x14ac:dyDescent="0.2">
      <c r="A17" t="s">
        <v>10</v>
      </c>
      <c r="C17" s="260">
        <f>'Tons &amp; Revenue'!C11</f>
        <v>849.06</v>
      </c>
      <c r="D17" s="260">
        <f>'Tons &amp; Revenue'!D11</f>
        <v>-129.13999999999999</v>
      </c>
      <c r="E17" s="261">
        <f t="shared" si="1"/>
        <v>719.92</v>
      </c>
      <c r="F17" s="168">
        <f>'Tons &amp; Revenue'!F11</f>
        <v>0.56120923012853274</v>
      </c>
      <c r="G17" s="261">
        <f t="shared" si="2"/>
        <v>-404.02574895413329</v>
      </c>
      <c r="H17" s="261">
        <f t="shared" si="0"/>
        <v>315.89425104586667</v>
      </c>
      <c r="I17" s="262">
        <f>'Tons &amp; Revenue'!I11</f>
        <v>23180</v>
      </c>
      <c r="J17" s="261">
        <f t="shared" si="3"/>
        <v>6.289839006179121</v>
      </c>
      <c r="K17" s="4"/>
      <c r="L17" s="4"/>
      <c r="M17" s="4"/>
      <c r="N17" s="4"/>
    </row>
    <row r="18" spans="1:28" x14ac:dyDescent="0.2">
      <c r="A18" t="s">
        <v>8</v>
      </c>
      <c r="C18" s="260">
        <f>'Tons &amp; Revenue'!C12</f>
        <v>1019.1300000000001</v>
      </c>
      <c r="D18" s="260">
        <f>'Tons &amp; Revenue'!D12</f>
        <v>-140.93</v>
      </c>
      <c r="E18" s="261">
        <f t="shared" si="1"/>
        <v>878.2</v>
      </c>
      <c r="F18" s="168">
        <f>'Tons &amp; Revenue'!F12</f>
        <v>0.56102751464246037</v>
      </c>
      <c r="G18" s="261">
        <f t="shared" si="2"/>
        <v>-492.69436335900872</v>
      </c>
      <c r="H18" s="261">
        <f t="shared" si="0"/>
        <v>385.50563664099133</v>
      </c>
      <c r="I18" s="262">
        <f>'Tons &amp; Revenue'!I12</f>
        <v>23309</v>
      </c>
      <c r="J18" s="261">
        <f t="shared" si="3"/>
        <v>7.6334054279154628</v>
      </c>
      <c r="K18" s="4"/>
      <c r="L18" s="4"/>
      <c r="M18" s="4"/>
      <c r="N18" s="4"/>
    </row>
    <row r="19" spans="1:28" x14ac:dyDescent="0.2">
      <c r="A19" t="s">
        <v>9</v>
      </c>
      <c r="C19" s="260">
        <f>'Tons &amp; Revenue'!C13</f>
        <v>1108.9099999999999</v>
      </c>
      <c r="D19" s="260">
        <f>'Tons &amp; Revenue'!D13</f>
        <v>-159.49</v>
      </c>
      <c r="E19" s="261">
        <f t="shared" si="1"/>
        <v>949.41999999999985</v>
      </c>
      <c r="F19" s="168">
        <f>'Tons &amp; Revenue'!F13</f>
        <v>0.5591591254004834</v>
      </c>
      <c r="G19" s="261">
        <f t="shared" si="2"/>
        <v>-530.8768568377269</v>
      </c>
      <c r="H19" s="261">
        <f t="shared" si="0"/>
        <v>418.54314316227294</v>
      </c>
      <c r="I19" s="262">
        <f>'Tons &amp; Revenue'!I13</f>
        <v>23529</v>
      </c>
      <c r="J19" s="261">
        <f t="shared" si="3"/>
        <v>8.2100915613075589</v>
      </c>
      <c r="K19" s="4"/>
      <c r="L19" s="4"/>
      <c r="M19" s="4"/>
      <c r="N19" s="4"/>
    </row>
    <row r="20" spans="1:28" x14ac:dyDescent="0.2">
      <c r="A20" t="s">
        <v>2</v>
      </c>
      <c r="C20" s="260">
        <f>'Tons &amp; Revenue'!C14</f>
        <v>1128.76</v>
      </c>
      <c r="D20" s="260">
        <f>'Tons &amp; Revenue'!D14</f>
        <v>-174.73</v>
      </c>
      <c r="E20" s="261">
        <f t="shared" si="1"/>
        <v>954.03</v>
      </c>
      <c r="F20" s="168">
        <f>'Tons &amp; Revenue'!F14</f>
        <v>0.55067796300023786</v>
      </c>
      <c r="G20" s="261">
        <f t="shared" si="2"/>
        <v>-525.36329704111688</v>
      </c>
      <c r="H20" s="261">
        <f t="shared" si="0"/>
        <v>428.66670295888309</v>
      </c>
      <c r="I20" s="262">
        <f>'Tons &amp; Revenue'!I14</f>
        <v>24555</v>
      </c>
      <c r="J20" s="261">
        <f t="shared" si="3"/>
        <v>8.057328140978802</v>
      </c>
      <c r="K20" s="4"/>
      <c r="L20" s="4"/>
      <c r="M20" s="4"/>
      <c r="N20" s="4"/>
    </row>
    <row r="21" spans="1:28" ht="15" x14ac:dyDescent="0.35">
      <c r="C21" s="15">
        <f>SUM(C9:C20)</f>
        <v>14205.47</v>
      </c>
      <c r="D21" s="15">
        <f>SUM(D9:D20)</f>
        <v>-2113.6600000000003</v>
      </c>
      <c r="E21" s="15">
        <f>SUM(E9:E20)</f>
        <v>12091.810000000001</v>
      </c>
      <c r="F21" s="100">
        <f>-G21/E21</f>
        <v>0.55909428590349708</v>
      </c>
      <c r="G21" s="15">
        <f>SUM(G9:G20)</f>
        <v>-6760.4618772307658</v>
      </c>
      <c r="H21" s="15">
        <f>SUM(H9:H20)</f>
        <v>5331.3481227692355</v>
      </c>
      <c r="I21" s="158">
        <f>SUM(I9:I20)</f>
        <v>275785</v>
      </c>
      <c r="J21" s="8">
        <f t="shared" si="3"/>
        <v>8.9223167993822567</v>
      </c>
      <c r="K21" s="4"/>
      <c r="L21" s="4"/>
      <c r="M21" s="4"/>
      <c r="N21" s="4"/>
    </row>
    <row r="23" spans="1:28" x14ac:dyDescent="0.2">
      <c r="C23" s="275" t="s">
        <v>35</v>
      </c>
      <c r="D23" s="275"/>
      <c r="E23" s="275"/>
      <c r="F23" s="275"/>
      <c r="G23" s="275"/>
      <c r="H23" s="275"/>
      <c r="I23" s="275"/>
      <c r="J23" s="275"/>
      <c r="K23" s="275"/>
      <c r="L23" s="275"/>
    </row>
    <row r="24" spans="1:28" x14ac:dyDescent="0.2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8" x14ac:dyDescent="0.2">
      <c r="C25" s="24" t="s">
        <v>36</v>
      </c>
      <c r="D25" s="24" t="s">
        <v>37</v>
      </c>
      <c r="E25" s="24"/>
      <c r="F25" s="24" t="s">
        <v>38</v>
      </c>
      <c r="G25" s="24" t="s">
        <v>39</v>
      </c>
      <c r="H25" s="24"/>
      <c r="I25" s="24"/>
      <c r="J25" s="24" t="s">
        <v>0</v>
      </c>
      <c r="K25" s="24" t="s">
        <v>0</v>
      </c>
      <c r="L25" s="24" t="s">
        <v>40</v>
      </c>
      <c r="N25" s="99"/>
    </row>
    <row r="26" spans="1:28" x14ac:dyDescent="0.2">
      <c r="C26" s="25" t="s">
        <v>41</v>
      </c>
      <c r="D26" s="25" t="s">
        <v>42</v>
      </c>
      <c r="E26" s="25" t="s">
        <v>19</v>
      </c>
      <c r="F26" s="25" t="s">
        <v>17</v>
      </c>
      <c r="G26" s="25" t="s">
        <v>18</v>
      </c>
      <c r="H26" s="25" t="s">
        <v>11</v>
      </c>
      <c r="I26" s="25" t="s">
        <v>1</v>
      </c>
      <c r="J26" s="25" t="s">
        <v>43</v>
      </c>
      <c r="K26" s="25" t="s">
        <v>44</v>
      </c>
      <c r="L26" s="25" t="s">
        <v>45</v>
      </c>
      <c r="M26" s="30"/>
      <c r="N26" s="30"/>
    </row>
    <row r="27" spans="1:28" x14ac:dyDescent="0.2">
      <c r="A27" s="3" t="s">
        <v>48</v>
      </c>
      <c r="B27" s="3"/>
      <c r="C27"/>
    </row>
    <row r="28" spans="1:28" x14ac:dyDescent="0.2">
      <c r="A28" t="s">
        <v>182</v>
      </c>
      <c r="C28" s="26">
        <f>+[1]Composition!C$25</f>
        <v>0.36161562127503527</v>
      </c>
      <c r="D28" s="26">
        <f>+[1]Composition!C$26</f>
        <v>0</v>
      </c>
      <c r="E28" s="26">
        <f>+[1]Composition!C$27</f>
        <v>0.40479724259222338</v>
      </c>
      <c r="F28" s="26">
        <f>+[1]Composition!C$28</f>
        <v>1.5946065803024316E-2</v>
      </c>
      <c r="G28" s="26">
        <f>+[1]Composition!$C$30</f>
        <v>2.3670928467081367E-2</v>
      </c>
      <c r="H28" s="26">
        <f>+[1]Composition!$C$29</f>
        <v>0.17565940625685811</v>
      </c>
      <c r="I28" s="26">
        <f>+[1]Composition!C$31</f>
        <v>3.875967890435169E-2</v>
      </c>
      <c r="J28" s="26">
        <f>+[1]Composition!C$32</f>
        <v>1.2507779967737238E-2</v>
      </c>
      <c r="K28" s="26">
        <f>+[1]Composition!C$33</f>
        <v>8.4648611902868182E-3</v>
      </c>
      <c r="L28" s="26">
        <f>+[1]Composition!C$34</f>
        <v>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">
      <c r="A29" t="s">
        <v>176</v>
      </c>
      <c r="C29" s="26">
        <f>+[1]Composition!E$25</f>
        <v>0.34406775156682906</v>
      </c>
      <c r="D29" s="26">
        <f>+[1]Composition!E$26</f>
        <v>0</v>
      </c>
      <c r="E29" s="26">
        <f>+[1]Composition!E$27</f>
        <v>0.48769997846382712</v>
      </c>
      <c r="F29" s="26">
        <f>+[1]Composition!E$28</f>
        <v>1.6590398641584344E-2</v>
      </c>
      <c r="G29" s="26">
        <f>+[1]Composition!$E$30</f>
        <v>2.4818576463824436E-2</v>
      </c>
      <c r="H29" s="26">
        <f>+[1]Composition!$E$29</f>
        <v>0.18305117904539892</v>
      </c>
      <c r="I29" s="26">
        <f>+[1]Composition!E$31</f>
        <v>5.0977582898690484E-2</v>
      </c>
      <c r="J29" s="26">
        <f>+[1]Composition!E$32</f>
        <v>1.261035272756846E-2</v>
      </c>
      <c r="K29" s="26">
        <f>+[1]Composition!E$33</f>
        <v>1.0352243776352193E-2</v>
      </c>
      <c r="L29" s="26">
        <f>+[1]Composition!E$34</f>
        <v>1.3301189712643755E-3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">
      <c r="A30" t="s">
        <v>177</v>
      </c>
      <c r="C30" s="26">
        <f>+[1]Composition!G$25</f>
        <v>0.31670801928748643</v>
      </c>
      <c r="D30" s="26">
        <f>+[1]Composition!G$26</f>
        <v>0</v>
      </c>
      <c r="E30" s="26">
        <f>+[1]Composition!G$27</f>
        <v>0.49106315247413496</v>
      </c>
      <c r="F30" s="26">
        <f>+[1]Composition!G$28</f>
        <v>1.6001123542905289E-2</v>
      </c>
      <c r="G30" s="26">
        <f>+[1]Composition!$G$30</f>
        <v>2.4380881044894893E-2</v>
      </c>
      <c r="H30" s="26">
        <f>+[1]Composition!$G$29</f>
        <v>0.16458030991058464</v>
      </c>
      <c r="I30" s="26">
        <f>+[1]Composition!G$31</f>
        <v>4.8761762089789787E-2</v>
      </c>
      <c r="J30" s="26">
        <f>+[1]Composition!G$32</f>
        <v>1.1806563363138425E-2</v>
      </c>
      <c r="K30" s="26">
        <f>+[1]Composition!G$33</f>
        <v>7.743083188989276E-3</v>
      </c>
      <c r="L30" s="26">
        <f>+[1]Composition!G$34</f>
        <v>0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">
      <c r="A31" t="s">
        <v>178</v>
      </c>
      <c r="C31" s="26">
        <f>+[1]Composition!I$25</f>
        <v>0.32750341557502205</v>
      </c>
      <c r="D31" s="26">
        <f>+[1]Composition!I$26</f>
        <v>0</v>
      </c>
      <c r="E31" s="26">
        <f>+[1]Composition!I$27</f>
        <v>0.46263963674355052</v>
      </c>
      <c r="F31" s="26">
        <f>+[1]Composition!I$28</f>
        <v>1.4064132443944386E-2</v>
      </c>
      <c r="G31" s="26">
        <f>+[1]Composition!$I$30</f>
        <v>2.4511773688017355E-2</v>
      </c>
      <c r="H31" s="26">
        <f>+[1]Composition!$I$29</f>
        <v>0.1656152053363337</v>
      </c>
      <c r="I31" s="26">
        <f>+[1]Composition!I$31</f>
        <v>4.6160491842803186E-2</v>
      </c>
      <c r="J31" s="26">
        <f>+[1]Composition!I$32</f>
        <v>1.1452222132926144E-2</v>
      </c>
      <c r="K31" s="26">
        <f>+[1]Composition!I$33</f>
        <v>6.9717913686410029E-3</v>
      </c>
      <c r="L31" s="26">
        <f>+[1]Composition!I$34</f>
        <v>0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">
      <c r="A32" t="s">
        <v>179</v>
      </c>
      <c r="C32" s="26">
        <f>+[1]Composition!K$25</f>
        <v>0.37250671617795017</v>
      </c>
      <c r="D32" s="26">
        <f>+[1]Composition!K$26</f>
        <v>0</v>
      </c>
      <c r="E32" s="26">
        <f>+[1]Composition!K$27</f>
        <v>0.53867377526994376</v>
      </c>
      <c r="F32" s="26">
        <f>+[1]Composition!K$28</f>
        <v>1.5257911605762947E-2</v>
      </c>
      <c r="G32" s="26">
        <f>+[1]Composition!$K$30</f>
        <v>3.2901492599238656E-2</v>
      </c>
      <c r="H32" s="26">
        <f>+[1]Composition!$K$29</f>
        <v>0.17428870748581562</v>
      </c>
      <c r="I32" s="26">
        <f>+[1]Composition!K$31</f>
        <v>4.3958551587507388E-2</v>
      </c>
      <c r="J32" s="26">
        <f>+[1]Composition!K$32</f>
        <v>1.0496945305936166E-2</v>
      </c>
      <c r="K32" s="26">
        <f>+[1]Composition!K$33</f>
        <v>8.536547417772199E-3</v>
      </c>
      <c r="L32" s="26">
        <f>+[1]Composition!K$34</f>
        <v>0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">
      <c r="A33" t="s">
        <v>180</v>
      </c>
      <c r="C33" s="26">
        <f>+[1]Composition!M$25</f>
        <v>0.34132219902574801</v>
      </c>
      <c r="D33" s="26">
        <f>+[1]Composition!M$26</f>
        <v>0</v>
      </c>
      <c r="E33" s="26">
        <f>+[1]Composition!M$27</f>
        <v>0.40553931802366033</v>
      </c>
      <c r="F33" s="26">
        <f>+[1]Composition!M$28</f>
        <v>1.2071445140338666E-2</v>
      </c>
      <c r="G33" s="26">
        <f>+[1]Composition!$M$30</f>
        <v>2.6416144745998602E-2</v>
      </c>
      <c r="H33" s="26">
        <f>+[1]Composition!$M$29</f>
        <v>0.1381025284156808</v>
      </c>
      <c r="I33" s="26">
        <f>+[1]Composition!M$31</f>
        <v>3.3588494548828576E-2</v>
      </c>
      <c r="J33" s="26">
        <f>+[1]Composition!M$32</f>
        <v>1.0132219902574806E-2</v>
      </c>
      <c r="K33" s="26">
        <f>+[1]Composition!M$33</f>
        <v>7.061006726977498E-3</v>
      </c>
      <c r="L33" s="26">
        <f>+[1]Composition!M$34</f>
        <v>0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">
      <c r="A34" t="s">
        <v>7</v>
      </c>
      <c r="C34" s="265">
        <f>+[1]Composition!M$25</f>
        <v>0.34132219902574801</v>
      </c>
      <c r="D34" s="265">
        <f>+[1]Composition!M$26</f>
        <v>0</v>
      </c>
      <c r="E34" s="265">
        <f>+[1]Composition!M$27</f>
        <v>0.40553931802366033</v>
      </c>
      <c r="F34" s="265">
        <f>+[1]Composition!M$28</f>
        <v>1.2071445140338666E-2</v>
      </c>
      <c r="G34" s="265">
        <f>+[1]Composition!$M$30</f>
        <v>2.6416144745998602E-2</v>
      </c>
      <c r="H34" s="265">
        <f>+[1]Composition!$M$29</f>
        <v>0.1381025284156808</v>
      </c>
      <c r="I34" s="265">
        <f>+[1]Composition!M$31</f>
        <v>3.3588494548828576E-2</v>
      </c>
      <c r="J34" s="265">
        <f>+[1]Composition!M$32</f>
        <v>1.0132219902574806E-2</v>
      </c>
      <c r="K34" s="265">
        <f>+[1]Composition!M$33</f>
        <v>7.061006726977498E-3</v>
      </c>
      <c r="L34" s="265">
        <f>+[1]Composition!M$34</f>
        <v>0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">
      <c r="A35" t="s">
        <v>32</v>
      </c>
      <c r="C35" s="265">
        <f>+[1]Composition!M$25</f>
        <v>0.34132219902574801</v>
      </c>
      <c r="D35" s="265">
        <f>+[1]Composition!M$26</f>
        <v>0</v>
      </c>
      <c r="E35" s="265">
        <f>+[1]Composition!M$27</f>
        <v>0.40553931802366033</v>
      </c>
      <c r="F35" s="265">
        <f>+[1]Composition!M$28</f>
        <v>1.2071445140338666E-2</v>
      </c>
      <c r="G35" s="265">
        <f>+[1]Composition!$M$30</f>
        <v>2.6416144745998602E-2</v>
      </c>
      <c r="H35" s="265">
        <f>+[1]Composition!$M$29</f>
        <v>0.1381025284156808</v>
      </c>
      <c r="I35" s="265">
        <f>+[1]Composition!M$31</f>
        <v>3.3588494548828576E-2</v>
      </c>
      <c r="J35" s="265">
        <f>+[1]Composition!M$32</f>
        <v>1.0132219902574806E-2</v>
      </c>
      <c r="K35" s="265">
        <f>+[1]Composition!M$33</f>
        <v>7.061006726977498E-3</v>
      </c>
      <c r="L35" s="265">
        <f>+[1]Composition!M$34</f>
        <v>0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">
      <c r="A36" t="s">
        <v>10</v>
      </c>
      <c r="C36" s="265">
        <f>+[1]Composition!M$25</f>
        <v>0.34132219902574801</v>
      </c>
      <c r="D36" s="265">
        <f>+[1]Composition!M$26</f>
        <v>0</v>
      </c>
      <c r="E36" s="265">
        <f>+[1]Composition!M$27</f>
        <v>0.40553931802366033</v>
      </c>
      <c r="F36" s="265">
        <f>+[1]Composition!M$28</f>
        <v>1.2071445140338666E-2</v>
      </c>
      <c r="G36" s="265">
        <f>+[1]Composition!$M$30</f>
        <v>2.6416144745998602E-2</v>
      </c>
      <c r="H36" s="265">
        <f>+[1]Composition!$M$29</f>
        <v>0.1381025284156808</v>
      </c>
      <c r="I36" s="265">
        <f>+[1]Composition!M$31</f>
        <v>3.3588494548828576E-2</v>
      </c>
      <c r="J36" s="265">
        <f>+[1]Composition!M$32</f>
        <v>1.0132219902574806E-2</v>
      </c>
      <c r="K36" s="265">
        <f>+[1]Composition!M$33</f>
        <v>7.061006726977498E-3</v>
      </c>
      <c r="L36" s="265">
        <f>+[1]Composition!M$34</f>
        <v>0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">
      <c r="A37" t="s">
        <v>8</v>
      </c>
      <c r="C37" s="265">
        <f>+[1]Composition!M$25</f>
        <v>0.34132219902574801</v>
      </c>
      <c r="D37" s="265">
        <f>+[1]Composition!M$26</f>
        <v>0</v>
      </c>
      <c r="E37" s="265">
        <f>+[1]Composition!M$27</f>
        <v>0.40553931802366033</v>
      </c>
      <c r="F37" s="265">
        <f>+[1]Composition!M$28</f>
        <v>1.2071445140338666E-2</v>
      </c>
      <c r="G37" s="265">
        <f>+[1]Composition!$M$30</f>
        <v>2.6416144745998602E-2</v>
      </c>
      <c r="H37" s="265">
        <f>+[1]Composition!$M$29</f>
        <v>0.1381025284156808</v>
      </c>
      <c r="I37" s="265">
        <f>+[1]Composition!M$31</f>
        <v>3.3588494548828576E-2</v>
      </c>
      <c r="J37" s="265">
        <f>+[1]Composition!M$32</f>
        <v>1.0132219902574806E-2</v>
      </c>
      <c r="K37" s="265">
        <f>+[1]Composition!M$33</f>
        <v>7.061006726977498E-3</v>
      </c>
      <c r="L37" s="265">
        <f>+[1]Composition!M$34</f>
        <v>0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">
      <c r="A38" t="s">
        <v>9</v>
      </c>
      <c r="C38" s="265">
        <f>+[1]Composition!M$25</f>
        <v>0.34132219902574801</v>
      </c>
      <c r="D38" s="265">
        <f>+[1]Composition!M$26</f>
        <v>0</v>
      </c>
      <c r="E38" s="265">
        <f>+[1]Composition!M$27</f>
        <v>0.40553931802366033</v>
      </c>
      <c r="F38" s="265">
        <f>+[1]Composition!M$28</f>
        <v>1.2071445140338666E-2</v>
      </c>
      <c r="G38" s="265">
        <f>+[1]Composition!$M$30</f>
        <v>2.6416144745998602E-2</v>
      </c>
      <c r="H38" s="265">
        <f>+[1]Composition!$M$29</f>
        <v>0.1381025284156808</v>
      </c>
      <c r="I38" s="265">
        <f>+[1]Composition!M$31</f>
        <v>3.3588494548828576E-2</v>
      </c>
      <c r="J38" s="265">
        <f>+[1]Composition!M$32</f>
        <v>1.0132219902574806E-2</v>
      </c>
      <c r="K38" s="265">
        <f>+[1]Composition!M$33</f>
        <v>7.061006726977498E-3</v>
      </c>
      <c r="L38" s="265">
        <f>+[1]Composition!M$34</f>
        <v>0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">
      <c r="A39" t="s">
        <v>2</v>
      </c>
      <c r="C39" s="265">
        <f>+[1]Composition!M$25</f>
        <v>0.34132219902574801</v>
      </c>
      <c r="D39" s="265">
        <f>+[1]Composition!M$26</f>
        <v>0</v>
      </c>
      <c r="E39" s="265">
        <f>+[1]Composition!M$27</f>
        <v>0.40553931802366033</v>
      </c>
      <c r="F39" s="265">
        <f>+[1]Composition!M$28</f>
        <v>1.2071445140338666E-2</v>
      </c>
      <c r="G39" s="265">
        <f>+[1]Composition!$M$30</f>
        <v>2.6416144745998602E-2</v>
      </c>
      <c r="H39" s="265">
        <f>+[1]Composition!$M$29</f>
        <v>0.1381025284156808</v>
      </c>
      <c r="I39" s="265">
        <f>+[1]Composition!M$31</f>
        <v>3.3588494548828576E-2</v>
      </c>
      <c r="J39" s="265">
        <f>+[1]Composition!M$32</f>
        <v>1.0132219902574806E-2</v>
      </c>
      <c r="K39" s="265">
        <f>+[1]Composition!M$33</f>
        <v>7.061006726977498E-3</v>
      </c>
      <c r="L39" s="265">
        <f>+[1]Composition!M$34</f>
        <v>0</v>
      </c>
      <c r="M39" s="26"/>
      <c r="N39" s="26"/>
      <c r="O39" s="26"/>
      <c r="P39" s="26"/>
      <c r="Q39" s="26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x14ac:dyDescent="0.2">
      <c r="C40"/>
      <c r="N40" s="26"/>
      <c r="R40" s="28"/>
    </row>
    <row r="41" spans="1:28" x14ac:dyDescent="0.2">
      <c r="A41" s="3" t="s">
        <v>49</v>
      </c>
      <c r="B41" s="3"/>
      <c r="C41"/>
      <c r="R41" s="28"/>
    </row>
    <row r="42" spans="1:28" x14ac:dyDescent="0.2">
      <c r="A42" t="s">
        <v>182</v>
      </c>
      <c r="C42" s="18">
        <f>+[1]Prices!B5</f>
        <v>73.75</v>
      </c>
      <c r="D42" s="18">
        <f>+[1]Prices!C5</f>
        <v>-45</v>
      </c>
      <c r="E42" s="18">
        <f>+[1]Prices!D5</f>
        <v>69.33</v>
      </c>
      <c r="F42" s="18">
        <f>+[1]Prices!E5</f>
        <v>1558.42</v>
      </c>
      <c r="G42" s="18">
        <f>+[1]Prices!F5</f>
        <v>183.21</v>
      </c>
      <c r="H42" s="18">
        <f>+[1]Prices!G5</f>
        <v>-53.34</v>
      </c>
      <c r="I42" s="18">
        <f>+[1]Prices!H5</f>
        <v>210</v>
      </c>
      <c r="J42" s="18">
        <f>+[1]Prices!I5</f>
        <v>700</v>
      </c>
      <c r="K42" s="18">
        <f>+[1]Prices!J5</f>
        <v>300</v>
      </c>
      <c r="L42" s="18">
        <f>+[1]Prices!K5</f>
        <v>-110</v>
      </c>
      <c r="O42" s="18"/>
      <c r="P42" s="18"/>
      <c r="R42" s="28"/>
      <c r="S42" s="18"/>
      <c r="T42" s="18"/>
      <c r="U42" s="18"/>
      <c r="V42" s="18"/>
      <c r="W42" s="18"/>
      <c r="X42" s="18"/>
      <c r="Y42" s="18"/>
      <c r="Z42" s="18"/>
    </row>
    <row r="43" spans="1:28" x14ac:dyDescent="0.2">
      <c r="A43" t="s">
        <v>176</v>
      </c>
      <c r="C43" s="18">
        <f>+[1]Prices!B6</f>
        <v>64.89</v>
      </c>
      <c r="D43" s="18">
        <f>+[1]Prices!C6</f>
        <v>-45</v>
      </c>
      <c r="E43" s="18">
        <f>+[1]Prices!D6</f>
        <v>69.180000000000007</v>
      </c>
      <c r="F43" s="18">
        <f>+[1]Prices!E6</f>
        <v>1538</v>
      </c>
      <c r="G43" s="18">
        <f>+[1]Prices!F6</f>
        <v>175.36</v>
      </c>
      <c r="H43" s="18">
        <f>+[1]Prices!G6</f>
        <v>-53.34</v>
      </c>
      <c r="I43" s="18">
        <f>+[1]Prices!H6</f>
        <v>180</v>
      </c>
      <c r="J43" s="18">
        <f>+[1]Prices!I6</f>
        <v>760</v>
      </c>
      <c r="K43" s="18">
        <f>+[1]Prices!J6</f>
        <v>300</v>
      </c>
      <c r="L43" s="18">
        <f>+[1]Prices!K6</f>
        <v>-110</v>
      </c>
      <c r="O43" s="18"/>
      <c r="P43" s="18"/>
      <c r="R43" s="28"/>
      <c r="S43" s="18"/>
      <c r="T43" s="18"/>
      <c r="U43" s="18"/>
      <c r="V43" s="18"/>
      <c r="W43" s="18"/>
      <c r="X43" s="18"/>
      <c r="Y43" s="18"/>
      <c r="Z43" s="18"/>
    </row>
    <row r="44" spans="1:28" x14ac:dyDescent="0.2">
      <c r="A44" t="s">
        <v>177</v>
      </c>
      <c r="C44" s="18">
        <f>+[1]Prices!B7</f>
        <v>63.1</v>
      </c>
      <c r="D44" s="18">
        <f>+[1]Prices!C7</f>
        <v>-45</v>
      </c>
      <c r="E44" s="18">
        <f>+[1]Prices!D7</f>
        <v>70.84</v>
      </c>
      <c r="F44" s="18">
        <f>+[1]Prices!E7</f>
        <v>1538</v>
      </c>
      <c r="G44" s="18">
        <f>+[1]Prices!F7</f>
        <v>167.42</v>
      </c>
      <c r="H44" s="18">
        <f>+[1]Prices!G7</f>
        <v>-53.34</v>
      </c>
      <c r="I44" s="18">
        <f>+[1]Prices!H7</f>
        <v>197.56</v>
      </c>
      <c r="J44" s="18">
        <f>+[1]Prices!I7</f>
        <v>740</v>
      </c>
      <c r="K44" s="18">
        <f>+[1]Prices!J7</f>
        <v>300</v>
      </c>
      <c r="L44" s="18">
        <f>+[1]Prices!K7</f>
        <v>-110</v>
      </c>
      <c r="O44" s="18"/>
      <c r="P44" s="18"/>
      <c r="R44" s="28"/>
      <c r="S44" s="18"/>
      <c r="T44" s="18"/>
      <c r="U44" s="18"/>
      <c r="V44" s="18"/>
      <c r="W44" s="18"/>
      <c r="X44" s="18"/>
      <c r="Y44" s="18"/>
      <c r="Z44" s="18"/>
    </row>
    <row r="45" spans="1:28" x14ac:dyDescent="0.2">
      <c r="A45" t="s">
        <v>178</v>
      </c>
      <c r="C45" s="18">
        <f>+[1]Prices!B8</f>
        <v>59.6</v>
      </c>
      <c r="D45" s="18">
        <f>+[1]Prices!C8</f>
        <v>-45</v>
      </c>
      <c r="E45" s="18">
        <f>+[1]Prices!D8</f>
        <v>68.790000000000006</v>
      </c>
      <c r="F45" s="18">
        <f>+[1]Prices!E8</f>
        <v>1258.5899999999999</v>
      </c>
      <c r="G45" s="18">
        <f>+[1]Prices!F8</f>
        <v>144.66999999999999</v>
      </c>
      <c r="H45" s="18">
        <f>+[1]Prices!G8</f>
        <v>-53.34</v>
      </c>
      <c r="I45" s="18">
        <f>+[1]Prices!H8</f>
        <v>187.39</v>
      </c>
      <c r="J45" s="18">
        <f>+[1]Prices!I8</f>
        <v>700</v>
      </c>
      <c r="K45" s="18">
        <f>+[1]Prices!J8</f>
        <v>280</v>
      </c>
      <c r="L45" s="18">
        <f>+[1]Prices!K8</f>
        <v>-110</v>
      </c>
      <c r="O45" s="18"/>
      <c r="P45" s="18"/>
      <c r="R45" s="28"/>
      <c r="S45" s="18"/>
      <c r="T45" s="18"/>
      <c r="U45" s="18"/>
      <c r="V45" s="18"/>
      <c r="W45" s="18"/>
      <c r="X45" s="18"/>
      <c r="Y45" s="18"/>
      <c r="Z45" s="18"/>
    </row>
    <row r="46" spans="1:28" x14ac:dyDescent="0.2">
      <c r="A46" t="s">
        <v>179</v>
      </c>
      <c r="C46" s="18">
        <f>+[1]Prices!B9</f>
        <v>64.069999999999993</v>
      </c>
      <c r="D46" s="18">
        <f>+[1]Prices!C9</f>
        <v>-45</v>
      </c>
      <c r="E46" s="18">
        <f>+[1]Prices!D9</f>
        <v>70.239999999999995</v>
      </c>
      <c r="F46" s="18">
        <f>+[1]Prices!E9</f>
        <v>1163.0999999999999</v>
      </c>
      <c r="G46" s="18">
        <f>+[1]Prices!F9</f>
        <v>143.75</v>
      </c>
      <c r="H46" s="18">
        <f>+[1]Prices!G9</f>
        <v>-53.34</v>
      </c>
      <c r="I46" s="18">
        <f>+[1]Prices!H9</f>
        <v>143.21</v>
      </c>
      <c r="J46" s="18">
        <f>+[1]Prices!I9</f>
        <v>700</v>
      </c>
      <c r="K46" s="18">
        <f>+[1]Prices!J9</f>
        <v>310</v>
      </c>
      <c r="L46" s="18">
        <f>+[1]Prices!K9</f>
        <v>-140</v>
      </c>
      <c r="O46" s="18"/>
      <c r="P46" s="18"/>
      <c r="R46" s="28"/>
      <c r="S46" s="18"/>
      <c r="T46" s="18"/>
      <c r="U46" s="18"/>
      <c r="V46" s="18"/>
      <c r="W46" s="18"/>
      <c r="X46" s="18"/>
      <c r="Y46" s="18"/>
      <c r="Z46" s="18"/>
    </row>
    <row r="47" spans="1:28" x14ac:dyDescent="0.2">
      <c r="A47" t="s">
        <v>180</v>
      </c>
      <c r="C47" s="18">
        <f>+[1]Prices!B10</f>
        <v>72.900000000000006</v>
      </c>
      <c r="D47" s="18">
        <f>+[1]Prices!C10</f>
        <v>-45</v>
      </c>
      <c r="E47" s="18">
        <f>+[1]Prices!D10</f>
        <v>70.38</v>
      </c>
      <c r="F47" s="18">
        <f>+[1]Prices!E10</f>
        <v>1113.5999999999999</v>
      </c>
      <c r="G47" s="18">
        <f>+[1]Prices!F10</f>
        <v>167.98</v>
      </c>
      <c r="H47" s="18">
        <f>+[1]Prices!G10</f>
        <v>-53.34</v>
      </c>
      <c r="I47" s="18">
        <f>+[1]Prices!H10</f>
        <v>160</v>
      </c>
      <c r="J47" s="18">
        <f>+[1]Prices!I10</f>
        <v>760</v>
      </c>
      <c r="K47" s="18">
        <f>+[1]Prices!J10</f>
        <v>310</v>
      </c>
      <c r="L47" s="18">
        <f>+[1]Prices!K10</f>
        <v>-140</v>
      </c>
      <c r="O47" s="18"/>
      <c r="P47" s="18"/>
      <c r="R47" s="28"/>
      <c r="S47" s="18"/>
      <c r="T47" s="18"/>
      <c r="U47" s="18"/>
      <c r="V47" s="18"/>
      <c r="W47" s="18"/>
      <c r="X47" s="18"/>
      <c r="Y47" s="18"/>
      <c r="Z47" s="18"/>
    </row>
    <row r="48" spans="1:28" x14ac:dyDescent="0.2">
      <c r="A48" t="s">
        <v>7</v>
      </c>
      <c r="C48" s="260">
        <f>Prices!B5</f>
        <v>73.16</v>
      </c>
      <c r="D48" s="260">
        <f>Prices!C5</f>
        <v>-45</v>
      </c>
      <c r="E48" s="260">
        <f>Prices!D5</f>
        <v>68.239999999999995</v>
      </c>
      <c r="F48" s="260">
        <f>Prices!E5</f>
        <v>1100.82</v>
      </c>
      <c r="G48" s="260">
        <f>Prices!F5</f>
        <v>163.49</v>
      </c>
      <c r="H48" s="260">
        <f>Prices!G5</f>
        <v>-53.34</v>
      </c>
      <c r="I48" s="260">
        <f>Prices!H5</f>
        <v>160</v>
      </c>
      <c r="J48" s="260">
        <f>Prices!I5</f>
        <v>710</v>
      </c>
      <c r="K48" s="260">
        <f>Prices!J5</f>
        <v>350</v>
      </c>
      <c r="L48" s="260">
        <f>Prices!K5</f>
        <v>-140</v>
      </c>
      <c r="O48" s="18"/>
      <c r="P48" s="18"/>
      <c r="R48" s="28"/>
      <c r="S48" s="18"/>
      <c r="T48" s="18"/>
      <c r="U48" s="18"/>
      <c r="V48" s="18"/>
      <c r="W48" s="18"/>
      <c r="X48" s="18"/>
      <c r="Y48" s="18"/>
      <c r="Z48" s="18"/>
    </row>
    <row r="49" spans="1:26" x14ac:dyDescent="0.2">
      <c r="A49" t="s">
        <v>32</v>
      </c>
      <c r="C49" s="260">
        <f>Prices!B6</f>
        <v>73.48</v>
      </c>
      <c r="D49" s="260">
        <f>Prices!C6</f>
        <v>-47.5</v>
      </c>
      <c r="E49" s="260">
        <f>Prices!D6</f>
        <v>74.319999999999993</v>
      </c>
      <c r="F49" s="260">
        <f>Prices!E6</f>
        <v>902.8</v>
      </c>
      <c r="G49" s="260">
        <f>Prices!F6</f>
        <v>141.29</v>
      </c>
      <c r="H49" s="260">
        <f>Prices!G6</f>
        <v>-53.34</v>
      </c>
      <c r="I49" s="260">
        <f>Prices!H6</f>
        <v>160</v>
      </c>
      <c r="J49" s="260">
        <f>Prices!I6</f>
        <v>710</v>
      </c>
      <c r="K49" s="260">
        <f>Prices!J6</f>
        <v>350</v>
      </c>
      <c r="L49" s="260">
        <f>Prices!K6</f>
        <v>-140</v>
      </c>
      <c r="O49" s="18"/>
      <c r="P49" s="18"/>
      <c r="R49" s="28"/>
      <c r="S49" s="18"/>
      <c r="T49" s="18"/>
      <c r="U49" s="18"/>
      <c r="V49" s="18"/>
      <c r="W49" s="18"/>
      <c r="X49" s="18"/>
      <c r="Y49" s="18"/>
      <c r="Z49" s="18"/>
    </row>
    <row r="50" spans="1:26" x14ac:dyDescent="0.2">
      <c r="A50" t="s">
        <v>10</v>
      </c>
      <c r="C50" s="260">
        <f>Prices!B7</f>
        <v>63.38</v>
      </c>
      <c r="D50" s="260">
        <f>Prices!C7</f>
        <v>-47.5</v>
      </c>
      <c r="E50" s="260">
        <f>Prices!D7</f>
        <v>66.44</v>
      </c>
      <c r="F50" s="260">
        <f>Prices!E7</f>
        <v>993.6</v>
      </c>
      <c r="G50" s="260">
        <f>Prices!F7</f>
        <v>143.27000000000001</v>
      </c>
      <c r="H50" s="260">
        <f>Prices!G7</f>
        <v>-53.34</v>
      </c>
      <c r="I50" s="260">
        <f>Prices!H7</f>
        <v>160</v>
      </c>
      <c r="J50" s="260">
        <f>Prices!I7</f>
        <v>640</v>
      </c>
      <c r="K50" s="260">
        <f>Prices!J7</f>
        <v>310</v>
      </c>
      <c r="L50" s="260">
        <f>Prices!K7</f>
        <v>-140</v>
      </c>
      <c r="O50" s="18"/>
      <c r="P50" s="18"/>
      <c r="R50" s="28"/>
      <c r="S50" s="18"/>
      <c r="T50" s="18"/>
      <c r="U50" s="18"/>
      <c r="V50" s="18"/>
      <c r="W50" s="18"/>
      <c r="X50" s="18"/>
      <c r="Y50" s="18"/>
      <c r="Z50" s="18"/>
    </row>
    <row r="51" spans="1:26" x14ac:dyDescent="0.2">
      <c r="A51" t="s">
        <v>8</v>
      </c>
      <c r="C51" s="260">
        <f>Prices!B8</f>
        <v>60.51</v>
      </c>
      <c r="D51" s="260">
        <f>Prices!C8</f>
        <v>-47.5</v>
      </c>
      <c r="E51" s="260">
        <f>Prices!D8</f>
        <v>68.13</v>
      </c>
      <c r="F51" s="260">
        <f>Prices!E8</f>
        <v>990.71</v>
      </c>
      <c r="G51" s="260">
        <f>Prices!F8</f>
        <v>156.94</v>
      </c>
      <c r="H51" s="260">
        <f>Prices!G8</f>
        <v>-53.34</v>
      </c>
      <c r="I51" s="260">
        <f>Prices!H8</f>
        <v>131.57</v>
      </c>
      <c r="J51" s="260">
        <f>Prices!I8</f>
        <v>600</v>
      </c>
      <c r="K51" s="260">
        <f>Prices!J8</f>
        <v>310</v>
      </c>
      <c r="L51" s="260">
        <f>Prices!K8</f>
        <v>-140</v>
      </c>
      <c r="O51" s="18"/>
      <c r="P51" s="18"/>
      <c r="R51" s="28"/>
      <c r="S51" s="18"/>
      <c r="T51" s="18"/>
      <c r="U51" s="18"/>
      <c r="V51" s="18"/>
      <c r="W51" s="18"/>
      <c r="X51" s="18"/>
      <c r="Y51" s="18"/>
      <c r="Z51" s="18"/>
    </row>
    <row r="52" spans="1:26" x14ac:dyDescent="0.2">
      <c r="A52" t="s">
        <v>9</v>
      </c>
      <c r="C52" s="260">
        <f>Prices!B9</f>
        <v>20.100000000000001</v>
      </c>
      <c r="D52" s="260">
        <f>Prices!C9</f>
        <v>-47.5</v>
      </c>
      <c r="E52" s="260">
        <f>Prices!D9</f>
        <v>51.68</v>
      </c>
      <c r="F52" s="260">
        <f>Prices!E9</f>
        <v>1117.81</v>
      </c>
      <c r="G52" s="260">
        <f>Prices!F9</f>
        <v>150.51</v>
      </c>
      <c r="H52" s="260">
        <f>Prices!G9</f>
        <v>-53.34</v>
      </c>
      <c r="I52" s="260">
        <f>Prices!H9</f>
        <v>175</v>
      </c>
      <c r="J52" s="260">
        <f>Prices!I9</f>
        <v>500</v>
      </c>
      <c r="K52" s="260">
        <f>Prices!J9</f>
        <v>270</v>
      </c>
      <c r="L52" s="260">
        <f>Prices!K9</f>
        <v>-140</v>
      </c>
      <c r="O52" s="18"/>
      <c r="P52" s="18"/>
      <c r="R52" s="28"/>
      <c r="S52" s="18"/>
      <c r="T52" s="18"/>
      <c r="U52" s="18"/>
      <c r="V52" s="18"/>
      <c r="W52" s="18"/>
      <c r="X52" s="18"/>
      <c r="Y52" s="18"/>
      <c r="Z52" s="18"/>
    </row>
    <row r="53" spans="1:26" x14ac:dyDescent="0.2">
      <c r="A53" t="s">
        <v>2</v>
      </c>
      <c r="C53" s="260">
        <f>Prices!B10</f>
        <v>8.19</v>
      </c>
      <c r="D53" s="260">
        <f>Prices!C10</f>
        <v>-55.5</v>
      </c>
      <c r="E53" s="260">
        <f>Prices!D10</f>
        <v>60.37</v>
      </c>
      <c r="F53" s="260">
        <f>Prices!E10</f>
        <v>979.54</v>
      </c>
      <c r="G53" s="260">
        <f>Prices!F10</f>
        <v>135.08000000000001</v>
      </c>
      <c r="H53" s="260">
        <f>Prices!G10</f>
        <v>-53.34</v>
      </c>
      <c r="I53" s="260">
        <f>Prices!H10</f>
        <v>170</v>
      </c>
      <c r="J53" s="260">
        <f>Prices!I10</f>
        <v>420</v>
      </c>
      <c r="K53" s="260">
        <f>Prices!J10</f>
        <v>230</v>
      </c>
      <c r="L53" s="260">
        <f>Prices!K10</f>
        <v>-140</v>
      </c>
      <c r="O53" s="62"/>
      <c r="P53" s="18"/>
      <c r="R53" s="28"/>
      <c r="S53" s="29"/>
      <c r="T53" s="29"/>
      <c r="U53" s="18"/>
      <c r="V53" s="29"/>
      <c r="W53" s="29"/>
      <c r="X53" s="29"/>
      <c r="Y53" s="29"/>
      <c r="Z53" s="29"/>
    </row>
    <row r="54" spans="1:26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P54" s="4"/>
      <c r="Q54" s="4"/>
      <c r="R54" s="4"/>
      <c r="S54" s="4"/>
      <c r="T54" s="4"/>
    </row>
    <row r="55" spans="1:26" x14ac:dyDescent="0.2">
      <c r="C55"/>
      <c r="P55" s="4"/>
      <c r="Q55" s="4"/>
      <c r="R55" s="4"/>
      <c r="S55" s="4"/>
      <c r="T55" s="4"/>
      <c r="U55" s="4"/>
    </row>
    <row r="56" spans="1:26" x14ac:dyDescent="0.2">
      <c r="C56" s="275" t="s">
        <v>35</v>
      </c>
      <c r="D56" s="275"/>
      <c r="E56" s="275"/>
      <c r="F56" s="275"/>
      <c r="G56" s="275"/>
      <c r="H56" s="275"/>
      <c r="I56" s="275"/>
      <c r="J56" s="275"/>
      <c r="K56" s="275"/>
      <c r="L56" s="275"/>
      <c r="P56" s="4"/>
      <c r="Q56" s="4"/>
      <c r="R56" s="4"/>
      <c r="S56" s="4"/>
      <c r="T56" s="4"/>
      <c r="U56" s="4"/>
    </row>
    <row r="57" spans="1:26" x14ac:dyDescent="0.2">
      <c r="C57" s="24" t="s">
        <v>36</v>
      </c>
      <c r="D57" s="24" t="s">
        <v>37</v>
      </c>
      <c r="E57" s="24"/>
      <c r="F57" s="24" t="s">
        <v>38</v>
      </c>
      <c r="G57" s="24" t="s">
        <v>39</v>
      </c>
      <c r="H57" s="24"/>
      <c r="I57" s="24"/>
      <c r="J57" s="24" t="s">
        <v>0</v>
      </c>
      <c r="K57" s="24" t="s">
        <v>0</v>
      </c>
      <c r="L57" s="24" t="s">
        <v>40</v>
      </c>
      <c r="N57" s="99"/>
      <c r="P57" s="4"/>
      <c r="Q57" s="4"/>
      <c r="R57" s="4"/>
      <c r="S57" s="4"/>
      <c r="T57" s="4"/>
      <c r="U57" s="4"/>
    </row>
    <row r="58" spans="1:26" x14ac:dyDescent="0.2">
      <c r="C58" s="25" t="s">
        <v>41</v>
      </c>
      <c r="D58" s="25" t="s">
        <v>42</v>
      </c>
      <c r="E58" s="25" t="s">
        <v>19</v>
      </c>
      <c r="F58" s="25" t="s">
        <v>17</v>
      </c>
      <c r="G58" s="25" t="s">
        <v>18</v>
      </c>
      <c r="H58" s="25" t="s">
        <v>11</v>
      </c>
      <c r="I58" s="25" t="s">
        <v>1</v>
      </c>
      <c r="J58" s="25" t="s">
        <v>43</v>
      </c>
      <c r="K58" s="25" t="s">
        <v>44</v>
      </c>
      <c r="L58" s="25" t="s">
        <v>45</v>
      </c>
      <c r="M58" s="30" t="s">
        <v>3</v>
      </c>
      <c r="N58" s="30"/>
      <c r="P58" s="4"/>
      <c r="Q58" s="4"/>
      <c r="R58" s="4"/>
      <c r="S58" s="4"/>
      <c r="T58" s="4"/>
      <c r="U58" s="4"/>
    </row>
    <row r="59" spans="1:26" x14ac:dyDescent="0.2">
      <c r="A59" s="3" t="s">
        <v>50</v>
      </c>
      <c r="B59" s="3"/>
      <c r="P59" s="101"/>
      <c r="Q59" s="101"/>
      <c r="R59" s="101"/>
      <c r="S59" s="101"/>
      <c r="T59" s="101"/>
      <c r="U59" s="101"/>
      <c r="V59" s="101"/>
    </row>
    <row r="60" spans="1:26" x14ac:dyDescent="0.2">
      <c r="A60" t="s">
        <v>182</v>
      </c>
      <c r="C60" s="2">
        <f t="shared" ref="C60:L65" si="4">+$H9*C28</f>
        <v>184.01790277628598</v>
      </c>
      <c r="D60" s="2">
        <f t="shared" si="4"/>
        <v>0</v>
      </c>
      <c r="E60" s="2">
        <f t="shared" si="4"/>
        <v>205.99204030179143</v>
      </c>
      <c r="F60" s="2">
        <f t="shared" si="4"/>
        <v>8.1145874623966794</v>
      </c>
      <c r="G60" s="2">
        <f t="shared" si="4"/>
        <v>12.045593046896711</v>
      </c>
      <c r="H60" s="2">
        <f t="shared" si="4"/>
        <v>89.389046381183562</v>
      </c>
      <c r="I60" s="2">
        <f t="shared" si="4"/>
        <v>19.723912366153787</v>
      </c>
      <c r="J60" s="2">
        <f t="shared" si="4"/>
        <v>6.3649225935946783</v>
      </c>
      <c r="K60" s="2">
        <f t="shared" si="4"/>
        <v>4.3075738764731666</v>
      </c>
      <c r="L60" s="2">
        <f t="shared" si="4"/>
        <v>0</v>
      </c>
      <c r="M60" s="6">
        <f t="shared" ref="M60:M65" si="5">SUM(C60:L60)</f>
        <v>529.955578804776</v>
      </c>
      <c r="N60" s="2"/>
      <c r="O60" s="6"/>
      <c r="P60" s="79"/>
      <c r="Q60" s="17"/>
      <c r="R60" s="76"/>
      <c r="S60" s="9"/>
      <c r="T60" s="76"/>
      <c r="U60" s="76"/>
      <c r="V60" s="18"/>
      <c r="X60" s="18"/>
    </row>
    <row r="61" spans="1:26" x14ac:dyDescent="0.2">
      <c r="A61" t="s">
        <v>176</v>
      </c>
      <c r="C61" s="2">
        <f t="shared" si="4"/>
        <v>166.34368245507602</v>
      </c>
      <c r="D61" s="2">
        <f t="shared" si="4"/>
        <v>0</v>
      </c>
      <c r="E61" s="2">
        <f t="shared" si="4"/>
        <v>235.78440577909558</v>
      </c>
      <c r="F61" s="2">
        <f t="shared" si="4"/>
        <v>8.0208272669309029</v>
      </c>
      <c r="G61" s="2">
        <f t="shared" si="4"/>
        <v>11.998838552829513</v>
      </c>
      <c r="H61" s="2">
        <f t="shared" si="4"/>
        <v>88.498288669872167</v>
      </c>
      <c r="I61" s="2">
        <f t="shared" si="4"/>
        <v>24.645724056995888</v>
      </c>
      <c r="J61" s="2">
        <f t="shared" si="4"/>
        <v>6.0966263191152859</v>
      </c>
      <c r="K61" s="2">
        <f t="shared" si="4"/>
        <v>5.0049164549401031</v>
      </c>
      <c r="L61" s="2">
        <f t="shared" si="4"/>
        <v>0.64306197478812088</v>
      </c>
      <c r="M61" s="6">
        <f t="shared" si="5"/>
        <v>547.0363715296437</v>
      </c>
      <c r="N61" s="2"/>
      <c r="O61" s="6"/>
      <c r="P61" s="79"/>
      <c r="Q61" s="17"/>
      <c r="R61" s="76"/>
      <c r="S61" s="9"/>
      <c r="T61" s="76"/>
      <c r="U61" s="76"/>
      <c r="V61" s="18"/>
      <c r="X61" s="18"/>
    </row>
    <row r="62" spans="1:26" x14ac:dyDescent="0.2">
      <c r="A62" t="s">
        <v>177</v>
      </c>
      <c r="C62" s="2">
        <f t="shared" si="4"/>
        <v>161.0518024007857</v>
      </c>
      <c r="D62" s="2">
        <f t="shared" si="4"/>
        <v>0</v>
      </c>
      <c r="E62" s="2">
        <f t="shared" si="4"/>
        <v>249.71456667404982</v>
      </c>
      <c r="F62" s="2">
        <f t="shared" si="4"/>
        <v>8.1368630728712468</v>
      </c>
      <c r="G62" s="2">
        <f t="shared" si="4"/>
        <v>12.398122552227457</v>
      </c>
      <c r="H62" s="2">
        <f t="shared" si="4"/>
        <v>83.692088411311161</v>
      </c>
      <c r="I62" s="2">
        <f t="shared" si="4"/>
        <v>24.796245104454915</v>
      </c>
      <c r="J62" s="2">
        <f t="shared" si="4"/>
        <v>6.0038527413052316</v>
      </c>
      <c r="K62" s="2">
        <f t="shared" si="4"/>
        <v>3.9374989826006557</v>
      </c>
      <c r="L62" s="2">
        <f t="shared" si="4"/>
        <v>0</v>
      </c>
      <c r="M62" s="6">
        <f t="shared" si="5"/>
        <v>549.73103993960615</v>
      </c>
      <c r="N62" s="2"/>
      <c r="O62" s="6"/>
      <c r="P62" s="79"/>
      <c r="Q62" s="17"/>
      <c r="R62" s="76"/>
      <c r="S62" s="9"/>
      <c r="T62" s="76"/>
      <c r="U62" s="76"/>
      <c r="V62" s="18"/>
    </row>
    <row r="63" spans="1:26" x14ac:dyDescent="0.2">
      <c r="A63" t="s">
        <v>178</v>
      </c>
      <c r="C63" s="2">
        <f t="shared" si="4"/>
        <v>152.4444936553401</v>
      </c>
      <c r="D63" s="2">
        <f t="shared" si="4"/>
        <v>0</v>
      </c>
      <c r="E63" s="2">
        <f t="shared" si="4"/>
        <v>215.34696071621659</v>
      </c>
      <c r="F63" s="2">
        <f t="shared" si="4"/>
        <v>6.5464952338111146</v>
      </c>
      <c r="G63" s="2">
        <f t="shared" si="4"/>
        <v>11.40960597892794</v>
      </c>
      <c r="H63" s="2">
        <f t="shared" si="4"/>
        <v>77.089657446150042</v>
      </c>
      <c r="I63" s="2">
        <f t="shared" si="4"/>
        <v>21.486532570972912</v>
      </c>
      <c r="J63" s="2">
        <f t="shared" si="4"/>
        <v>5.3307175475319077</v>
      </c>
      <c r="K63" s="2">
        <f t="shared" si="4"/>
        <v>3.2451912087606525</v>
      </c>
      <c r="L63" s="2">
        <f t="shared" si="4"/>
        <v>0</v>
      </c>
      <c r="M63" s="6">
        <f t="shared" si="5"/>
        <v>492.89965435771131</v>
      </c>
      <c r="N63" s="2"/>
      <c r="O63" s="6"/>
      <c r="P63" s="79"/>
      <c r="Q63" s="17"/>
      <c r="R63" s="76"/>
      <c r="S63" s="9"/>
      <c r="T63" s="76"/>
      <c r="U63" s="76"/>
      <c r="V63" s="18"/>
    </row>
    <row r="64" spans="1:26" x14ac:dyDescent="0.2">
      <c r="A64" t="s">
        <v>179</v>
      </c>
      <c r="C64" s="2">
        <f t="shared" si="4"/>
        <v>189.40630876637536</v>
      </c>
      <c r="D64" s="2">
        <f t="shared" si="4"/>
        <v>0</v>
      </c>
      <c r="E64" s="2">
        <f t="shared" si="4"/>
        <v>273.89630031365169</v>
      </c>
      <c r="F64" s="2">
        <f t="shared" si="4"/>
        <v>7.7581009716631346</v>
      </c>
      <c r="G64" s="2">
        <f t="shared" si="4"/>
        <v>16.729229287637974</v>
      </c>
      <c r="H64" s="2">
        <f t="shared" si="4"/>
        <v>88.619558549867875</v>
      </c>
      <c r="I64" s="2">
        <f t="shared" si="4"/>
        <v>22.351347326926149</v>
      </c>
      <c r="J64" s="2">
        <f t="shared" si="4"/>
        <v>5.3373203149715103</v>
      </c>
      <c r="K64" s="2">
        <f t="shared" si="4"/>
        <v>4.3405282798631948</v>
      </c>
      <c r="L64" s="2">
        <f t="shared" si="4"/>
        <v>0</v>
      </c>
      <c r="M64" s="6">
        <f t="shared" si="5"/>
        <v>608.43869381095692</v>
      </c>
      <c r="N64" s="2"/>
      <c r="O64" s="6"/>
      <c r="P64" s="79"/>
      <c r="Q64" s="17"/>
      <c r="R64" s="76"/>
      <c r="S64" s="9"/>
      <c r="T64" s="76"/>
      <c r="U64" s="76"/>
      <c r="V64" s="18"/>
    </row>
    <row r="65" spans="1:22" x14ac:dyDescent="0.2">
      <c r="A65" t="s">
        <v>180</v>
      </c>
      <c r="C65" s="2">
        <f t="shared" si="4"/>
        <v>157.83941625525077</v>
      </c>
      <c r="D65" s="2">
        <f t="shared" si="4"/>
        <v>0</v>
      </c>
      <c r="E65" s="2">
        <f t="shared" si="4"/>
        <v>187.53567569913133</v>
      </c>
      <c r="F65" s="2">
        <f t="shared" si="4"/>
        <v>5.5822617449051606</v>
      </c>
      <c r="G65" s="2">
        <f t="shared" si="4"/>
        <v>12.21575648558416</v>
      </c>
      <c r="H65" s="2">
        <f t="shared" si="4"/>
        <v>63.863477179991101</v>
      </c>
      <c r="I65" s="2">
        <f t="shared" si="4"/>
        <v>15.532503855923663</v>
      </c>
      <c r="J65" s="2">
        <f t="shared" si="4"/>
        <v>4.6854956383062527</v>
      </c>
      <c r="K65" s="2">
        <f t="shared" si="4"/>
        <v>3.2652584072811894</v>
      </c>
      <c r="L65" s="2">
        <f t="shared" si="4"/>
        <v>0</v>
      </c>
      <c r="M65" s="6">
        <f t="shared" si="5"/>
        <v>450.51984526637364</v>
      </c>
      <c r="N65" s="2"/>
      <c r="O65" s="6"/>
      <c r="P65" s="79"/>
      <c r="Q65" s="17"/>
      <c r="R65" s="76"/>
      <c r="S65" s="9"/>
      <c r="T65" s="76"/>
      <c r="U65" s="76"/>
      <c r="V65" s="18"/>
    </row>
    <row r="66" spans="1:22" x14ac:dyDescent="0.2">
      <c r="A66" t="s">
        <v>7</v>
      </c>
      <c r="C66" s="260">
        <f t="shared" ref="C66:L66" si="6">+$H15*C34</f>
        <v>141.83835713876258</v>
      </c>
      <c r="D66" s="260">
        <f t="shared" si="6"/>
        <v>0</v>
      </c>
      <c r="E66" s="260">
        <f t="shared" si="6"/>
        <v>168.52414166976286</v>
      </c>
      <c r="F66" s="260">
        <f t="shared" si="6"/>
        <v>5.0163568378603305</v>
      </c>
      <c r="G66" s="260">
        <f t="shared" si="6"/>
        <v>10.977377338499894</v>
      </c>
      <c r="H66" s="260">
        <f t="shared" si="6"/>
        <v>57.389281456351398</v>
      </c>
      <c r="I66" s="260">
        <f t="shared" si="6"/>
        <v>13.957887588819677</v>
      </c>
      <c r="J66" s="260">
        <f t="shared" si="6"/>
        <v>4.2105008969588633</v>
      </c>
      <c r="K66" s="260">
        <f t="shared" si="6"/>
        <v>2.93424100969386</v>
      </c>
      <c r="L66" s="260">
        <f t="shared" si="6"/>
        <v>0</v>
      </c>
      <c r="M66" s="6">
        <f t="shared" ref="M66:M71" si="7">SUM(C48:L48)</f>
        <v>2387.37</v>
      </c>
      <c r="N66" s="2"/>
      <c r="O66" s="6"/>
      <c r="P66" s="79"/>
      <c r="Q66" s="17"/>
      <c r="R66" s="76"/>
      <c r="S66" s="9"/>
      <c r="T66" s="76"/>
      <c r="U66" s="76"/>
      <c r="V66" s="18"/>
    </row>
    <row r="67" spans="1:22" x14ac:dyDescent="0.2">
      <c r="A67" t="s">
        <v>32</v>
      </c>
      <c r="C67" s="260">
        <f t="shared" ref="C67:L67" si="8">+$H16*C35</f>
        <v>146.7520077740279</v>
      </c>
      <c r="D67" s="260">
        <f t="shared" si="8"/>
        <v>0</v>
      </c>
      <c r="E67" s="260">
        <f t="shared" si="8"/>
        <v>174.36225748326643</v>
      </c>
      <c r="F67" s="260">
        <f t="shared" si="8"/>
        <v>5.1901365224272906</v>
      </c>
      <c r="G67" s="260">
        <f t="shared" si="8"/>
        <v>11.35766232079208</v>
      </c>
      <c r="H67" s="260">
        <f t="shared" si="8"/>
        <v>59.377395849198926</v>
      </c>
      <c r="I67" s="260">
        <f t="shared" si="8"/>
        <v>14.441425219974478</v>
      </c>
      <c r="J67" s="260">
        <f t="shared" si="8"/>
        <v>4.3563636298928525</v>
      </c>
      <c r="K67" s="260">
        <f t="shared" si="8"/>
        <v>3.0358907713813745</v>
      </c>
      <c r="L67" s="260">
        <f t="shared" si="8"/>
        <v>0</v>
      </c>
      <c r="M67" s="6">
        <f t="shared" si="7"/>
        <v>2171.0500000000002</v>
      </c>
      <c r="N67" s="2"/>
      <c r="O67" s="6"/>
      <c r="P67" s="79"/>
      <c r="Q67" s="17"/>
      <c r="R67" s="76"/>
      <c r="S67" s="9"/>
      <c r="T67" s="76"/>
      <c r="U67" s="76"/>
      <c r="V67" s="18"/>
    </row>
    <row r="68" spans="1:22" x14ac:dyDescent="0.2">
      <c r="A68" t="s">
        <v>10</v>
      </c>
      <c r="C68" s="260">
        <f t="shared" ref="C68:L68" si="9">+$H17*C36</f>
        <v>107.82172042656691</v>
      </c>
      <c r="D68" s="260">
        <f t="shared" si="9"/>
        <v>0</v>
      </c>
      <c r="E68" s="260">
        <f t="shared" si="9"/>
        <v>128.10753913673571</v>
      </c>
      <c r="F68" s="260">
        <f t="shared" si="9"/>
        <v>3.8133001216485498</v>
      </c>
      <c r="G68" s="260">
        <f t="shared" si="9"/>
        <v>8.344708260056434</v>
      </c>
      <c r="H68" s="260">
        <f t="shared" si="9"/>
        <v>43.625794781412004</v>
      </c>
      <c r="I68" s="260">
        <f t="shared" si="9"/>
        <v>10.610412329260379</v>
      </c>
      <c r="J68" s="260">
        <f t="shared" si="9"/>
        <v>3.2007100175558927</v>
      </c>
      <c r="K68" s="260">
        <f t="shared" si="9"/>
        <v>2.2305314316483833</v>
      </c>
      <c r="L68" s="260">
        <f t="shared" si="9"/>
        <v>0</v>
      </c>
      <c r="M68" s="6">
        <f t="shared" si="7"/>
        <v>2135.8500000000004</v>
      </c>
      <c r="N68" s="2"/>
      <c r="O68" s="6"/>
      <c r="P68" s="79"/>
      <c r="Q68" s="17"/>
      <c r="R68" s="76"/>
      <c r="S68" s="9"/>
      <c r="T68" s="76"/>
      <c r="U68" s="76"/>
      <c r="V68" s="18"/>
    </row>
    <row r="69" spans="1:22" x14ac:dyDescent="0.2">
      <c r="A69" t="s">
        <v>8</v>
      </c>
      <c r="C69" s="260">
        <f t="shared" ref="C69:L69" si="10">+$H18*C37</f>
        <v>131.58163163512413</v>
      </c>
      <c r="D69" s="260">
        <f t="shared" si="10"/>
        <v>0</v>
      </c>
      <c r="E69" s="260">
        <f t="shared" si="10"/>
        <v>156.33769297766463</v>
      </c>
      <c r="F69" s="260">
        <f t="shared" si="10"/>
        <v>4.6536101440030579</v>
      </c>
      <c r="G69" s="260">
        <f t="shared" si="10"/>
        <v>10.183572697906769</v>
      </c>
      <c r="H69" s="260">
        <f t="shared" si="10"/>
        <v>53.239303138617622</v>
      </c>
      <c r="I69" s="260">
        <f t="shared" si="10"/>
        <v>12.948553974858626</v>
      </c>
      <c r="J69" s="260">
        <f t="shared" si="10"/>
        <v>3.9060278841286236</v>
      </c>
      <c r="K69" s="260">
        <f t="shared" si="10"/>
        <v>2.722057893609783</v>
      </c>
      <c r="L69" s="260">
        <f t="shared" si="10"/>
        <v>0</v>
      </c>
      <c r="M69" s="6">
        <f t="shared" si="7"/>
        <v>2077.02</v>
      </c>
      <c r="N69" s="2"/>
      <c r="O69" s="6"/>
      <c r="P69" s="79"/>
      <c r="Q69" s="17"/>
      <c r="R69" s="76"/>
      <c r="S69" s="9"/>
      <c r="T69" s="76"/>
      <c r="U69" s="76"/>
      <c r="V69" s="18"/>
    </row>
    <row r="70" spans="1:22" x14ac:dyDescent="0.2">
      <c r="A70" t="s">
        <v>9</v>
      </c>
      <c r="C70" s="260">
        <f t="shared" ref="C70:L70" si="11">+$H19*C38</f>
        <v>142.85806601129548</v>
      </c>
      <c r="D70" s="260">
        <f t="shared" si="11"/>
        <v>0</v>
      </c>
      <c r="E70" s="260">
        <f t="shared" si="11"/>
        <v>169.73570084150739</v>
      </c>
      <c r="F70" s="260">
        <f t="shared" si="11"/>
        <v>5.05242059154829</v>
      </c>
      <c r="G70" s="260">
        <f t="shared" si="11"/>
        <v>11.056296252219816</v>
      </c>
      <c r="H70" s="260">
        <f t="shared" si="11"/>
        <v>57.801866321756158</v>
      </c>
      <c r="I70" s="260">
        <f t="shared" si="11"/>
        <v>14.058234082555582</v>
      </c>
      <c r="J70" s="260">
        <f t="shared" si="11"/>
        <v>4.2407711652349986</v>
      </c>
      <c r="K70" s="260">
        <f t="shared" si="11"/>
        <v>2.9553359493991151</v>
      </c>
      <c r="L70" s="260">
        <f t="shared" si="11"/>
        <v>0</v>
      </c>
      <c r="M70" s="6">
        <f t="shared" si="7"/>
        <v>2044.2600000000002</v>
      </c>
      <c r="N70" s="2"/>
      <c r="O70" s="6"/>
      <c r="P70" s="79"/>
      <c r="Q70" s="17"/>
      <c r="R70" s="76"/>
      <c r="S70" s="9"/>
      <c r="T70" s="76"/>
      <c r="U70" s="76"/>
      <c r="V70" s="18"/>
    </row>
    <row r="71" spans="1:22" ht="15" x14ac:dyDescent="0.35">
      <c r="A71" t="s">
        <v>2</v>
      </c>
      <c r="C71" s="260">
        <f t="shared" ref="C71:L71" si="12">+$H20*C39</f>
        <v>146.31346170304309</v>
      </c>
      <c r="D71" s="260">
        <f t="shared" si="12"/>
        <v>0</v>
      </c>
      <c r="E71" s="260">
        <f t="shared" si="12"/>
        <v>173.84120237739643</v>
      </c>
      <c r="F71" s="260">
        <f t="shared" si="12"/>
        <v>5.1746265882580076</v>
      </c>
      <c r="G71" s="260">
        <f t="shared" si="12"/>
        <v>11.323721673151843</v>
      </c>
      <c r="H71" s="260">
        <f t="shared" si="12"/>
        <v>59.19995552623535</v>
      </c>
      <c r="I71" s="260">
        <f t="shared" si="12"/>
        <v>14.398269215598763</v>
      </c>
      <c r="J71" s="260">
        <f t="shared" si="12"/>
        <v>4.3433452992911175</v>
      </c>
      <c r="K71" s="260">
        <f t="shared" si="12"/>
        <v>3.0268184732239383</v>
      </c>
      <c r="L71" s="260">
        <f t="shared" si="12"/>
        <v>0</v>
      </c>
      <c r="M71" s="7">
        <f t="shared" si="7"/>
        <v>1754.34</v>
      </c>
      <c r="N71" s="12"/>
      <c r="O71" s="7"/>
      <c r="P71" s="79"/>
      <c r="Q71" s="78"/>
      <c r="R71" s="76"/>
      <c r="S71" s="9"/>
      <c r="T71" s="76"/>
      <c r="U71" s="76"/>
      <c r="V71" s="18"/>
    </row>
    <row r="72" spans="1:22" ht="15" x14ac:dyDescent="0.35">
      <c r="C72" s="15">
        <f>SUM(C60:C71)</f>
        <v>1828.2688509979341</v>
      </c>
      <c r="D72" s="15">
        <f t="shared" ref="D72:L72" si="13">SUM(D60:D71)</f>
        <v>0</v>
      </c>
      <c r="E72" s="15">
        <f t="shared" si="13"/>
        <v>2339.1784839702696</v>
      </c>
      <c r="F72" s="15">
        <f t="shared" si="13"/>
        <v>73.059586558323758</v>
      </c>
      <c r="G72" s="15">
        <f t="shared" si="13"/>
        <v>140.0404844467306</v>
      </c>
      <c r="H72" s="15">
        <f t="shared" si="13"/>
        <v>821.78571371194744</v>
      </c>
      <c r="I72" s="15">
        <f t="shared" si="13"/>
        <v>208.95104769249483</v>
      </c>
      <c r="J72" s="15">
        <f t="shared" si="13"/>
        <v>58.07665404788721</v>
      </c>
      <c r="K72" s="15">
        <f t="shared" si="13"/>
        <v>41.005842738875415</v>
      </c>
      <c r="L72" s="15">
        <f t="shared" si="13"/>
        <v>0.64306197478812088</v>
      </c>
      <c r="M72" s="8">
        <f>SUM(M60:M71)</f>
        <v>15748.471183709069</v>
      </c>
      <c r="N72" s="8">
        <f>+M72*2</f>
        <v>31496.942367418138</v>
      </c>
      <c r="O72" s="8">
        <f>+N72*0.08</f>
        <v>2519.755389393451</v>
      </c>
      <c r="Q72" s="17"/>
    </row>
    <row r="73" spans="1:22" x14ac:dyDescent="0.2">
      <c r="C73" s="80">
        <f t="shared" ref="C73:M73" si="14">+C72/$M72</f>
        <v>0.11609183073523849</v>
      </c>
      <c r="D73" s="80">
        <f t="shared" si="14"/>
        <v>0</v>
      </c>
      <c r="E73" s="80">
        <f t="shared" si="14"/>
        <v>0.14853368664699476</v>
      </c>
      <c r="F73" s="80">
        <f t="shared" si="14"/>
        <v>4.6391542204998219E-3</v>
      </c>
      <c r="G73" s="80">
        <f t="shared" si="14"/>
        <v>8.8923224872516395E-3</v>
      </c>
      <c r="H73" s="80">
        <f t="shared" si="14"/>
        <v>5.2181935892421087E-2</v>
      </c>
      <c r="I73" s="80">
        <f t="shared" si="14"/>
        <v>1.326802108312858E-2</v>
      </c>
      <c r="J73" s="80">
        <f t="shared" si="14"/>
        <v>3.6877645690436495E-3</v>
      </c>
      <c r="K73" s="80">
        <f t="shared" si="14"/>
        <v>2.6037983154386258E-3</v>
      </c>
      <c r="L73" s="80">
        <f t="shared" si="14"/>
        <v>4.0833295326681188E-5</v>
      </c>
      <c r="M73" s="80">
        <f t="shared" si="14"/>
        <v>1</v>
      </c>
    </row>
    <row r="75" spans="1:22" x14ac:dyDescent="0.2">
      <c r="A75" s="3" t="s">
        <v>51</v>
      </c>
      <c r="B75" s="77">
        <v>1.35E-2</v>
      </c>
    </row>
    <row r="76" spans="1:22" x14ac:dyDescent="0.2">
      <c r="A76" t="s">
        <v>182</v>
      </c>
      <c r="C76" s="2">
        <f>+$B$75*C60</f>
        <v>2.4842416874798605</v>
      </c>
      <c r="D76" s="2">
        <f t="shared" ref="D76:L76" si="15">+$B$75*D60</f>
        <v>0</v>
      </c>
      <c r="E76" s="2">
        <f t="shared" si="15"/>
        <v>2.7808925440741845</v>
      </c>
      <c r="F76" s="2">
        <f t="shared" si="15"/>
        <v>0.10954693074235516</v>
      </c>
      <c r="G76" s="2">
        <f t="shared" si="15"/>
        <v>0.1626155061331056</v>
      </c>
      <c r="H76" s="2">
        <f t="shared" si="15"/>
        <v>1.2067521261459782</v>
      </c>
      <c r="I76" s="2">
        <f t="shared" si="15"/>
        <v>0.26627281694307614</v>
      </c>
      <c r="J76" s="2">
        <f t="shared" si="15"/>
        <v>8.592645501352815E-2</v>
      </c>
      <c r="K76" s="2">
        <f t="shared" si="15"/>
        <v>5.8152247332387746E-2</v>
      </c>
      <c r="L76" s="2">
        <f t="shared" si="15"/>
        <v>0</v>
      </c>
      <c r="M76" s="6">
        <f t="shared" ref="M76:M87" si="16">SUM(C76:L76)</f>
        <v>7.1544003138644756</v>
      </c>
      <c r="N76" s="2"/>
      <c r="O76" s="6"/>
    </row>
    <row r="77" spans="1:22" x14ac:dyDescent="0.2">
      <c r="A77" t="s">
        <v>176</v>
      </c>
      <c r="C77" s="2">
        <f t="shared" ref="C77:L81" si="17">+$B$75*C61</f>
        <v>2.2456397131435262</v>
      </c>
      <c r="D77" s="2">
        <f t="shared" si="17"/>
        <v>0</v>
      </c>
      <c r="E77" s="2">
        <f t="shared" si="17"/>
        <v>3.1830894780177901</v>
      </c>
      <c r="F77" s="2">
        <f t="shared" si="17"/>
        <v>0.10828116810356719</v>
      </c>
      <c r="G77" s="2">
        <f t="shared" si="17"/>
        <v>0.16198432046319841</v>
      </c>
      <c r="H77" s="2">
        <f t="shared" si="17"/>
        <v>1.1947268970432743</v>
      </c>
      <c r="I77" s="2">
        <f t="shared" si="17"/>
        <v>0.33271727476944452</v>
      </c>
      <c r="J77" s="2">
        <f t="shared" si="17"/>
        <v>8.2304455308056357E-2</v>
      </c>
      <c r="K77" s="2">
        <f t="shared" si="17"/>
        <v>6.7566372141691394E-2</v>
      </c>
      <c r="L77" s="2">
        <f t="shared" si="17"/>
        <v>8.6813366596396324E-3</v>
      </c>
      <c r="M77" s="6">
        <f t="shared" si="16"/>
        <v>7.384991015650189</v>
      </c>
      <c r="N77" s="2"/>
      <c r="O77" s="6"/>
    </row>
    <row r="78" spans="1:22" x14ac:dyDescent="0.2">
      <c r="A78" t="s">
        <v>177</v>
      </c>
      <c r="C78" s="2">
        <f t="shared" si="17"/>
        <v>2.1741993324106068</v>
      </c>
      <c r="D78" s="2">
        <f t="shared" si="17"/>
        <v>0</v>
      </c>
      <c r="E78" s="2">
        <f t="shared" si="17"/>
        <v>3.3711466500996727</v>
      </c>
      <c r="F78" s="2">
        <f t="shared" si="17"/>
        <v>0.10984765148376183</v>
      </c>
      <c r="G78" s="2">
        <f t="shared" si="17"/>
        <v>0.16737465445507066</v>
      </c>
      <c r="H78" s="2">
        <f t="shared" si="17"/>
        <v>1.1298431935527007</v>
      </c>
      <c r="I78" s="2">
        <f t="shared" si="17"/>
        <v>0.33474930891014132</v>
      </c>
      <c r="J78" s="2">
        <f t="shared" si="17"/>
        <v>8.1052012007620619E-2</v>
      </c>
      <c r="K78" s="2">
        <f t="shared" si="17"/>
        <v>5.3156236265108854E-2</v>
      </c>
      <c r="L78" s="2">
        <f t="shared" si="17"/>
        <v>0</v>
      </c>
      <c r="M78" s="6">
        <f t="shared" si="16"/>
        <v>7.4213690391846834</v>
      </c>
      <c r="N78" s="2"/>
      <c r="O78" s="6"/>
    </row>
    <row r="79" spans="1:22" x14ac:dyDescent="0.2">
      <c r="A79" t="s">
        <v>178</v>
      </c>
      <c r="C79" s="2">
        <f t="shared" si="17"/>
        <v>2.0580006643470914</v>
      </c>
      <c r="D79" s="2">
        <f t="shared" si="17"/>
        <v>0</v>
      </c>
      <c r="E79" s="2">
        <f t="shared" si="17"/>
        <v>2.9071839696689237</v>
      </c>
      <c r="F79" s="2">
        <f t="shared" si="17"/>
        <v>8.8377685656450045E-2</v>
      </c>
      <c r="G79" s="2">
        <f t="shared" si="17"/>
        <v>0.1540296807155272</v>
      </c>
      <c r="H79" s="2">
        <f t="shared" si="17"/>
        <v>1.0407103755230256</v>
      </c>
      <c r="I79" s="2">
        <f t="shared" si="17"/>
        <v>0.29006818970813431</v>
      </c>
      <c r="J79" s="2">
        <f t="shared" si="17"/>
        <v>7.1964686891680757E-2</v>
      </c>
      <c r="K79" s="2">
        <f t="shared" si="17"/>
        <v>4.3810081318268808E-2</v>
      </c>
      <c r="L79" s="2">
        <f t="shared" si="17"/>
        <v>0</v>
      </c>
      <c r="M79" s="6">
        <f t="shared" si="16"/>
        <v>6.6541453338291028</v>
      </c>
      <c r="N79" s="2"/>
      <c r="O79" s="6"/>
    </row>
    <row r="80" spans="1:22" x14ac:dyDescent="0.2">
      <c r="A80" t="s">
        <v>179</v>
      </c>
      <c r="C80" s="2">
        <f t="shared" si="17"/>
        <v>2.5569851683460674</v>
      </c>
      <c r="D80" s="2">
        <f t="shared" si="17"/>
        <v>0</v>
      </c>
      <c r="E80" s="2">
        <f t="shared" si="17"/>
        <v>3.6976000542342979</v>
      </c>
      <c r="F80" s="2">
        <f t="shared" si="17"/>
        <v>0.10473436311745232</v>
      </c>
      <c r="G80" s="2">
        <f t="shared" si="17"/>
        <v>0.22584459538311263</v>
      </c>
      <c r="H80" s="2">
        <f t="shared" si="17"/>
        <v>1.1963640404232163</v>
      </c>
      <c r="I80" s="2">
        <f t="shared" si="17"/>
        <v>0.30174318891350299</v>
      </c>
      <c r="J80" s="2">
        <f t="shared" si="17"/>
        <v>7.2053824252115387E-2</v>
      </c>
      <c r="K80" s="2">
        <f t="shared" si="17"/>
        <v>5.8597131778153129E-2</v>
      </c>
      <c r="L80" s="2">
        <f t="shared" si="17"/>
        <v>0</v>
      </c>
      <c r="M80" s="6">
        <f t="shared" si="16"/>
        <v>8.2139223664479193</v>
      </c>
      <c r="N80" s="2"/>
      <c r="O80" s="6"/>
    </row>
    <row r="81" spans="1:17" x14ac:dyDescent="0.2">
      <c r="A81" t="s">
        <v>180</v>
      </c>
      <c r="C81" s="2">
        <f t="shared" si="17"/>
        <v>2.1308321194458855</v>
      </c>
      <c r="D81" s="2">
        <f t="shared" si="17"/>
        <v>0</v>
      </c>
      <c r="E81" s="2">
        <f t="shared" si="17"/>
        <v>2.5317316219382731</v>
      </c>
      <c r="F81" s="2">
        <f t="shared" si="17"/>
        <v>7.5360533556219661E-2</v>
      </c>
      <c r="G81" s="2">
        <f t="shared" si="17"/>
        <v>0.16491271255538617</v>
      </c>
      <c r="H81" s="2">
        <f t="shared" si="17"/>
        <v>0.86215694192987991</v>
      </c>
      <c r="I81" s="2">
        <f t="shared" si="17"/>
        <v>0.20968880205496945</v>
      </c>
      <c r="J81" s="2">
        <f t="shared" si="17"/>
        <v>6.3254191117134415E-2</v>
      </c>
      <c r="K81" s="2">
        <f t="shared" si="17"/>
        <v>4.4080988498296059E-2</v>
      </c>
      <c r="L81" s="2">
        <f t="shared" si="17"/>
        <v>0</v>
      </c>
      <c r="M81" s="6">
        <f t="shared" si="16"/>
        <v>6.0820179110960435</v>
      </c>
      <c r="N81" s="2"/>
      <c r="O81" s="6"/>
    </row>
    <row r="82" spans="1:17" x14ac:dyDescent="0.2">
      <c r="A82" t="s">
        <v>7</v>
      </c>
      <c r="C82" s="260">
        <f t="shared" ref="C82:C87" si="18">+$B$75*C48</f>
        <v>0.98765999999999998</v>
      </c>
      <c r="D82" s="260">
        <f t="shared" ref="D82:L82" si="19">+$B$75*D66</f>
        <v>0</v>
      </c>
      <c r="E82" s="260">
        <f t="shared" si="19"/>
        <v>2.2750759125417983</v>
      </c>
      <c r="F82" s="260">
        <f t="shared" si="19"/>
        <v>6.7720817311114456E-2</v>
      </c>
      <c r="G82" s="260">
        <f t="shared" si="19"/>
        <v>0.14819459406974855</v>
      </c>
      <c r="H82" s="260">
        <f t="shared" si="19"/>
        <v>0.77475529966074386</v>
      </c>
      <c r="I82" s="260">
        <f t="shared" si="19"/>
        <v>0.18843148244906563</v>
      </c>
      <c r="J82" s="260">
        <f t="shared" si="19"/>
        <v>5.6841762108944656E-2</v>
      </c>
      <c r="K82" s="260">
        <f t="shared" si="19"/>
        <v>3.9612253630867109E-2</v>
      </c>
      <c r="L82" s="260">
        <f t="shared" si="19"/>
        <v>0</v>
      </c>
      <c r="M82" s="261">
        <f t="shared" si="16"/>
        <v>4.5382921217722831</v>
      </c>
      <c r="N82" s="2"/>
      <c r="O82" s="6"/>
    </row>
    <row r="83" spans="1:17" x14ac:dyDescent="0.2">
      <c r="A83" t="s">
        <v>32</v>
      </c>
      <c r="C83" s="260">
        <f t="shared" si="18"/>
        <v>0.99198000000000008</v>
      </c>
      <c r="D83" s="260">
        <f t="shared" ref="D83:L83" si="20">+$B$75*D67</f>
        <v>0</v>
      </c>
      <c r="E83" s="260">
        <f t="shared" si="20"/>
        <v>2.3538904760240968</v>
      </c>
      <c r="F83" s="260">
        <f t="shared" si="20"/>
        <v>7.0066843052768418E-2</v>
      </c>
      <c r="G83" s="260">
        <f t="shared" si="20"/>
        <v>0.15332844133069309</v>
      </c>
      <c r="H83" s="260">
        <f t="shared" si="20"/>
        <v>0.80159484396418546</v>
      </c>
      <c r="I83" s="260">
        <f t="shared" si="20"/>
        <v>0.19495924046965546</v>
      </c>
      <c r="J83" s="260">
        <f t="shared" si="20"/>
        <v>5.8810909003553506E-2</v>
      </c>
      <c r="K83" s="260">
        <f t="shared" si="20"/>
        <v>4.0984525413648554E-2</v>
      </c>
      <c r="L83" s="260">
        <f t="shared" si="20"/>
        <v>0</v>
      </c>
      <c r="M83" s="261">
        <f t="shared" si="16"/>
        <v>4.6656152792586019</v>
      </c>
      <c r="N83" s="2"/>
      <c r="O83" s="6"/>
    </row>
    <row r="84" spans="1:17" x14ac:dyDescent="0.2">
      <c r="A84" t="s">
        <v>10</v>
      </c>
      <c r="C84" s="260">
        <f t="shared" si="18"/>
        <v>0.85563</v>
      </c>
      <c r="D84" s="260">
        <f t="shared" ref="D84:L84" si="21">+$B$75*D68</f>
        <v>0</v>
      </c>
      <c r="E84" s="260">
        <f t="shared" si="21"/>
        <v>1.729451778345932</v>
      </c>
      <c r="F84" s="260">
        <f t="shared" si="21"/>
        <v>5.1479551642255421E-2</v>
      </c>
      <c r="G84" s="260">
        <f t="shared" si="21"/>
        <v>0.11265356151076186</v>
      </c>
      <c r="H84" s="260">
        <f t="shared" si="21"/>
        <v>0.58894822954906201</v>
      </c>
      <c r="I84" s="260">
        <f t="shared" si="21"/>
        <v>0.14324056644501512</v>
      </c>
      <c r="J84" s="260">
        <f t="shared" si="21"/>
        <v>4.320958523700455E-2</v>
      </c>
      <c r="K84" s="260">
        <f t="shared" si="21"/>
        <v>3.0112174327253174E-2</v>
      </c>
      <c r="L84" s="260">
        <f t="shared" si="21"/>
        <v>0</v>
      </c>
      <c r="M84" s="261">
        <f t="shared" si="16"/>
        <v>3.554725447057284</v>
      </c>
      <c r="N84" s="2"/>
      <c r="O84" s="6"/>
    </row>
    <row r="85" spans="1:17" x14ac:dyDescent="0.2">
      <c r="A85" t="s">
        <v>8</v>
      </c>
      <c r="C85" s="260">
        <f t="shared" si="18"/>
        <v>0.81688499999999997</v>
      </c>
      <c r="D85" s="260">
        <f t="shared" ref="D85:L85" si="22">+$B$75*D69</f>
        <v>0</v>
      </c>
      <c r="E85" s="260">
        <f t="shared" si="22"/>
        <v>2.1105588551984726</v>
      </c>
      <c r="F85" s="260">
        <f t="shared" si="22"/>
        <v>6.2823736944041281E-2</v>
      </c>
      <c r="G85" s="260">
        <f t="shared" si="22"/>
        <v>0.13747823142174137</v>
      </c>
      <c r="H85" s="260">
        <f t="shared" si="22"/>
        <v>0.71873059237133785</v>
      </c>
      <c r="I85" s="260">
        <f t="shared" si="22"/>
        <v>0.17480547866059146</v>
      </c>
      <c r="J85" s="260">
        <f t="shared" si="22"/>
        <v>5.2731376435736416E-2</v>
      </c>
      <c r="K85" s="260">
        <f t="shared" si="22"/>
        <v>3.6747781563732068E-2</v>
      </c>
      <c r="L85" s="260">
        <f t="shared" si="22"/>
        <v>0</v>
      </c>
      <c r="M85" s="261">
        <f t="shared" si="16"/>
        <v>4.1107610525956533</v>
      </c>
      <c r="N85" s="2"/>
      <c r="O85" s="6"/>
    </row>
    <row r="86" spans="1:17" x14ac:dyDescent="0.2">
      <c r="A86" t="s">
        <v>9</v>
      </c>
      <c r="C86" s="260">
        <f t="shared" si="18"/>
        <v>0.27135000000000004</v>
      </c>
      <c r="D86" s="260">
        <f t="shared" ref="D86:L86" si="23">+$B$75*D70</f>
        <v>0</v>
      </c>
      <c r="E86" s="260">
        <f t="shared" si="23"/>
        <v>2.2914319613603498</v>
      </c>
      <c r="F86" s="260">
        <f t="shared" si="23"/>
        <v>6.820767798590191E-2</v>
      </c>
      <c r="G86" s="260">
        <f t="shared" si="23"/>
        <v>0.14925999940496751</v>
      </c>
      <c r="H86" s="260">
        <f t="shared" si="23"/>
        <v>0.78032519534370814</v>
      </c>
      <c r="I86" s="260">
        <f t="shared" si="23"/>
        <v>0.18978616011450036</v>
      </c>
      <c r="J86" s="260">
        <f t="shared" si="23"/>
        <v>5.7250410730672482E-2</v>
      </c>
      <c r="K86" s="260">
        <f t="shared" si="23"/>
        <v>3.9897035316888055E-2</v>
      </c>
      <c r="L86" s="260">
        <f t="shared" si="23"/>
        <v>0</v>
      </c>
      <c r="M86" s="261">
        <f t="shared" si="16"/>
        <v>3.8475084402569881</v>
      </c>
      <c r="N86" s="2"/>
      <c r="O86" s="6"/>
    </row>
    <row r="87" spans="1:17" ht="15" x14ac:dyDescent="0.35">
      <c r="A87" t="s">
        <v>2</v>
      </c>
      <c r="C87" s="264">
        <f t="shared" si="18"/>
        <v>0.110565</v>
      </c>
      <c r="D87" s="260">
        <f t="shared" ref="D87:L87" si="24">+$B$75*D71</f>
        <v>0</v>
      </c>
      <c r="E87" s="260">
        <f t="shared" si="24"/>
        <v>2.3468562320948516</v>
      </c>
      <c r="F87" s="260">
        <f t="shared" si="24"/>
        <v>6.9857458941483097E-2</v>
      </c>
      <c r="G87" s="260">
        <f t="shared" si="24"/>
        <v>0.15287024258754989</v>
      </c>
      <c r="H87" s="260">
        <f t="shared" si="24"/>
        <v>0.79919939960417719</v>
      </c>
      <c r="I87" s="260">
        <f t="shared" si="24"/>
        <v>0.19437663441058328</v>
      </c>
      <c r="J87" s="260">
        <f t="shared" si="24"/>
        <v>5.8635161540430088E-2</v>
      </c>
      <c r="K87" s="260">
        <f t="shared" si="24"/>
        <v>4.0862049388523169E-2</v>
      </c>
      <c r="L87" s="260">
        <f t="shared" si="24"/>
        <v>0</v>
      </c>
      <c r="M87" s="261">
        <f t="shared" si="16"/>
        <v>3.7732221785675986</v>
      </c>
      <c r="N87" s="12"/>
      <c r="O87" s="7"/>
    </row>
    <row r="88" spans="1:17" ht="15" x14ac:dyDescent="0.35">
      <c r="C88" s="15">
        <f>SUM(C76:C87)</f>
        <v>17.683968685173038</v>
      </c>
      <c r="D88" s="15">
        <f t="shared" ref="D88:L88" si="25">SUM(D76:D87)</f>
        <v>0</v>
      </c>
      <c r="E88" s="15">
        <f t="shared" si="25"/>
        <v>31.578909533598644</v>
      </c>
      <c r="F88" s="15">
        <f t="shared" si="25"/>
        <v>0.98630441853737072</v>
      </c>
      <c r="G88" s="15">
        <f t="shared" si="25"/>
        <v>1.8905465400308628</v>
      </c>
      <c r="H88" s="15">
        <f t="shared" si="25"/>
        <v>11.09410713511129</v>
      </c>
      <c r="I88" s="15">
        <f t="shared" si="25"/>
        <v>2.8208391438486795</v>
      </c>
      <c r="J88" s="15">
        <f t="shared" si="25"/>
        <v>0.78403482964647753</v>
      </c>
      <c r="K88" s="15">
        <f t="shared" si="25"/>
        <v>0.553578876974818</v>
      </c>
      <c r="L88" s="15">
        <f t="shared" si="25"/>
        <v>8.6813366596396324E-3</v>
      </c>
      <c r="M88" s="8">
        <f>SUM(M76:M87)</f>
        <v>67.400970499580822</v>
      </c>
      <c r="N88" s="8"/>
      <c r="O88" s="8"/>
      <c r="P88" s="6"/>
      <c r="Q88" s="6"/>
    </row>
    <row r="89" spans="1:17" x14ac:dyDescent="0.2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</row>
    <row r="91" spans="1:17" x14ac:dyDescent="0.2">
      <c r="A91" s="3" t="s">
        <v>52</v>
      </c>
    </row>
    <row r="92" spans="1:17" x14ac:dyDescent="0.2">
      <c r="A92" t="s">
        <v>182</v>
      </c>
      <c r="C92" s="2">
        <f>+C60-C76</f>
        <v>181.53366108880613</v>
      </c>
      <c r="D92" s="2">
        <f t="shared" ref="D92:L92" si="26">+D60-D76</f>
        <v>0</v>
      </c>
      <c r="E92" s="2">
        <f t="shared" si="26"/>
        <v>203.21114775771724</v>
      </c>
      <c r="F92" s="2">
        <f t="shared" si="26"/>
        <v>8.0050405316543234</v>
      </c>
      <c r="G92" s="2">
        <f t="shared" si="26"/>
        <v>11.882977540763605</v>
      </c>
      <c r="H92" s="2">
        <f t="shared" si="26"/>
        <v>88.18229425503759</v>
      </c>
      <c r="I92" s="2">
        <f t="shared" si="26"/>
        <v>19.457639549210711</v>
      </c>
      <c r="J92" s="2">
        <f t="shared" si="26"/>
        <v>6.2789961385811504</v>
      </c>
      <c r="K92" s="2">
        <f t="shared" si="26"/>
        <v>4.2494216291407785</v>
      </c>
      <c r="L92" s="2">
        <f t="shared" si="26"/>
        <v>0</v>
      </c>
      <c r="M92" s="6">
        <f t="shared" ref="M92:M97" si="27">SUM(C92:L92)</f>
        <v>522.80117849091164</v>
      </c>
      <c r="N92" s="2"/>
      <c r="O92" s="76"/>
    </row>
    <row r="93" spans="1:17" x14ac:dyDescent="0.2">
      <c r="A93" t="s">
        <v>176</v>
      </c>
      <c r="C93" s="2">
        <f t="shared" ref="C93:L97" si="28">+C61-C77</f>
        <v>164.09804274193249</v>
      </c>
      <c r="D93" s="2">
        <f t="shared" si="28"/>
        <v>0</v>
      </c>
      <c r="E93" s="2">
        <f t="shared" si="28"/>
        <v>232.60131630107779</v>
      </c>
      <c r="F93" s="2">
        <f t="shared" si="28"/>
        <v>7.9125460988273355</v>
      </c>
      <c r="G93" s="2">
        <f t="shared" si="28"/>
        <v>11.836854232366315</v>
      </c>
      <c r="H93" s="2">
        <f t="shared" si="28"/>
        <v>87.3035617728289</v>
      </c>
      <c r="I93" s="2">
        <f t="shared" si="28"/>
        <v>24.313006782226445</v>
      </c>
      <c r="J93" s="2">
        <f t="shared" si="28"/>
        <v>6.0143218638072291</v>
      </c>
      <c r="K93" s="2">
        <f t="shared" si="28"/>
        <v>4.937350082798412</v>
      </c>
      <c r="L93" s="2">
        <f t="shared" si="28"/>
        <v>0.63438063812848122</v>
      </c>
      <c r="M93" s="6">
        <f t="shared" si="27"/>
        <v>539.65138051399344</v>
      </c>
      <c r="N93" s="2"/>
      <c r="O93" s="76"/>
    </row>
    <row r="94" spans="1:17" x14ac:dyDescent="0.2">
      <c r="A94" t="s">
        <v>177</v>
      </c>
      <c r="C94" s="2">
        <f t="shared" si="28"/>
        <v>158.87760306837509</v>
      </c>
      <c r="D94" s="2">
        <f t="shared" si="28"/>
        <v>0</v>
      </c>
      <c r="E94" s="2">
        <f t="shared" si="28"/>
        <v>246.34342002395016</v>
      </c>
      <c r="F94" s="2">
        <f t="shared" si="28"/>
        <v>8.0270154213874854</v>
      </c>
      <c r="G94" s="2">
        <f t="shared" si="28"/>
        <v>12.230747897772387</v>
      </c>
      <c r="H94" s="2">
        <f t="shared" si="28"/>
        <v>82.562245217758459</v>
      </c>
      <c r="I94" s="2">
        <f t="shared" si="28"/>
        <v>24.461495795544774</v>
      </c>
      <c r="J94" s="2">
        <f t="shared" si="28"/>
        <v>5.9228007292976113</v>
      </c>
      <c r="K94" s="2">
        <f t="shared" si="28"/>
        <v>3.8843427463355469</v>
      </c>
      <c r="L94" s="2">
        <f t="shared" si="28"/>
        <v>0</v>
      </c>
      <c r="M94" s="6">
        <f t="shared" si="27"/>
        <v>542.30967090042145</v>
      </c>
      <c r="N94" s="2"/>
      <c r="O94" s="76"/>
    </row>
    <row r="95" spans="1:17" x14ac:dyDescent="0.2">
      <c r="A95" t="s">
        <v>178</v>
      </c>
      <c r="C95" s="2">
        <f t="shared" si="28"/>
        <v>150.38649299099299</v>
      </c>
      <c r="D95" s="2">
        <f t="shared" si="28"/>
        <v>0</v>
      </c>
      <c r="E95" s="2">
        <f t="shared" si="28"/>
        <v>212.43977674654766</v>
      </c>
      <c r="F95" s="2">
        <f t="shared" si="28"/>
        <v>6.4581175481546644</v>
      </c>
      <c r="G95" s="2">
        <f t="shared" si="28"/>
        <v>11.255576298212413</v>
      </c>
      <c r="H95" s="2">
        <f t="shared" si="28"/>
        <v>76.048947070627023</v>
      </c>
      <c r="I95" s="2">
        <f t="shared" si="28"/>
        <v>21.196464381264779</v>
      </c>
      <c r="J95" s="2">
        <f t="shared" si="28"/>
        <v>5.258752860640227</v>
      </c>
      <c r="K95" s="2">
        <f t="shared" si="28"/>
        <v>3.2013811274423838</v>
      </c>
      <c r="L95" s="2">
        <f t="shared" si="28"/>
        <v>0</v>
      </c>
      <c r="M95" s="6">
        <f t="shared" si="27"/>
        <v>486.24550902388222</v>
      </c>
      <c r="N95" s="2"/>
      <c r="O95" s="76"/>
    </row>
    <row r="96" spans="1:17" x14ac:dyDescent="0.2">
      <c r="A96" t="s">
        <v>179</v>
      </c>
      <c r="C96" s="2">
        <f t="shared" si="28"/>
        <v>186.84932359802929</v>
      </c>
      <c r="D96" s="2">
        <f t="shared" si="28"/>
        <v>0</v>
      </c>
      <c r="E96" s="2">
        <f t="shared" si="28"/>
        <v>270.19870025941742</v>
      </c>
      <c r="F96" s="2">
        <f t="shared" si="28"/>
        <v>7.6533666085456824</v>
      </c>
      <c r="G96" s="2">
        <f t="shared" si="28"/>
        <v>16.503384692254862</v>
      </c>
      <c r="H96" s="2">
        <f t="shared" si="28"/>
        <v>87.423194509444656</v>
      </c>
      <c r="I96" s="2">
        <f t="shared" si="28"/>
        <v>22.049604138012647</v>
      </c>
      <c r="J96" s="2">
        <f t="shared" si="28"/>
        <v>5.2652664907193945</v>
      </c>
      <c r="K96" s="2">
        <f t="shared" si="28"/>
        <v>4.2819311480850413</v>
      </c>
      <c r="L96" s="2">
        <f t="shared" si="28"/>
        <v>0</v>
      </c>
      <c r="M96" s="6">
        <f t="shared" si="27"/>
        <v>600.22477144450897</v>
      </c>
      <c r="N96" s="2"/>
      <c r="O96" s="76"/>
    </row>
    <row r="97" spans="1:15" x14ac:dyDescent="0.2">
      <c r="A97" t="s">
        <v>180</v>
      </c>
      <c r="C97" s="2">
        <f t="shared" si="28"/>
        <v>155.70858413580487</v>
      </c>
      <c r="D97" s="2">
        <f t="shared" si="28"/>
        <v>0</v>
      </c>
      <c r="E97" s="2">
        <f t="shared" si="28"/>
        <v>185.00394407719307</v>
      </c>
      <c r="F97" s="2">
        <f t="shared" si="28"/>
        <v>5.5069012113489411</v>
      </c>
      <c r="G97" s="2">
        <f t="shared" si="28"/>
        <v>12.050843773028774</v>
      </c>
      <c r="H97" s="2">
        <f t="shared" si="28"/>
        <v>63.001320238061219</v>
      </c>
      <c r="I97" s="2">
        <f t="shared" si="28"/>
        <v>15.322815053868693</v>
      </c>
      <c r="J97" s="2">
        <f t="shared" si="28"/>
        <v>4.6222414471891184</v>
      </c>
      <c r="K97" s="2">
        <f t="shared" si="28"/>
        <v>3.2211774187828932</v>
      </c>
      <c r="L97" s="2">
        <f t="shared" si="28"/>
        <v>0</v>
      </c>
      <c r="M97" s="6">
        <f t="shared" si="27"/>
        <v>444.43782735527753</v>
      </c>
      <c r="N97" s="2"/>
      <c r="O97" s="76"/>
    </row>
    <row r="98" spans="1:15" x14ac:dyDescent="0.2">
      <c r="A98" t="s">
        <v>7</v>
      </c>
      <c r="C98" s="260">
        <f t="shared" ref="C98:C103" si="29">+C48-C82</f>
        <v>72.172339999999991</v>
      </c>
      <c r="D98" s="260">
        <f t="shared" ref="D98:L98" si="30">+D66-D82</f>
        <v>0</v>
      </c>
      <c r="E98" s="260">
        <f t="shared" si="30"/>
        <v>166.24906575722105</v>
      </c>
      <c r="F98" s="260">
        <f t="shared" si="30"/>
        <v>4.9486360205492161</v>
      </c>
      <c r="G98" s="260">
        <f t="shared" si="30"/>
        <v>10.829182744430145</v>
      </c>
      <c r="H98" s="260">
        <f t="shared" si="30"/>
        <v>56.614526156690651</v>
      </c>
      <c r="I98" s="260">
        <f t="shared" si="30"/>
        <v>13.769456106370612</v>
      </c>
      <c r="J98" s="260">
        <f t="shared" si="30"/>
        <v>4.153659134849919</v>
      </c>
      <c r="K98" s="260">
        <f t="shared" si="30"/>
        <v>2.8946287560629931</v>
      </c>
      <c r="L98" s="260">
        <f t="shared" si="30"/>
        <v>0</v>
      </c>
      <c r="M98" s="261">
        <f t="shared" ref="M98:M103" si="31">SUM(C98:L98)</f>
        <v>331.63149467617461</v>
      </c>
      <c r="N98" s="2"/>
      <c r="O98" s="76"/>
    </row>
    <row r="99" spans="1:15" x14ac:dyDescent="0.2">
      <c r="A99" t="s">
        <v>32</v>
      </c>
      <c r="C99" s="260">
        <f t="shared" si="29"/>
        <v>72.488020000000006</v>
      </c>
      <c r="D99" s="260">
        <f t="shared" ref="D99:L99" si="32">+D67-D83</f>
        <v>0</v>
      </c>
      <c r="E99" s="260">
        <f t="shared" si="32"/>
        <v>172.00836700724233</v>
      </c>
      <c r="F99" s="260">
        <f t="shared" si="32"/>
        <v>5.120069679374522</v>
      </c>
      <c r="G99" s="260">
        <f t="shared" si="32"/>
        <v>11.204333879461387</v>
      </c>
      <c r="H99" s="260">
        <f t="shared" si="32"/>
        <v>58.575801005234737</v>
      </c>
      <c r="I99" s="260">
        <f t="shared" si="32"/>
        <v>14.246465979504823</v>
      </c>
      <c r="J99" s="260">
        <f t="shared" si="32"/>
        <v>4.297552720889299</v>
      </c>
      <c r="K99" s="260">
        <f t="shared" si="32"/>
        <v>2.994906245967726</v>
      </c>
      <c r="L99" s="260">
        <f t="shared" si="32"/>
        <v>0</v>
      </c>
      <c r="M99" s="261">
        <f t="shared" si="31"/>
        <v>340.93551651767484</v>
      </c>
      <c r="N99" s="2"/>
      <c r="O99" s="76"/>
    </row>
    <row r="100" spans="1:15" x14ac:dyDescent="0.2">
      <c r="A100" t="s">
        <v>10</v>
      </c>
      <c r="C100" s="260">
        <f t="shared" si="29"/>
        <v>62.524370000000005</v>
      </c>
      <c r="D100" s="260">
        <f t="shared" ref="D100:L100" si="33">+D68-D84</f>
        <v>0</v>
      </c>
      <c r="E100" s="260">
        <f t="shared" si="33"/>
        <v>126.37808735838978</v>
      </c>
      <c r="F100" s="260">
        <f t="shared" si="33"/>
        <v>3.7618205700062943</v>
      </c>
      <c r="G100" s="260">
        <f t="shared" si="33"/>
        <v>8.2320546985456726</v>
      </c>
      <c r="H100" s="260">
        <f t="shared" si="33"/>
        <v>43.036846551862943</v>
      </c>
      <c r="I100" s="260">
        <f t="shared" si="33"/>
        <v>10.467171762815363</v>
      </c>
      <c r="J100" s="260">
        <f t="shared" si="33"/>
        <v>3.157500432318888</v>
      </c>
      <c r="K100" s="260">
        <f t="shared" si="33"/>
        <v>2.2004192573211303</v>
      </c>
      <c r="L100" s="260">
        <f t="shared" si="33"/>
        <v>0</v>
      </c>
      <c r="M100" s="261">
        <f t="shared" si="31"/>
        <v>259.75827063126007</v>
      </c>
      <c r="N100" s="2"/>
      <c r="O100" s="76"/>
    </row>
    <row r="101" spans="1:15" x14ac:dyDescent="0.2">
      <c r="A101" t="s">
        <v>8</v>
      </c>
      <c r="C101" s="260">
        <f t="shared" si="29"/>
        <v>59.693114999999999</v>
      </c>
      <c r="D101" s="260">
        <f t="shared" ref="D101:L101" si="34">+D69-D85</f>
        <v>0</v>
      </c>
      <c r="E101" s="260">
        <f t="shared" si="34"/>
        <v>154.22713412246617</v>
      </c>
      <c r="F101" s="260">
        <f t="shared" si="34"/>
        <v>4.5907864070590163</v>
      </c>
      <c r="G101" s="260">
        <f t="shared" si="34"/>
        <v>10.046094466485027</v>
      </c>
      <c r="H101" s="260">
        <f t="shared" si="34"/>
        <v>52.520572546246285</v>
      </c>
      <c r="I101" s="260">
        <f t="shared" si="34"/>
        <v>12.773748496198035</v>
      </c>
      <c r="J101" s="260">
        <f t="shared" si="34"/>
        <v>3.8532965076928871</v>
      </c>
      <c r="K101" s="260">
        <f t="shared" si="34"/>
        <v>2.685310112046051</v>
      </c>
      <c r="L101" s="260">
        <f t="shared" si="34"/>
        <v>0</v>
      </c>
      <c r="M101" s="261">
        <f t="shared" si="31"/>
        <v>300.39005765819348</v>
      </c>
      <c r="N101" s="2"/>
      <c r="O101" s="76"/>
    </row>
    <row r="102" spans="1:15" x14ac:dyDescent="0.2">
      <c r="A102" t="s">
        <v>9</v>
      </c>
      <c r="C102" s="260">
        <f t="shared" si="29"/>
        <v>19.82865</v>
      </c>
      <c r="D102" s="260">
        <f t="shared" ref="D102:L102" si="35">+D70-D86</f>
        <v>0</v>
      </c>
      <c r="E102" s="260">
        <f t="shared" si="35"/>
        <v>167.44426888014704</v>
      </c>
      <c r="F102" s="260">
        <f t="shared" si="35"/>
        <v>4.9842129135623878</v>
      </c>
      <c r="G102" s="260">
        <f t="shared" si="35"/>
        <v>10.907036252814848</v>
      </c>
      <c r="H102" s="260">
        <f t="shared" si="35"/>
        <v>57.021541126412451</v>
      </c>
      <c r="I102" s="260">
        <f t="shared" si="35"/>
        <v>13.868447922441081</v>
      </c>
      <c r="J102" s="260">
        <f t="shared" si="35"/>
        <v>4.1835207545043263</v>
      </c>
      <c r="K102" s="260">
        <f t="shared" si="35"/>
        <v>2.9154389140822272</v>
      </c>
      <c r="L102" s="260">
        <f t="shared" si="35"/>
        <v>0</v>
      </c>
      <c r="M102" s="261">
        <f t="shared" si="31"/>
        <v>281.15311676396442</v>
      </c>
      <c r="N102" s="2"/>
      <c r="O102" s="76"/>
    </row>
    <row r="103" spans="1:15" ht="15" x14ac:dyDescent="0.35">
      <c r="A103" t="s">
        <v>2</v>
      </c>
      <c r="C103" s="264">
        <f t="shared" si="29"/>
        <v>8.0794350000000001</v>
      </c>
      <c r="D103" s="260">
        <f t="shared" ref="D103:L103" si="36">+D71-D87</f>
        <v>0</v>
      </c>
      <c r="E103" s="260">
        <f t="shared" si="36"/>
        <v>171.49434614530156</v>
      </c>
      <c r="F103" s="260">
        <f t="shared" si="36"/>
        <v>5.1047691293165247</v>
      </c>
      <c r="G103" s="260">
        <f t="shared" si="36"/>
        <v>11.170851430564293</v>
      </c>
      <c r="H103" s="260">
        <f t="shared" si="36"/>
        <v>58.400756126631173</v>
      </c>
      <c r="I103" s="260">
        <f t="shared" si="36"/>
        <v>14.20389258118818</v>
      </c>
      <c r="J103" s="260">
        <f t="shared" si="36"/>
        <v>4.2847101377506878</v>
      </c>
      <c r="K103" s="260">
        <f t="shared" si="36"/>
        <v>2.985956423835415</v>
      </c>
      <c r="L103" s="260">
        <f t="shared" si="36"/>
        <v>0</v>
      </c>
      <c r="M103" s="261">
        <f t="shared" si="31"/>
        <v>275.72471697458781</v>
      </c>
      <c r="N103" s="2"/>
      <c r="O103" s="76"/>
    </row>
    <row r="104" spans="1:15" ht="15" x14ac:dyDescent="0.35">
      <c r="C104" s="15">
        <f>SUM(C92:C103)</f>
        <v>1292.239637623941</v>
      </c>
      <c r="D104" s="15">
        <f t="shared" ref="D104:L104" si="37">SUM(D92:D103)</f>
        <v>0</v>
      </c>
      <c r="E104" s="15">
        <f t="shared" si="37"/>
        <v>2307.5995744366714</v>
      </c>
      <c r="F104" s="15">
        <f t="shared" si="37"/>
        <v>72.073282139786386</v>
      </c>
      <c r="G104" s="15">
        <f t="shared" si="37"/>
        <v>138.14993790669973</v>
      </c>
      <c r="H104" s="15">
        <f t="shared" si="37"/>
        <v>810.69160657683619</v>
      </c>
      <c r="I104" s="15">
        <f t="shared" si="37"/>
        <v>206.13020854864612</v>
      </c>
      <c r="J104" s="15">
        <f t="shared" si="37"/>
        <v>57.292619218240745</v>
      </c>
      <c r="K104" s="15">
        <f t="shared" si="37"/>
        <v>40.452263861900605</v>
      </c>
      <c r="L104" s="15">
        <f t="shared" si="37"/>
        <v>0.63438063812848122</v>
      </c>
      <c r="M104" s="8">
        <f>SUM(M92:M103)</f>
        <v>4925.2635109508501</v>
      </c>
      <c r="N104" s="8"/>
      <c r="O104" s="8"/>
    </row>
    <row r="105" spans="1:15" x14ac:dyDescent="0.2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</row>
    <row r="106" spans="1:15" x14ac:dyDescent="0.2"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</row>
    <row r="107" spans="1:15" x14ac:dyDescent="0.2">
      <c r="C107" s="275" t="s">
        <v>35</v>
      </c>
      <c r="D107" s="275"/>
      <c r="E107" s="275"/>
      <c r="F107" s="275"/>
      <c r="G107" s="275"/>
      <c r="H107" s="275"/>
      <c r="I107" s="275"/>
      <c r="J107" s="275"/>
      <c r="K107" s="275"/>
      <c r="L107" s="275"/>
    </row>
    <row r="108" spans="1:15" x14ac:dyDescent="0.2">
      <c r="C108" s="24" t="s">
        <v>36</v>
      </c>
      <c r="D108" s="24" t="s">
        <v>37</v>
      </c>
      <c r="E108" s="24"/>
      <c r="F108" s="24" t="s">
        <v>38</v>
      </c>
      <c r="G108" s="24" t="s">
        <v>39</v>
      </c>
      <c r="H108" s="24"/>
      <c r="I108" s="24"/>
      <c r="J108" s="24" t="s">
        <v>0</v>
      </c>
      <c r="K108" s="24" t="s">
        <v>0</v>
      </c>
      <c r="L108" s="24" t="s">
        <v>40</v>
      </c>
    </row>
    <row r="109" spans="1:15" x14ac:dyDescent="0.2">
      <c r="C109" s="25" t="s">
        <v>41</v>
      </c>
      <c r="D109" s="25" t="s">
        <v>42</v>
      </c>
      <c r="E109" s="25" t="s">
        <v>19</v>
      </c>
      <c r="F109" s="25" t="s">
        <v>17</v>
      </c>
      <c r="G109" s="25" t="s">
        <v>18</v>
      </c>
      <c r="H109" s="25" t="s">
        <v>11</v>
      </c>
      <c r="I109" s="25" t="s">
        <v>1</v>
      </c>
      <c r="J109" s="25" t="s">
        <v>43</v>
      </c>
      <c r="K109" s="25" t="s">
        <v>44</v>
      </c>
      <c r="L109" s="25" t="s">
        <v>45</v>
      </c>
      <c r="M109" s="30" t="s">
        <v>3</v>
      </c>
    </row>
    <row r="110" spans="1:15" x14ac:dyDescent="0.2">
      <c r="A110" s="3" t="s">
        <v>53</v>
      </c>
    </row>
    <row r="111" spans="1:15" x14ac:dyDescent="0.2">
      <c r="A111" t="s">
        <v>182</v>
      </c>
      <c r="C111" s="9">
        <f t="shared" ref="C111:L116" si="38">+C76*C42</f>
        <v>183.2128244516397</v>
      </c>
      <c r="D111" s="9">
        <f t="shared" si="38"/>
        <v>0</v>
      </c>
      <c r="E111" s="9">
        <f t="shared" si="38"/>
        <v>192.79928008066321</v>
      </c>
      <c r="F111" s="9">
        <f t="shared" si="38"/>
        <v>170.72012780750114</v>
      </c>
      <c r="G111" s="9">
        <f t="shared" si="38"/>
        <v>29.792786878646279</v>
      </c>
      <c r="H111" s="9">
        <f t="shared" si="38"/>
        <v>-64.368158408626485</v>
      </c>
      <c r="I111" s="9">
        <f t="shared" si="38"/>
        <v>55.917291558045989</v>
      </c>
      <c r="J111" s="9">
        <f t="shared" si="38"/>
        <v>60.148518509469703</v>
      </c>
      <c r="K111" s="9">
        <f t="shared" si="38"/>
        <v>17.445674199716326</v>
      </c>
      <c r="L111" s="9">
        <f t="shared" si="38"/>
        <v>0</v>
      </c>
      <c r="M111" s="9">
        <f t="shared" ref="M111:M116" si="39">SUM(C111:L111)</f>
        <v>645.66834507705596</v>
      </c>
    </row>
    <row r="112" spans="1:15" x14ac:dyDescent="0.2">
      <c r="A112" t="s">
        <v>176</v>
      </c>
      <c r="C112" s="9">
        <f t="shared" si="38"/>
        <v>145.71956098588342</v>
      </c>
      <c r="D112" s="9">
        <f t="shared" si="38"/>
        <v>0</v>
      </c>
      <c r="E112" s="9">
        <f t="shared" si="38"/>
        <v>220.20613008927074</v>
      </c>
      <c r="F112" s="9">
        <f t="shared" si="38"/>
        <v>166.53643654328636</v>
      </c>
      <c r="G112" s="9">
        <f t="shared" si="38"/>
        <v>28.405570436426476</v>
      </c>
      <c r="H112" s="9">
        <f t="shared" si="38"/>
        <v>-63.726732688288251</v>
      </c>
      <c r="I112" s="9">
        <f t="shared" si="38"/>
        <v>59.889109458500016</v>
      </c>
      <c r="J112" s="9">
        <f t="shared" si="38"/>
        <v>62.551386034122828</v>
      </c>
      <c r="K112" s="9">
        <f t="shared" si="38"/>
        <v>20.269911642507417</v>
      </c>
      <c r="L112" s="9">
        <f t="shared" si="38"/>
        <v>-0.95494703256035951</v>
      </c>
      <c r="M112" s="9">
        <f t="shared" si="39"/>
        <v>638.89642546914865</v>
      </c>
    </row>
    <row r="113" spans="1:16" x14ac:dyDescent="0.2">
      <c r="A113" t="s">
        <v>177</v>
      </c>
      <c r="C113" s="9">
        <f t="shared" si="38"/>
        <v>137.1919778751093</v>
      </c>
      <c r="D113" s="9">
        <f t="shared" si="38"/>
        <v>0</v>
      </c>
      <c r="E113" s="9">
        <f t="shared" si="38"/>
        <v>238.81202869306082</v>
      </c>
      <c r="F113" s="9">
        <f t="shared" si="38"/>
        <v>168.9456879820257</v>
      </c>
      <c r="G113" s="9">
        <f t="shared" si="38"/>
        <v>28.021864648867929</v>
      </c>
      <c r="H113" s="9">
        <f t="shared" si="38"/>
        <v>-60.265835944101056</v>
      </c>
      <c r="I113" s="9">
        <f t="shared" si="38"/>
        <v>66.13307346828752</v>
      </c>
      <c r="J113" s="9">
        <f t="shared" si="38"/>
        <v>59.978488885639258</v>
      </c>
      <c r="K113" s="9">
        <f t="shared" si="38"/>
        <v>15.946870879532657</v>
      </c>
      <c r="L113" s="9">
        <f t="shared" si="38"/>
        <v>0</v>
      </c>
      <c r="M113" s="9">
        <f t="shared" si="39"/>
        <v>654.76415648842215</v>
      </c>
    </row>
    <row r="114" spans="1:16" x14ac:dyDescent="0.2">
      <c r="A114" t="s">
        <v>178</v>
      </c>
      <c r="C114" s="9">
        <f t="shared" si="38"/>
        <v>122.65683959508665</v>
      </c>
      <c r="D114" s="9">
        <f t="shared" si="38"/>
        <v>0</v>
      </c>
      <c r="E114" s="9">
        <f t="shared" si="38"/>
        <v>199.98518527352527</v>
      </c>
      <c r="F114" s="9">
        <f t="shared" si="38"/>
        <v>111.23127139035145</v>
      </c>
      <c r="G114" s="9">
        <f t="shared" si="38"/>
        <v>22.283473909115319</v>
      </c>
      <c r="H114" s="9">
        <f t="shared" si="38"/>
        <v>-55.511491430398188</v>
      </c>
      <c r="I114" s="9">
        <f t="shared" si="38"/>
        <v>54.355878069407282</v>
      </c>
      <c r="J114" s="9">
        <f t="shared" si="38"/>
        <v>50.375280824176528</v>
      </c>
      <c r="K114" s="9">
        <f t="shared" si="38"/>
        <v>12.266822769115267</v>
      </c>
      <c r="L114" s="9">
        <f t="shared" si="38"/>
        <v>0</v>
      </c>
      <c r="M114" s="9">
        <f t="shared" si="39"/>
        <v>517.64326040037963</v>
      </c>
    </row>
    <row r="115" spans="1:16" x14ac:dyDescent="0.2">
      <c r="A115" t="s">
        <v>179</v>
      </c>
      <c r="C115" s="9">
        <f t="shared" si="38"/>
        <v>163.82603973593251</v>
      </c>
      <c r="D115" s="9">
        <f t="shared" si="38"/>
        <v>0</v>
      </c>
      <c r="E115" s="9">
        <f t="shared" si="38"/>
        <v>259.71942780941708</v>
      </c>
      <c r="F115" s="9">
        <f t="shared" si="38"/>
        <v>121.81653774190879</v>
      </c>
      <c r="G115" s="9">
        <f t="shared" si="38"/>
        <v>32.46516058632244</v>
      </c>
      <c r="H115" s="9">
        <f t="shared" si="38"/>
        <v>-63.814057916174363</v>
      </c>
      <c r="I115" s="9">
        <f t="shared" si="38"/>
        <v>43.212642084302765</v>
      </c>
      <c r="J115" s="9">
        <f t="shared" si="38"/>
        <v>50.437676976480773</v>
      </c>
      <c r="K115" s="9">
        <f t="shared" si="38"/>
        <v>18.165110851227471</v>
      </c>
      <c r="L115" s="9">
        <f t="shared" si="38"/>
        <v>0</v>
      </c>
      <c r="M115" s="9">
        <f t="shared" si="39"/>
        <v>625.82853786941746</v>
      </c>
      <c r="O115" s="254">
        <v>3577.2462347170535</v>
      </c>
      <c r="P115" s="255" t="s">
        <v>183</v>
      </c>
    </row>
    <row r="116" spans="1:16" x14ac:dyDescent="0.2">
      <c r="A116" t="s">
        <v>180</v>
      </c>
      <c r="C116" s="9">
        <f t="shared" si="38"/>
        <v>155.33766150760505</v>
      </c>
      <c r="D116" s="9">
        <f t="shared" si="38"/>
        <v>0</v>
      </c>
      <c r="E116" s="9">
        <f t="shared" si="38"/>
        <v>178.18327155201564</v>
      </c>
      <c r="F116" s="9">
        <f t="shared" si="38"/>
        <v>83.921490168206205</v>
      </c>
      <c r="G116" s="9">
        <f t="shared" si="38"/>
        <v>27.702037455053766</v>
      </c>
      <c r="H116" s="9">
        <f t="shared" si="38"/>
        <v>-45.987451282539794</v>
      </c>
      <c r="I116" s="9">
        <f t="shared" si="38"/>
        <v>33.550208328795115</v>
      </c>
      <c r="J116" s="9">
        <f t="shared" si="38"/>
        <v>48.073185249022153</v>
      </c>
      <c r="K116" s="9">
        <f t="shared" si="38"/>
        <v>13.665106434471777</v>
      </c>
      <c r="L116" s="9">
        <f t="shared" si="38"/>
        <v>0</v>
      </c>
      <c r="M116" s="9">
        <f t="shared" si="39"/>
        <v>494.44550941262997</v>
      </c>
      <c r="O116" s="256">
        <v>1788.6231173585268</v>
      </c>
      <c r="P116" s="255" t="s">
        <v>184</v>
      </c>
    </row>
    <row r="117" spans="1:16" x14ac:dyDescent="0.2">
      <c r="A117" t="s">
        <v>7</v>
      </c>
      <c r="C117" s="266">
        <f t="shared" ref="C117:L117" si="40">+C82*C48</f>
        <v>72.257205599999992</v>
      </c>
      <c r="D117" s="266">
        <f t="shared" si="40"/>
        <v>0</v>
      </c>
      <c r="E117" s="266">
        <f t="shared" si="40"/>
        <v>155.25118027185229</v>
      </c>
      <c r="F117" s="266">
        <f t="shared" si="40"/>
        <v>74.548430112421016</v>
      </c>
      <c r="G117" s="266">
        <f t="shared" si="40"/>
        <v>24.228334184463193</v>
      </c>
      <c r="H117" s="266">
        <f t="shared" si="40"/>
        <v>-41.325447683904081</v>
      </c>
      <c r="I117" s="266">
        <f t="shared" si="40"/>
        <v>30.1490371918505</v>
      </c>
      <c r="J117" s="266">
        <f t="shared" si="40"/>
        <v>40.357651097350704</v>
      </c>
      <c r="K117" s="266">
        <f t="shared" si="40"/>
        <v>13.864288770803489</v>
      </c>
      <c r="L117" s="266">
        <f t="shared" si="40"/>
        <v>0</v>
      </c>
      <c r="M117" s="266">
        <f t="shared" ref="M117:M122" si="41">SUM(C117:L117)</f>
        <v>369.33067954483704</v>
      </c>
      <c r="O117" s="256">
        <v>1788.6231173585268</v>
      </c>
      <c r="P117" s="255" t="s">
        <v>185</v>
      </c>
    </row>
    <row r="118" spans="1:16" x14ac:dyDescent="0.2">
      <c r="A118" t="s">
        <v>32</v>
      </c>
      <c r="C118" s="266">
        <f t="shared" ref="C118:L118" si="42">+C83*C49</f>
        <v>72.890690400000011</v>
      </c>
      <c r="D118" s="266">
        <f t="shared" si="42"/>
        <v>0</v>
      </c>
      <c r="E118" s="266">
        <f t="shared" si="42"/>
        <v>174.94114017811086</v>
      </c>
      <c r="F118" s="266">
        <f t="shared" si="42"/>
        <v>63.256345908039322</v>
      </c>
      <c r="G118" s="266">
        <f t="shared" si="42"/>
        <v>21.663775475613626</v>
      </c>
      <c r="H118" s="266">
        <f t="shared" si="42"/>
        <v>-42.757068977049656</v>
      </c>
      <c r="I118" s="266">
        <f t="shared" si="42"/>
        <v>31.193478475144872</v>
      </c>
      <c r="J118" s="266">
        <f t="shared" si="42"/>
        <v>41.755745392522989</v>
      </c>
      <c r="K118" s="266">
        <f t="shared" si="42"/>
        <v>14.344583894776994</v>
      </c>
      <c r="L118" s="266">
        <f t="shared" si="42"/>
        <v>0</v>
      </c>
      <c r="M118" s="266">
        <f t="shared" si="41"/>
        <v>377.28869074715902</v>
      </c>
    </row>
    <row r="119" spans="1:16" x14ac:dyDescent="0.2">
      <c r="A119" t="s">
        <v>10</v>
      </c>
      <c r="C119" s="266">
        <f t="shared" ref="C119:L119" si="43">+C84*C50</f>
        <v>54.2298294</v>
      </c>
      <c r="D119" s="266">
        <f t="shared" si="43"/>
        <v>0</v>
      </c>
      <c r="E119" s="266">
        <f t="shared" si="43"/>
        <v>114.90477615330371</v>
      </c>
      <c r="F119" s="266">
        <f t="shared" si="43"/>
        <v>51.150082511744991</v>
      </c>
      <c r="G119" s="266">
        <f t="shared" si="43"/>
        <v>16.139875757646852</v>
      </c>
      <c r="H119" s="266">
        <f t="shared" si="43"/>
        <v>-31.414498564146971</v>
      </c>
      <c r="I119" s="266">
        <f t="shared" si="43"/>
        <v>22.91849063120242</v>
      </c>
      <c r="J119" s="266">
        <f t="shared" si="43"/>
        <v>27.654134551682912</v>
      </c>
      <c r="K119" s="266">
        <f t="shared" si="43"/>
        <v>9.3347740414484832</v>
      </c>
      <c r="L119" s="266">
        <f t="shared" si="43"/>
        <v>0</v>
      </c>
      <c r="M119" s="266">
        <f t="shared" si="41"/>
        <v>264.91746448288239</v>
      </c>
    </row>
    <row r="120" spans="1:16" x14ac:dyDescent="0.2">
      <c r="A120" t="s">
        <v>8</v>
      </c>
      <c r="C120" s="266">
        <f t="shared" ref="C120:L120" si="44">+C85*C51</f>
        <v>49.429711349999998</v>
      </c>
      <c r="D120" s="266">
        <f t="shared" si="44"/>
        <v>0</v>
      </c>
      <c r="E120" s="266">
        <f t="shared" si="44"/>
        <v>143.79237480467194</v>
      </c>
      <c r="F120" s="266">
        <f t="shared" si="44"/>
        <v>62.240104427831142</v>
      </c>
      <c r="G120" s="266">
        <f t="shared" si="44"/>
        <v>21.575833639328092</v>
      </c>
      <c r="H120" s="266">
        <f t="shared" si="44"/>
        <v>-38.337089797087167</v>
      </c>
      <c r="I120" s="266">
        <f t="shared" si="44"/>
        <v>22.999156827374016</v>
      </c>
      <c r="J120" s="266">
        <f t="shared" si="44"/>
        <v>31.638825861441848</v>
      </c>
      <c r="K120" s="266">
        <f t="shared" si="44"/>
        <v>11.391812284756941</v>
      </c>
      <c r="L120" s="266">
        <f t="shared" si="44"/>
        <v>0</v>
      </c>
      <c r="M120" s="266">
        <f t="shared" si="41"/>
        <v>304.73072939831678</v>
      </c>
    </row>
    <row r="121" spans="1:16" x14ac:dyDescent="0.2">
      <c r="A121" t="s">
        <v>9</v>
      </c>
      <c r="C121" s="266">
        <f t="shared" ref="C121:L121" si="45">+C86*C52</f>
        <v>5.4541350000000008</v>
      </c>
      <c r="D121" s="266">
        <f t="shared" si="45"/>
        <v>0</v>
      </c>
      <c r="E121" s="266">
        <f t="shared" si="45"/>
        <v>118.42120376310288</v>
      </c>
      <c r="F121" s="266">
        <f t="shared" si="45"/>
        <v>76.243224529421013</v>
      </c>
      <c r="G121" s="266">
        <f t="shared" si="45"/>
        <v>22.46512251044166</v>
      </c>
      <c r="H121" s="266">
        <f t="shared" si="45"/>
        <v>-41.622545919633396</v>
      </c>
      <c r="I121" s="266">
        <f t="shared" si="45"/>
        <v>33.212578020037562</v>
      </c>
      <c r="J121" s="266">
        <f t="shared" si="45"/>
        <v>28.625205365336242</v>
      </c>
      <c r="K121" s="266">
        <f t="shared" si="45"/>
        <v>10.772199535559775</v>
      </c>
      <c r="L121" s="266">
        <f t="shared" si="45"/>
        <v>0</v>
      </c>
      <c r="M121" s="266">
        <f t="shared" si="41"/>
        <v>253.57112280426577</v>
      </c>
    </row>
    <row r="122" spans="1:16" x14ac:dyDescent="0.2">
      <c r="A122" t="s">
        <v>2</v>
      </c>
      <c r="C122" s="266">
        <f t="shared" ref="C122:L122" si="46">+C87*C53</f>
        <v>0.90552734999999995</v>
      </c>
      <c r="D122" s="266">
        <f t="shared" si="46"/>
        <v>0</v>
      </c>
      <c r="E122" s="266">
        <f t="shared" si="46"/>
        <v>141.67971073156619</v>
      </c>
      <c r="F122" s="266">
        <f t="shared" si="46"/>
        <v>68.428175331540345</v>
      </c>
      <c r="G122" s="266">
        <f t="shared" si="46"/>
        <v>20.649712368726242</v>
      </c>
      <c r="H122" s="266">
        <f t="shared" si="46"/>
        <v>-42.629295974886816</v>
      </c>
      <c r="I122" s="266">
        <f t="shared" si="46"/>
        <v>33.044027849799157</v>
      </c>
      <c r="J122" s="266">
        <f t="shared" si="46"/>
        <v>24.626767846980638</v>
      </c>
      <c r="K122" s="266">
        <f t="shared" si="46"/>
        <v>9.3982713593603293</v>
      </c>
      <c r="L122" s="266">
        <f t="shared" si="46"/>
        <v>0</v>
      </c>
      <c r="M122" s="266">
        <f t="shared" si="41"/>
        <v>256.10289686308607</v>
      </c>
    </row>
    <row r="123" spans="1:16" ht="15" x14ac:dyDescent="0.35">
      <c r="C123" s="11">
        <f>SUM(C111:C122)</f>
        <v>1163.1120032512567</v>
      </c>
      <c r="D123" s="11">
        <f t="shared" ref="D123:L123" si="47">SUM(D111:D122)</f>
        <v>0</v>
      </c>
      <c r="E123" s="11">
        <f t="shared" si="47"/>
        <v>2138.6957094005602</v>
      </c>
      <c r="F123" s="11">
        <f t="shared" si="47"/>
        <v>1219.0379144542774</v>
      </c>
      <c r="G123" s="11">
        <f t="shared" si="47"/>
        <v>295.39354785065188</v>
      </c>
      <c r="H123" s="11">
        <f t="shared" si="47"/>
        <v>-591.75967458683613</v>
      </c>
      <c r="I123" s="11">
        <f t="shared" si="47"/>
        <v>486.5749719627471</v>
      </c>
      <c r="J123" s="11">
        <f t="shared" si="47"/>
        <v>526.2228665942265</v>
      </c>
      <c r="K123" s="11">
        <f t="shared" si="47"/>
        <v>166.86542666327691</v>
      </c>
      <c r="L123" s="11">
        <f t="shared" si="47"/>
        <v>-0.95494703256035951</v>
      </c>
      <c r="M123" s="11">
        <f>SUM(M111:M122)</f>
        <v>5403.1878185576006</v>
      </c>
      <c r="O123" s="18"/>
      <c r="P123" s="63"/>
    </row>
    <row r="124" spans="1:16" ht="15" x14ac:dyDescent="0.35"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6" spans="1:16" x14ac:dyDescent="0.2">
      <c r="A126" s="3" t="s">
        <v>54</v>
      </c>
    </row>
    <row r="127" spans="1:16" x14ac:dyDescent="0.2">
      <c r="A127" t="s">
        <v>182</v>
      </c>
      <c r="C127" s="9">
        <f t="shared" ref="C127:L132" si="48">+C92*C42</f>
        <v>13388.107505299451</v>
      </c>
      <c r="D127" s="9">
        <f t="shared" si="48"/>
        <v>0</v>
      </c>
      <c r="E127" s="9">
        <f t="shared" si="48"/>
        <v>14088.628874042535</v>
      </c>
      <c r="F127" s="9">
        <f t="shared" si="48"/>
        <v>12475.215265340732</v>
      </c>
      <c r="G127" s="9">
        <f t="shared" si="48"/>
        <v>2177.0803152433</v>
      </c>
      <c r="H127" s="9">
        <f t="shared" si="48"/>
        <v>-4703.6435755637058</v>
      </c>
      <c r="I127" s="9">
        <f t="shared" si="48"/>
        <v>4086.1043053342491</v>
      </c>
      <c r="J127" s="9">
        <f t="shared" si="48"/>
        <v>4395.2972970068049</v>
      </c>
      <c r="K127" s="9">
        <f t="shared" si="48"/>
        <v>1274.8264887422336</v>
      </c>
      <c r="L127" s="9">
        <f t="shared" si="48"/>
        <v>0</v>
      </c>
      <c r="M127" s="9">
        <f t="shared" ref="M127:M132" si="49">SUM(C127:L127)</f>
        <v>47181.616475445604</v>
      </c>
    </row>
    <row r="128" spans="1:16" x14ac:dyDescent="0.2">
      <c r="A128" t="s">
        <v>176</v>
      </c>
      <c r="C128" s="9">
        <f t="shared" si="48"/>
        <v>10648.321993523999</v>
      </c>
      <c r="D128" s="9">
        <f t="shared" si="48"/>
        <v>0</v>
      </c>
      <c r="E128" s="9">
        <f t="shared" si="48"/>
        <v>16091.359061708563</v>
      </c>
      <c r="F128" s="9">
        <f t="shared" si="48"/>
        <v>12169.495899996442</v>
      </c>
      <c r="G128" s="9">
        <f t="shared" si="48"/>
        <v>2075.7107581877572</v>
      </c>
      <c r="H128" s="9">
        <f t="shared" si="48"/>
        <v>-4656.7719849626938</v>
      </c>
      <c r="I128" s="9">
        <f t="shared" si="48"/>
        <v>4376.3412208007603</v>
      </c>
      <c r="J128" s="9">
        <f t="shared" si="48"/>
        <v>4570.8846164934939</v>
      </c>
      <c r="K128" s="9">
        <f t="shared" si="48"/>
        <v>1481.2050248395235</v>
      </c>
      <c r="L128" s="9">
        <f t="shared" si="48"/>
        <v>-69.781870194132935</v>
      </c>
      <c r="M128" s="9">
        <f t="shared" si="49"/>
        <v>46686.764720393709</v>
      </c>
    </row>
    <row r="129" spans="1:25" x14ac:dyDescent="0.2">
      <c r="A129" t="s">
        <v>177</v>
      </c>
      <c r="C129" s="9">
        <f t="shared" si="48"/>
        <v>10025.176753614469</v>
      </c>
      <c r="D129" s="9">
        <f t="shared" si="48"/>
        <v>0</v>
      </c>
      <c r="E129" s="9">
        <f t="shared" si="48"/>
        <v>17450.96787449663</v>
      </c>
      <c r="F129" s="9">
        <f t="shared" si="48"/>
        <v>12345.549718093953</v>
      </c>
      <c r="G129" s="9">
        <f t="shared" si="48"/>
        <v>2047.6718130450529</v>
      </c>
      <c r="H129" s="9">
        <f t="shared" si="48"/>
        <v>-4403.8701599152364</v>
      </c>
      <c r="I129" s="9">
        <f t="shared" si="48"/>
        <v>4832.6131093678259</v>
      </c>
      <c r="J129" s="9">
        <f t="shared" si="48"/>
        <v>4382.872539680232</v>
      </c>
      <c r="K129" s="9">
        <f t="shared" si="48"/>
        <v>1165.302823900664</v>
      </c>
      <c r="L129" s="9">
        <f t="shared" si="48"/>
        <v>0</v>
      </c>
      <c r="M129" s="9">
        <f t="shared" si="49"/>
        <v>47846.284472283602</v>
      </c>
    </row>
    <row r="130" spans="1:25" x14ac:dyDescent="0.2">
      <c r="A130" t="s">
        <v>178</v>
      </c>
      <c r="C130" s="9">
        <f t="shared" si="48"/>
        <v>8963.0349822631833</v>
      </c>
      <c r="D130" s="9">
        <f t="shared" si="48"/>
        <v>0</v>
      </c>
      <c r="E130" s="9">
        <f t="shared" si="48"/>
        <v>14613.732242395015</v>
      </c>
      <c r="F130" s="9">
        <f t="shared" si="48"/>
        <v>8128.1221649319787</v>
      </c>
      <c r="G130" s="9">
        <f t="shared" si="48"/>
        <v>1628.3442230623896</v>
      </c>
      <c r="H130" s="9">
        <f t="shared" si="48"/>
        <v>-4056.4508367472458</v>
      </c>
      <c r="I130" s="9">
        <f t="shared" si="48"/>
        <v>3972.0054604052066</v>
      </c>
      <c r="J130" s="9">
        <f t="shared" si="48"/>
        <v>3681.1270024481587</v>
      </c>
      <c r="K130" s="9">
        <f t="shared" si="48"/>
        <v>896.38671568386746</v>
      </c>
      <c r="L130" s="9">
        <f t="shared" si="48"/>
        <v>0</v>
      </c>
      <c r="M130" s="9">
        <f t="shared" si="49"/>
        <v>37826.301954442555</v>
      </c>
    </row>
    <row r="131" spans="1:25" x14ac:dyDescent="0.2">
      <c r="A131" t="s">
        <v>179</v>
      </c>
      <c r="C131" s="9">
        <f t="shared" si="48"/>
        <v>11971.436162925735</v>
      </c>
      <c r="D131" s="9">
        <f t="shared" si="48"/>
        <v>0</v>
      </c>
      <c r="E131" s="9">
        <f t="shared" si="48"/>
        <v>18978.756706221477</v>
      </c>
      <c r="F131" s="9">
        <f t="shared" si="48"/>
        <v>8901.6307023994832</v>
      </c>
      <c r="G131" s="9">
        <f t="shared" si="48"/>
        <v>2372.3615495116364</v>
      </c>
      <c r="H131" s="9">
        <f t="shared" si="48"/>
        <v>-4663.1531951337784</v>
      </c>
      <c r="I131" s="9">
        <f t="shared" si="48"/>
        <v>3157.7238086047914</v>
      </c>
      <c r="J131" s="9">
        <f t="shared" si="48"/>
        <v>3685.6865435035761</v>
      </c>
      <c r="K131" s="9">
        <f t="shared" si="48"/>
        <v>1327.3986559063628</v>
      </c>
      <c r="L131" s="9">
        <f t="shared" si="48"/>
        <v>0</v>
      </c>
      <c r="M131" s="9">
        <f t="shared" si="49"/>
        <v>45731.840933939297</v>
      </c>
    </row>
    <row r="132" spans="1:25" x14ac:dyDescent="0.2">
      <c r="A132" t="s">
        <v>180</v>
      </c>
      <c r="C132" s="9">
        <f t="shared" si="48"/>
        <v>11351.155783500177</v>
      </c>
      <c r="D132" s="9">
        <f t="shared" si="48"/>
        <v>0</v>
      </c>
      <c r="E132" s="9">
        <f t="shared" si="48"/>
        <v>13020.577584152847</v>
      </c>
      <c r="F132" s="9">
        <f t="shared" si="48"/>
        <v>6132.4851889581805</v>
      </c>
      <c r="G132" s="9">
        <f t="shared" si="48"/>
        <v>2024.3007369933732</v>
      </c>
      <c r="H132" s="9">
        <f t="shared" si="48"/>
        <v>-3360.4904214981857</v>
      </c>
      <c r="I132" s="9">
        <f t="shared" si="48"/>
        <v>2451.6504086189907</v>
      </c>
      <c r="J132" s="9">
        <f t="shared" si="48"/>
        <v>3512.9034998637298</v>
      </c>
      <c r="K132" s="9">
        <f t="shared" si="48"/>
        <v>998.5649998226969</v>
      </c>
      <c r="L132" s="9">
        <f t="shared" si="48"/>
        <v>0</v>
      </c>
      <c r="M132" s="9">
        <f t="shared" si="49"/>
        <v>36131.147780411804</v>
      </c>
      <c r="O132" s="254">
        <v>261403.9563369166</v>
      </c>
      <c r="P132" s="255" t="s">
        <v>183</v>
      </c>
    </row>
    <row r="133" spans="1:25" x14ac:dyDescent="0.2">
      <c r="A133" t="s">
        <v>7</v>
      </c>
      <c r="C133" s="266">
        <f t="shared" ref="C133:L133" si="50">+C98*C48</f>
        <v>5280.1283943999988</v>
      </c>
      <c r="D133" s="266">
        <f t="shared" si="50"/>
        <v>0</v>
      </c>
      <c r="E133" s="266">
        <f t="shared" si="50"/>
        <v>11344.836247272764</v>
      </c>
      <c r="F133" s="266">
        <f t="shared" si="50"/>
        <v>5447.5575041409875</v>
      </c>
      <c r="G133" s="266">
        <f t="shared" si="50"/>
        <v>1770.4630868868846</v>
      </c>
      <c r="H133" s="266">
        <f t="shared" si="50"/>
        <v>-3019.8188251978795</v>
      </c>
      <c r="I133" s="266">
        <f t="shared" si="50"/>
        <v>2203.1129770192979</v>
      </c>
      <c r="J133" s="266">
        <f t="shared" si="50"/>
        <v>2949.0979857434427</v>
      </c>
      <c r="K133" s="266">
        <f t="shared" si="50"/>
        <v>1013.1200646220476</v>
      </c>
      <c r="L133" s="266">
        <f t="shared" si="50"/>
        <v>0</v>
      </c>
      <c r="M133" s="266">
        <f t="shared" ref="M133:M138" si="51">SUM(C133:L133)</f>
        <v>26988.49743488754</v>
      </c>
      <c r="O133" s="254">
        <v>130701.9781684583</v>
      </c>
      <c r="P133" s="255" t="s">
        <v>184</v>
      </c>
    </row>
    <row r="134" spans="1:25" x14ac:dyDescent="0.2">
      <c r="A134" t="s">
        <v>32</v>
      </c>
      <c r="C134" s="266">
        <f t="shared" ref="C134:L134" si="52">+C99*C49</f>
        <v>5326.4197096000007</v>
      </c>
      <c r="D134" s="266">
        <f t="shared" si="52"/>
        <v>0</v>
      </c>
      <c r="E134" s="266">
        <f t="shared" si="52"/>
        <v>12783.661835978248</v>
      </c>
      <c r="F134" s="266">
        <f t="shared" si="52"/>
        <v>4622.398906539318</v>
      </c>
      <c r="G134" s="266">
        <f t="shared" si="52"/>
        <v>1583.0603338290994</v>
      </c>
      <c r="H134" s="266">
        <f t="shared" si="52"/>
        <v>-3124.433225619221</v>
      </c>
      <c r="I134" s="266">
        <f t="shared" si="52"/>
        <v>2279.4345567207715</v>
      </c>
      <c r="J134" s="266">
        <f t="shared" si="52"/>
        <v>3051.2624318314024</v>
      </c>
      <c r="K134" s="266">
        <f t="shared" si="52"/>
        <v>1048.217186088704</v>
      </c>
      <c r="L134" s="266">
        <f t="shared" si="52"/>
        <v>0</v>
      </c>
      <c r="M134" s="266">
        <f t="shared" si="51"/>
        <v>27570.021734968323</v>
      </c>
      <c r="O134" s="254">
        <v>130701.9781684583</v>
      </c>
      <c r="P134" s="255" t="s">
        <v>185</v>
      </c>
    </row>
    <row r="135" spans="1:25" x14ac:dyDescent="0.2">
      <c r="A135" t="s">
        <v>10</v>
      </c>
      <c r="C135" s="266">
        <f t="shared" ref="C135:L135" si="53">+C100*C50</f>
        <v>3962.7945706000005</v>
      </c>
      <c r="D135" s="266">
        <f t="shared" si="53"/>
        <v>0</v>
      </c>
      <c r="E135" s="266">
        <f t="shared" si="53"/>
        <v>8396.5601240914166</v>
      </c>
      <c r="F135" s="266">
        <f t="shared" si="53"/>
        <v>3737.7449183582539</v>
      </c>
      <c r="G135" s="266">
        <f t="shared" si="53"/>
        <v>1179.4064766606386</v>
      </c>
      <c r="H135" s="266">
        <f t="shared" si="53"/>
        <v>-2295.5853950763694</v>
      </c>
      <c r="I135" s="266">
        <f t="shared" si="53"/>
        <v>1674.7474820504581</v>
      </c>
      <c r="J135" s="266">
        <f t="shared" si="53"/>
        <v>2020.8002766840882</v>
      </c>
      <c r="K135" s="266">
        <f t="shared" si="53"/>
        <v>682.12996976955037</v>
      </c>
      <c r="L135" s="266">
        <f t="shared" si="53"/>
        <v>0</v>
      </c>
      <c r="M135" s="266">
        <f t="shared" si="51"/>
        <v>19358.598423138035</v>
      </c>
      <c r="O135" s="159"/>
    </row>
    <row r="136" spans="1:25" x14ac:dyDescent="0.2">
      <c r="A136" t="s">
        <v>8</v>
      </c>
      <c r="C136" s="266">
        <f t="shared" ref="C136:L136" si="54">+C101*C51</f>
        <v>3612.0303886499996</v>
      </c>
      <c r="D136" s="266">
        <f t="shared" si="54"/>
        <v>0</v>
      </c>
      <c r="E136" s="266">
        <f t="shared" si="54"/>
        <v>10507.494647763619</v>
      </c>
      <c r="F136" s="266">
        <f t="shared" si="54"/>
        <v>4548.1380013374383</v>
      </c>
      <c r="G136" s="266">
        <f t="shared" si="54"/>
        <v>1576.6340655701601</v>
      </c>
      <c r="H136" s="266">
        <f t="shared" si="54"/>
        <v>-2801.4473396167768</v>
      </c>
      <c r="I136" s="266">
        <f t="shared" si="54"/>
        <v>1680.6420896447753</v>
      </c>
      <c r="J136" s="266">
        <f t="shared" si="54"/>
        <v>2311.9779046157323</v>
      </c>
      <c r="K136" s="266">
        <f t="shared" si="54"/>
        <v>832.4461347342758</v>
      </c>
      <c r="L136" s="266">
        <f t="shared" si="54"/>
        <v>0</v>
      </c>
      <c r="M136" s="266">
        <f t="shared" si="51"/>
        <v>22267.915892699224</v>
      </c>
      <c r="O136" s="254">
        <v>132490.60128581684</v>
      </c>
      <c r="P136" s="255" t="s">
        <v>186</v>
      </c>
    </row>
    <row r="137" spans="1:25" x14ac:dyDescent="0.2">
      <c r="A137" t="s">
        <v>9</v>
      </c>
      <c r="C137" s="266">
        <f t="shared" ref="C137:L137" si="55">+C102*C52</f>
        <v>398.55586500000004</v>
      </c>
      <c r="D137" s="266">
        <f t="shared" si="55"/>
        <v>0</v>
      </c>
      <c r="E137" s="266">
        <f t="shared" si="55"/>
        <v>8653.5198157259983</v>
      </c>
      <c r="F137" s="266">
        <f t="shared" si="55"/>
        <v>5571.4030369091724</v>
      </c>
      <c r="G137" s="266">
        <f t="shared" si="55"/>
        <v>1641.6180264111626</v>
      </c>
      <c r="H137" s="266">
        <f t="shared" si="55"/>
        <v>-3041.5290036828405</v>
      </c>
      <c r="I137" s="266">
        <f t="shared" si="55"/>
        <v>2426.9783864271894</v>
      </c>
      <c r="J137" s="266">
        <f t="shared" si="55"/>
        <v>2091.7603772521629</v>
      </c>
      <c r="K137" s="266">
        <f t="shared" si="55"/>
        <v>787.16850680220136</v>
      </c>
      <c r="L137" s="266">
        <f t="shared" si="55"/>
        <v>0</v>
      </c>
      <c r="M137" s="266">
        <f t="shared" si="51"/>
        <v>18529.475010845046</v>
      </c>
    </row>
    <row r="138" spans="1:25" x14ac:dyDescent="0.2">
      <c r="A138" t="s">
        <v>2</v>
      </c>
      <c r="C138" s="266">
        <f t="shared" ref="C138:L138" si="56">+C103*C53</f>
        <v>66.170572649999997</v>
      </c>
      <c r="D138" s="266">
        <f t="shared" si="56"/>
        <v>0</v>
      </c>
      <c r="E138" s="266">
        <f t="shared" si="56"/>
        <v>10353.113676791854</v>
      </c>
      <c r="F138" s="266">
        <f t="shared" si="56"/>
        <v>5000.325552930708</v>
      </c>
      <c r="G138" s="266">
        <f t="shared" si="56"/>
        <v>1508.9586112406248</v>
      </c>
      <c r="H138" s="266">
        <f t="shared" si="56"/>
        <v>-3115.096331794507</v>
      </c>
      <c r="I138" s="266">
        <f t="shared" si="56"/>
        <v>2414.6617388019904</v>
      </c>
      <c r="J138" s="266">
        <f t="shared" si="56"/>
        <v>1799.5782578552889</v>
      </c>
      <c r="K138" s="266">
        <f t="shared" si="56"/>
        <v>686.76997748214546</v>
      </c>
      <c r="L138" s="266">
        <f t="shared" si="56"/>
        <v>0</v>
      </c>
      <c r="M138" s="266">
        <f t="shared" si="51"/>
        <v>18714.482055958106</v>
      </c>
    </row>
    <row r="139" spans="1:25" ht="15" x14ac:dyDescent="0.35">
      <c r="C139" s="11">
        <f>SUM(C127:C138)</f>
        <v>84993.332682027016</v>
      </c>
      <c r="D139" s="11">
        <f t="shared" ref="D139:L139" si="57">SUM(D127:D138)</f>
        <v>0</v>
      </c>
      <c r="E139" s="11">
        <f t="shared" si="57"/>
        <v>156283.20869064098</v>
      </c>
      <c r="F139" s="11">
        <f t="shared" si="57"/>
        <v>89080.066859936662</v>
      </c>
      <c r="G139" s="11">
        <f t="shared" si="57"/>
        <v>21585.609996642081</v>
      </c>
      <c r="H139" s="11">
        <f t="shared" si="57"/>
        <v>-43242.29029480843</v>
      </c>
      <c r="I139" s="11">
        <f t="shared" si="57"/>
        <v>35556.015543796304</v>
      </c>
      <c r="J139" s="11">
        <f t="shared" si="57"/>
        <v>38453.248732978114</v>
      </c>
      <c r="K139" s="11">
        <f t="shared" si="57"/>
        <v>12193.536548394273</v>
      </c>
      <c r="L139" s="11">
        <f t="shared" si="57"/>
        <v>-69.781870194132935</v>
      </c>
      <c r="M139" s="267">
        <f>SUM(M127:M138)</f>
        <v>394832.94688941282</v>
      </c>
      <c r="N139" s="11"/>
      <c r="O139" s="18"/>
      <c r="P139" s="63"/>
    </row>
    <row r="140" spans="1:25" ht="15" x14ac:dyDescent="0.3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25" ht="15" x14ac:dyDescent="0.35">
      <c r="A141" s="128" t="s">
        <v>99</v>
      </c>
      <c r="B141" s="129"/>
      <c r="C141" s="81">
        <f>+C139/C104</f>
        <v>65.772113938793453</v>
      </c>
      <c r="D141" s="81" t="e">
        <f t="shared" ref="D141:M141" si="58">+D139/D104</f>
        <v>#DIV/0!</v>
      </c>
      <c r="E141" s="81">
        <f t="shared" si="58"/>
        <v>67.725445273057247</v>
      </c>
      <c r="F141" s="81">
        <f t="shared" si="58"/>
        <v>1235.9651762100352</v>
      </c>
      <c r="G141" s="81">
        <f t="shared" si="58"/>
        <v>156.24769959158456</v>
      </c>
      <c r="H141" s="81">
        <f t="shared" si="58"/>
        <v>-53.339999999999982</v>
      </c>
      <c r="I141" s="81">
        <f t="shared" si="58"/>
        <v>172.49298777769968</v>
      </c>
      <c r="J141" s="81">
        <f t="shared" si="58"/>
        <v>671.17281872732781</v>
      </c>
      <c r="K141" s="81">
        <f t="shared" si="58"/>
        <v>301.43026333511546</v>
      </c>
      <c r="L141" s="81">
        <f t="shared" si="58"/>
        <v>-110</v>
      </c>
      <c r="M141" s="81">
        <f t="shared" si="58"/>
        <v>80.164837071466266</v>
      </c>
    </row>
    <row r="142" spans="1:25" x14ac:dyDescent="0.2">
      <c r="A142" s="129"/>
      <c r="B142" s="129"/>
    </row>
    <row r="143" spans="1:25" s="1" customFormat="1" ht="15" x14ac:dyDescent="0.35">
      <c r="A143" s="128" t="s">
        <v>187</v>
      </c>
      <c r="B143" s="128"/>
      <c r="C143" s="257">
        <f>+'[2]Tons &amp; Revenue'!C141</f>
        <v>103.2692617038372</v>
      </c>
      <c r="D143" s="257">
        <f>+'[2]Tons &amp; Revenue'!D141</f>
        <v>53.207795055128827</v>
      </c>
      <c r="E143" s="257">
        <f>+'[2]Tons &amp; Revenue'!E141</f>
        <v>137.63136791044892</v>
      </c>
      <c r="F143" s="257">
        <f>+'[2]Tons &amp; Revenue'!F141</f>
        <v>1206.1803886084779</v>
      </c>
      <c r="G143" s="257">
        <f>+'[2]Tons &amp; Revenue'!G141</f>
        <v>108.19721580275454</v>
      </c>
      <c r="H143" s="257">
        <f>+'[2]Tons &amp; Revenue'!H141</f>
        <v>-53.339999999999996</v>
      </c>
      <c r="I143" s="257">
        <f>+'[2]Tons &amp; Revenue'!I141</f>
        <v>157.59766151380219</v>
      </c>
      <c r="J143" s="257">
        <f>+'[2]Tons &amp; Revenue'!J141</f>
        <v>574.66797754719494</v>
      </c>
      <c r="K143" s="257">
        <f>+'[2]Tons &amp; Revenue'!K141</f>
        <v>395.08028469955417</v>
      </c>
      <c r="L143" s="257">
        <f>+'[2]Tons &amp; Revenue'!L141</f>
        <v>-62.003141906945714</v>
      </c>
      <c r="M143" s="257">
        <f>+'[2]Tons &amp; Revenue'!M141</f>
        <v>109.06892608540637</v>
      </c>
      <c r="N143" s="258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</row>
    <row r="144" spans="1:25" x14ac:dyDescent="0.2">
      <c r="N144" s="253"/>
    </row>
    <row r="145" spans="1:13" ht="15" x14ac:dyDescent="0.35">
      <c r="A145" s="1" t="s">
        <v>188</v>
      </c>
      <c r="C145" s="259">
        <f>+C141-C143</f>
        <v>-37.497147765043749</v>
      </c>
      <c r="D145" s="259" t="e">
        <f t="shared" ref="D145:M145" si="59">+D141-D143</f>
        <v>#DIV/0!</v>
      </c>
      <c r="E145" s="259">
        <f t="shared" si="59"/>
        <v>-69.905922637391669</v>
      </c>
      <c r="F145" s="259">
        <f t="shared" si="59"/>
        <v>29.784787601557355</v>
      </c>
      <c r="G145" s="259">
        <f t="shared" si="59"/>
        <v>48.050483788830022</v>
      </c>
      <c r="H145" s="259">
        <f t="shared" si="59"/>
        <v>0</v>
      </c>
      <c r="I145" s="259">
        <f t="shared" si="59"/>
        <v>14.895326263897488</v>
      </c>
      <c r="J145" s="259">
        <f t="shared" si="59"/>
        <v>96.504841180132871</v>
      </c>
      <c r="K145" s="259">
        <f t="shared" si="59"/>
        <v>-93.650021364438714</v>
      </c>
      <c r="L145" s="259">
        <f t="shared" si="59"/>
        <v>-47.996858093054286</v>
      </c>
      <c r="M145" s="259">
        <f t="shared" si="59"/>
        <v>-28.904089013940109</v>
      </c>
    </row>
    <row r="146" spans="1:13" x14ac:dyDescent="0.2"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30"/>
    </row>
  </sheetData>
  <mergeCells count="3">
    <mergeCell ref="C23:L23"/>
    <mergeCell ref="C56:L56"/>
    <mergeCell ref="C107:L107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5"/>
  <sheetViews>
    <sheetView topLeftCell="A58" zoomScaleNormal="100" workbookViewId="0">
      <selection activeCell="P24" sqref="P23:P24"/>
    </sheetView>
  </sheetViews>
  <sheetFormatPr defaultRowHeight="12.75" x14ac:dyDescent="0.2"/>
  <cols>
    <col min="1" max="1" width="26.140625" customWidth="1"/>
    <col min="2" max="2" width="8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7" width="10.85546875" bestFit="1" customWidth="1"/>
    <col min="8" max="8" width="10.42578125" bestFit="1" customWidth="1"/>
    <col min="9" max="9" width="11.28515625" bestFit="1" customWidth="1"/>
    <col min="10" max="10" width="9.85546875" bestFit="1" customWidth="1"/>
    <col min="11" max="11" width="10.28515625" bestFit="1" customWidth="1"/>
    <col min="12" max="12" width="9.42578125" bestFit="1" customWidth="1"/>
    <col min="13" max="13" width="12.42578125" bestFit="1" customWidth="1"/>
    <col min="14" max="15" width="12.28515625" bestFit="1" customWidth="1"/>
    <col min="16" max="16" width="10.28515625" bestFit="1" customWidth="1"/>
    <col min="19" max="19" width="10.28515625" bestFit="1" customWidth="1"/>
  </cols>
  <sheetData>
    <row r="1" spans="1:14" s="4" customFormat="1" ht="23.25" x14ac:dyDescent="0.35">
      <c r="A1" s="22" t="s">
        <v>31</v>
      </c>
      <c r="C1" s="27"/>
    </row>
    <row r="2" spans="1:14" s="4" customFormat="1" x14ac:dyDescent="0.2">
      <c r="A2" s="1" t="s">
        <v>64</v>
      </c>
      <c r="C2" s="27"/>
    </row>
    <row r="3" spans="1:14" s="4" customFormat="1" x14ac:dyDescent="0.2">
      <c r="C3" s="27"/>
    </row>
    <row r="4" spans="1:14" s="4" customFormat="1" x14ac:dyDescent="0.2">
      <c r="C4" s="27"/>
    </row>
    <row r="5" spans="1:14" s="4" customFormat="1" x14ac:dyDescent="0.2">
      <c r="C5" s="27" t="s">
        <v>63</v>
      </c>
    </row>
    <row r="6" spans="1:14" s="4" customFormat="1" x14ac:dyDescent="0.2">
      <c r="C6" s="27" t="s">
        <v>34</v>
      </c>
      <c r="G6" s="4" t="s">
        <v>14</v>
      </c>
      <c r="H6" s="4" t="s">
        <v>16</v>
      </c>
      <c r="J6" s="4" t="s">
        <v>131</v>
      </c>
    </row>
    <row r="7" spans="1:14" s="4" customFormat="1" x14ac:dyDescent="0.2">
      <c r="C7" s="27" t="s">
        <v>33</v>
      </c>
      <c r="D7" s="4" t="s">
        <v>14</v>
      </c>
      <c r="E7" s="4" t="s">
        <v>47</v>
      </c>
      <c r="F7" s="4" t="s">
        <v>4</v>
      </c>
      <c r="G7" s="4" t="s">
        <v>15</v>
      </c>
      <c r="H7" s="27" t="s">
        <v>34</v>
      </c>
      <c r="I7" s="4" t="s">
        <v>33</v>
      </c>
      <c r="J7" s="4" t="s">
        <v>132</v>
      </c>
    </row>
    <row r="8" spans="1:14" s="5" customFormat="1" x14ac:dyDescent="0.2">
      <c r="A8" s="5" t="s">
        <v>62</v>
      </c>
      <c r="C8" s="16" t="s">
        <v>12</v>
      </c>
      <c r="D8" s="4" t="s">
        <v>46</v>
      </c>
      <c r="E8" s="5" t="s">
        <v>34</v>
      </c>
      <c r="F8" s="5" t="s">
        <v>15</v>
      </c>
      <c r="G8" s="101" t="s">
        <v>12</v>
      </c>
      <c r="H8" s="5" t="s">
        <v>12</v>
      </c>
      <c r="I8" s="5" t="s">
        <v>5</v>
      </c>
      <c r="J8" s="5" t="s">
        <v>133</v>
      </c>
      <c r="K8" s="101"/>
      <c r="L8" s="4"/>
      <c r="M8" s="4"/>
      <c r="N8" s="4"/>
    </row>
    <row r="9" spans="1:14" x14ac:dyDescent="0.2">
      <c r="A9" t="s">
        <v>7</v>
      </c>
      <c r="C9" s="2">
        <f>+Composition!B39</f>
        <v>1121.56</v>
      </c>
      <c r="D9" s="6">
        <f>-Composition!B37</f>
        <v>-174.19</v>
      </c>
      <c r="E9" s="6">
        <f t="shared" ref="E9:E14" si="0">+D9+C9</f>
        <v>947.36999999999989</v>
      </c>
      <c r="F9" s="113">
        <f>+'Res''l &amp; MF Customers'!C18</f>
        <v>0.56135869050998211</v>
      </c>
      <c r="G9" s="6">
        <f t="shared" ref="G9:G14" si="1">-F9*E9</f>
        <v>-531.81438262844165</v>
      </c>
      <c r="H9" s="6">
        <f t="shared" ref="H9:H14" si="2">+G9+E9</f>
        <v>415.55561737155824</v>
      </c>
      <c r="I9" s="156">
        <f>+'Res''l &amp; MF Customers'!C12</f>
        <v>23180</v>
      </c>
      <c r="J9" s="6">
        <f t="shared" ref="J9:J14" si="3">+H9*2000/I9/4.3333</f>
        <v>8.2742181053524835</v>
      </c>
      <c r="K9" s="4"/>
      <c r="L9" s="4"/>
      <c r="M9" s="4"/>
      <c r="N9" s="4"/>
    </row>
    <row r="10" spans="1:14" x14ac:dyDescent="0.2">
      <c r="A10" s="63" t="s">
        <v>147</v>
      </c>
      <c r="C10" s="2">
        <f>+Composition!D39</f>
        <v>1160.0900000000001</v>
      </c>
      <c r="D10" s="6">
        <f>-Composition!D37</f>
        <v>-180.93</v>
      </c>
      <c r="E10" s="6">
        <f t="shared" si="0"/>
        <v>979.16000000000008</v>
      </c>
      <c r="F10" s="146">
        <f>+'Res''l &amp; MF Customers'!D18</f>
        <v>0.56089755728081803</v>
      </c>
      <c r="G10" s="6">
        <f t="shared" si="1"/>
        <v>-549.20845218708587</v>
      </c>
      <c r="H10" s="6">
        <f t="shared" si="2"/>
        <v>429.95154781291421</v>
      </c>
      <c r="I10" s="156">
        <f>+'Res''l &amp; MF Customers'!D$12</f>
        <v>23189</v>
      </c>
      <c r="J10" s="6">
        <f t="shared" si="3"/>
        <v>8.557536003303035</v>
      </c>
      <c r="K10" s="4"/>
      <c r="L10" s="4"/>
      <c r="M10" s="4"/>
      <c r="N10" s="4"/>
    </row>
    <row r="11" spans="1:14" x14ac:dyDescent="0.2">
      <c r="A11" t="s">
        <v>10</v>
      </c>
      <c r="C11" s="2">
        <f>+Composition!F39</f>
        <v>849.06</v>
      </c>
      <c r="D11" s="6">
        <f>-Composition!F37</f>
        <v>-129.13999999999999</v>
      </c>
      <c r="E11" s="6">
        <f t="shared" si="0"/>
        <v>719.92</v>
      </c>
      <c r="F11" s="146">
        <f>+'Res''l &amp; MF Customers'!E18</f>
        <v>0.56120923012853274</v>
      </c>
      <c r="G11" s="6">
        <f t="shared" si="1"/>
        <v>-404.02574895413329</v>
      </c>
      <c r="H11" s="6">
        <f t="shared" si="2"/>
        <v>315.89425104586667</v>
      </c>
      <c r="I11" s="156">
        <f>+'Res''l &amp; MF Customers'!E$12</f>
        <v>23180</v>
      </c>
      <c r="J11" s="6">
        <f t="shared" si="3"/>
        <v>6.289839006179121</v>
      </c>
      <c r="K11" s="4"/>
      <c r="L11" s="4"/>
      <c r="M11" s="4"/>
      <c r="N11" s="4"/>
    </row>
    <row r="12" spans="1:14" x14ac:dyDescent="0.2">
      <c r="A12" t="s">
        <v>8</v>
      </c>
      <c r="C12" s="2">
        <f>+Composition!H39</f>
        <v>1019.1300000000001</v>
      </c>
      <c r="D12" s="6">
        <f>-Composition!H37</f>
        <v>-140.93</v>
      </c>
      <c r="E12" s="6">
        <f t="shared" si="0"/>
        <v>878.2</v>
      </c>
      <c r="F12" s="146">
        <f>+'Res''l &amp; MF Customers'!F18</f>
        <v>0.56102751464246037</v>
      </c>
      <c r="G12" s="6">
        <f t="shared" si="1"/>
        <v>-492.69436335900872</v>
      </c>
      <c r="H12" s="6">
        <f t="shared" si="2"/>
        <v>385.50563664099133</v>
      </c>
      <c r="I12" s="156">
        <f>+'Res''l &amp; MF Customers'!F$12</f>
        <v>23309</v>
      </c>
      <c r="J12" s="6">
        <f t="shared" si="3"/>
        <v>7.6334054279154628</v>
      </c>
      <c r="K12" s="4"/>
      <c r="L12" s="4"/>
      <c r="M12" s="4"/>
      <c r="N12" s="4"/>
    </row>
    <row r="13" spans="1:14" x14ac:dyDescent="0.2">
      <c r="A13" t="s">
        <v>9</v>
      </c>
      <c r="C13" s="2">
        <f>+Composition!J39</f>
        <v>1108.9099999999999</v>
      </c>
      <c r="D13" s="6">
        <f>-Composition!J37</f>
        <v>-159.49</v>
      </c>
      <c r="E13" s="6">
        <f t="shared" si="0"/>
        <v>949.41999999999985</v>
      </c>
      <c r="F13" s="146">
        <f>+'Res''l &amp; MF Customers'!G18</f>
        <v>0.5591591254004834</v>
      </c>
      <c r="G13" s="6">
        <f t="shared" si="1"/>
        <v>-530.8768568377269</v>
      </c>
      <c r="H13" s="6">
        <f t="shared" si="2"/>
        <v>418.54314316227294</v>
      </c>
      <c r="I13" s="156">
        <f>+'Res''l &amp; MF Customers'!G$12</f>
        <v>23529</v>
      </c>
      <c r="J13" s="6">
        <f t="shared" si="3"/>
        <v>8.2100915613075589</v>
      </c>
      <c r="K13" s="4"/>
      <c r="L13" s="4"/>
      <c r="M13" s="4"/>
      <c r="N13" s="4"/>
    </row>
    <row r="14" spans="1:14" ht="15" x14ac:dyDescent="0.35">
      <c r="A14" t="s">
        <v>2</v>
      </c>
      <c r="C14" s="12">
        <f>+Composition!L39</f>
        <v>1128.76</v>
      </c>
      <c r="D14" s="7">
        <f>-Composition!L37</f>
        <v>-174.73</v>
      </c>
      <c r="E14" s="7">
        <f t="shared" si="0"/>
        <v>954.03</v>
      </c>
      <c r="F14" s="150">
        <f>+'Res''l &amp; MF Customers'!H18</f>
        <v>0.55067796300023786</v>
      </c>
      <c r="G14" s="7">
        <f t="shared" si="1"/>
        <v>-525.36329704111688</v>
      </c>
      <c r="H14" s="7">
        <f t="shared" si="2"/>
        <v>428.66670295888309</v>
      </c>
      <c r="I14" s="157">
        <f>+'Res''l &amp; MF Customers'!H$12</f>
        <v>24555</v>
      </c>
      <c r="J14" s="7">
        <f t="shared" si="3"/>
        <v>8.057328140978802</v>
      </c>
      <c r="K14" s="4"/>
      <c r="L14" s="4"/>
      <c r="M14" s="4"/>
      <c r="N14" s="4"/>
    </row>
    <row r="15" spans="1:14" ht="15" x14ac:dyDescent="0.35">
      <c r="C15" s="15">
        <f>SUM(C9:C14)</f>
        <v>6387.51</v>
      </c>
      <c r="D15" s="15">
        <f>SUM(D9:D14)</f>
        <v>-959.41000000000008</v>
      </c>
      <c r="E15" s="15">
        <f>SUM(E9:E14)</f>
        <v>5428.0999999999995</v>
      </c>
      <c r="F15" s="100">
        <f>-G15/E15</f>
        <v>0.55894016341031183</v>
      </c>
      <c r="G15" s="15">
        <f>SUM(G9:G14)</f>
        <v>-3033.9831010075131</v>
      </c>
      <c r="H15" s="15">
        <f>SUM(H9:H14)</f>
        <v>2394.1168989924863</v>
      </c>
      <c r="I15" s="158">
        <f>SUM(I9:I14)</f>
        <v>140942</v>
      </c>
      <c r="J15" s="8">
        <f t="shared" ref="J15" si="4">+H15*2000/I15/4.3333</f>
        <v>7.8400017751480622</v>
      </c>
      <c r="K15" s="4"/>
      <c r="L15" s="4"/>
      <c r="M15" s="4"/>
      <c r="N15" s="4"/>
    </row>
    <row r="16" spans="1:14" x14ac:dyDescent="0.2">
      <c r="I16" s="6"/>
    </row>
    <row r="17" spans="1:28" x14ac:dyDescent="0.2">
      <c r="C17" s="275" t="s">
        <v>35</v>
      </c>
      <c r="D17" s="275"/>
      <c r="E17" s="275"/>
      <c r="F17" s="275"/>
      <c r="G17" s="275"/>
      <c r="H17" s="275"/>
      <c r="I17" s="275"/>
      <c r="J17" s="275"/>
      <c r="K17" s="275"/>
      <c r="L17" s="275"/>
    </row>
    <row r="18" spans="1:28" x14ac:dyDescent="0.2"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28" x14ac:dyDescent="0.2">
      <c r="C19" s="24" t="s">
        <v>36</v>
      </c>
      <c r="D19" s="24" t="s">
        <v>37</v>
      </c>
      <c r="E19" s="24"/>
      <c r="F19" s="24" t="s">
        <v>38</v>
      </c>
      <c r="G19" s="24" t="s">
        <v>39</v>
      </c>
      <c r="H19" s="24"/>
      <c r="I19" s="24"/>
      <c r="J19" s="24" t="s">
        <v>0</v>
      </c>
      <c r="K19" s="24" t="s">
        <v>0</v>
      </c>
      <c r="L19" s="24" t="s">
        <v>40</v>
      </c>
      <c r="N19" s="99"/>
    </row>
    <row r="20" spans="1:28" x14ac:dyDescent="0.2">
      <c r="C20" s="25" t="s">
        <v>41</v>
      </c>
      <c r="D20" s="25" t="s">
        <v>42</v>
      </c>
      <c r="E20" s="25" t="s">
        <v>19</v>
      </c>
      <c r="F20" s="25" t="s">
        <v>17</v>
      </c>
      <c r="G20" s="25" t="s">
        <v>18</v>
      </c>
      <c r="H20" s="25" t="s">
        <v>11</v>
      </c>
      <c r="I20" s="25" t="s">
        <v>1</v>
      </c>
      <c r="J20" s="25" t="s">
        <v>43</v>
      </c>
      <c r="K20" s="25" t="s">
        <v>44</v>
      </c>
      <c r="L20" s="25" t="s">
        <v>45</v>
      </c>
      <c r="M20" s="30"/>
      <c r="N20" s="30"/>
    </row>
    <row r="21" spans="1:28" x14ac:dyDescent="0.2">
      <c r="A21" s="3" t="s">
        <v>48</v>
      </c>
      <c r="B21" s="3"/>
      <c r="C21"/>
    </row>
    <row r="22" spans="1:28" x14ac:dyDescent="0.2">
      <c r="A22" t="s">
        <v>7</v>
      </c>
      <c r="C22" s="26">
        <f>+Composition!$C25</f>
        <v>0.38141380875476316</v>
      </c>
      <c r="D22" s="26">
        <f>+Composition!$C26</f>
        <v>0</v>
      </c>
      <c r="E22" s="26">
        <f>+Composition!$C27</f>
        <v>0.35089774850375249</v>
      </c>
      <c r="F22" s="26">
        <f>+Composition!$C28</f>
        <v>1.3542755206519101E-2</v>
      </c>
      <c r="G22" s="26">
        <f>+Composition!$C30</f>
        <v>2.6821621963963392E-2</v>
      </c>
      <c r="H22" s="26">
        <f>+Composition!$C29</f>
        <v>0.16801249775694818</v>
      </c>
      <c r="I22" s="26">
        <f>+Composition!$C31</f>
        <v>4.1778819257523456E-2</v>
      </c>
      <c r="J22" s="26">
        <f>+Composition!$C32</f>
        <v>1.0312760589843461E-2</v>
      </c>
      <c r="K22" s="26">
        <f>+Composition!$C33</f>
        <v>7.2199879666867217E-3</v>
      </c>
      <c r="L22" s="26">
        <f>+Composition!$C34</f>
        <v>0</v>
      </c>
      <c r="M22" s="26">
        <f t="shared" ref="M22:M27" si="5">SUM(C22:L22)</f>
        <v>1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x14ac:dyDescent="0.2">
      <c r="A23" t="s">
        <v>32</v>
      </c>
      <c r="C23" s="26">
        <f>+Composition!$E25</f>
        <v>0.37663916009640913</v>
      </c>
      <c r="D23" s="26">
        <f>+Composition!$E26</f>
        <v>0</v>
      </c>
      <c r="E23" s="26">
        <f>+Composition!$E27</f>
        <v>0.32418603701131582</v>
      </c>
      <c r="F23" s="26">
        <f>+Composition!$E28</f>
        <v>1.7116712283998529E-2</v>
      </c>
      <c r="G23" s="26">
        <f>+Composition!$E30</f>
        <v>2.7155929572286446E-2</v>
      </c>
      <c r="H23" s="26">
        <f>+Composition!$E29</f>
        <v>0.19494260386453693</v>
      </c>
      <c r="I23" s="26">
        <f>+Composition!$E31</f>
        <v>4.0534744066342575E-2</v>
      </c>
      <c r="J23" s="26">
        <f>+Composition!$E32</f>
        <v>1.1193267698843906E-2</v>
      </c>
      <c r="K23" s="26">
        <f>+Composition!$E33</f>
        <v>8.2315454062665949E-3</v>
      </c>
      <c r="L23" s="26">
        <f>+Composition!$E34</f>
        <v>0</v>
      </c>
      <c r="M23" s="26">
        <f t="shared" si="5"/>
        <v>1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x14ac:dyDescent="0.2">
      <c r="A24" t="s">
        <v>10</v>
      </c>
      <c r="C24" s="26">
        <f>+Composition!$G25</f>
        <v>0.32232748083120349</v>
      </c>
      <c r="D24" s="26">
        <f>+Composition!$G26</f>
        <v>0</v>
      </c>
      <c r="E24" s="26">
        <f>+Composition!$G27</f>
        <v>0.3893071452383598</v>
      </c>
      <c r="F24" s="26">
        <f>+Composition!$G28</f>
        <v>1.8043671519057676E-2</v>
      </c>
      <c r="G24" s="26">
        <f>+Composition!$G30</f>
        <v>2.9836648516501835E-2</v>
      </c>
      <c r="H24" s="26">
        <f>+Composition!$G29</f>
        <v>0.18457606400711191</v>
      </c>
      <c r="I24" s="26">
        <f>+Composition!$G31</f>
        <v>3.5378930992332483E-2</v>
      </c>
      <c r="J24" s="26">
        <f>+Composition!$G32</f>
        <v>1.1681853539282144E-2</v>
      </c>
      <c r="K24" s="26">
        <f>+Composition!$G33</f>
        <v>8.8482053561506832E-3</v>
      </c>
      <c r="L24" s="26">
        <f>+Composition!$G34</f>
        <v>0</v>
      </c>
      <c r="M24" s="26">
        <f t="shared" si="5"/>
        <v>1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2">
      <c r="A25" t="s">
        <v>8</v>
      </c>
      <c r="C25" s="26">
        <f>+Composition!$I$25</f>
        <v>0.3092347984513778</v>
      </c>
      <c r="D25" s="26">
        <f>+Composition!$I26</f>
        <v>0</v>
      </c>
      <c r="E25" s="26">
        <f>+Composition!$I27</f>
        <v>0.43514005921202453</v>
      </c>
      <c r="F25" s="26">
        <f>+Composition!$I28</f>
        <v>1.5201548622181734E-2</v>
      </c>
      <c r="G25" s="26">
        <f>+Composition!$I30</f>
        <v>2.5529492143019816E-2</v>
      </c>
      <c r="H25" s="26">
        <f>+Composition!$I29</f>
        <v>0.16233204281484856</v>
      </c>
      <c r="I25" s="26">
        <f>+Composition!$I31</f>
        <v>3.3420633113186063E-2</v>
      </c>
      <c r="J25" s="26">
        <f>+Composition!$I32</f>
        <v>1.1250284673195173E-2</v>
      </c>
      <c r="K25" s="26">
        <f>+Composition!$I33</f>
        <v>7.891140970166249E-3</v>
      </c>
      <c r="L25" s="26">
        <f>+Composition!$I34</f>
        <v>0</v>
      </c>
      <c r="M25" s="26">
        <f t="shared" si="5"/>
        <v>1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x14ac:dyDescent="0.2">
      <c r="A26" t="s">
        <v>9</v>
      </c>
      <c r="C26" s="26">
        <f>+Composition!$K$25</f>
        <v>0.32402940742769271</v>
      </c>
      <c r="D26" s="26">
        <f>+Composition!$K26</f>
        <v>0</v>
      </c>
      <c r="E26" s="26">
        <f>+Composition!$K27</f>
        <v>0.41386320069094817</v>
      </c>
      <c r="F26" s="26">
        <f>+Composition!$K28</f>
        <v>1.4830106802047566E-2</v>
      </c>
      <c r="G26" s="26">
        <f>+Composition!$K30</f>
        <v>2.4878346780139456E-2</v>
      </c>
      <c r="H26" s="26">
        <f>+Composition!$K29</f>
        <v>0.16470055402245581</v>
      </c>
      <c r="I26" s="26">
        <f>+Composition!$K31</f>
        <v>3.901329232584104E-2</v>
      </c>
      <c r="J26" s="26">
        <f>+Composition!$K32</f>
        <v>1.027996039687388E-2</v>
      </c>
      <c r="K26" s="26">
        <f>+Composition!$K33</f>
        <v>8.4051315540013914E-3</v>
      </c>
      <c r="L26" s="26">
        <f>+Composition!$K34</f>
        <v>0</v>
      </c>
      <c r="M26" s="26">
        <f t="shared" si="5"/>
        <v>1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x14ac:dyDescent="0.2">
      <c r="A27" t="s">
        <v>2</v>
      </c>
      <c r="C27" s="148">
        <f>+Composition!$M25</f>
        <v>0.32359569405574246</v>
      </c>
      <c r="D27" s="148">
        <f>+Composition!$M26</f>
        <v>0</v>
      </c>
      <c r="E27" s="148">
        <f>+Composition!$M27</f>
        <v>0.40972506105678014</v>
      </c>
      <c r="F27" s="148">
        <f>+Composition!$M28</f>
        <v>1.6917706990346216E-2</v>
      </c>
      <c r="G27" s="148">
        <f>+Composition!$M30</f>
        <v>2.2955252979466052E-2</v>
      </c>
      <c r="H27" s="148">
        <f>+Composition!$M29</f>
        <v>0.17025670052304434</v>
      </c>
      <c r="I27" s="148">
        <f>+Composition!$M31</f>
        <v>4.010356068467448E-2</v>
      </c>
      <c r="J27" s="148">
        <f>+Composition!$M32</f>
        <v>9.1087282370575333E-3</v>
      </c>
      <c r="K27" s="148">
        <f>+Composition!$M33</f>
        <v>7.3372954728886924E-3</v>
      </c>
      <c r="L27" s="148">
        <f>+Composition!$M34</f>
        <v>0</v>
      </c>
      <c r="M27" s="26">
        <f t="shared" si="5"/>
        <v>0.99999999999999989</v>
      </c>
      <c r="N27" s="26"/>
      <c r="O27" s="26"/>
      <c r="P27" s="26"/>
      <c r="Q27" s="26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x14ac:dyDescent="0.2">
      <c r="C28"/>
      <c r="N28" s="26"/>
      <c r="R28" s="28"/>
    </row>
    <row r="29" spans="1:28" x14ac:dyDescent="0.2">
      <c r="A29" s="3" t="s">
        <v>49</v>
      </c>
      <c r="B29" s="3"/>
      <c r="C29"/>
      <c r="R29" s="28"/>
    </row>
    <row r="30" spans="1:28" x14ac:dyDescent="0.2">
      <c r="A30" t="s">
        <v>7</v>
      </c>
      <c r="C30" s="18">
        <f>+Prices!B5</f>
        <v>73.16</v>
      </c>
      <c r="D30" s="18">
        <f>+Prices!C5</f>
        <v>-45</v>
      </c>
      <c r="E30" s="18">
        <f>+Prices!D5</f>
        <v>68.239999999999995</v>
      </c>
      <c r="F30" s="18">
        <f>+Prices!E5</f>
        <v>1100.82</v>
      </c>
      <c r="G30" s="18">
        <f>+Prices!F5</f>
        <v>163.49</v>
      </c>
      <c r="H30" s="18">
        <f>+Prices!G5</f>
        <v>-53.34</v>
      </c>
      <c r="I30" s="18">
        <f>+Prices!H5</f>
        <v>160</v>
      </c>
      <c r="J30" s="18">
        <f>+Prices!I5</f>
        <v>710</v>
      </c>
      <c r="K30" s="18">
        <f>+Prices!J5</f>
        <v>350</v>
      </c>
      <c r="L30" s="18">
        <f>+Prices!K5</f>
        <v>-140</v>
      </c>
      <c r="O30" s="18"/>
      <c r="P30" s="18"/>
      <c r="R30" s="28"/>
      <c r="S30" s="18"/>
      <c r="T30" s="18"/>
      <c r="U30" s="18"/>
      <c r="V30" s="18"/>
      <c r="W30" s="18"/>
      <c r="X30" s="18"/>
      <c r="Y30" s="18"/>
      <c r="Z30" s="18"/>
    </row>
    <row r="31" spans="1:28" x14ac:dyDescent="0.2">
      <c r="A31" t="s">
        <v>32</v>
      </c>
      <c r="C31" s="18">
        <f>+Prices!B6</f>
        <v>73.48</v>
      </c>
      <c r="D31" s="18">
        <f>+Prices!C6</f>
        <v>-47.5</v>
      </c>
      <c r="E31" s="18">
        <f>+Prices!D6</f>
        <v>74.319999999999993</v>
      </c>
      <c r="F31" s="18">
        <f>+Prices!E6</f>
        <v>902.8</v>
      </c>
      <c r="G31" s="18">
        <f>+Prices!F6</f>
        <v>141.29</v>
      </c>
      <c r="H31" s="18">
        <f>+Prices!G6</f>
        <v>-53.34</v>
      </c>
      <c r="I31" s="18">
        <f>+Prices!H6</f>
        <v>160</v>
      </c>
      <c r="J31" s="18">
        <f>+Prices!I6</f>
        <v>710</v>
      </c>
      <c r="K31" s="18">
        <f>+Prices!J6</f>
        <v>350</v>
      </c>
      <c r="L31" s="18">
        <f>+Prices!K6</f>
        <v>-140</v>
      </c>
      <c r="O31" s="18"/>
      <c r="P31" s="18"/>
      <c r="R31" s="28"/>
      <c r="S31" s="18"/>
      <c r="T31" s="18"/>
      <c r="U31" s="18"/>
      <c r="V31" s="18"/>
      <c r="W31" s="18"/>
      <c r="X31" s="18"/>
      <c r="Y31" s="18"/>
      <c r="Z31" s="18"/>
    </row>
    <row r="32" spans="1:28" x14ac:dyDescent="0.2">
      <c r="A32" t="s">
        <v>10</v>
      </c>
      <c r="C32" s="18">
        <f>+Prices!B7</f>
        <v>63.38</v>
      </c>
      <c r="D32" s="18">
        <f>+Prices!C7</f>
        <v>-47.5</v>
      </c>
      <c r="E32" s="18">
        <f>+Prices!D7</f>
        <v>66.44</v>
      </c>
      <c r="F32" s="18">
        <f>+Prices!E7</f>
        <v>993.6</v>
      </c>
      <c r="G32" s="18">
        <f>+Prices!F7</f>
        <v>143.27000000000001</v>
      </c>
      <c r="H32" s="18">
        <f>+Prices!G7</f>
        <v>-53.34</v>
      </c>
      <c r="I32" s="18">
        <f>+Prices!H7</f>
        <v>160</v>
      </c>
      <c r="J32" s="18">
        <f>+Prices!I7</f>
        <v>640</v>
      </c>
      <c r="K32" s="18">
        <f>+Prices!J7</f>
        <v>310</v>
      </c>
      <c r="L32" s="18">
        <f>+Prices!K7</f>
        <v>-140</v>
      </c>
      <c r="O32" s="18"/>
      <c r="P32" s="18"/>
      <c r="R32" s="28"/>
      <c r="S32" s="18"/>
      <c r="T32" s="18"/>
      <c r="U32" s="18"/>
      <c r="V32" s="18"/>
      <c r="W32" s="18"/>
      <c r="X32" s="18"/>
      <c r="Y32" s="18"/>
      <c r="Z32" s="18"/>
    </row>
    <row r="33" spans="1:26" x14ac:dyDescent="0.2">
      <c r="A33" t="s">
        <v>8</v>
      </c>
      <c r="C33" s="18">
        <f>+Prices!B8</f>
        <v>60.51</v>
      </c>
      <c r="D33" s="18">
        <f>+Prices!C8</f>
        <v>-47.5</v>
      </c>
      <c r="E33" s="18">
        <f>+Prices!D8</f>
        <v>68.13</v>
      </c>
      <c r="F33" s="18">
        <f>+Prices!E8</f>
        <v>990.71</v>
      </c>
      <c r="G33" s="18">
        <f>+Prices!F8</f>
        <v>156.94</v>
      </c>
      <c r="H33" s="18">
        <f>+Prices!G8</f>
        <v>-53.34</v>
      </c>
      <c r="I33" s="18">
        <f>+Prices!H8</f>
        <v>131.57</v>
      </c>
      <c r="J33" s="18">
        <f>+Prices!I8</f>
        <v>600</v>
      </c>
      <c r="K33" s="18">
        <f>+Prices!J8</f>
        <v>310</v>
      </c>
      <c r="L33" s="18">
        <f>+Prices!K8</f>
        <v>-140</v>
      </c>
      <c r="O33" s="18"/>
      <c r="P33" s="18"/>
      <c r="R33" s="28"/>
      <c r="S33" s="18"/>
      <c r="T33" s="18"/>
      <c r="U33" s="18"/>
      <c r="V33" s="18"/>
      <c r="W33" s="18"/>
      <c r="X33" s="18"/>
      <c r="Y33" s="18"/>
      <c r="Z33" s="18"/>
    </row>
    <row r="34" spans="1:26" x14ac:dyDescent="0.2">
      <c r="A34" t="s">
        <v>9</v>
      </c>
      <c r="C34" s="18">
        <f>+Prices!B9</f>
        <v>20.100000000000001</v>
      </c>
      <c r="D34" s="18">
        <f>+Prices!C9</f>
        <v>-47.5</v>
      </c>
      <c r="E34" s="18">
        <f>+Prices!D9</f>
        <v>51.68</v>
      </c>
      <c r="F34" s="18">
        <f>+Prices!E9</f>
        <v>1117.81</v>
      </c>
      <c r="G34" s="18">
        <f>+Prices!F9</f>
        <v>150.51</v>
      </c>
      <c r="H34" s="18">
        <f>+Prices!G9</f>
        <v>-53.34</v>
      </c>
      <c r="I34" s="18">
        <f>+Prices!H9</f>
        <v>175</v>
      </c>
      <c r="J34" s="18">
        <f>+Prices!I9</f>
        <v>500</v>
      </c>
      <c r="K34" s="18">
        <f>+Prices!J9</f>
        <v>270</v>
      </c>
      <c r="L34" s="18">
        <f>+Prices!K9</f>
        <v>-140</v>
      </c>
      <c r="O34" s="18"/>
      <c r="P34" s="18"/>
      <c r="R34" s="28"/>
      <c r="S34" s="18"/>
      <c r="T34" s="18"/>
      <c r="U34" s="18"/>
      <c r="V34" s="18"/>
      <c r="W34" s="18"/>
      <c r="X34" s="18"/>
      <c r="Y34" s="18"/>
      <c r="Z34" s="18"/>
    </row>
    <row r="35" spans="1:26" x14ac:dyDescent="0.2">
      <c r="A35" t="s">
        <v>2</v>
      </c>
      <c r="C35" s="18">
        <f>+Prices!B10</f>
        <v>8.19</v>
      </c>
      <c r="D35" s="18">
        <f>+Prices!C10</f>
        <v>-55.5</v>
      </c>
      <c r="E35" s="18">
        <f>+Prices!D10</f>
        <v>60.37</v>
      </c>
      <c r="F35" s="18">
        <f>+Prices!E10</f>
        <v>979.54</v>
      </c>
      <c r="G35" s="18">
        <f>+Prices!F10</f>
        <v>135.08000000000001</v>
      </c>
      <c r="H35" s="18">
        <f>+Prices!G10</f>
        <v>-53.34</v>
      </c>
      <c r="I35" s="18">
        <f>+Prices!H10</f>
        <v>170</v>
      </c>
      <c r="J35" s="18">
        <f>+Prices!I10</f>
        <v>420</v>
      </c>
      <c r="K35" s="18">
        <f>+Prices!J10</f>
        <v>230</v>
      </c>
      <c r="L35" s="18">
        <f>+Prices!K10</f>
        <v>-140</v>
      </c>
      <c r="O35" s="62"/>
      <c r="P35" s="18"/>
      <c r="R35" s="28"/>
      <c r="S35" s="29"/>
      <c r="T35" s="29"/>
      <c r="U35" s="18"/>
      <c r="V35" s="29"/>
      <c r="W35" s="29"/>
      <c r="X35" s="29"/>
      <c r="Y35" s="29"/>
      <c r="Z35" s="29"/>
    </row>
    <row r="36" spans="1:26" x14ac:dyDescent="0.2">
      <c r="C36" s="63"/>
      <c r="D36" s="63"/>
      <c r="E36" s="63"/>
      <c r="F36" s="63"/>
      <c r="G36" s="63"/>
      <c r="H36" s="63"/>
      <c r="I36" s="63"/>
      <c r="J36" s="63"/>
      <c r="K36" s="63"/>
      <c r="L36" s="63"/>
      <c r="P36" s="4"/>
      <c r="Q36" s="4"/>
      <c r="R36" s="4"/>
      <c r="S36" s="4"/>
      <c r="T36" s="4"/>
    </row>
    <row r="37" spans="1:26" x14ac:dyDescent="0.2">
      <c r="C37"/>
      <c r="P37" s="4"/>
      <c r="Q37" s="4"/>
      <c r="R37" s="4"/>
      <c r="S37" s="4"/>
      <c r="T37" s="4"/>
      <c r="U37" s="4"/>
    </row>
    <row r="38" spans="1:26" x14ac:dyDescent="0.2">
      <c r="C38" s="275" t="s">
        <v>35</v>
      </c>
      <c r="D38" s="275"/>
      <c r="E38" s="275"/>
      <c r="F38" s="275"/>
      <c r="G38" s="275"/>
      <c r="H38" s="275"/>
      <c r="I38" s="275"/>
      <c r="J38" s="275"/>
      <c r="K38" s="275"/>
      <c r="L38" s="275"/>
      <c r="P38" s="4"/>
      <c r="Q38" s="4"/>
      <c r="R38" s="4"/>
      <c r="S38" s="4"/>
      <c r="T38" s="4"/>
      <c r="U38" s="4"/>
    </row>
    <row r="39" spans="1:26" x14ac:dyDescent="0.2">
      <c r="C39" s="24" t="s">
        <v>36</v>
      </c>
      <c r="D39" s="24" t="s">
        <v>37</v>
      </c>
      <c r="E39" s="24"/>
      <c r="F39" s="24" t="s">
        <v>38</v>
      </c>
      <c r="G39" s="24" t="s">
        <v>39</v>
      </c>
      <c r="H39" s="24"/>
      <c r="I39" s="24"/>
      <c r="J39" s="24" t="s">
        <v>0</v>
      </c>
      <c r="K39" s="24" t="s">
        <v>0</v>
      </c>
      <c r="L39" s="24" t="s">
        <v>40</v>
      </c>
      <c r="N39" s="99"/>
      <c r="P39" s="4"/>
      <c r="Q39" s="4"/>
      <c r="R39" s="4"/>
      <c r="S39" s="4"/>
      <c r="T39" s="4"/>
      <c r="U39" s="4"/>
    </row>
    <row r="40" spans="1:26" x14ac:dyDescent="0.2">
      <c r="C40" s="25" t="s">
        <v>41</v>
      </c>
      <c r="D40" s="25" t="s">
        <v>42</v>
      </c>
      <c r="E40" s="25" t="s">
        <v>19</v>
      </c>
      <c r="F40" s="25" t="s">
        <v>17</v>
      </c>
      <c r="G40" s="25" t="s">
        <v>18</v>
      </c>
      <c r="H40" s="25" t="s">
        <v>11</v>
      </c>
      <c r="I40" s="25" t="s">
        <v>1</v>
      </c>
      <c r="J40" s="25" t="s">
        <v>43</v>
      </c>
      <c r="K40" s="25" t="s">
        <v>44</v>
      </c>
      <c r="L40" s="25" t="s">
        <v>45</v>
      </c>
      <c r="M40" s="30" t="s">
        <v>3</v>
      </c>
      <c r="N40" s="30"/>
      <c r="P40" s="4"/>
      <c r="Q40" s="4"/>
      <c r="R40" s="4"/>
      <c r="S40" s="4"/>
      <c r="T40" s="4"/>
      <c r="U40" s="4"/>
    </row>
    <row r="41" spans="1:26" x14ac:dyDescent="0.2">
      <c r="A41" s="3" t="s">
        <v>50</v>
      </c>
      <c r="B41" s="3"/>
      <c r="P41" s="5"/>
      <c r="Q41" s="5"/>
      <c r="R41" s="5"/>
      <c r="S41" s="5"/>
      <c r="T41" s="5"/>
      <c r="U41" s="5"/>
      <c r="V41" s="5"/>
    </row>
    <row r="42" spans="1:26" x14ac:dyDescent="0.2">
      <c r="A42" t="s">
        <v>7</v>
      </c>
      <c r="C42" s="2">
        <f t="shared" ref="C42:L42" si="6">+$H9*C22</f>
        <v>158.49865077112304</v>
      </c>
      <c r="D42" s="2">
        <f t="shared" si="6"/>
        <v>0</v>
      </c>
      <c r="E42" s="2">
        <f t="shared" si="6"/>
        <v>145.81753051376666</v>
      </c>
      <c r="F42" s="2">
        <f t="shared" si="6"/>
        <v>5.6277680007569293</v>
      </c>
      <c r="G42" s="2">
        <f t="shared" si="6"/>
        <v>11.145875674141354</v>
      </c>
      <c r="H42" s="2">
        <f t="shared" si="6"/>
        <v>69.81853723152615</v>
      </c>
      <c r="I42" s="2">
        <f t="shared" si="6"/>
        <v>17.361423029614905</v>
      </c>
      <c r="J42" s="2">
        <f t="shared" si="6"/>
        <v>4.285525593717475</v>
      </c>
      <c r="K42" s="2">
        <f t="shared" si="6"/>
        <v>3.0003065569117222</v>
      </c>
      <c r="L42" s="2">
        <f t="shared" si="6"/>
        <v>0</v>
      </c>
      <c r="M42" s="6">
        <f t="shared" ref="M42:M47" si="7">SUM(C42:L42)</f>
        <v>415.55561737155818</v>
      </c>
      <c r="N42" s="2"/>
      <c r="O42" s="6"/>
      <c r="P42" s="79"/>
      <c r="Q42" s="17"/>
      <c r="R42" s="76"/>
      <c r="S42" s="9"/>
      <c r="T42" s="76"/>
      <c r="U42" s="76"/>
      <c r="V42" s="18"/>
    </row>
    <row r="43" spans="1:26" x14ac:dyDescent="0.2">
      <c r="A43" t="s">
        <v>32</v>
      </c>
      <c r="C43" s="2">
        <f t="shared" ref="C43:L43" si="8">+$H10*C23</f>
        <v>161.9365898504071</v>
      </c>
      <c r="D43" s="2">
        <f t="shared" si="8"/>
        <v>0</v>
      </c>
      <c r="E43" s="2">
        <f t="shared" si="8"/>
        <v>139.38428839234993</v>
      </c>
      <c r="F43" s="2">
        <f t="shared" si="8"/>
        <v>7.3593569399734893</v>
      </c>
      <c r="G43" s="2">
        <f t="shared" si="8"/>
        <v>11.675733951903046</v>
      </c>
      <c r="H43" s="2">
        <f t="shared" si="8"/>
        <v>83.815874266237444</v>
      </c>
      <c r="I43" s="2">
        <f t="shared" si="8"/>
        <v>17.427975951524331</v>
      </c>
      <c r="J43" s="2">
        <f t="shared" si="8"/>
        <v>4.8125627722022344</v>
      </c>
      <c r="K43" s="2">
        <f t="shared" si="8"/>
        <v>3.5391656883166061</v>
      </c>
      <c r="L43" s="2">
        <f t="shared" si="8"/>
        <v>0</v>
      </c>
      <c r="M43" s="6">
        <f t="shared" si="7"/>
        <v>429.95154781291416</v>
      </c>
      <c r="N43" s="2"/>
      <c r="O43" s="6"/>
      <c r="P43" s="79"/>
      <c r="Q43" s="17"/>
      <c r="R43" s="76"/>
      <c r="S43" s="9"/>
      <c r="T43" s="76"/>
      <c r="U43" s="76"/>
      <c r="V43" s="18"/>
    </row>
    <row r="44" spans="1:26" x14ac:dyDescent="0.2">
      <c r="A44" t="s">
        <v>10</v>
      </c>
      <c r="C44" s="2">
        <f t="shared" ref="C44:L44" si="9">+$H11*C24</f>
        <v>101.82139814867398</v>
      </c>
      <c r="D44" s="2">
        <f t="shared" si="9"/>
        <v>0</v>
      </c>
      <c r="E44" s="2">
        <f t="shared" si="9"/>
        <v>122.9798890718761</v>
      </c>
      <c r="F44" s="2">
        <f t="shared" si="9"/>
        <v>5.6998921006303602</v>
      </c>
      <c r="G44" s="2">
        <f t="shared" si="9"/>
        <v>9.4252257368391152</v>
      </c>
      <c r="H44" s="2">
        <f t="shared" si="9"/>
        <v>58.306517500520563</v>
      </c>
      <c r="I44" s="2">
        <f t="shared" si="9"/>
        <v>11.176000908626269</v>
      </c>
      <c r="J44" s="2">
        <f t="shared" si="9"/>
        <v>3.6902303746190395</v>
      </c>
      <c r="K44" s="2">
        <f t="shared" si="9"/>
        <v>2.7950972040812458</v>
      </c>
      <c r="L44" s="2">
        <f t="shared" si="9"/>
        <v>0</v>
      </c>
      <c r="M44" s="6">
        <f t="shared" si="7"/>
        <v>315.89425104586667</v>
      </c>
      <c r="N44" s="2"/>
      <c r="O44" s="6"/>
      <c r="P44" s="79"/>
      <c r="Q44" s="17"/>
      <c r="R44" s="76"/>
      <c r="S44" s="9"/>
      <c r="T44" s="76"/>
      <c r="U44" s="76"/>
      <c r="V44" s="18"/>
    </row>
    <row r="45" spans="1:26" x14ac:dyDescent="0.2">
      <c r="A45" t="s">
        <v>8</v>
      </c>
      <c r="C45" s="2">
        <f t="shared" ref="C45:L45" si="10">+$H12*C25</f>
        <v>119.21175784854704</v>
      </c>
      <c r="D45" s="2">
        <f t="shared" si="10"/>
        <v>0</v>
      </c>
      <c r="E45" s="2">
        <f t="shared" si="10"/>
        <v>167.74894555453017</v>
      </c>
      <c r="F45" s="2">
        <f t="shared" si="10"/>
        <v>5.860282679523154</v>
      </c>
      <c r="G45" s="2">
        <f t="shared" si="10"/>
        <v>9.8417631217160402</v>
      </c>
      <c r="H45" s="2">
        <f t="shared" si="10"/>
        <v>62.579917512570859</v>
      </c>
      <c r="I45" s="2">
        <f t="shared" si="10"/>
        <v>12.88384244524379</v>
      </c>
      <c r="J45" s="2">
        <f t="shared" si="10"/>
        <v>4.337048155332492</v>
      </c>
      <c r="K45" s="2">
        <f t="shared" si="10"/>
        <v>3.0420793235277497</v>
      </c>
      <c r="L45" s="2">
        <f t="shared" si="10"/>
        <v>0</v>
      </c>
      <c r="M45" s="6">
        <f t="shared" si="7"/>
        <v>385.50563664099121</v>
      </c>
      <c r="N45" s="2"/>
      <c r="O45" s="6"/>
      <c r="P45" s="79"/>
      <c r="Q45" s="17"/>
      <c r="R45" s="76"/>
      <c r="S45" s="9"/>
      <c r="T45" s="76"/>
      <c r="U45" s="76"/>
      <c r="V45" s="18"/>
    </row>
    <row r="46" spans="1:26" x14ac:dyDescent="0.2">
      <c r="A46" t="s">
        <v>9</v>
      </c>
      <c r="C46" s="2">
        <f t="shared" ref="C46:L46" si="11">+$H13*C26</f>
        <v>135.62028666179526</v>
      </c>
      <c r="D46" s="2">
        <f t="shared" si="11"/>
        <v>0</v>
      </c>
      <c r="E46" s="2">
        <f t="shared" si="11"/>
        <v>173.21960485638803</v>
      </c>
      <c r="F46" s="2">
        <f t="shared" si="11"/>
        <v>6.2070395143611927</v>
      </c>
      <c r="G46" s="2">
        <f t="shared" si="11"/>
        <v>10.41266145804058</v>
      </c>
      <c r="H46" s="2">
        <f t="shared" si="11"/>
        <v>68.934287561126396</v>
      </c>
      <c r="I46" s="2">
        <f t="shared" si="11"/>
        <v>16.328745995166091</v>
      </c>
      <c r="J46" s="2">
        <f t="shared" si="11"/>
        <v>4.3026069360912809</v>
      </c>
      <c r="K46" s="2">
        <f t="shared" si="11"/>
        <v>3.5179101793041418</v>
      </c>
      <c r="L46" s="2">
        <f t="shared" si="11"/>
        <v>0</v>
      </c>
      <c r="M46" s="6">
        <f t="shared" si="7"/>
        <v>418.54314316227305</v>
      </c>
      <c r="N46" s="2"/>
      <c r="O46" s="6"/>
      <c r="P46" s="79"/>
      <c r="Q46" s="17"/>
      <c r="R46" s="76"/>
      <c r="S46" s="9"/>
      <c r="T46" s="76"/>
      <c r="U46" s="76"/>
      <c r="V46" s="18"/>
    </row>
    <row r="47" spans="1:26" ht="15" x14ac:dyDescent="0.35">
      <c r="A47" t="s">
        <v>2</v>
      </c>
      <c r="C47" s="12">
        <f t="shared" ref="C47:L47" si="12">+$H14*C27</f>
        <v>138.71469926256657</v>
      </c>
      <c r="D47" s="12">
        <f t="shared" si="12"/>
        <v>0</v>
      </c>
      <c r="E47" s="12">
        <f t="shared" si="12"/>
        <v>175.635491042837</v>
      </c>
      <c r="F47" s="12">
        <f t="shared" si="12"/>
        <v>7.2520576771761611</v>
      </c>
      <c r="G47" s="12">
        <f t="shared" si="12"/>
        <v>9.8401526102947905</v>
      </c>
      <c r="H47" s="12">
        <f t="shared" si="12"/>
        <v>72.983378469871369</v>
      </c>
      <c r="I47" s="12">
        <f t="shared" si="12"/>
        <v>17.191061135610898</v>
      </c>
      <c r="J47" s="12">
        <f t="shared" si="12"/>
        <v>3.9046085015279326</v>
      </c>
      <c r="K47" s="12">
        <f t="shared" si="12"/>
        <v>3.1452542589983348</v>
      </c>
      <c r="L47" s="12">
        <f t="shared" si="12"/>
        <v>0</v>
      </c>
      <c r="M47" s="7">
        <f t="shared" si="7"/>
        <v>428.66670295888298</v>
      </c>
      <c r="N47" s="12"/>
      <c r="O47" s="7"/>
      <c r="P47" s="79"/>
      <c r="Q47" s="78"/>
      <c r="R47" s="76"/>
      <c r="S47" s="9"/>
      <c r="T47" s="76"/>
      <c r="U47" s="76"/>
      <c r="V47" s="18"/>
    </row>
    <row r="48" spans="1:26" ht="15" x14ac:dyDescent="0.35">
      <c r="C48" s="15">
        <f t="shared" ref="C48:M48" si="13">SUM(C42:C47)</f>
        <v>815.803382543113</v>
      </c>
      <c r="D48" s="15">
        <f t="shared" si="13"/>
        <v>0</v>
      </c>
      <c r="E48" s="15">
        <f t="shared" si="13"/>
        <v>924.78574943174794</v>
      </c>
      <c r="F48" s="15">
        <f t="shared" si="13"/>
        <v>38.006396912421287</v>
      </c>
      <c r="G48" s="15">
        <f t="shared" si="13"/>
        <v>62.341412552934926</v>
      </c>
      <c r="H48" s="15">
        <f t="shared" si="13"/>
        <v>416.43851254185273</v>
      </c>
      <c r="I48" s="15">
        <f t="shared" si="13"/>
        <v>92.369049465786276</v>
      </c>
      <c r="J48" s="15">
        <f t="shared" si="13"/>
        <v>25.332582333490453</v>
      </c>
      <c r="K48" s="15">
        <f t="shared" si="13"/>
        <v>19.039813211139801</v>
      </c>
      <c r="L48" s="15">
        <f t="shared" si="13"/>
        <v>0</v>
      </c>
      <c r="M48" s="8">
        <f t="shared" si="13"/>
        <v>2394.1168989924863</v>
      </c>
      <c r="N48" s="8"/>
      <c r="O48" s="8"/>
      <c r="Q48" s="17"/>
    </row>
    <row r="49" spans="1:17" x14ac:dyDescent="0.2">
      <c r="C49" s="80">
        <f t="shared" ref="C49:M49" si="14">+C48/$M48</f>
        <v>0.340753362079532</v>
      </c>
      <c r="D49" s="80">
        <f t="shared" si="14"/>
        <v>0</v>
      </c>
      <c r="E49" s="80">
        <f t="shared" si="14"/>
        <v>0.38627426664960451</v>
      </c>
      <c r="F49" s="80">
        <f t="shared" si="14"/>
        <v>1.5874912761534528E-2</v>
      </c>
      <c r="G49" s="80">
        <f t="shared" si="14"/>
        <v>2.60394187849265E-2</v>
      </c>
      <c r="H49" s="80">
        <f t="shared" si="14"/>
        <v>0.17394243059605907</v>
      </c>
      <c r="I49" s="80">
        <f t="shared" si="14"/>
        <v>3.8581678908267948E-2</v>
      </c>
      <c r="J49" s="80">
        <f t="shared" si="14"/>
        <v>1.0581180202249581E-2</v>
      </c>
      <c r="K49" s="80">
        <f t="shared" si="14"/>
        <v>7.9527500178259072E-3</v>
      </c>
      <c r="L49" s="80">
        <f t="shared" si="14"/>
        <v>0</v>
      </c>
      <c r="M49" s="80">
        <f t="shared" si="14"/>
        <v>1</v>
      </c>
    </row>
    <row r="51" spans="1:17" x14ac:dyDescent="0.2">
      <c r="A51" s="3" t="s">
        <v>51</v>
      </c>
      <c r="B51" s="77">
        <v>1.35E-2</v>
      </c>
    </row>
    <row r="52" spans="1:17" x14ac:dyDescent="0.2">
      <c r="A52" t="s">
        <v>7</v>
      </c>
      <c r="C52" s="2">
        <f t="shared" ref="C52:L52" si="15">+$B$51*C42</f>
        <v>2.1397317854101612</v>
      </c>
      <c r="D52" s="2">
        <f t="shared" si="15"/>
        <v>0</v>
      </c>
      <c r="E52" s="2">
        <f t="shared" si="15"/>
        <v>1.9685366619358498</v>
      </c>
      <c r="F52" s="2">
        <f t="shared" si="15"/>
        <v>7.5974868010218549E-2</v>
      </c>
      <c r="G52" s="2">
        <f t="shared" si="15"/>
        <v>0.15046932160090828</v>
      </c>
      <c r="H52" s="2">
        <f t="shared" si="15"/>
        <v>0.94255025262560299</v>
      </c>
      <c r="I52" s="2">
        <f t="shared" si="15"/>
        <v>0.23437921089980121</v>
      </c>
      <c r="J52" s="2">
        <f t="shared" si="15"/>
        <v>5.785459551518591E-2</v>
      </c>
      <c r="K52" s="2">
        <f t="shared" si="15"/>
        <v>4.0504138518308253E-2</v>
      </c>
      <c r="L52" s="2">
        <f t="shared" si="15"/>
        <v>0</v>
      </c>
      <c r="M52" s="6">
        <f t="shared" ref="M52:M57" si="16">SUM(C52:L52)</f>
        <v>5.6100008345160362</v>
      </c>
      <c r="N52" s="2"/>
      <c r="O52" s="6"/>
    </row>
    <row r="53" spans="1:17" x14ac:dyDescent="0.2">
      <c r="A53" t="s">
        <v>32</v>
      </c>
      <c r="C53" s="2">
        <f t="shared" ref="C53:L53" si="17">+$B$51*C43</f>
        <v>2.1861439629804957</v>
      </c>
      <c r="D53" s="2">
        <f t="shared" si="17"/>
        <v>0</v>
      </c>
      <c r="E53" s="2">
        <f t="shared" si="17"/>
        <v>1.881687893296724</v>
      </c>
      <c r="F53" s="2">
        <f t="shared" si="17"/>
        <v>9.9351318689642101E-2</v>
      </c>
      <c r="G53" s="2">
        <f t="shared" si="17"/>
        <v>0.15762240835069113</v>
      </c>
      <c r="H53" s="2">
        <f t="shared" si="17"/>
        <v>1.1315143025942054</v>
      </c>
      <c r="I53" s="2">
        <f t="shared" si="17"/>
        <v>0.23527767534557847</v>
      </c>
      <c r="J53" s="2">
        <f t="shared" si="17"/>
        <v>6.4969597424730158E-2</v>
      </c>
      <c r="K53" s="2">
        <f t="shared" si="17"/>
        <v>4.7778736792274179E-2</v>
      </c>
      <c r="L53" s="2">
        <f t="shared" si="17"/>
        <v>0</v>
      </c>
      <c r="M53" s="6">
        <f t="shared" si="16"/>
        <v>5.8043458954743414</v>
      </c>
      <c r="N53" s="2"/>
      <c r="O53" s="6"/>
    </row>
    <row r="54" spans="1:17" x14ac:dyDescent="0.2">
      <c r="A54" t="s">
        <v>10</v>
      </c>
      <c r="C54" s="2">
        <f t="shared" ref="C54:L54" si="18">+$B$51*C44</f>
        <v>1.3745888750070987</v>
      </c>
      <c r="D54" s="2">
        <f t="shared" si="18"/>
        <v>0</v>
      </c>
      <c r="E54" s="2">
        <f t="shared" si="18"/>
        <v>1.6602285024703274</v>
      </c>
      <c r="F54" s="2">
        <f t="shared" si="18"/>
        <v>7.6948543358509869E-2</v>
      </c>
      <c r="G54" s="2">
        <f t="shared" si="18"/>
        <v>0.12724054744732805</v>
      </c>
      <c r="H54" s="2">
        <f t="shared" si="18"/>
        <v>0.78713798625702758</v>
      </c>
      <c r="I54" s="2">
        <f t="shared" si="18"/>
        <v>0.15087601226645464</v>
      </c>
      <c r="J54" s="2">
        <f t="shared" si="18"/>
        <v>4.9818110057357035E-2</v>
      </c>
      <c r="K54" s="2">
        <f t="shared" si="18"/>
        <v>3.7733812255096817E-2</v>
      </c>
      <c r="L54" s="2">
        <f t="shared" si="18"/>
        <v>0</v>
      </c>
      <c r="M54" s="6">
        <f t="shared" si="16"/>
        <v>4.2645723891192011</v>
      </c>
      <c r="N54" s="2"/>
      <c r="O54" s="6"/>
    </row>
    <row r="55" spans="1:17" x14ac:dyDescent="0.2">
      <c r="A55" t="s">
        <v>8</v>
      </c>
      <c r="C55" s="2">
        <f t="shared" ref="C55:L55" si="19">+$B$51*C45</f>
        <v>1.609358730955385</v>
      </c>
      <c r="D55" s="2">
        <f t="shared" si="19"/>
        <v>0</v>
      </c>
      <c r="E55" s="2">
        <f t="shared" si="19"/>
        <v>2.2646107649861573</v>
      </c>
      <c r="F55" s="2">
        <f t="shared" si="19"/>
        <v>7.9113816173562584E-2</v>
      </c>
      <c r="G55" s="2">
        <f t="shared" si="19"/>
        <v>0.13286380214316654</v>
      </c>
      <c r="H55" s="2">
        <f t="shared" si="19"/>
        <v>0.84482888641970655</v>
      </c>
      <c r="I55" s="2">
        <f t="shared" si="19"/>
        <v>0.17393187301079116</v>
      </c>
      <c r="J55" s="2">
        <f t="shared" si="19"/>
        <v>5.8550150096988642E-2</v>
      </c>
      <c r="K55" s="2">
        <f t="shared" si="19"/>
        <v>4.1068070867624623E-2</v>
      </c>
      <c r="L55" s="2">
        <f t="shared" si="19"/>
        <v>0</v>
      </c>
      <c r="M55" s="6">
        <f t="shared" si="16"/>
        <v>5.204326094653382</v>
      </c>
      <c r="N55" s="2"/>
      <c r="O55" s="6"/>
    </row>
    <row r="56" spans="1:17" x14ac:dyDescent="0.2">
      <c r="A56" t="s">
        <v>9</v>
      </c>
      <c r="C56" s="2">
        <f t="shared" ref="C56:L56" si="20">+$B$51*C46</f>
        <v>1.830873869934236</v>
      </c>
      <c r="D56" s="2">
        <f t="shared" si="20"/>
        <v>0</v>
      </c>
      <c r="E56" s="2">
        <f t="shared" si="20"/>
        <v>2.3384646655612382</v>
      </c>
      <c r="F56" s="2">
        <f t="shared" si="20"/>
        <v>8.3795033443876107E-2</v>
      </c>
      <c r="G56" s="2">
        <f t="shared" si="20"/>
        <v>0.14057092968354781</v>
      </c>
      <c r="H56" s="2">
        <f t="shared" si="20"/>
        <v>0.93061288207520632</v>
      </c>
      <c r="I56" s="2">
        <f t="shared" si="20"/>
        <v>0.22043807093474224</v>
      </c>
      <c r="J56" s="2">
        <f t="shared" si="20"/>
        <v>5.8085193637232288E-2</v>
      </c>
      <c r="K56" s="2">
        <f t="shared" si="20"/>
        <v>4.7491787420605912E-2</v>
      </c>
      <c r="L56" s="2">
        <f t="shared" si="20"/>
        <v>0</v>
      </c>
      <c r="M56" s="6">
        <f t="shared" si="16"/>
        <v>5.6503324326906865</v>
      </c>
      <c r="N56" s="2"/>
      <c r="O56" s="6"/>
    </row>
    <row r="57" spans="1:17" ht="15" x14ac:dyDescent="0.35">
      <c r="A57" t="s">
        <v>2</v>
      </c>
      <c r="C57" s="12">
        <f t="shared" ref="C57:L57" si="21">+$B$51*C47</f>
        <v>1.8726484400446486</v>
      </c>
      <c r="D57" s="12">
        <f t="shared" si="21"/>
        <v>0</v>
      </c>
      <c r="E57" s="12">
        <f t="shared" si="21"/>
        <v>2.3710791290782995</v>
      </c>
      <c r="F57" s="12">
        <f t="shared" si="21"/>
        <v>9.7902778641878171E-2</v>
      </c>
      <c r="G57" s="12">
        <f t="shared" si="21"/>
        <v>0.13284206023897968</v>
      </c>
      <c r="H57" s="12">
        <f t="shared" si="21"/>
        <v>0.98527560934326341</v>
      </c>
      <c r="I57" s="12">
        <f t="shared" si="21"/>
        <v>0.23207932533074713</v>
      </c>
      <c r="J57" s="12">
        <f t="shared" si="21"/>
        <v>5.271221477062709E-2</v>
      </c>
      <c r="K57" s="12">
        <f t="shared" si="21"/>
        <v>4.2460932496477519E-2</v>
      </c>
      <c r="L57" s="12">
        <f t="shared" si="21"/>
        <v>0</v>
      </c>
      <c r="M57" s="7">
        <f t="shared" si="16"/>
        <v>5.7870004899449201</v>
      </c>
      <c r="N57" s="12"/>
      <c r="O57" s="7"/>
    </row>
    <row r="58" spans="1:17" ht="15" x14ac:dyDescent="0.35">
      <c r="C58" s="15">
        <f t="shared" ref="C58:M58" si="22">SUM(C52:C57)</f>
        <v>11.013345664332025</v>
      </c>
      <c r="D58" s="15">
        <f t="shared" si="22"/>
        <v>0</v>
      </c>
      <c r="E58" s="15">
        <f t="shared" si="22"/>
        <v>12.484607617328596</v>
      </c>
      <c r="F58" s="15">
        <f t="shared" si="22"/>
        <v>0.51308635831768745</v>
      </c>
      <c r="G58" s="15">
        <f t="shared" si="22"/>
        <v>0.84160906946462144</v>
      </c>
      <c r="H58" s="15">
        <f t="shared" si="22"/>
        <v>5.6219199193150127</v>
      </c>
      <c r="I58" s="15">
        <f t="shared" si="22"/>
        <v>1.246982167788115</v>
      </c>
      <c r="J58" s="15">
        <f t="shared" si="22"/>
        <v>0.34198986150212113</v>
      </c>
      <c r="K58" s="15">
        <f t="shared" si="22"/>
        <v>0.25703747835038732</v>
      </c>
      <c r="L58" s="15">
        <f t="shared" si="22"/>
        <v>0</v>
      </c>
      <c r="M58" s="8">
        <f t="shared" si="22"/>
        <v>32.320578136398566</v>
      </c>
      <c r="N58" s="8"/>
      <c r="O58" s="8"/>
      <c r="P58" s="6"/>
      <c r="Q58" s="6"/>
    </row>
    <row r="59" spans="1:17" x14ac:dyDescent="0.2"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</row>
    <row r="61" spans="1:17" x14ac:dyDescent="0.2">
      <c r="A61" s="3" t="s">
        <v>52</v>
      </c>
    </row>
    <row r="62" spans="1:17" x14ac:dyDescent="0.2">
      <c r="A62" t="s">
        <v>7</v>
      </c>
      <c r="C62" s="2">
        <f t="shared" ref="C62:L62" si="23">+C42-C52</f>
        <v>156.35891898571288</v>
      </c>
      <c r="D62" s="2">
        <f t="shared" si="23"/>
        <v>0</v>
      </c>
      <c r="E62" s="2">
        <f t="shared" si="23"/>
        <v>143.84899385183081</v>
      </c>
      <c r="F62" s="2">
        <f t="shared" si="23"/>
        <v>5.5517931327467105</v>
      </c>
      <c r="G62" s="2">
        <f t="shared" si="23"/>
        <v>10.995406352540446</v>
      </c>
      <c r="H62" s="2">
        <f t="shared" si="23"/>
        <v>68.875986978900542</v>
      </c>
      <c r="I62" s="2">
        <f t="shared" si="23"/>
        <v>17.127043818715105</v>
      </c>
      <c r="J62" s="2">
        <f t="shared" si="23"/>
        <v>4.2276709982022886</v>
      </c>
      <c r="K62" s="2">
        <f t="shared" si="23"/>
        <v>2.959802418393414</v>
      </c>
      <c r="L62" s="2">
        <f t="shared" si="23"/>
        <v>0</v>
      </c>
      <c r="M62" s="6">
        <f t="shared" ref="M62:M67" si="24">SUM(C62:L62)</f>
        <v>409.94561653704216</v>
      </c>
      <c r="N62" s="2"/>
      <c r="O62" s="76"/>
    </row>
    <row r="63" spans="1:17" x14ac:dyDescent="0.2">
      <c r="A63" t="s">
        <v>32</v>
      </c>
      <c r="C63" s="2">
        <f t="shared" ref="C63:L63" si="25">+C43-C53</f>
        <v>159.75044588742659</v>
      </c>
      <c r="D63" s="2">
        <f t="shared" si="25"/>
        <v>0</v>
      </c>
      <c r="E63" s="2">
        <f t="shared" si="25"/>
        <v>137.50260049905322</v>
      </c>
      <c r="F63" s="2">
        <f t="shared" si="25"/>
        <v>7.2600056212838471</v>
      </c>
      <c r="G63" s="2">
        <f t="shared" si="25"/>
        <v>11.518111543552354</v>
      </c>
      <c r="H63" s="2">
        <f t="shared" si="25"/>
        <v>82.684359963643232</v>
      </c>
      <c r="I63" s="2">
        <f t="shared" si="25"/>
        <v>17.192698276178753</v>
      </c>
      <c r="J63" s="2">
        <f t="shared" si="25"/>
        <v>4.7475931747775046</v>
      </c>
      <c r="K63" s="2">
        <f t="shared" si="25"/>
        <v>3.4913869515243316</v>
      </c>
      <c r="L63" s="2">
        <f t="shared" si="25"/>
        <v>0</v>
      </c>
      <c r="M63" s="6">
        <f t="shared" si="24"/>
        <v>424.14720191743982</v>
      </c>
      <c r="N63" s="2"/>
      <c r="O63" s="76"/>
    </row>
    <row r="64" spans="1:17" x14ac:dyDescent="0.2">
      <c r="A64" t="s">
        <v>10</v>
      </c>
      <c r="C64" s="2">
        <f t="shared" ref="C64:L64" si="26">+C44-C54</f>
        <v>100.44680927366689</v>
      </c>
      <c r="D64" s="2">
        <f t="shared" si="26"/>
        <v>0</v>
      </c>
      <c r="E64" s="2">
        <f t="shared" si="26"/>
        <v>121.31966056940577</v>
      </c>
      <c r="F64" s="2">
        <f t="shared" si="26"/>
        <v>5.6229435572718502</v>
      </c>
      <c r="G64" s="2">
        <f t="shared" si="26"/>
        <v>9.2979851893917864</v>
      </c>
      <c r="H64" s="2">
        <f t="shared" si="26"/>
        <v>57.519379514263534</v>
      </c>
      <c r="I64" s="2">
        <f t="shared" si="26"/>
        <v>11.025124896359815</v>
      </c>
      <c r="J64" s="2">
        <f t="shared" si="26"/>
        <v>3.6404122645616823</v>
      </c>
      <c r="K64" s="2">
        <f t="shared" si="26"/>
        <v>2.7573633918261491</v>
      </c>
      <c r="L64" s="2">
        <f t="shared" si="26"/>
        <v>0</v>
      </c>
      <c r="M64" s="6">
        <f t="shared" si="24"/>
        <v>311.6296786567475</v>
      </c>
      <c r="N64" s="2"/>
      <c r="O64" s="76"/>
    </row>
    <row r="65" spans="1:16" x14ac:dyDescent="0.2">
      <c r="A65" t="s">
        <v>8</v>
      </c>
      <c r="C65" s="2">
        <f t="shared" ref="C65:L65" si="27">+C45-C55</f>
        <v>117.60239911759166</v>
      </c>
      <c r="D65" s="2">
        <f t="shared" si="27"/>
        <v>0</v>
      </c>
      <c r="E65" s="2">
        <f t="shared" si="27"/>
        <v>165.48433478954402</v>
      </c>
      <c r="F65" s="2">
        <f t="shared" si="27"/>
        <v>5.781168863349591</v>
      </c>
      <c r="G65" s="2">
        <f t="shared" si="27"/>
        <v>9.7088993195728737</v>
      </c>
      <c r="H65" s="2">
        <f t="shared" si="27"/>
        <v>61.735088626151153</v>
      </c>
      <c r="I65" s="2">
        <f t="shared" si="27"/>
        <v>12.709910572232999</v>
      </c>
      <c r="J65" s="2">
        <f t="shared" si="27"/>
        <v>4.2784980052355035</v>
      </c>
      <c r="K65" s="2">
        <f t="shared" si="27"/>
        <v>3.0010112526601249</v>
      </c>
      <c r="L65" s="2">
        <f t="shared" si="27"/>
        <v>0</v>
      </c>
      <c r="M65" s="6">
        <f t="shared" si="24"/>
        <v>380.30131054633796</v>
      </c>
      <c r="N65" s="2"/>
      <c r="O65" s="76"/>
    </row>
    <row r="66" spans="1:16" x14ac:dyDescent="0.2">
      <c r="A66" t="s">
        <v>9</v>
      </c>
      <c r="C66" s="2">
        <f t="shared" ref="C66:L66" si="28">+C46-C56</f>
        <v>133.78941279186103</v>
      </c>
      <c r="D66" s="2">
        <f t="shared" si="28"/>
        <v>0</v>
      </c>
      <c r="E66" s="2">
        <f t="shared" si="28"/>
        <v>170.88114019082678</v>
      </c>
      <c r="F66" s="2">
        <f t="shared" si="28"/>
        <v>6.1232444809173163</v>
      </c>
      <c r="G66" s="2">
        <f t="shared" si="28"/>
        <v>10.272090528357031</v>
      </c>
      <c r="H66" s="2">
        <f t="shared" si="28"/>
        <v>68.003674679051187</v>
      </c>
      <c r="I66" s="2">
        <f t="shared" si="28"/>
        <v>16.108307924231347</v>
      </c>
      <c r="J66" s="2">
        <f t="shared" si="28"/>
        <v>4.2445217424540482</v>
      </c>
      <c r="K66" s="2">
        <f t="shared" si="28"/>
        <v>3.4704183918835358</v>
      </c>
      <c r="L66" s="2">
        <f t="shared" si="28"/>
        <v>0</v>
      </c>
      <c r="M66" s="6">
        <f t="shared" si="24"/>
        <v>412.89281072958221</v>
      </c>
      <c r="N66" s="2"/>
      <c r="O66" s="76"/>
    </row>
    <row r="67" spans="1:16" ht="15" x14ac:dyDescent="0.35">
      <c r="A67" t="s">
        <v>2</v>
      </c>
      <c r="C67" s="12">
        <f t="shared" ref="C67:L67" si="29">+C47-C57</f>
        <v>136.84205082252191</v>
      </c>
      <c r="D67" s="12">
        <f t="shared" si="29"/>
        <v>0</v>
      </c>
      <c r="E67" s="12">
        <f t="shared" si="29"/>
        <v>173.26441191375869</v>
      </c>
      <c r="F67" s="12">
        <f t="shared" si="29"/>
        <v>7.1541548985342827</v>
      </c>
      <c r="G67" s="12">
        <f t="shared" si="29"/>
        <v>9.7073105500558103</v>
      </c>
      <c r="H67" s="12">
        <f t="shared" si="29"/>
        <v>71.998102860528107</v>
      </c>
      <c r="I67" s="12">
        <f t="shared" si="29"/>
        <v>16.95898181028015</v>
      </c>
      <c r="J67" s="12">
        <f t="shared" si="29"/>
        <v>3.8518962867573054</v>
      </c>
      <c r="K67" s="12">
        <f t="shared" si="29"/>
        <v>3.1027933265018572</v>
      </c>
      <c r="L67" s="12">
        <f t="shared" si="29"/>
        <v>0</v>
      </c>
      <c r="M67" s="7">
        <f t="shared" si="24"/>
        <v>422.87970246893809</v>
      </c>
      <c r="N67" s="2"/>
      <c r="O67" s="76"/>
    </row>
    <row r="68" spans="1:16" ht="15" x14ac:dyDescent="0.35">
      <c r="C68" s="15">
        <f t="shared" ref="C68:M68" si="30">SUM(C62:C67)</f>
        <v>804.79003687878094</v>
      </c>
      <c r="D68" s="15">
        <f t="shared" si="30"/>
        <v>0</v>
      </c>
      <c r="E68" s="15">
        <f t="shared" si="30"/>
        <v>912.30114181441945</v>
      </c>
      <c r="F68" s="15">
        <f t="shared" si="30"/>
        <v>37.493310554103594</v>
      </c>
      <c r="G68" s="15">
        <f t="shared" si="30"/>
        <v>61.499803483470302</v>
      </c>
      <c r="H68" s="15">
        <f t="shared" si="30"/>
        <v>410.81659262253777</v>
      </c>
      <c r="I68" s="15">
        <f t="shared" si="30"/>
        <v>91.122067297998157</v>
      </c>
      <c r="J68" s="15">
        <f t="shared" si="30"/>
        <v>24.990592471988332</v>
      </c>
      <c r="K68" s="15">
        <f t="shared" si="30"/>
        <v>18.782775732789414</v>
      </c>
      <c r="L68" s="15">
        <f t="shared" si="30"/>
        <v>0</v>
      </c>
      <c r="M68" s="8">
        <f t="shared" si="30"/>
        <v>2361.7963208560877</v>
      </c>
      <c r="N68" s="8"/>
      <c r="O68" s="8"/>
      <c r="P68" s="6"/>
    </row>
    <row r="69" spans="1:16" x14ac:dyDescent="0.2"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1:16" x14ac:dyDescent="0.2"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</row>
    <row r="71" spans="1:16" x14ac:dyDescent="0.2">
      <c r="C71" s="275" t="s">
        <v>35</v>
      </c>
      <c r="D71" s="275"/>
      <c r="E71" s="275"/>
      <c r="F71" s="275"/>
      <c r="G71" s="275"/>
      <c r="H71" s="275"/>
      <c r="I71" s="275"/>
      <c r="J71" s="275"/>
      <c r="K71" s="275"/>
      <c r="L71" s="275"/>
    </row>
    <row r="72" spans="1:16" x14ac:dyDescent="0.2">
      <c r="C72" s="24" t="s">
        <v>36</v>
      </c>
      <c r="D72" s="24" t="s">
        <v>37</v>
      </c>
      <c r="E72" s="24"/>
      <c r="F72" s="24" t="s">
        <v>38</v>
      </c>
      <c r="G72" s="24" t="s">
        <v>39</v>
      </c>
      <c r="H72" s="24"/>
      <c r="I72" s="24"/>
      <c r="J72" s="24" t="s">
        <v>0</v>
      </c>
      <c r="K72" s="24" t="s">
        <v>0</v>
      </c>
      <c r="L72" s="24" t="s">
        <v>40</v>
      </c>
    </row>
    <row r="73" spans="1:16" x14ac:dyDescent="0.2">
      <c r="C73" s="25" t="s">
        <v>41</v>
      </c>
      <c r="D73" s="25" t="s">
        <v>42</v>
      </c>
      <c r="E73" s="25" t="s">
        <v>19</v>
      </c>
      <c r="F73" s="25" t="s">
        <v>17</v>
      </c>
      <c r="G73" s="25" t="s">
        <v>18</v>
      </c>
      <c r="H73" s="25" t="s">
        <v>11</v>
      </c>
      <c r="I73" s="25" t="s">
        <v>1</v>
      </c>
      <c r="J73" s="25" t="s">
        <v>43</v>
      </c>
      <c r="K73" s="25" t="s">
        <v>44</v>
      </c>
      <c r="L73" s="25" t="s">
        <v>45</v>
      </c>
      <c r="M73" s="30" t="s">
        <v>3</v>
      </c>
    </row>
    <row r="74" spans="1:16" x14ac:dyDescent="0.2">
      <c r="A74" s="3" t="s">
        <v>53</v>
      </c>
    </row>
    <row r="75" spans="1:16" x14ac:dyDescent="0.2">
      <c r="A75" t="s">
        <v>7</v>
      </c>
      <c r="C75" s="9">
        <f t="shared" ref="C75:L75" si="31">+C52*C30</f>
        <v>156.54277742060739</v>
      </c>
      <c r="D75" s="9">
        <f t="shared" si="31"/>
        <v>0</v>
      </c>
      <c r="E75" s="9">
        <f t="shared" si="31"/>
        <v>134.33294181050238</v>
      </c>
      <c r="F75" s="9">
        <f t="shared" si="31"/>
        <v>83.634654203008779</v>
      </c>
      <c r="G75" s="9">
        <f t="shared" si="31"/>
        <v>24.600229388532497</v>
      </c>
      <c r="H75" s="9">
        <f t="shared" si="31"/>
        <v>-50.275630475049667</v>
      </c>
      <c r="I75" s="9">
        <f t="shared" si="31"/>
        <v>37.500673743968193</v>
      </c>
      <c r="J75" s="9">
        <f t="shared" si="31"/>
        <v>41.076762815781997</v>
      </c>
      <c r="K75" s="9">
        <f t="shared" si="31"/>
        <v>14.176448481407888</v>
      </c>
      <c r="L75" s="9">
        <f t="shared" si="31"/>
        <v>0</v>
      </c>
      <c r="M75" s="9">
        <f t="shared" ref="M75:M80" si="32">SUM(C75:L75)</f>
        <v>441.58885738875944</v>
      </c>
    </row>
    <row r="76" spans="1:16" x14ac:dyDescent="0.2">
      <c r="A76" t="s">
        <v>32</v>
      </c>
      <c r="C76" s="9">
        <f t="shared" ref="C76:L76" si="33">+C53*C31</f>
        <v>160.63785839980685</v>
      </c>
      <c r="D76" s="9">
        <f t="shared" si="33"/>
        <v>0</v>
      </c>
      <c r="E76" s="9">
        <f t="shared" si="33"/>
        <v>139.84704422981252</v>
      </c>
      <c r="F76" s="9">
        <f t="shared" si="33"/>
        <v>89.694370513008892</v>
      </c>
      <c r="G76" s="9">
        <f t="shared" si="33"/>
        <v>22.270470075869149</v>
      </c>
      <c r="H76" s="9">
        <f t="shared" si="33"/>
        <v>-60.354972900374918</v>
      </c>
      <c r="I76" s="9">
        <f t="shared" si="33"/>
        <v>37.644428055292558</v>
      </c>
      <c r="J76" s="9">
        <f t="shared" si="33"/>
        <v>46.128414171558411</v>
      </c>
      <c r="K76" s="9">
        <f t="shared" si="33"/>
        <v>16.722557877295962</v>
      </c>
      <c r="L76" s="9">
        <f t="shared" si="33"/>
        <v>0</v>
      </c>
      <c r="M76" s="9">
        <f t="shared" si="32"/>
        <v>452.59017042226935</v>
      </c>
    </row>
    <row r="77" spans="1:16" x14ac:dyDescent="0.2">
      <c r="A77" t="s">
        <v>10</v>
      </c>
      <c r="C77" s="9">
        <f t="shared" ref="C77:L77" si="34">+C54*C32</f>
        <v>87.121442897949919</v>
      </c>
      <c r="D77" s="9">
        <f t="shared" si="34"/>
        <v>0</v>
      </c>
      <c r="E77" s="9">
        <f t="shared" si="34"/>
        <v>110.30558170412854</v>
      </c>
      <c r="F77" s="9">
        <f t="shared" si="34"/>
        <v>76.456072681015414</v>
      </c>
      <c r="G77" s="9">
        <f t="shared" si="34"/>
        <v>18.229753232778691</v>
      </c>
      <c r="H77" s="9">
        <f t="shared" si="34"/>
        <v>-41.985940186949854</v>
      </c>
      <c r="I77" s="9">
        <f t="shared" si="34"/>
        <v>24.140161962632742</v>
      </c>
      <c r="J77" s="9">
        <f t="shared" si="34"/>
        <v>31.883590436708502</v>
      </c>
      <c r="K77" s="9">
        <f t="shared" si="34"/>
        <v>11.697481799080013</v>
      </c>
      <c r="L77" s="9">
        <f t="shared" si="34"/>
        <v>0</v>
      </c>
      <c r="M77" s="9">
        <f t="shared" si="32"/>
        <v>317.84814452734406</v>
      </c>
    </row>
    <row r="78" spans="1:16" x14ac:dyDescent="0.2">
      <c r="A78" t="s">
        <v>8</v>
      </c>
      <c r="C78" s="9">
        <f t="shared" ref="C78:L78" si="35">+C55*C33</f>
        <v>97.382296810110347</v>
      </c>
      <c r="D78" s="9">
        <f t="shared" si="35"/>
        <v>0</v>
      </c>
      <c r="E78" s="9">
        <f t="shared" si="35"/>
        <v>154.2879314185069</v>
      </c>
      <c r="F78" s="9">
        <f t="shared" si="35"/>
        <v>78.378848821310186</v>
      </c>
      <c r="G78" s="9">
        <f t="shared" si="35"/>
        <v>20.851645108348556</v>
      </c>
      <c r="H78" s="9">
        <f t="shared" si="35"/>
        <v>-45.063172801627147</v>
      </c>
      <c r="I78" s="9">
        <f t="shared" si="35"/>
        <v>22.884216532029793</v>
      </c>
      <c r="J78" s="9">
        <f t="shared" si="35"/>
        <v>35.130090058193183</v>
      </c>
      <c r="K78" s="9">
        <f t="shared" si="35"/>
        <v>12.731101968963634</v>
      </c>
      <c r="L78" s="9">
        <f t="shared" si="35"/>
        <v>0</v>
      </c>
      <c r="M78" s="9">
        <f t="shared" si="32"/>
        <v>376.58295791583538</v>
      </c>
    </row>
    <row r="79" spans="1:16" x14ac:dyDescent="0.2">
      <c r="A79" t="s">
        <v>9</v>
      </c>
      <c r="C79" s="9">
        <f t="shared" ref="C79:L79" si="36">+C56*C34</f>
        <v>36.800564785678148</v>
      </c>
      <c r="D79" s="9">
        <f t="shared" si="36"/>
        <v>0</v>
      </c>
      <c r="E79" s="9">
        <f t="shared" si="36"/>
        <v>120.85185391620479</v>
      </c>
      <c r="F79" s="9">
        <f t="shared" si="36"/>
        <v>93.666926333899141</v>
      </c>
      <c r="G79" s="9">
        <f t="shared" si="36"/>
        <v>21.157330626670781</v>
      </c>
      <c r="H79" s="9">
        <f t="shared" si="36"/>
        <v>-49.638891129891505</v>
      </c>
      <c r="I79" s="9">
        <f t="shared" si="36"/>
        <v>38.576662413579889</v>
      </c>
      <c r="J79" s="9">
        <f t="shared" si="36"/>
        <v>29.042596818616143</v>
      </c>
      <c r="K79" s="9">
        <f t="shared" si="36"/>
        <v>12.822782603563596</v>
      </c>
      <c r="L79" s="9">
        <f t="shared" si="36"/>
        <v>0</v>
      </c>
      <c r="M79" s="9">
        <f t="shared" si="32"/>
        <v>303.27982636832098</v>
      </c>
    </row>
    <row r="80" spans="1:16" ht="15" x14ac:dyDescent="0.35">
      <c r="A80" t="s">
        <v>2</v>
      </c>
      <c r="C80" s="10">
        <f t="shared" ref="C80:L80" si="37">+C57*C35</f>
        <v>15.336990723965672</v>
      </c>
      <c r="D80" s="10">
        <f t="shared" si="37"/>
        <v>0</v>
      </c>
      <c r="E80" s="10">
        <f t="shared" si="37"/>
        <v>143.14204702245695</v>
      </c>
      <c r="F80" s="10">
        <f t="shared" si="37"/>
        <v>95.899687790865343</v>
      </c>
      <c r="G80" s="10">
        <f t="shared" si="37"/>
        <v>17.944305497081377</v>
      </c>
      <c r="H80" s="10">
        <f t="shared" si="37"/>
        <v>-52.554601002369672</v>
      </c>
      <c r="I80" s="10">
        <f t="shared" si="37"/>
        <v>39.453485306227009</v>
      </c>
      <c r="J80" s="10">
        <f t="shared" si="37"/>
        <v>22.139130203663377</v>
      </c>
      <c r="K80" s="10">
        <f t="shared" si="37"/>
        <v>9.7660144741898289</v>
      </c>
      <c r="L80" s="10">
        <f t="shared" si="37"/>
        <v>0</v>
      </c>
      <c r="M80" s="10">
        <f t="shared" si="32"/>
        <v>291.12706001607984</v>
      </c>
    </row>
    <row r="81" spans="1:16" ht="15" x14ac:dyDescent="0.35">
      <c r="C81" s="11">
        <f t="shared" ref="C81:M81" si="38">SUM(C75:C80)</f>
        <v>553.82193103811835</v>
      </c>
      <c r="D81" s="11">
        <f t="shared" si="38"/>
        <v>0</v>
      </c>
      <c r="E81" s="11">
        <f t="shared" si="38"/>
        <v>802.76740010161222</v>
      </c>
      <c r="F81" s="11">
        <f t="shared" si="38"/>
        <v>517.73056034310775</v>
      </c>
      <c r="G81" s="11">
        <f t="shared" si="38"/>
        <v>125.05373392928105</v>
      </c>
      <c r="H81" s="11">
        <f t="shared" si="38"/>
        <v>-299.87320849626275</v>
      </c>
      <c r="I81" s="11">
        <f t="shared" si="38"/>
        <v>200.19962801373018</v>
      </c>
      <c r="J81" s="11">
        <f t="shared" si="38"/>
        <v>205.40058450452162</v>
      </c>
      <c r="K81" s="11">
        <f t="shared" si="38"/>
        <v>77.916387204500921</v>
      </c>
      <c r="L81" s="11">
        <f t="shared" si="38"/>
        <v>0</v>
      </c>
      <c r="M81" s="11">
        <f t="shared" si="38"/>
        <v>2183.0170166386092</v>
      </c>
    </row>
    <row r="82" spans="1:16" ht="15" x14ac:dyDescent="0.35"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4" spans="1:16" x14ac:dyDescent="0.2">
      <c r="A84" s="3" t="s">
        <v>54</v>
      </c>
    </row>
    <row r="85" spans="1:16" x14ac:dyDescent="0.2">
      <c r="A85" t="s">
        <v>7</v>
      </c>
      <c r="C85" s="9">
        <f t="shared" ref="C85:L85" si="39">+C62*C30</f>
        <v>11439.218512994754</v>
      </c>
      <c r="D85" s="9">
        <f t="shared" si="39"/>
        <v>0</v>
      </c>
      <c r="E85" s="9">
        <f t="shared" si="39"/>
        <v>9816.2553404489336</v>
      </c>
      <c r="F85" s="9">
        <f t="shared" si="39"/>
        <v>6111.5249163902336</v>
      </c>
      <c r="G85" s="9">
        <f t="shared" si="39"/>
        <v>1797.6389845768376</v>
      </c>
      <c r="H85" s="9">
        <f t="shared" si="39"/>
        <v>-3673.8451454545552</v>
      </c>
      <c r="I85" s="9">
        <f t="shared" si="39"/>
        <v>2740.3270109944169</v>
      </c>
      <c r="J85" s="9">
        <f t="shared" si="39"/>
        <v>3001.646408723625</v>
      </c>
      <c r="K85" s="9">
        <f t="shared" si="39"/>
        <v>1035.930846437695</v>
      </c>
      <c r="L85" s="9">
        <f t="shared" si="39"/>
        <v>0</v>
      </c>
      <c r="M85" s="9">
        <f t="shared" ref="M85:M90" si="40">SUM(C85:L85)</f>
        <v>32268.696875111942</v>
      </c>
    </row>
    <row r="86" spans="1:16" x14ac:dyDescent="0.2">
      <c r="A86" t="s">
        <v>32</v>
      </c>
      <c r="C86" s="9">
        <f t="shared" ref="C86:L86" si="41">+C63*C31</f>
        <v>11738.462763808107</v>
      </c>
      <c r="D86" s="9">
        <f t="shared" si="41"/>
        <v>0</v>
      </c>
      <c r="E86" s="9">
        <f t="shared" si="41"/>
        <v>10219.193269089634</v>
      </c>
      <c r="F86" s="9">
        <f t="shared" si="41"/>
        <v>6554.3330748950566</v>
      </c>
      <c r="G86" s="9">
        <f t="shared" si="41"/>
        <v>1627.393979988512</v>
      </c>
      <c r="H86" s="9">
        <f t="shared" si="41"/>
        <v>-4410.3837604607306</v>
      </c>
      <c r="I86" s="9">
        <f t="shared" si="41"/>
        <v>2750.8317241886007</v>
      </c>
      <c r="J86" s="9">
        <f t="shared" si="41"/>
        <v>3370.7911540920281</v>
      </c>
      <c r="K86" s="9">
        <f t="shared" si="41"/>
        <v>1221.9854330335161</v>
      </c>
      <c r="L86" s="9">
        <f t="shared" si="41"/>
        <v>0</v>
      </c>
      <c r="M86" s="9">
        <f t="shared" si="40"/>
        <v>33072.607638634727</v>
      </c>
    </row>
    <row r="87" spans="1:16" x14ac:dyDescent="0.2">
      <c r="A87" t="s">
        <v>10</v>
      </c>
      <c r="C87" s="9">
        <f t="shared" ref="C87:L87" si="42">+C64*C32</f>
        <v>6366.3187717650071</v>
      </c>
      <c r="D87" s="9">
        <f t="shared" si="42"/>
        <v>0</v>
      </c>
      <c r="E87" s="9">
        <f t="shared" si="42"/>
        <v>8060.4782482313194</v>
      </c>
      <c r="F87" s="9">
        <f t="shared" si="42"/>
        <v>5586.9567185053102</v>
      </c>
      <c r="G87" s="9">
        <f t="shared" si="42"/>
        <v>1332.1223380841614</v>
      </c>
      <c r="H87" s="9">
        <f t="shared" si="42"/>
        <v>-3068.0837032908171</v>
      </c>
      <c r="I87" s="9">
        <f t="shared" si="42"/>
        <v>1764.0199834175703</v>
      </c>
      <c r="J87" s="9">
        <f t="shared" si="42"/>
        <v>2329.8638493194767</v>
      </c>
      <c r="K87" s="9">
        <f t="shared" si="42"/>
        <v>854.78265146610624</v>
      </c>
      <c r="L87" s="9">
        <f t="shared" si="42"/>
        <v>0</v>
      </c>
      <c r="M87" s="9">
        <f t="shared" si="40"/>
        <v>23226.458857498135</v>
      </c>
    </row>
    <row r="88" spans="1:16" x14ac:dyDescent="0.2">
      <c r="A88" t="s">
        <v>8</v>
      </c>
      <c r="C88" s="9">
        <f t="shared" ref="C88:L88" si="43">+C65*C33</f>
        <v>7116.121170605471</v>
      </c>
      <c r="D88" s="9">
        <f t="shared" si="43"/>
        <v>0</v>
      </c>
      <c r="E88" s="9">
        <f t="shared" si="43"/>
        <v>11274.447729211633</v>
      </c>
      <c r="F88" s="9">
        <f t="shared" si="43"/>
        <v>5727.4618046090736</v>
      </c>
      <c r="G88" s="9">
        <f t="shared" si="43"/>
        <v>1523.7146592137667</v>
      </c>
      <c r="H88" s="9">
        <f t="shared" si="43"/>
        <v>-3292.9496273189029</v>
      </c>
      <c r="I88" s="9">
        <f t="shared" si="43"/>
        <v>1672.2429339886955</v>
      </c>
      <c r="J88" s="9">
        <f t="shared" si="43"/>
        <v>2567.0988031413021</v>
      </c>
      <c r="K88" s="9">
        <f t="shared" si="43"/>
        <v>930.31348832463868</v>
      </c>
      <c r="L88" s="9">
        <f t="shared" si="43"/>
        <v>0</v>
      </c>
      <c r="M88" s="9">
        <f t="shared" si="40"/>
        <v>27518.450961775674</v>
      </c>
    </row>
    <row r="89" spans="1:16" x14ac:dyDescent="0.2">
      <c r="A89" t="s">
        <v>9</v>
      </c>
      <c r="C89" s="9">
        <f t="shared" ref="C89:L89" si="44">+C66*C34</f>
        <v>2689.1671971164069</v>
      </c>
      <c r="D89" s="9">
        <f t="shared" si="44"/>
        <v>0</v>
      </c>
      <c r="E89" s="9">
        <f t="shared" si="44"/>
        <v>8831.137325061929</v>
      </c>
      <c r="F89" s="9">
        <f t="shared" si="44"/>
        <v>6844.6239132141854</v>
      </c>
      <c r="G89" s="9">
        <f t="shared" si="44"/>
        <v>1546.0523454230167</v>
      </c>
      <c r="H89" s="9">
        <f t="shared" si="44"/>
        <v>-3627.3160073805907</v>
      </c>
      <c r="I89" s="9">
        <f t="shared" si="44"/>
        <v>2818.9538867404858</v>
      </c>
      <c r="J89" s="9">
        <f t="shared" si="44"/>
        <v>2122.2608712270239</v>
      </c>
      <c r="K89" s="9">
        <f t="shared" si="44"/>
        <v>937.01296580855467</v>
      </c>
      <c r="L89" s="9">
        <f t="shared" si="44"/>
        <v>0</v>
      </c>
      <c r="M89" s="9">
        <f t="shared" si="40"/>
        <v>22161.892497211011</v>
      </c>
    </row>
    <row r="90" spans="1:16" ht="15" x14ac:dyDescent="0.35">
      <c r="A90" t="s">
        <v>2</v>
      </c>
      <c r="C90" s="10">
        <f t="shared" ref="C90:L90" si="45">+C67*C35</f>
        <v>1120.7363962364543</v>
      </c>
      <c r="D90" s="10">
        <f t="shared" si="45"/>
        <v>0</v>
      </c>
      <c r="E90" s="10">
        <f t="shared" si="45"/>
        <v>10459.972547233612</v>
      </c>
      <c r="F90" s="10">
        <f t="shared" si="45"/>
        <v>7007.780889310271</v>
      </c>
      <c r="G90" s="10">
        <f t="shared" si="45"/>
        <v>1311.2635091015391</v>
      </c>
      <c r="H90" s="10">
        <f t="shared" si="45"/>
        <v>-3840.3788065805693</v>
      </c>
      <c r="I90" s="10">
        <f t="shared" si="45"/>
        <v>2883.0269077476255</v>
      </c>
      <c r="J90" s="10">
        <f t="shared" si="45"/>
        <v>1617.7964404380682</v>
      </c>
      <c r="K90" s="10">
        <f t="shared" si="45"/>
        <v>713.64246509542716</v>
      </c>
      <c r="L90" s="10">
        <f t="shared" si="45"/>
        <v>0</v>
      </c>
      <c r="M90" s="10">
        <f t="shared" si="40"/>
        <v>21273.840348582431</v>
      </c>
    </row>
    <row r="91" spans="1:16" ht="15" x14ac:dyDescent="0.35">
      <c r="C91" s="11">
        <f t="shared" ref="C91:M91" si="46">SUM(C85:C90)</f>
        <v>40470.024812526193</v>
      </c>
      <c r="D91" s="11">
        <f t="shared" si="46"/>
        <v>0</v>
      </c>
      <c r="E91" s="11">
        <f t="shared" si="46"/>
        <v>58661.484459277061</v>
      </c>
      <c r="F91" s="11">
        <f t="shared" si="46"/>
        <v>37832.681316924129</v>
      </c>
      <c r="G91" s="11">
        <f t="shared" si="46"/>
        <v>9138.1858163878351</v>
      </c>
      <c r="H91" s="11">
        <f t="shared" si="46"/>
        <v>-21912.957050486169</v>
      </c>
      <c r="I91" s="11">
        <f t="shared" si="46"/>
        <v>14629.402447077395</v>
      </c>
      <c r="J91" s="11">
        <f t="shared" si="46"/>
        <v>15009.457526941525</v>
      </c>
      <c r="K91" s="11">
        <f t="shared" si="46"/>
        <v>5693.6678501659371</v>
      </c>
      <c r="L91" s="11">
        <f t="shared" si="46"/>
        <v>0</v>
      </c>
      <c r="M91" s="11">
        <f t="shared" si="46"/>
        <v>159521.94717881392</v>
      </c>
      <c r="N91" s="11"/>
      <c r="P91" s="63"/>
    </row>
    <row r="92" spans="1:16" ht="15" x14ac:dyDescent="0.35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6" ht="15" x14ac:dyDescent="0.35">
      <c r="A93" s="128" t="s">
        <v>99</v>
      </c>
      <c r="B93" s="129"/>
      <c r="C93" s="81">
        <f t="shared" ref="C93:M93" si="47">+C91/C68</f>
        <v>50.286438646135807</v>
      </c>
      <c r="D93" s="81" t="e">
        <f t="shared" si="47"/>
        <v>#DIV/0!</v>
      </c>
      <c r="E93" s="81">
        <f t="shared" si="47"/>
        <v>64.300571127872161</v>
      </c>
      <c r="F93" s="81">
        <f t="shared" si="47"/>
        <v>1009.0515016626983</v>
      </c>
      <c r="G93" s="81">
        <f t="shared" si="47"/>
        <v>148.5888620578107</v>
      </c>
      <c r="H93" s="81">
        <f t="shared" si="47"/>
        <v>-53.340000000000011</v>
      </c>
      <c r="I93" s="81">
        <f t="shared" si="47"/>
        <v>160.54730627691526</v>
      </c>
      <c r="J93" s="81">
        <f t="shared" si="47"/>
        <v>600.60430915215215</v>
      </c>
      <c r="K93" s="81">
        <f t="shared" si="47"/>
        <v>303.13239806331728</v>
      </c>
      <c r="L93" s="81" t="e">
        <f t="shared" si="47"/>
        <v>#DIV/0!</v>
      </c>
      <c r="M93" s="81">
        <f t="shared" si="47"/>
        <v>67.542635141793895</v>
      </c>
    </row>
    <row r="94" spans="1:16" x14ac:dyDescent="0.2">
      <c r="A94" s="129"/>
      <c r="B94" s="129"/>
    </row>
    <row r="95" spans="1:16" x14ac:dyDescent="0.2"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30"/>
    </row>
  </sheetData>
  <mergeCells count="3">
    <mergeCell ref="C17:L17"/>
    <mergeCell ref="C38:L38"/>
    <mergeCell ref="C71:L71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39"/>
  <sheetViews>
    <sheetView zoomScaleNormal="100" workbookViewId="0">
      <pane xSplit="1" ySplit="2" topLeftCell="B22" activePane="bottomRight" state="frozen"/>
      <selection pane="topRight" activeCell="B1" sqref="B1"/>
      <selection pane="bottomLeft" activeCell="A6" sqref="A6"/>
      <selection pane="bottomRight" activeCell="E30" sqref="E30"/>
    </sheetView>
  </sheetViews>
  <sheetFormatPr defaultRowHeight="12.75" x14ac:dyDescent="0.2"/>
  <cols>
    <col min="1" max="1" width="16.85546875" style="84" customWidth="1"/>
    <col min="2" max="2" width="9.140625" style="84" bestFit="1" customWidth="1"/>
    <col min="3" max="3" width="7" style="84" bestFit="1" customWidth="1"/>
    <col min="4" max="4" width="9" style="84" bestFit="1" customWidth="1"/>
    <col min="5" max="5" width="6.7109375" style="84" bestFit="1" customWidth="1"/>
    <col min="6" max="6" width="9" style="84" bestFit="1" customWidth="1"/>
    <col min="7" max="7" width="6.7109375" style="84" bestFit="1" customWidth="1"/>
    <col min="8" max="8" width="9" style="84" bestFit="1" customWidth="1"/>
    <col min="9" max="9" width="6.7109375" style="84" bestFit="1" customWidth="1"/>
    <col min="10" max="10" width="9.5703125" style="84" bestFit="1" customWidth="1"/>
    <col min="11" max="11" width="6.7109375" style="84" bestFit="1" customWidth="1"/>
    <col min="12" max="12" width="9.5703125" style="84" bestFit="1" customWidth="1"/>
    <col min="13" max="13" width="6.7109375" style="84" bestFit="1" customWidth="1"/>
    <col min="14" max="14" width="10" bestFit="1" customWidth="1"/>
    <col min="15" max="15" width="6.7109375" bestFit="1" customWidth="1"/>
    <col min="17" max="17" width="10" style="84" bestFit="1" customWidth="1"/>
    <col min="18" max="160" width="9.140625" style="84"/>
    <col min="161" max="161" width="18.42578125" style="84" customWidth="1"/>
    <col min="162" max="171" width="9.140625" style="84"/>
    <col min="172" max="172" width="10.28515625" style="84" bestFit="1" customWidth="1"/>
    <col min="173" max="416" width="9.140625" style="84"/>
    <col min="417" max="417" width="18.42578125" style="84" customWidth="1"/>
    <col min="418" max="427" width="9.140625" style="84"/>
    <col min="428" max="428" width="10.28515625" style="84" bestFit="1" customWidth="1"/>
    <col min="429" max="672" width="9.140625" style="84"/>
    <col min="673" max="673" width="18.42578125" style="84" customWidth="1"/>
    <col min="674" max="683" width="9.140625" style="84"/>
    <col min="684" max="684" width="10.28515625" style="84" bestFit="1" customWidth="1"/>
    <col min="685" max="928" width="9.140625" style="84"/>
    <col min="929" max="929" width="18.42578125" style="84" customWidth="1"/>
    <col min="930" max="939" width="9.140625" style="84"/>
    <col min="940" max="940" width="10.28515625" style="84" bestFit="1" customWidth="1"/>
    <col min="941" max="1184" width="9.140625" style="84"/>
    <col min="1185" max="1185" width="18.42578125" style="84" customWidth="1"/>
    <col min="1186" max="1195" width="9.140625" style="84"/>
    <col min="1196" max="1196" width="10.28515625" style="84" bestFit="1" customWidth="1"/>
    <col min="1197" max="1440" width="9.140625" style="84"/>
    <col min="1441" max="1441" width="18.42578125" style="84" customWidth="1"/>
    <col min="1442" max="1451" width="9.140625" style="84"/>
    <col min="1452" max="1452" width="10.28515625" style="84" bestFit="1" customWidth="1"/>
    <col min="1453" max="1696" width="9.140625" style="84"/>
    <col min="1697" max="1697" width="18.42578125" style="84" customWidth="1"/>
    <col min="1698" max="1707" width="9.140625" style="84"/>
    <col min="1708" max="1708" width="10.28515625" style="84" bestFit="1" customWidth="1"/>
    <col min="1709" max="1952" width="9.140625" style="84"/>
    <col min="1953" max="1953" width="18.42578125" style="84" customWidth="1"/>
    <col min="1954" max="1963" width="9.140625" style="84"/>
    <col min="1964" max="1964" width="10.28515625" style="84" bestFit="1" customWidth="1"/>
    <col min="1965" max="2208" width="9.140625" style="84"/>
    <col min="2209" max="2209" width="18.42578125" style="84" customWidth="1"/>
    <col min="2210" max="2219" width="9.140625" style="84"/>
    <col min="2220" max="2220" width="10.28515625" style="84" bestFit="1" customWidth="1"/>
    <col min="2221" max="2464" width="9.140625" style="84"/>
    <col min="2465" max="2465" width="18.42578125" style="84" customWidth="1"/>
    <col min="2466" max="2475" width="9.140625" style="84"/>
    <col min="2476" max="2476" width="10.28515625" style="84" bestFit="1" customWidth="1"/>
    <col min="2477" max="2720" width="9.140625" style="84"/>
    <col min="2721" max="2721" width="18.42578125" style="84" customWidth="1"/>
    <col min="2722" max="2731" width="9.140625" style="84"/>
    <col min="2732" max="2732" width="10.28515625" style="84" bestFit="1" customWidth="1"/>
    <col min="2733" max="2976" width="9.140625" style="84"/>
    <col min="2977" max="2977" width="18.42578125" style="84" customWidth="1"/>
    <col min="2978" max="2987" width="9.140625" style="84"/>
    <col min="2988" max="2988" width="10.28515625" style="84" bestFit="1" customWidth="1"/>
    <col min="2989" max="3232" width="9.140625" style="84"/>
    <col min="3233" max="3233" width="18.42578125" style="84" customWidth="1"/>
    <col min="3234" max="3243" width="9.140625" style="84"/>
    <col min="3244" max="3244" width="10.28515625" style="84" bestFit="1" customWidth="1"/>
    <col min="3245" max="3488" width="9.140625" style="84"/>
    <col min="3489" max="3489" width="18.42578125" style="84" customWidth="1"/>
    <col min="3490" max="3499" width="9.140625" style="84"/>
    <col min="3500" max="3500" width="10.28515625" style="84" bestFit="1" customWidth="1"/>
    <col min="3501" max="3744" width="9.140625" style="84"/>
    <col min="3745" max="3745" width="18.42578125" style="84" customWidth="1"/>
    <col min="3746" max="3755" width="9.140625" style="84"/>
    <col min="3756" max="3756" width="10.28515625" style="84" bestFit="1" customWidth="1"/>
    <col min="3757" max="4000" width="9.140625" style="84"/>
    <col min="4001" max="4001" width="18.42578125" style="84" customWidth="1"/>
    <col min="4002" max="4011" width="9.140625" style="84"/>
    <col min="4012" max="4012" width="10.28515625" style="84" bestFit="1" customWidth="1"/>
    <col min="4013" max="4256" width="9.140625" style="84"/>
    <col min="4257" max="4257" width="18.42578125" style="84" customWidth="1"/>
    <col min="4258" max="4267" width="9.140625" style="84"/>
    <col min="4268" max="4268" width="10.28515625" style="84" bestFit="1" customWidth="1"/>
    <col min="4269" max="4512" width="9.140625" style="84"/>
    <col min="4513" max="4513" width="18.42578125" style="84" customWidth="1"/>
    <col min="4514" max="4523" width="9.140625" style="84"/>
    <col min="4524" max="4524" width="10.28515625" style="84" bestFit="1" customWidth="1"/>
    <col min="4525" max="4768" width="9.140625" style="84"/>
    <col min="4769" max="4769" width="18.42578125" style="84" customWidth="1"/>
    <col min="4770" max="4779" width="9.140625" style="84"/>
    <col min="4780" max="4780" width="10.28515625" style="84" bestFit="1" customWidth="1"/>
    <col min="4781" max="5024" width="9.140625" style="84"/>
    <col min="5025" max="5025" width="18.42578125" style="84" customWidth="1"/>
    <col min="5026" max="5035" width="9.140625" style="84"/>
    <col min="5036" max="5036" width="10.28515625" style="84" bestFit="1" customWidth="1"/>
    <col min="5037" max="5280" width="9.140625" style="84"/>
    <col min="5281" max="5281" width="18.42578125" style="84" customWidth="1"/>
    <col min="5282" max="5291" width="9.140625" style="84"/>
    <col min="5292" max="5292" width="10.28515625" style="84" bestFit="1" customWidth="1"/>
    <col min="5293" max="5536" width="9.140625" style="84"/>
    <col min="5537" max="5537" width="18.42578125" style="84" customWidth="1"/>
    <col min="5538" max="5547" width="9.140625" style="84"/>
    <col min="5548" max="5548" width="10.28515625" style="84" bestFit="1" customWidth="1"/>
    <col min="5549" max="5792" width="9.140625" style="84"/>
    <col min="5793" max="5793" width="18.42578125" style="84" customWidth="1"/>
    <col min="5794" max="5803" width="9.140625" style="84"/>
    <col min="5804" max="5804" width="10.28515625" style="84" bestFit="1" customWidth="1"/>
    <col min="5805" max="6048" width="9.140625" style="84"/>
    <col min="6049" max="6049" width="18.42578125" style="84" customWidth="1"/>
    <col min="6050" max="6059" width="9.140625" style="84"/>
    <col min="6060" max="6060" width="10.28515625" style="84" bestFit="1" customWidth="1"/>
    <col min="6061" max="6304" width="9.140625" style="84"/>
    <col min="6305" max="6305" width="18.42578125" style="84" customWidth="1"/>
    <col min="6306" max="6315" width="9.140625" style="84"/>
    <col min="6316" max="6316" width="10.28515625" style="84" bestFit="1" customWidth="1"/>
    <col min="6317" max="6560" width="9.140625" style="84"/>
    <col min="6561" max="6561" width="18.42578125" style="84" customWidth="1"/>
    <col min="6562" max="6571" width="9.140625" style="84"/>
    <col min="6572" max="6572" width="10.28515625" style="84" bestFit="1" customWidth="1"/>
    <col min="6573" max="6816" width="9.140625" style="84"/>
    <col min="6817" max="6817" width="18.42578125" style="84" customWidth="1"/>
    <col min="6818" max="6827" width="9.140625" style="84"/>
    <col min="6828" max="6828" width="10.28515625" style="84" bestFit="1" customWidth="1"/>
    <col min="6829" max="7072" width="9.140625" style="84"/>
    <col min="7073" max="7073" width="18.42578125" style="84" customWidth="1"/>
    <col min="7074" max="7083" width="9.140625" style="84"/>
    <col min="7084" max="7084" width="10.28515625" style="84" bestFit="1" customWidth="1"/>
    <col min="7085" max="7328" width="9.140625" style="84"/>
    <col min="7329" max="7329" width="18.42578125" style="84" customWidth="1"/>
    <col min="7330" max="7339" width="9.140625" style="84"/>
    <col min="7340" max="7340" width="10.28515625" style="84" bestFit="1" customWidth="1"/>
    <col min="7341" max="7584" width="9.140625" style="84"/>
    <col min="7585" max="7585" width="18.42578125" style="84" customWidth="1"/>
    <col min="7586" max="7595" width="9.140625" style="84"/>
    <col min="7596" max="7596" width="10.28515625" style="84" bestFit="1" customWidth="1"/>
    <col min="7597" max="7840" width="9.140625" style="84"/>
    <col min="7841" max="7841" width="18.42578125" style="84" customWidth="1"/>
    <col min="7842" max="7851" width="9.140625" style="84"/>
    <col min="7852" max="7852" width="10.28515625" style="84" bestFit="1" customWidth="1"/>
    <col min="7853" max="8096" width="9.140625" style="84"/>
    <col min="8097" max="8097" width="18.42578125" style="84" customWidth="1"/>
    <col min="8098" max="8107" width="9.140625" style="84"/>
    <col min="8108" max="8108" width="10.28515625" style="84" bestFit="1" customWidth="1"/>
    <col min="8109" max="8352" width="9.140625" style="84"/>
    <col min="8353" max="8353" width="18.42578125" style="84" customWidth="1"/>
    <col min="8354" max="8363" width="9.140625" style="84"/>
    <col min="8364" max="8364" width="10.28515625" style="84" bestFit="1" customWidth="1"/>
    <col min="8365" max="8608" width="9.140625" style="84"/>
    <col min="8609" max="8609" width="18.42578125" style="84" customWidth="1"/>
    <col min="8610" max="8619" width="9.140625" style="84"/>
    <col min="8620" max="8620" width="10.28515625" style="84" bestFit="1" customWidth="1"/>
    <col min="8621" max="8864" width="9.140625" style="84"/>
    <col min="8865" max="8865" width="18.42578125" style="84" customWidth="1"/>
    <col min="8866" max="8875" width="9.140625" style="84"/>
    <col min="8876" max="8876" width="10.28515625" style="84" bestFit="1" customWidth="1"/>
    <col min="8877" max="9120" width="9.140625" style="84"/>
    <col min="9121" max="9121" width="18.42578125" style="84" customWidth="1"/>
    <col min="9122" max="9131" width="9.140625" style="84"/>
    <col min="9132" max="9132" width="10.28515625" style="84" bestFit="1" customWidth="1"/>
    <col min="9133" max="9376" width="9.140625" style="84"/>
    <col min="9377" max="9377" width="18.42578125" style="84" customWidth="1"/>
    <col min="9378" max="9387" width="9.140625" style="84"/>
    <col min="9388" max="9388" width="10.28515625" style="84" bestFit="1" customWidth="1"/>
    <col min="9389" max="9632" width="9.140625" style="84"/>
    <col min="9633" max="9633" width="18.42578125" style="84" customWidth="1"/>
    <col min="9634" max="9643" width="9.140625" style="84"/>
    <col min="9644" max="9644" width="10.28515625" style="84" bestFit="1" customWidth="1"/>
    <col min="9645" max="9888" width="9.140625" style="84"/>
    <col min="9889" max="9889" width="18.42578125" style="84" customWidth="1"/>
    <col min="9890" max="9899" width="9.140625" style="84"/>
    <col min="9900" max="9900" width="10.28515625" style="84" bestFit="1" customWidth="1"/>
    <col min="9901" max="10144" width="9.140625" style="84"/>
    <col min="10145" max="10145" width="18.42578125" style="84" customWidth="1"/>
    <col min="10146" max="10155" width="9.140625" style="84"/>
    <col min="10156" max="10156" width="10.28515625" style="84" bestFit="1" customWidth="1"/>
    <col min="10157" max="10400" width="9.140625" style="84"/>
    <col min="10401" max="10401" width="18.42578125" style="84" customWidth="1"/>
    <col min="10402" max="10411" width="9.140625" style="84"/>
    <col min="10412" max="10412" width="10.28515625" style="84" bestFit="1" customWidth="1"/>
    <col min="10413" max="10656" width="9.140625" style="84"/>
    <col min="10657" max="10657" width="18.42578125" style="84" customWidth="1"/>
    <col min="10658" max="10667" width="9.140625" style="84"/>
    <col min="10668" max="10668" width="10.28515625" style="84" bestFit="1" customWidth="1"/>
    <col min="10669" max="10912" width="9.140625" style="84"/>
    <col min="10913" max="10913" width="18.42578125" style="84" customWidth="1"/>
    <col min="10914" max="10923" width="9.140625" style="84"/>
    <col min="10924" max="10924" width="10.28515625" style="84" bestFit="1" customWidth="1"/>
    <col min="10925" max="11168" width="9.140625" style="84"/>
    <col min="11169" max="11169" width="18.42578125" style="84" customWidth="1"/>
    <col min="11170" max="11179" width="9.140625" style="84"/>
    <col min="11180" max="11180" width="10.28515625" style="84" bestFit="1" customWidth="1"/>
    <col min="11181" max="11424" width="9.140625" style="84"/>
    <col min="11425" max="11425" width="18.42578125" style="84" customWidth="1"/>
    <col min="11426" max="11435" width="9.140625" style="84"/>
    <col min="11436" max="11436" width="10.28515625" style="84" bestFit="1" customWidth="1"/>
    <col min="11437" max="11680" width="9.140625" style="84"/>
    <col min="11681" max="11681" width="18.42578125" style="84" customWidth="1"/>
    <col min="11682" max="11691" width="9.140625" style="84"/>
    <col min="11692" max="11692" width="10.28515625" style="84" bestFit="1" customWidth="1"/>
    <col min="11693" max="11936" width="9.140625" style="84"/>
    <col min="11937" max="11937" width="18.42578125" style="84" customWidth="1"/>
    <col min="11938" max="11947" width="9.140625" style="84"/>
    <col min="11948" max="11948" width="10.28515625" style="84" bestFit="1" customWidth="1"/>
    <col min="11949" max="12192" width="9.140625" style="84"/>
    <col min="12193" max="12193" width="18.42578125" style="84" customWidth="1"/>
    <col min="12194" max="12203" width="9.140625" style="84"/>
    <col min="12204" max="12204" width="10.28515625" style="84" bestFit="1" customWidth="1"/>
    <col min="12205" max="12448" width="9.140625" style="84"/>
    <col min="12449" max="12449" width="18.42578125" style="84" customWidth="1"/>
    <col min="12450" max="12459" width="9.140625" style="84"/>
    <col min="12460" max="12460" width="10.28515625" style="84" bestFit="1" customWidth="1"/>
    <col min="12461" max="12704" width="9.140625" style="84"/>
    <col min="12705" max="12705" width="18.42578125" style="84" customWidth="1"/>
    <col min="12706" max="12715" width="9.140625" style="84"/>
    <col min="12716" max="12716" width="10.28515625" style="84" bestFit="1" customWidth="1"/>
    <col min="12717" max="12960" width="9.140625" style="84"/>
    <col min="12961" max="12961" width="18.42578125" style="84" customWidth="1"/>
    <col min="12962" max="12971" width="9.140625" style="84"/>
    <col min="12972" max="12972" width="10.28515625" style="84" bestFit="1" customWidth="1"/>
    <col min="12973" max="13216" width="9.140625" style="84"/>
    <col min="13217" max="13217" width="18.42578125" style="84" customWidth="1"/>
    <col min="13218" max="13227" width="9.140625" style="84"/>
    <col min="13228" max="13228" width="10.28515625" style="84" bestFit="1" customWidth="1"/>
    <col min="13229" max="13472" width="9.140625" style="84"/>
    <col min="13473" max="13473" width="18.42578125" style="84" customWidth="1"/>
    <col min="13474" max="13483" width="9.140625" style="84"/>
    <col min="13484" max="13484" width="10.28515625" style="84" bestFit="1" customWidth="1"/>
    <col min="13485" max="13728" width="9.140625" style="84"/>
    <col min="13729" max="13729" width="18.42578125" style="84" customWidth="1"/>
    <col min="13730" max="13739" width="9.140625" style="84"/>
    <col min="13740" max="13740" width="10.28515625" style="84" bestFit="1" customWidth="1"/>
    <col min="13741" max="13984" width="9.140625" style="84"/>
    <col min="13985" max="13985" width="18.42578125" style="84" customWidth="1"/>
    <col min="13986" max="13995" width="9.140625" style="84"/>
    <col min="13996" max="13996" width="10.28515625" style="84" bestFit="1" customWidth="1"/>
    <col min="13997" max="14240" width="9.140625" style="84"/>
    <col min="14241" max="14241" width="18.42578125" style="84" customWidth="1"/>
    <col min="14242" max="14251" width="9.140625" style="84"/>
    <col min="14252" max="14252" width="10.28515625" style="84" bestFit="1" customWidth="1"/>
    <col min="14253" max="14496" width="9.140625" style="84"/>
    <col min="14497" max="14497" width="18.42578125" style="84" customWidth="1"/>
    <col min="14498" max="14507" width="9.140625" style="84"/>
    <col min="14508" max="14508" width="10.28515625" style="84" bestFit="1" customWidth="1"/>
    <col min="14509" max="14752" width="9.140625" style="84"/>
    <col min="14753" max="14753" width="18.42578125" style="84" customWidth="1"/>
    <col min="14754" max="14763" width="9.140625" style="84"/>
    <col min="14764" max="14764" width="10.28515625" style="84" bestFit="1" customWidth="1"/>
    <col min="14765" max="15008" width="9.140625" style="84"/>
    <col min="15009" max="15009" width="18.42578125" style="84" customWidth="1"/>
    <col min="15010" max="15019" width="9.140625" style="84"/>
    <col min="15020" max="15020" width="10.28515625" style="84" bestFit="1" customWidth="1"/>
    <col min="15021" max="15264" width="9.140625" style="84"/>
    <col min="15265" max="15265" width="18.42578125" style="84" customWidth="1"/>
    <col min="15266" max="15275" width="9.140625" style="84"/>
    <col min="15276" max="15276" width="10.28515625" style="84" bestFit="1" customWidth="1"/>
    <col min="15277" max="15520" width="9.140625" style="84"/>
    <col min="15521" max="15521" width="18.42578125" style="84" customWidth="1"/>
    <col min="15522" max="15531" width="9.140625" style="84"/>
    <col min="15532" max="15532" width="10.28515625" style="84" bestFit="1" customWidth="1"/>
    <col min="15533" max="15776" width="9.140625" style="84"/>
    <col min="15777" max="15777" width="18.42578125" style="84" customWidth="1"/>
    <col min="15778" max="15787" width="9.140625" style="84"/>
    <col min="15788" max="15788" width="10.28515625" style="84" bestFit="1" customWidth="1"/>
    <col min="15789" max="16032" width="9.140625" style="84"/>
    <col min="16033" max="16033" width="18.42578125" style="84" customWidth="1"/>
    <col min="16034" max="16043" width="9.140625" style="84"/>
    <col min="16044" max="16044" width="10.28515625" style="84" bestFit="1" customWidth="1"/>
    <col min="16045" max="16384" width="9.140625" style="84"/>
  </cols>
  <sheetData>
    <row r="1" spans="1:41" ht="12" x14ac:dyDescent="0.2">
      <c r="A1" s="83" t="s">
        <v>65</v>
      </c>
      <c r="N1" s="84"/>
      <c r="O1" s="84"/>
      <c r="P1" s="84"/>
    </row>
    <row r="2" spans="1:41" s="85" customFormat="1" ht="12" hidden="1" x14ac:dyDescent="0.2"/>
    <row r="3" spans="1:41" ht="12" hidden="1" x14ac:dyDescent="0.2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4"/>
      <c r="O3" s="84"/>
      <c r="P3" s="84"/>
    </row>
    <row r="4" spans="1:41" hidden="1" x14ac:dyDescent="0.2">
      <c r="A4" s="85"/>
      <c r="B4" s="276">
        <v>43070</v>
      </c>
      <c r="C4" s="276"/>
      <c r="D4" s="276">
        <v>43101</v>
      </c>
      <c r="E4" s="276"/>
      <c r="F4" s="276">
        <v>43132</v>
      </c>
      <c r="G4" s="276"/>
      <c r="H4" s="276">
        <v>43160</v>
      </c>
      <c r="I4" s="276"/>
      <c r="J4" s="276">
        <v>43191</v>
      </c>
      <c r="K4" s="276"/>
      <c r="L4" s="276">
        <v>43221</v>
      </c>
      <c r="M4" s="276"/>
      <c r="N4" s="276" t="s">
        <v>3</v>
      </c>
      <c r="O4" s="276"/>
    </row>
    <row r="5" spans="1:41" hidden="1" x14ac:dyDescent="0.2">
      <c r="A5" s="85"/>
      <c r="B5" s="87" t="s">
        <v>12</v>
      </c>
      <c r="C5" s="87" t="s">
        <v>4</v>
      </c>
      <c r="D5" s="87" t="s">
        <v>12</v>
      </c>
      <c r="E5" s="87" t="s">
        <v>4</v>
      </c>
      <c r="F5" s="87" t="s">
        <v>12</v>
      </c>
      <c r="G5" s="87" t="s">
        <v>4</v>
      </c>
      <c r="H5" s="87" t="s">
        <v>12</v>
      </c>
      <c r="I5" s="87" t="s">
        <v>4</v>
      </c>
      <c r="J5" s="87" t="s">
        <v>12</v>
      </c>
      <c r="K5" s="87" t="s">
        <v>4</v>
      </c>
      <c r="L5" s="87" t="s">
        <v>12</v>
      </c>
      <c r="M5" s="87" t="s">
        <v>4</v>
      </c>
      <c r="N5" s="87" t="s">
        <v>12</v>
      </c>
      <c r="O5" s="87" t="s">
        <v>4</v>
      </c>
    </row>
    <row r="6" spans="1:41" hidden="1" x14ac:dyDescent="0.2">
      <c r="A6" s="85" t="s">
        <v>36</v>
      </c>
      <c r="B6" s="88">
        <v>464.47</v>
      </c>
      <c r="C6" s="89">
        <f>+B6/B$16</f>
        <v>0.42682411321448271</v>
      </c>
      <c r="D6" s="137">
        <v>429.16</v>
      </c>
      <c r="E6" s="89">
        <f>+D6/D$16</f>
        <v>0.38245463943250274</v>
      </c>
      <c r="F6" s="137">
        <v>324.49</v>
      </c>
      <c r="G6" s="89">
        <f>+F6/F$16</f>
        <v>0.38597138133244524</v>
      </c>
      <c r="H6" s="137">
        <v>325.77</v>
      </c>
      <c r="I6" s="89">
        <f>+H6/H$16</f>
        <v>0.34665602553870706</v>
      </c>
      <c r="J6" s="137">
        <v>299.68</v>
      </c>
      <c r="K6" s="89">
        <f>+J6/J$16</f>
        <v>0.33496523819104462</v>
      </c>
      <c r="L6" s="137">
        <v>319.27</v>
      </c>
      <c r="M6" s="89">
        <f>+L6/L$16</f>
        <v>0.33040121700075542</v>
      </c>
      <c r="N6" s="88" t="e">
        <f>+#REF!+#REF!+#REF!+#REF!+#REF!+#REF!+B6+D6+F6+H6+J6+L6</f>
        <v>#REF!</v>
      </c>
      <c r="O6" s="89" t="e">
        <f>+N6/N$16</f>
        <v>#REF!</v>
      </c>
      <c r="Q6" s="137" t="e">
        <f>+N6/7*12</f>
        <v>#REF!</v>
      </c>
      <c r="R6" s="89"/>
      <c r="S6" s="88"/>
      <c r="T6" s="89"/>
      <c r="U6" s="88"/>
      <c r="V6" s="89"/>
      <c r="W6" s="88"/>
      <c r="X6" s="89"/>
      <c r="Y6" s="88"/>
      <c r="Z6" s="89"/>
      <c r="AA6" s="88"/>
      <c r="AB6" s="121"/>
      <c r="AC6" s="88"/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89"/>
      <c r="AO6" s="88"/>
    </row>
    <row r="7" spans="1:41" hidden="1" x14ac:dyDescent="0.2">
      <c r="A7" s="85" t="s">
        <v>66</v>
      </c>
      <c r="B7" s="88">
        <v>0</v>
      </c>
      <c r="C7" s="89">
        <f t="shared" ref="C7:E7" si="0">+B7/B$16</f>
        <v>0</v>
      </c>
      <c r="D7" s="137">
        <v>0</v>
      </c>
      <c r="E7" s="89">
        <f t="shared" si="0"/>
        <v>0</v>
      </c>
      <c r="F7" s="137">
        <v>0</v>
      </c>
      <c r="G7" s="89">
        <f t="shared" ref="G7" si="1">+F7/F$16</f>
        <v>0</v>
      </c>
      <c r="H7" s="137">
        <v>0</v>
      </c>
      <c r="I7" s="89">
        <f t="shared" ref="I7" si="2">+H7/H$16</f>
        <v>0</v>
      </c>
      <c r="J7" s="137">
        <v>0</v>
      </c>
      <c r="K7" s="89">
        <f t="shared" ref="K7" si="3">+J7/J$16</f>
        <v>0</v>
      </c>
      <c r="L7" s="137">
        <v>0</v>
      </c>
      <c r="M7" s="89">
        <f t="shared" ref="M7" si="4">+L7/L$16</f>
        <v>0</v>
      </c>
      <c r="N7" s="88" t="e">
        <f>+#REF!+#REF!+#REF!+#REF!+#REF!+#REF!+B7+D7+F7+H7+J7+L7</f>
        <v>#REF!</v>
      </c>
      <c r="O7" s="89" t="e">
        <f t="shared" ref="O7" si="5">+N7/N$16</f>
        <v>#REF!</v>
      </c>
      <c r="Q7" s="137" t="e">
        <f t="shared" ref="Q7:Q15" si="6">+N7/7*12</f>
        <v>#REF!</v>
      </c>
      <c r="R7" s="89"/>
      <c r="S7" s="88"/>
      <c r="T7" s="89"/>
      <c r="U7" s="88"/>
      <c r="V7" s="89"/>
      <c r="W7" s="88"/>
      <c r="X7" s="89"/>
      <c r="Y7" s="88"/>
      <c r="Z7" s="89"/>
      <c r="AA7" s="88"/>
      <c r="AB7" s="121"/>
      <c r="AC7" s="88"/>
      <c r="AD7" s="89"/>
      <c r="AE7" s="88"/>
      <c r="AF7" s="89"/>
      <c r="AG7" s="88"/>
      <c r="AH7" s="89"/>
      <c r="AI7" s="88"/>
      <c r="AJ7" s="89"/>
      <c r="AK7" s="88"/>
      <c r="AL7" s="89"/>
      <c r="AM7" s="88"/>
      <c r="AN7" s="89"/>
      <c r="AO7" s="88"/>
    </row>
    <row r="8" spans="1:41" hidden="1" x14ac:dyDescent="0.2">
      <c r="A8" s="85" t="s">
        <v>19</v>
      </c>
      <c r="B8" s="88">
        <v>375.59</v>
      </c>
      <c r="C8" s="89">
        <f t="shared" ref="C8:E8" si="7">+B8/B$16</f>
        <v>0.34514795074434851</v>
      </c>
      <c r="D8" s="137">
        <v>415.2</v>
      </c>
      <c r="E8" s="89">
        <f t="shared" si="7"/>
        <v>0.37001390225644309</v>
      </c>
      <c r="F8" s="137">
        <v>281.02</v>
      </c>
      <c r="G8" s="89">
        <f t="shared" ref="G8" si="8">+F8/F$16</f>
        <v>0.33426508546347733</v>
      </c>
      <c r="H8" s="137">
        <v>354.22</v>
      </c>
      <c r="I8" s="89">
        <f t="shared" ref="I8" si="9">+H8/H$16</f>
        <v>0.37693003458366592</v>
      </c>
      <c r="J8" s="137">
        <v>354.01</v>
      </c>
      <c r="K8" s="89">
        <f t="shared" ref="K8" si="10">+J8/J$16</f>
        <v>0.39569221827286338</v>
      </c>
      <c r="L8" s="137">
        <v>400</v>
      </c>
      <c r="M8" s="89">
        <f t="shared" ref="M8" si="11">+L8/L$16</f>
        <v>0.41394583518746569</v>
      </c>
      <c r="N8" s="88" t="e">
        <f>+#REF!+#REF!+#REF!+#REF!+#REF!+#REF!+B8+D8+F8+H8+J8+L8</f>
        <v>#REF!</v>
      </c>
      <c r="O8" s="89" t="e">
        <f t="shared" ref="O8" si="12">+N8/N$16</f>
        <v>#REF!</v>
      </c>
      <c r="Q8" s="137" t="e">
        <f t="shared" si="6"/>
        <v>#REF!</v>
      </c>
      <c r="R8" s="89"/>
      <c r="S8" s="88"/>
      <c r="T8" s="89"/>
      <c r="U8" s="88"/>
      <c r="V8" s="89"/>
      <c r="W8" s="88"/>
      <c r="X8" s="89"/>
      <c r="Y8" s="88"/>
      <c r="Z8" s="89"/>
      <c r="AA8" s="88"/>
      <c r="AB8" s="121"/>
      <c r="AC8" s="88"/>
      <c r="AD8" s="89"/>
      <c r="AE8" s="88"/>
      <c r="AF8" s="89"/>
      <c r="AG8" s="88"/>
      <c r="AH8" s="89"/>
      <c r="AI8" s="88"/>
      <c r="AJ8" s="89"/>
      <c r="AK8" s="88"/>
      <c r="AL8" s="89"/>
      <c r="AM8" s="88"/>
      <c r="AN8" s="89"/>
      <c r="AO8" s="88"/>
    </row>
    <row r="9" spans="1:41" hidden="1" x14ac:dyDescent="0.2">
      <c r="A9" s="85" t="s">
        <v>17</v>
      </c>
      <c r="B9" s="88">
        <v>13.48</v>
      </c>
      <c r="C9" s="89">
        <f t="shared" ref="C9:E9" si="13">+B9/B$16</f>
        <v>1.2387428781473996E-2</v>
      </c>
      <c r="D9" s="137">
        <v>13.71</v>
      </c>
      <c r="E9" s="89">
        <f t="shared" si="13"/>
        <v>1.2217944604855095E-2</v>
      </c>
      <c r="F9" s="137">
        <v>10.28</v>
      </c>
      <c r="G9" s="89">
        <f t="shared" ref="G9" si="14">+F9/F$16</f>
        <v>1.2227759869634E-2</v>
      </c>
      <c r="H9" s="137">
        <v>12.41</v>
      </c>
      <c r="I9" s="89">
        <f t="shared" ref="I9" si="15">+H9/H$16</f>
        <v>1.3205639797818568E-2</v>
      </c>
      <c r="J9" s="137">
        <v>12.7</v>
      </c>
      <c r="K9" s="89">
        <f t="shared" ref="K9" si="16">+J9/J$16</f>
        <v>1.4195336775981934E-2</v>
      </c>
      <c r="L9" s="137">
        <v>14.34</v>
      </c>
      <c r="M9" s="89">
        <f t="shared" ref="M9" si="17">+L9/L$16</f>
        <v>1.4839958191470645E-2</v>
      </c>
      <c r="N9" s="88" t="e">
        <f>+#REF!+#REF!+#REF!+#REF!+#REF!+#REF!+B9+D9+F9+H9+J9+L9</f>
        <v>#REF!</v>
      </c>
      <c r="O9" s="89" t="e">
        <f t="shared" ref="O9" si="18">+N9/N$16</f>
        <v>#REF!</v>
      </c>
      <c r="Q9" s="137" t="e">
        <f t="shared" si="6"/>
        <v>#REF!</v>
      </c>
      <c r="R9" s="89"/>
      <c r="S9" s="88"/>
      <c r="T9" s="89"/>
      <c r="U9" s="88"/>
      <c r="V9" s="89"/>
      <c r="W9" s="88"/>
      <c r="X9" s="89"/>
      <c r="Y9" s="88"/>
      <c r="Z9" s="89"/>
      <c r="AA9" s="88"/>
      <c r="AB9" s="121"/>
      <c r="AC9" s="88"/>
      <c r="AD9" s="89"/>
      <c r="AE9" s="88"/>
      <c r="AF9" s="89"/>
      <c r="AG9" s="122"/>
      <c r="AH9" s="89"/>
      <c r="AI9" s="122"/>
      <c r="AJ9" s="89"/>
      <c r="AK9" s="88"/>
      <c r="AL9" s="89"/>
      <c r="AM9" s="88"/>
      <c r="AN9" s="89"/>
      <c r="AO9" s="88"/>
    </row>
    <row r="10" spans="1:41" hidden="1" x14ac:dyDescent="0.2">
      <c r="A10" s="85" t="s">
        <v>11</v>
      </c>
      <c r="B10" s="88">
        <v>154.78</v>
      </c>
      <c r="C10" s="89">
        <f t="shared" ref="C10:E10" si="19">+B10/B$16</f>
        <v>0.14223488329351225</v>
      </c>
      <c r="D10" s="137">
        <v>166.16</v>
      </c>
      <c r="E10" s="89">
        <f t="shared" si="19"/>
        <v>0.14807685452536268</v>
      </c>
      <c r="F10" s="137">
        <v>159.09</v>
      </c>
      <c r="G10" s="89">
        <f t="shared" ref="G10" si="20">+F10/F$16</f>
        <v>0.18923291027821723</v>
      </c>
      <c r="H10" s="137">
        <v>172.66</v>
      </c>
      <c r="I10" s="89">
        <f t="shared" ref="I10" si="21">+H10/H$16</f>
        <v>0.18372971534982707</v>
      </c>
      <c r="J10" s="137">
        <v>153.04</v>
      </c>
      <c r="K10" s="89">
        <f t="shared" ref="K10" si="22">+J10/J$16</f>
        <v>0.17105939686584845</v>
      </c>
      <c r="L10" s="137">
        <v>154.36000000000001</v>
      </c>
      <c r="M10" s="89">
        <f t="shared" ref="M10" si="23">+L10/L$16</f>
        <v>0.15974169779884304</v>
      </c>
      <c r="N10" s="88" t="e">
        <f>+#REF!+#REF!+#REF!+#REF!+#REF!+#REF!+B10+D10+F10+H10+J10+L10</f>
        <v>#REF!</v>
      </c>
      <c r="O10" s="89" t="e">
        <f t="shared" ref="O10" si="24">+N10/N$16</f>
        <v>#REF!</v>
      </c>
      <c r="Q10" s="137" t="e">
        <f t="shared" si="6"/>
        <v>#REF!</v>
      </c>
      <c r="R10" s="89"/>
      <c r="S10" s="88"/>
      <c r="T10" s="89"/>
      <c r="U10" s="88"/>
      <c r="V10" s="89"/>
      <c r="W10" s="88"/>
      <c r="X10" s="89"/>
      <c r="Y10" s="88"/>
      <c r="Z10" s="89"/>
      <c r="AA10" s="88"/>
      <c r="AB10" s="121"/>
      <c r="AC10" s="88"/>
      <c r="AD10" s="89"/>
      <c r="AE10" s="88"/>
      <c r="AF10" s="89"/>
      <c r="AG10" s="122"/>
      <c r="AH10" s="89"/>
      <c r="AI10" s="122"/>
      <c r="AJ10" s="89"/>
      <c r="AK10" s="88"/>
      <c r="AL10" s="89"/>
      <c r="AM10" s="88"/>
      <c r="AN10" s="89"/>
      <c r="AO10" s="88"/>
    </row>
    <row r="11" spans="1:41" hidden="1" x14ac:dyDescent="0.2">
      <c r="A11" s="85" t="s">
        <v>97</v>
      </c>
      <c r="B11" s="88">
        <v>28.96</v>
      </c>
      <c r="C11" s="89">
        <f t="shared" ref="C11:E11" si="25">+B11/B$16</f>
        <v>2.6612755008270542E-2</v>
      </c>
      <c r="D11" s="137">
        <v>30.9</v>
      </c>
      <c r="E11" s="89">
        <f t="shared" si="25"/>
        <v>2.7537161800876907E-2</v>
      </c>
      <c r="F11" s="137">
        <v>22.92</v>
      </c>
      <c r="G11" s="89">
        <f t="shared" ref="G11" si="26">+F11/F$16</f>
        <v>2.7262670837744293E-2</v>
      </c>
      <c r="H11" s="137">
        <v>23.83</v>
      </c>
      <c r="I11" s="89">
        <f t="shared" ref="I11" si="27">+H11/H$16</f>
        <v>2.5357807927640329E-2</v>
      </c>
      <c r="J11" s="137">
        <v>24.01</v>
      </c>
      <c r="K11" s="89">
        <f t="shared" ref="K11" si="28">+J11/J$16</f>
        <v>2.6837010707978448E-2</v>
      </c>
      <c r="L11" s="137">
        <v>24.89</v>
      </c>
      <c r="M11" s="89">
        <f t="shared" ref="M11" si="29">+L11/L$16</f>
        <v>2.5757779594540054E-2</v>
      </c>
      <c r="N11" s="88" t="e">
        <f>+#REF!+#REF!+#REF!+#REF!+#REF!+#REF!+B11+D11+F11+H11+J11+L11</f>
        <v>#REF!</v>
      </c>
      <c r="O11" s="89" t="e">
        <f t="shared" ref="O11" si="30">+N11/N$16</f>
        <v>#REF!</v>
      </c>
      <c r="Q11" s="137" t="e">
        <f t="shared" si="6"/>
        <v>#REF!</v>
      </c>
      <c r="R11" s="89"/>
      <c r="S11" s="88"/>
      <c r="T11" s="89"/>
      <c r="U11" s="88"/>
      <c r="V11" s="89"/>
      <c r="W11" s="88"/>
      <c r="X11" s="89"/>
      <c r="Y11" s="88"/>
      <c r="Z11" s="89"/>
      <c r="AA11" s="88"/>
      <c r="AB11" s="121"/>
      <c r="AC11" s="88"/>
      <c r="AD11" s="89"/>
      <c r="AE11" s="88"/>
      <c r="AF11" s="89"/>
      <c r="AG11" s="122"/>
      <c r="AH11" s="89"/>
      <c r="AI11" s="122"/>
      <c r="AJ11" s="89"/>
      <c r="AK11" s="88"/>
      <c r="AL11" s="89"/>
      <c r="AM11" s="88"/>
      <c r="AN11" s="89"/>
      <c r="AO11" s="88"/>
    </row>
    <row r="12" spans="1:41" hidden="1" x14ac:dyDescent="0.2">
      <c r="A12" s="85" t="s">
        <v>1</v>
      </c>
      <c r="B12" s="88">
        <v>33.950000000000003</v>
      </c>
      <c r="C12" s="89">
        <f t="shared" ref="C12:E12" si="31">+B12/B$16</f>
        <v>3.1198309134350313E-2</v>
      </c>
      <c r="D12" s="137">
        <v>46.94</v>
      </c>
      <c r="E12" s="89">
        <f t="shared" si="31"/>
        <v>4.1831533169357997E-2</v>
      </c>
      <c r="F12" s="137">
        <v>25.65</v>
      </c>
      <c r="G12" s="89">
        <f t="shared" ref="G12" si="32">+F12/F$16</f>
        <v>3.0509926133863045E-2</v>
      </c>
      <c r="H12" s="137">
        <v>30.53</v>
      </c>
      <c r="I12" s="89">
        <f t="shared" ref="I12" si="33">+H12/H$16</f>
        <v>3.2487363660548017E-2</v>
      </c>
      <c r="J12" s="137">
        <v>32.119999999999997</v>
      </c>
      <c r="K12" s="89">
        <f t="shared" ref="K12" si="34">+J12/J$16</f>
        <v>3.5901906869648802E-2</v>
      </c>
      <c r="L12" s="137">
        <v>35.21</v>
      </c>
      <c r="M12" s="89">
        <f t="shared" ref="M12" si="35">+L12/L$16</f>
        <v>3.6437582142376669E-2</v>
      </c>
      <c r="N12" s="88" t="e">
        <f>+#REF!+#REF!+#REF!+#REF!+#REF!+#REF!+B12+D12+F12+H12+J12+L12</f>
        <v>#REF!</v>
      </c>
      <c r="O12" s="89" t="e">
        <f t="shared" ref="O12" si="36">+N12/N$16</f>
        <v>#REF!</v>
      </c>
      <c r="Q12" s="137" t="e">
        <f t="shared" si="6"/>
        <v>#REF!</v>
      </c>
      <c r="R12" s="89"/>
      <c r="S12" s="88"/>
      <c r="T12" s="89"/>
      <c r="U12" s="88"/>
      <c r="V12" s="89"/>
      <c r="W12" s="88"/>
      <c r="X12" s="89"/>
      <c r="Y12" s="88"/>
      <c r="Z12" s="89"/>
      <c r="AA12" s="88"/>
      <c r="AB12" s="121"/>
      <c r="AC12" s="88"/>
      <c r="AD12" s="89"/>
      <c r="AE12" s="88"/>
      <c r="AF12" s="89"/>
      <c r="AG12" s="122"/>
      <c r="AH12" s="89"/>
      <c r="AI12" s="122"/>
      <c r="AJ12" s="89"/>
      <c r="AK12" s="88"/>
      <c r="AL12" s="89"/>
      <c r="AM12" s="88"/>
      <c r="AN12" s="89"/>
      <c r="AO12" s="88"/>
    </row>
    <row r="13" spans="1:41" hidden="1" x14ac:dyDescent="0.2">
      <c r="A13" s="85" t="s">
        <v>67</v>
      </c>
      <c r="B13" s="88">
        <v>9.36</v>
      </c>
      <c r="C13" s="89">
        <f t="shared" ref="C13:E13" si="37">+B13/B$16</f>
        <v>8.6013600441095395E-3</v>
      </c>
      <c r="D13" s="137">
        <v>10.220000000000001</v>
      </c>
      <c r="E13" s="89">
        <f t="shared" si="37"/>
        <v>9.1077603108401951E-3</v>
      </c>
      <c r="F13" s="137">
        <v>8.02</v>
      </c>
      <c r="G13" s="89">
        <f t="shared" ref="G13" si="38">+F13/F$16</f>
        <v>9.5395558516016225E-3</v>
      </c>
      <c r="H13" s="137">
        <v>9.7799999999999994</v>
      </c>
      <c r="I13" s="89">
        <f t="shared" ref="I13" si="39">+H13/H$16</f>
        <v>1.0407023144453312E-2</v>
      </c>
      <c r="J13" s="137">
        <v>8.9600000000000009</v>
      </c>
      <c r="K13" s="89">
        <f t="shared" ref="K13" si="40">+J13/J$16</f>
        <v>1.001497775691324E-2</v>
      </c>
      <c r="L13" s="137">
        <v>9.52</v>
      </c>
      <c r="M13" s="89">
        <f t="shared" ref="M13" si="41">+L13/L$16</f>
        <v>9.8519108774616834E-3</v>
      </c>
      <c r="N13" s="88" t="e">
        <f>+#REF!+#REF!+#REF!+#REF!+#REF!+#REF!+B13+D13+F13+H13+J13+L13</f>
        <v>#REF!</v>
      </c>
      <c r="O13" s="89" t="e">
        <f t="shared" ref="O13" si="42">+N13/N$16</f>
        <v>#REF!</v>
      </c>
      <c r="Q13" s="137" t="e">
        <f t="shared" si="6"/>
        <v>#REF!</v>
      </c>
      <c r="R13" s="89"/>
      <c r="S13" s="88"/>
      <c r="T13" s="89"/>
      <c r="U13" s="88"/>
      <c r="V13" s="89"/>
      <c r="W13" s="88"/>
      <c r="X13" s="89"/>
      <c r="Y13" s="88"/>
      <c r="Z13" s="89"/>
      <c r="AA13" s="88"/>
      <c r="AB13" s="121"/>
      <c r="AC13" s="88"/>
      <c r="AD13" s="89"/>
      <c r="AE13" s="88"/>
      <c r="AF13" s="89"/>
      <c r="AG13" s="122"/>
      <c r="AH13" s="89"/>
      <c r="AI13" s="122"/>
      <c r="AJ13" s="89"/>
      <c r="AK13" s="88"/>
      <c r="AL13" s="89"/>
      <c r="AM13" s="88"/>
      <c r="AN13" s="89"/>
      <c r="AO13" s="88"/>
    </row>
    <row r="14" spans="1:41" hidden="1" x14ac:dyDescent="0.2">
      <c r="A14" s="85" t="s">
        <v>68</v>
      </c>
      <c r="B14" s="88">
        <v>7.61</v>
      </c>
      <c r="C14" s="89">
        <f t="shared" ref="C14:E14" si="43">+B14/B$16</f>
        <v>6.9931997794523077E-3</v>
      </c>
      <c r="D14" s="137">
        <v>7.76</v>
      </c>
      <c r="E14" s="89">
        <f t="shared" si="43"/>
        <v>6.9154814101878579E-3</v>
      </c>
      <c r="F14" s="137">
        <v>6.32</v>
      </c>
      <c r="G14" s="89">
        <f t="shared" ref="G14" si="44">+F14/F$16</f>
        <v>7.5174554840551451E-3</v>
      </c>
      <c r="H14" s="137">
        <v>7.47</v>
      </c>
      <c r="I14" s="89">
        <f t="shared" ref="I14" si="45">+H14/H$16</f>
        <v>7.9489225857940944E-3</v>
      </c>
      <c r="J14" s="137">
        <v>7.9</v>
      </c>
      <c r="K14" s="89">
        <f t="shared" ref="K14" si="46">+J14/J$16</f>
        <v>8.8301701204927009E-3</v>
      </c>
      <c r="L14" s="137">
        <v>8.49</v>
      </c>
      <c r="M14" s="89">
        <f t="shared" ref="M14" si="47">+L14/L$16</f>
        <v>8.7860003518539596E-3</v>
      </c>
      <c r="N14" s="88" t="e">
        <f>+#REF!+#REF!+#REF!+#REF!+#REF!+#REF!+B14+D14+F14+H14+J14+L14</f>
        <v>#REF!</v>
      </c>
      <c r="O14" s="89" t="e">
        <f t="shared" ref="O14" si="48">+N14/N$16</f>
        <v>#REF!</v>
      </c>
      <c r="Q14" s="137" t="e">
        <f t="shared" si="6"/>
        <v>#REF!</v>
      </c>
      <c r="R14" s="89"/>
      <c r="S14" s="88"/>
      <c r="T14" s="89"/>
      <c r="U14" s="88"/>
      <c r="V14" s="89"/>
      <c r="W14" s="88"/>
      <c r="X14" s="89"/>
      <c r="Y14" s="88"/>
      <c r="Z14" s="89"/>
      <c r="AA14" s="88"/>
      <c r="AB14" s="121"/>
      <c r="AC14" s="88"/>
      <c r="AD14" s="89"/>
      <c r="AE14" s="88"/>
      <c r="AF14" s="89"/>
      <c r="AG14" s="122"/>
      <c r="AH14" s="89"/>
      <c r="AI14" s="122"/>
      <c r="AJ14" s="89"/>
      <c r="AK14" s="88"/>
      <c r="AL14" s="89"/>
      <c r="AM14" s="88"/>
      <c r="AN14" s="89"/>
      <c r="AO14" s="88"/>
    </row>
    <row r="15" spans="1:41" ht="15" hidden="1" x14ac:dyDescent="0.35">
      <c r="A15" s="85" t="s">
        <v>69</v>
      </c>
      <c r="B15" s="88">
        <v>0</v>
      </c>
      <c r="C15" s="89">
        <f t="shared" ref="C15:E15" si="49">+B15/B$16</f>
        <v>0</v>
      </c>
      <c r="D15" s="137">
        <v>2.0699999999999998</v>
      </c>
      <c r="E15" s="89">
        <f t="shared" si="49"/>
        <v>1.8447224895733073E-3</v>
      </c>
      <c r="F15" s="137">
        <v>2.92</v>
      </c>
      <c r="G15" s="89">
        <f t="shared" ref="G15" si="50">+F15/F$16</f>
        <v>3.4732547489621868E-3</v>
      </c>
      <c r="H15" s="137">
        <v>3.08</v>
      </c>
      <c r="I15" s="89">
        <f t="shared" ref="I15" si="51">+H15/H$16</f>
        <v>3.277467411545624E-3</v>
      </c>
      <c r="J15" s="137">
        <v>2.2400000000000002</v>
      </c>
      <c r="K15" s="89">
        <f t="shared" ref="K15" si="52">+J15/J$16</f>
        <v>2.50374443922831E-3</v>
      </c>
      <c r="L15" s="137">
        <v>0.23</v>
      </c>
      <c r="M15" s="89">
        <f t="shared" ref="M15" si="53">+L15/L$16</f>
        <v>2.3801885523279278E-4</v>
      </c>
      <c r="N15" s="88" t="e">
        <f>+#REF!+#REF!+#REF!+#REF!+#REF!+#REF!+B15+D15+F15+H15+J15+L15</f>
        <v>#REF!</v>
      </c>
      <c r="O15" s="89" t="e">
        <f t="shared" ref="O15" si="54">+N15/N$16</f>
        <v>#REF!</v>
      </c>
      <c r="Q15" s="149" t="e">
        <f t="shared" si="6"/>
        <v>#REF!</v>
      </c>
      <c r="R15" s="89"/>
      <c r="S15" s="88"/>
      <c r="T15" s="89"/>
      <c r="U15" s="88"/>
      <c r="V15" s="89"/>
      <c r="W15" s="88"/>
      <c r="X15" s="89"/>
      <c r="Y15" s="88"/>
      <c r="Z15" s="89"/>
      <c r="AA15" s="88"/>
      <c r="AB15" s="121"/>
      <c r="AC15" s="88"/>
      <c r="AD15" s="89"/>
      <c r="AE15" s="88"/>
      <c r="AF15" s="89"/>
      <c r="AG15" s="122"/>
      <c r="AH15" s="89"/>
      <c r="AI15" s="122"/>
      <c r="AJ15" s="89"/>
      <c r="AK15" s="88"/>
      <c r="AL15" s="89"/>
      <c r="AM15" s="88"/>
      <c r="AN15" s="89"/>
      <c r="AO15" s="88"/>
    </row>
    <row r="16" spans="1:41" s="123" customFormat="1" ht="13.5" hidden="1" thickBot="1" x14ac:dyDescent="0.25">
      <c r="A16" s="90"/>
      <c r="B16" s="91">
        <f t="shared" ref="B16:O16" si="55">SUM(B6:B15)</f>
        <v>1088.1999999999998</v>
      </c>
      <c r="C16" s="102">
        <f t="shared" si="55"/>
        <v>1.0000000000000002</v>
      </c>
      <c r="D16" s="91">
        <f t="shared" si="55"/>
        <v>1122.1200000000001</v>
      </c>
      <c r="E16" s="102">
        <f t="shared" si="55"/>
        <v>0.99999999999999989</v>
      </c>
      <c r="F16" s="91">
        <f t="shared" si="55"/>
        <v>840.70999999999992</v>
      </c>
      <c r="G16" s="102">
        <f t="shared" si="55"/>
        <v>1</v>
      </c>
      <c r="H16" s="91">
        <f t="shared" si="55"/>
        <v>939.75</v>
      </c>
      <c r="I16" s="102">
        <f t="shared" si="55"/>
        <v>0.99999999999999989</v>
      </c>
      <c r="J16" s="91">
        <f t="shared" si="55"/>
        <v>894.66000000000008</v>
      </c>
      <c r="K16" s="102">
        <f t="shared" si="55"/>
        <v>0.99999999999999989</v>
      </c>
      <c r="L16" s="91">
        <f t="shared" si="55"/>
        <v>966.31000000000006</v>
      </c>
      <c r="M16" s="102">
        <f t="shared" si="55"/>
        <v>1.0000000000000002</v>
      </c>
      <c r="N16" s="91" t="e">
        <f t="shared" si="55"/>
        <v>#REF!</v>
      </c>
      <c r="O16" s="102" t="e">
        <f t="shared" si="55"/>
        <v>#REF!</v>
      </c>
      <c r="P16" s="1"/>
      <c r="Q16" s="138" t="e">
        <f>SUM(Q6:Q15)</f>
        <v>#REF!</v>
      </c>
    </row>
    <row r="17" spans="1:17" hidden="1" x14ac:dyDescent="0.2"/>
    <row r="18" spans="1:17" ht="15" hidden="1" x14ac:dyDescent="0.35">
      <c r="A18" s="85" t="s">
        <v>70</v>
      </c>
      <c r="B18" s="126">
        <v>153.16999999999999</v>
      </c>
      <c r="C18" s="127">
        <f>+B18/B20</f>
        <v>0.12338786985346835</v>
      </c>
      <c r="D18" s="136">
        <v>166.01</v>
      </c>
      <c r="E18" s="127">
        <f>+D18/D20</f>
        <v>0.12887674380691388</v>
      </c>
      <c r="F18" s="136">
        <v>98.34</v>
      </c>
      <c r="G18" s="127">
        <f>+F18/F20</f>
        <v>0.10472285820776317</v>
      </c>
      <c r="H18" s="136">
        <v>153.34</v>
      </c>
      <c r="I18" s="127">
        <f>+H18/H20</f>
        <v>0.14028122112543343</v>
      </c>
      <c r="J18" s="136">
        <v>165.76</v>
      </c>
      <c r="K18" s="127">
        <f>+J18/J20</f>
        <v>0.15631542219120723</v>
      </c>
      <c r="L18" s="149">
        <f>169.25+9.98+1.26</f>
        <v>180.48999999999998</v>
      </c>
      <c r="M18" s="127">
        <f>+L18/L20</f>
        <v>0.15738576909661667</v>
      </c>
      <c r="N18" s="126" t="e">
        <f>+L18+J18+H18+F18+D18+B18+#REF!+#REF!+#REF!+#REF!+#REF!+#REF!</f>
        <v>#REF!</v>
      </c>
      <c r="O18" s="127" t="e">
        <f>+N18/N20</f>
        <v>#REF!</v>
      </c>
      <c r="Q18" s="137" t="e">
        <f t="shared" ref="Q18" si="56">+N18/7*12</f>
        <v>#REF!</v>
      </c>
    </row>
    <row r="19" spans="1:17" hidden="1" x14ac:dyDescent="0.2"/>
    <row r="20" spans="1:17" ht="15" hidden="1" x14ac:dyDescent="0.35">
      <c r="A20" s="86" t="s">
        <v>95</v>
      </c>
      <c r="B20" s="125">
        <f t="shared" ref="B20" si="57">+B18+B16</f>
        <v>1241.3699999999999</v>
      </c>
      <c r="C20" s="125"/>
      <c r="D20" s="125">
        <f t="shared" ref="D20" si="58">+D18+D16</f>
        <v>1288.1300000000001</v>
      </c>
      <c r="E20" s="125"/>
      <c r="F20" s="125">
        <f t="shared" ref="F20" si="59">+F18+F16</f>
        <v>939.05</v>
      </c>
      <c r="G20" s="125"/>
      <c r="H20" s="125">
        <f t="shared" ref="H20" si="60">+H18+H16</f>
        <v>1093.0899999999999</v>
      </c>
      <c r="I20" s="125"/>
      <c r="J20" s="125">
        <f t="shared" ref="J20" si="61">+J18+J16</f>
        <v>1060.42</v>
      </c>
      <c r="K20" s="125"/>
      <c r="L20" s="125">
        <f t="shared" ref="L20" si="62">+L18+L16</f>
        <v>1146.8</v>
      </c>
      <c r="M20" s="125"/>
      <c r="N20" s="125" t="e">
        <f t="shared" ref="N20" si="63">+N18+N16</f>
        <v>#REF!</v>
      </c>
    </row>
    <row r="21" spans="1:17" hidden="1" x14ac:dyDescent="0.2"/>
    <row r="23" spans="1:17" x14ac:dyDescent="0.2">
      <c r="A23" s="85"/>
      <c r="B23" s="276">
        <v>43435</v>
      </c>
      <c r="C23" s="276"/>
      <c r="D23" s="276">
        <v>43466</v>
      </c>
      <c r="E23" s="276"/>
      <c r="F23" s="276">
        <v>43497</v>
      </c>
      <c r="G23" s="276"/>
      <c r="H23" s="276">
        <v>43525</v>
      </c>
      <c r="I23" s="276"/>
      <c r="J23" s="276">
        <v>43556</v>
      </c>
      <c r="K23" s="276"/>
      <c r="L23" s="276">
        <v>43586</v>
      </c>
      <c r="M23" s="276"/>
      <c r="N23" s="276" t="s">
        <v>3</v>
      </c>
      <c r="O23" s="276"/>
    </row>
    <row r="24" spans="1:17" x14ac:dyDescent="0.2">
      <c r="A24" s="85"/>
      <c r="B24" s="87" t="s">
        <v>12</v>
      </c>
      <c r="C24" s="87" t="s">
        <v>4</v>
      </c>
      <c r="D24" s="87" t="s">
        <v>12</v>
      </c>
      <c r="E24" s="87" t="s">
        <v>4</v>
      </c>
      <c r="F24" s="87" t="s">
        <v>12</v>
      </c>
      <c r="G24" s="87" t="s">
        <v>4</v>
      </c>
      <c r="H24" s="87" t="s">
        <v>12</v>
      </c>
      <c r="I24" s="87" t="s">
        <v>4</v>
      </c>
      <c r="J24" s="87" t="s">
        <v>12</v>
      </c>
      <c r="K24" s="87" t="s">
        <v>4</v>
      </c>
      <c r="L24" s="87" t="s">
        <v>12</v>
      </c>
      <c r="M24" s="87" t="s">
        <v>4</v>
      </c>
      <c r="N24" s="87" t="s">
        <v>12</v>
      </c>
      <c r="O24" s="87" t="s">
        <v>4</v>
      </c>
    </row>
    <row r="25" spans="1:17" x14ac:dyDescent="0.2">
      <c r="A25" s="85" t="s">
        <v>36</v>
      </c>
      <c r="B25" s="88">
        <v>361.34</v>
      </c>
      <c r="C25" s="89">
        <f>+B25/B$35</f>
        <v>0.38141380875476316</v>
      </c>
      <c r="D25" s="137">
        <v>368.79</v>
      </c>
      <c r="E25" s="89">
        <f>+D25/D$35</f>
        <v>0.37663916009640913</v>
      </c>
      <c r="F25" s="137">
        <v>232.05</v>
      </c>
      <c r="G25" s="89">
        <f>+F25/F$35</f>
        <v>0.32232748083120349</v>
      </c>
      <c r="H25" s="137">
        <v>271.57</v>
      </c>
      <c r="I25" s="89">
        <f>+H25/H$35</f>
        <v>0.3092347984513778</v>
      </c>
      <c r="J25" s="137">
        <v>307.64</v>
      </c>
      <c r="K25" s="89">
        <f>+J25/J$35</f>
        <v>0.32402940742769271</v>
      </c>
      <c r="L25" s="180">
        <v>308.72000000000003</v>
      </c>
      <c r="M25" s="89">
        <f>+L25/L$35</f>
        <v>0.32359569405574246</v>
      </c>
      <c r="N25" s="88">
        <f>+B25+D25+F25+H25+J25+L25</f>
        <v>1850.11</v>
      </c>
      <c r="O25" s="89">
        <f>+N25/N$35</f>
        <v>0.34083933604760408</v>
      </c>
    </row>
    <row r="26" spans="1:17" x14ac:dyDescent="0.2">
      <c r="A26" s="85" t="s">
        <v>66</v>
      </c>
      <c r="B26" s="88"/>
      <c r="C26" s="89">
        <f t="shared" ref="C26" si="64">+B26/B$35</f>
        <v>0</v>
      </c>
      <c r="D26" s="137">
        <v>0</v>
      </c>
      <c r="E26" s="89">
        <f t="shared" ref="E26" si="65">+D26/D$35</f>
        <v>0</v>
      </c>
      <c r="F26" s="137">
        <v>0</v>
      </c>
      <c r="G26" s="89">
        <f t="shared" ref="G26" si="66">+F26/F$35</f>
        <v>0</v>
      </c>
      <c r="H26" s="137"/>
      <c r="I26" s="89">
        <f t="shared" ref="I26" si="67">+H26/H$35</f>
        <v>0</v>
      </c>
      <c r="J26" s="137">
        <v>0</v>
      </c>
      <c r="K26" s="89">
        <f t="shared" ref="K26" si="68">+J26/J$35</f>
        <v>0</v>
      </c>
      <c r="L26" s="180">
        <f t="shared" ref="L26:L34" si="69">+J26</f>
        <v>0</v>
      </c>
      <c r="M26" s="89">
        <f t="shared" ref="M26" si="70">+L26/L$35</f>
        <v>0</v>
      </c>
      <c r="N26" s="88">
        <f t="shared" ref="N26:N34" si="71">+B26+D26+F26+H26+J26+L26</f>
        <v>0</v>
      </c>
      <c r="O26" s="89">
        <f t="shared" ref="O26" si="72">+N26/N$35</f>
        <v>0</v>
      </c>
    </row>
    <row r="27" spans="1:17" x14ac:dyDescent="0.2">
      <c r="A27" s="85" t="s">
        <v>19</v>
      </c>
      <c r="B27" s="88">
        <v>332.43</v>
      </c>
      <c r="C27" s="89">
        <f t="shared" ref="C27" si="73">+B27/B$35</f>
        <v>0.35089774850375249</v>
      </c>
      <c r="D27" s="137">
        <v>317.43</v>
      </c>
      <c r="E27" s="89">
        <f t="shared" ref="E27" si="74">+D27/D$35</f>
        <v>0.32418603701131582</v>
      </c>
      <c r="F27" s="137">
        <v>280.27</v>
      </c>
      <c r="G27" s="89">
        <f t="shared" ref="G27" si="75">+F27/F$35</f>
        <v>0.3893071452383598</v>
      </c>
      <c r="H27" s="137">
        <v>382.14</v>
      </c>
      <c r="I27" s="89">
        <f t="shared" ref="I27" si="76">+H27/H$35</f>
        <v>0.43514005921202453</v>
      </c>
      <c r="J27" s="137">
        <v>392.93</v>
      </c>
      <c r="K27" s="89">
        <f t="shared" ref="K27" si="77">+J27/J$35</f>
        <v>0.41386320069094817</v>
      </c>
      <c r="L27" s="180">
        <v>390.89</v>
      </c>
      <c r="M27" s="89">
        <f t="shared" ref="M27" si="78">+L27/L$35</f>
        <v>0.40972506105678014</v>
      </c>
      <c r="N27" s="88">
        <f t="shared" si="71"/>
        <v>2096.09</v>
      </c>
      <c r="O27" s="89">
        <f t="shared" ref="O27" si="79">+N27/N$35</f>
        <v>0.38615537665113026</v>
      </c>
    </row>
    <row r="28" spans="1:17" x14ac:dyDescent="0.2">
      <c r="A28" s="85" t="s">
        <v>17</v>
      </c>
      <c r="B28" s="88">
        <v>12.83</v>
      </c>
      <c r="C28" s="89">
        <f t="shared" ref="C28" si="80">+B28/B$35</f>
        <v>1.3542755206519101E-2</v>
      </c>
      <c r="D28" s="137">
        <v>16.760000000000002</v>
      </c>
      <c r="E28" s="89">
        <f t="shared" ref="E28" si="81">+D28/D$35</f>
        <v>1.7116712283998529E-2</v>
      </c>
      <c r="F28" s="137">
        <v>12.99</v>
      </c>
      <c r="G28" s="89">
        <f t="shared" ref="G28" si="82">+F28/F$35</f>
        <v>1.8043671519057676E-2</v>
      </c>
      <c r="H28" s="137">
        <v>13.35</v>
      </c>
      <c r="I28" s="89">
        <f t="shared" ref="I28" si="83">+H28/H$35</f>
        <v>1.5201548622181734E-2</v>
      </c>
      <c r="J28" s="137">
        <v>14.08</v>
      </c>
      <c r="K28" s="89">
        <f t="shared" ref="K28" si="84">+J28/J$35</f>
        <v>1.4830106802047566E-2</v>
      </c>
      <c r="L28" s="180">
        <v>16.14</v>
      </c>
      <c r="M28" s="89">
        <f t="shared" ref="M28" si="85">+L28/L$35</f>
        <v>1.6917706990346216E-2</v>
      </c>
      <c r="N28" s="88">
        <f t="shared" si="71"/>
        <v>86.15</v>
      </c>
      <c r="O28" s="89">
        <f t="shared" ref="O28" si="86">+N28/N$35</f>
        <v>1.5871115123155432E-2</v>
      </c>
    </row>
    <row r="29" spans="1:17" x14ac:dyDescent="0.2">
      <c r="A29" s="85" t="s">
        <v>11</v>
      </c>
      <c r="B29" s="88">
        <v>159.16999999999999</v>
      </c>
      <c r="C29" s="89">
        <f t="shared" ref="C29" si="87">+B29/B$35</f>
        <v>0.16801249775694818</v>
      </c>
      <c r="D29" s="137">
        <v>190.88</v>
      </c>
      <c r="E29" s="89">
        <f t="shared" ref="E29" si="88">+D29/D$35</f>
        <v>0.19494260386453693</v>
      </c>
      <c r="F29" s="137">
        <v>132.88</v>
      </c>
      <c r="G29" s="89">
        <f t="shared" ref="G29" si="89">+F29/F$35</f>
        <v>0.18457606400711191</v>
      </c>
      <c r="H29" s="137">
        <v>142.56</v>
      </c>
      <c r="I29" s="89">
        <f t="shared" ref="I29" si="90">+H29/H$35</f>
        <v>0.16233204281484856</v>
      </c>
      <c r="J29" s="137">
        <v>156.37</v>
      </c>
      <c r="K29" s="89">
        <f t="shared" ref="K29" si="91">+J29/J$35</f>
        <v>0.16470055402245581</v>
      </c>
      <c r="L29" s="180">
        <v>162.43</v>
      </c>
      <c r="M29" s="89">
        <f t="shared" ref="M29" si="92">+L29/L$35</f>
        <v>0.17025670052304434</v>
      </c>
      <c r="N29" s="88">
        <f t="shared" si="71"/>
        <v>944.29</v>
      </c>
      <c r="O29" s="89">
        <f t="shared" ref="O29" si="93">+N29/N$35</f>
        <v>0.17396326523092792</v>
      </c>
    </row>
    <row r="30" spans="1:17" x14ac:dyDescent="0.2">
      <c r="A30" s="85" t="s">
        <v>97</v>
      </c>
      <c r="B30" s="88">
        <v>25.41</v>
      </c>
      <c r="C30" s="89">
        <f t="shared" ref="C30" si="94">+B30/B$35</f>
        <v>2.6821621963963392E-2</v>
      </c>
      <c r="D30" s="137">
        <v>26.59</v>
      </c>
      <c r="E30" s="89">
        <f t="shared" ref="E30" si="95">+D30/D$35</f>
        <v>2.7155929572286446E-2</v>
      </c>
      <c r="F30" s="137">
        <v>21.48</v>
      </c>
      <c r="G30" s="89">
        <f t="shared" ref="G30" si="96">+F30/F$35</f>
        <v>2.9836648516501835E-2</v>
      </c>
      <c r="H30" s="137">
        <v>22.42</v>
      </c>
      <c r="I30" s="89">
        <f t="shared" ref="I30" si="97">+H30/H$35</f>
        <v>2.5529492143019816E-2</v>
      </c>
      <c r="J30" s="137">
        <v>23.62</v>
      </c>
      <c r="K30" s="89">
        <f t="shared" ref="K30" si="98">+J30/J$35</f>
        <v>2.4878346780139456E-2</v>
      </c>
      <c r="L30" s="180">
        <v>21.9</v>
      </c>
      <c r="M30" s="89">
        <f t="shared" ref="M30" si="99">+L30/L$35</f>
        <v>2.2955252979466052E-2</v>
      </c>
      <c r="N30" s="88">
        <f t="shared" si="71"/>
        <v>141.42000000000002</v>
      </c>
      <c r="O30" s="89">
        <f t="shared" ref="O30" si="100">+N30/N$35</f>
        <v>2.6053315156316207E-2</v>
      </c>
    </row>
    <row r="31" spans="1:17" x14ac:dyDescent="0.2">
      <c r="A31" s="85" t="s">
        <v>1</v>
      </c>
      <c r="B31" s="88">
        <v>39.58</v>
      </c>
      <c r="C31" s="89">
        <f t="shared" ref="C31" si="101">+B31/B$35</f>
        <v>4.1778819257523456E-2</v>
      </c>
      <c r="D31" s="137">
        <v>39.69</v>
      </c>
      <c r="E31" s="89">
        <f t="shared" ref="E31" si="102">+D31/D$35</f>
        <v>4.0534744066342575E-2</v>
      </c>
      <c r="F31" s="137">
        <v>25.47</v>
      </c>
      <c r="G31" s="89">
        <f t="shared" ref="G31" si="103">+F31/F$35</f>
        <v>3.5378930992332483E-2</v>
      </c>
      <c r="H31" s="137">
        <v>29.35</v>
      </c>
      <c r="I31" s="89">
        <f t="shared" ref="I31" si="104">+H31/H$35</f>
        <v>3.3420633113186063E-2</v>
      </c>
      <c r="J31" s="137">
        <v>37.04</v>
      </c>
      <c r="K31" s="89">
        <f t="shared" ref="K31" si="105">+J31/J$35</f>
        <v>3.901329232584104E-2</v>
      </c>
      <c r="L31" s="180">
        <v>38.26</v>
      </c>
      <c r="M31" s="89">
        <f t="shared" ref="M31" si="106">+L31/L$35</f>
        <v>4.010356068467448E-2</v>
      </c>
      <c r="N31" s="88">
        <f t="shared" si="71"/>
        <v>209.39</v>
      </c>
      <c r="O31" s="89">
        <f t="shared" ref="O31" si="107">+N31/N$35</f>
        <v>3.8575192056152237E-2</v>
      </c>
    </row>
    <row r="32" spans="1:17" x14ac:dyDescent="0.2">
      <c r="A32" s="85" t="s">
        <v>67</v>
      </c>
      <c r="B32" s="88">
        <v>9.77</v>
      </c>
      <c r="C32" s="89">
        <f t="shared" ref="C32" si="108">+B32/B$35</f>
        <v>1.0312760589843461E-2</v>
      </c>
      <c r="D32" s="137">
        <v>10.96</v>
      </c>
      <c r="E32" s="89">
        <f t="shared" ref="E32" si="109">+D32/D$35</f>
        <v>1.1193267698843906E-2</v>
      </c>
      <c r="F32" s="137">
        <v>8.41</v>
      </c>
      <c r="G32" s="89">
        <f t="shared" ref="G32" si="110">+F32/F$35</f>
        <v>1.1681853539282144E-2</v>
      </c>
      <c r="H32" s="137">
        <v>9.8800000000000008</v>
      </c>
      <c r="I32" s="89">
        <f t="shared" ref="I32" si="111">+H32/H$35</f>
        <v>1.1250284673195173E-2</v>
      </c>
      <c r="J32" s="137">
        <v>9.76</v>
      </c>
      <c r="K32" s="89">
        <f t="shared" ref="K32" si="112">+J32/J$35</f>
        <v>1.027996039687388E-2</v>
      </c>
      <c r="L32" s="180">
        <v>8.69</v>
      </c>
      <c r="M32" s="89">
        <f t="shared" ref="M32" si="113">+L32/L$35</f>
        <v>9.1087282370575333E-3</v>
      </c>
      <c r="N32" s="88">
        <f t="shared" si="71"/>
        <v>57.47</v>
      </c>
      <c r="O32" s="89">
        <f t="shared" ref="O32" si="114">+N32/N$35</f>
        <v>1.0587498388017907E-2</v>
      </c>
    </row>
    <row r="33" spans="1:15" x14ac:dyDescent="0.2">
      <c r="A33" s="85" t="s">
        <v>68</v>
      </c>
      <c r="B33" s="88">
        <v>6.84</v>
      </c>
      <c r="C33" s="89">
        <f t="shared" ref="C33" si="115">+B33/B$35</f>
        <v>7.2199879666867217E-3</v>
      </c>
      <c r="D33" s="137">
        <v>8.06</v>
      </c>
      <c r="E33" s="89">
        <f t="shared" ref="E33" si="116">+D33/D$35</f>
        <v>8.2315454062665949E-3</v>
      </c>
      <c r="F33" s="137">
        <v>6.37</v>
      </c>
      <c r="G33" s="89">
        <f t="shared" ref="G33" si="117">+F33/F$35</f>
        <v>8.8482053561506832E-3</v>
      </c>
      <c r="H33" s="137">
        <v>6.93</v>
      </c>
      <c r="I33" s="89">
        <f t="shared" ref="I33" si="118">+H33/H$35</f>
        <v>7.891140970166249E-3</v>
      </c>
      <c r="J33" s="137">
        <v>7.98</v>
      </c>
      <c r="K33" s="89">
        <f t="shared" ref="K33" si="119">+J33/J$35</f>
        <v>8.4051315540013914E-3</v>
      </c>
      <c r="L33" s="180">
        <v>7</v>
      </c>
      <c r="M33" s="89">
        <f t="shared" ref="M33" si="120">+L33/L$35</f>
        <v>7.3372954728886924E-3</v>
      </c>
      <c r="N33" s="88">
        <f t="shared" si="71"/>
        <v>43.18</v>
      </c>
      <c r="O33" s="89">
        <f t="shared" ref="O33" si="121">+N33/N$35</f>
        <v>7.9549013466958963E-3</v>
      </c>
    </row>
    <row r="34" spans="1:15" x14ac:dyDescent="0.2">
      <c r="A34" s="85" t="s">
        <v>69</v>
      </c>
      <c r="B34" s="88">
        <v>0</v>
      </c>
      <c r="C34" s="89">
        <f t="shared" ref="C34" si="122">+B34/B$35</f>
        <v>0</v>
      </c>
      <c r="D34" s="137">
        <v>0</v>
      </c>
      <c r="E34" s="89">
        <f t="shared" ref="E34" si="123">+D34/D$35</f>
        <v>0</v>
      </c>
      <c r="F34" s="137">
        <v>0</v>
      </c>
      <c r="G34" s="89">
        <f t="shared" ref="G34" si="124">+F34/F$35</f>
        <v>0</v>
      </c>
      <c r="H34" s="137">
        <v>0</v>
      </c>
      <c r="I34" s="89">
        <f t="shared" ref="I34" si="125">+H34/H$35</f>
        <v>0</v>
      </c>
      <c r="J34" s="137">
        <v>0</v>
      </c>
      <c r="K34" s="89">
        <f t="shared" ref="K34" si="126">+J34/J$35</f>
        <v>0</v>
      </c>
      <c r="L34" s="180">
        <f t="shared" si="69"/>
        <v>0</v>
      </c>
      <c r="M34" s="89">
        <f t="shared" ref="M34" si="127">+L34/L$35</f>
        <v>0</v>
      </c>
      <c r="N34" s="88">
        <f t="shared" si="71"/>
        <v>0</v>
      </c>
      <c r="O34" s="89">
        <f t="shared" ref="O34" si="128">+N34/N$35</f>
        <v>0</v>
      </c>
    </row>
    <row r="35" spans="1:15" ht="13.5" thickBot="1" x14ac:dyDescent="0.25">
      <c r="A35" s="90"/>
      <c r="B35" s="91">
        <f t="shared" ref="B35:O35" si="129">SUM(B25:B34)</f>
        <v>947.37</v>
      </c>
      <c r="C35" s="102">
        <f t="shared" si="129"/>
        <v>1</v>
      </c>
      <c r="D35" s="91">
        <f t="shared" si="129"/>
        <v>979.16000000000008</v>
      </c>
      <c r="E35" s="102">
        <f t="shared" si="129"/>
        <v>0.99999999999999989</v>
      </c>
      <c r="F35" s="91">
        <f t="shared" si="129"/>
        <v>719.92</v>
      </c>
      <c r="G35" s="102">
        <f t="shared" si="129"/>
        <v>1</v>
      </c>
      <c r="H35" s="91">
        <f t="shared" si="129"/>
        <v>878.2</v>
      </c>
      <c r="I35" s="102">
        <f t="shared" si="129"/>
        <v>1</v>
      </c>
      <c r="J35" s="91">
        <f t="shared" si="129"/>
        <v>949.42</v>
      </c>
      <c r="K35" s="102">
        <f t="shared" si="129"/>
        <v>1</v>
      </c>
      <c r="L35" s="91">
        <f t="shared" si="129"/>
        <v>954.03000000000009</v>
      </c>
      <c r="M35" s="102">
        <f t="shared" si="129"/>
        <v>0.99999999999999989</v>
      </c>
      <c r="N35" s="91">
        <f t="shared" si="129"/>
        <v>5428.1</v>
      </c>
      <c r="O35" s="102">
        <f t="shared" si="129"/>
        <v>1</v>
      </c>
    </row>
    <row r="36" spans="1:15" ht="13.5" thickTop="1" x14ac:dyDescent="0.2"/>
    <row r="37" spans="1:15" ht="15" x14ac:dyDescent="0.35">
      <c r="A37" s="85" t="s">
        <v>70</v>
      </c>
      <c r="B37" s="126">
        <v>174.19</v>
      </c>
      <c r="C37" s="127"/>
      <c r="D37" s="149">
        <v>180.93</v>
      </c>
      <c r="E37" s="127"/>
      <c r="F37" s="136">
        <v>129.13999999999999</v>
      </c>
      <c r="G37" s="127"/>
      <c r="H37" s="136">
        <v>140.93</v>
      </c>
      <c r="I37" s="127"/>
      <c r="J37" s="136">
        <v>159.49</v>
      </c>
      <c r="K37" s="127"/>
      <c r="L37" s="187">
        <v>174.73</v>
      </c>
      <c r="M37" s="127"/>
      <c r="N37" s="88">
        <f t="shared" ref="N37" si="130">+B37+D37+F37+H37+J37+L37</f>
        <v>959.41000000000008</v>
      </c>
      <c r="O37" s="127"/>
    </row>
    <row r="39" spans="1:15" ht="15" x14ac:dyDescent="0.35">
      <c r="A39" s="86" t="s">
        <v>95</v>
      </c>
      <c r="B39" s="125">
        <f t="shared" ref="B39" si="131">+B37+B35</f>
        <v>1121.56</v>
      </c>
      <c r="C39" s="125"/>
      <c r="D39" s="125">
        <f t="shared" ref="D39" si="132">+D37+D35</f>
        <v>1160.0900000000001</v>
      </c>
      <c r="E39" s="125"/>
      <c r="F39" s="125">
        <f t="shared" ref="F39" si="133">+F37+F35</f>
        <v>849.06</v>
      </c>
      <c r="G39" s="125"/>
      <c r="H39" s="125">
        <f t="shared" ref="H39" si="134">+H37+H35</f>
        <v>1019.1300000000001</v>
      </c>
      <c r="I39" s="125"/>
      <c r="J39" s="125">
        <f t="shared" ref="J39" si="135">+J37+J35</f>
        <v>1108.9099999999999</v>
      </c>
      <c r="K39" s="125"/>
      <c r="L39" s="125">
        <f t="shared" ref="L39" si="136">+L37+L35</f>
        <v>1128.76</v>
      </c>
      <c r="M39" s="125"/>
      <c r="N39" s="125">
        <f t="shared" ref="N39" si="137">+N37+N35</f>
        <v>6387.51</v>
      </c>
    </row>
  </sheetData>
  <mergeCells count="14">
    <mergeCell ref="B23:C23"/>
    <mergeCell ref="N4:O4"/>
    <mergeCell ref="D4:E4"/>
    <mergeCell ref="F4:G4"/>
    <mergeCell ref="H4:I4"/>
    <mergeCell ref="B4:C4"/>
    <mergeCell ref="J4:K4"/>
    <mergeCell ref="L4:M4"/>
    <mergeCell ref="N23:O23"/>
    <mergeCell ref="D23:E23"/>
    <mergeCell ref="F23:G23"/>
    <mergeCell ref="H23:I23"/>
    <mergeCell ref="J23:K23"/>
    <mergeCell ref="L23:M23"/>
  </mergeCells>
  <pageMargins left="0.2" right="0.2" top="0.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19"/>
  <sheetViews>
    <sheetView workbookViewId="0">
      <selection activeCell="B10" sqref="B10"/>
    </sheetView>
  </sheetViews>
  <sheetFormatPr defaultRowHeight="12" x14ac:dyDescent="0.2"/>
  <cols>
    <col min="1" max="1" width="9.140625" style="85" customWidth="1"/>
    <col min="2" max="2" width="8.5703125" style="85" bestFit="1" customWidth="1"/>
    <col min="3" max="3" width="11.140625" style="85" bestFit="1" customWidth="1"/>
    <col min="4" max="4" width="8.5703125" style="85" bestFit="1" customWidth="1"/>
    <col min="5" max="5" width="10" style="85" bestFit="1" customWidth="1"/>
    <col min="6" max="6" width="11" style="85" bestFit="1" customWidth="1"/>
    <col min="7" max="7" width="8.140625" style="85" bestFit="1" customWidth="1"/>
    <col min="8" max="8" width="11" style="85" bestFit="1" customWidth="1"/>
    <col min="9" max="9" width="11.7109375" style="85" bestFit="1" customWidth="1"/>
    <col min="10" max="10" width="12.140625" style="85" bestFit="1" customWidth="1"/>
    <col min="11" max="11" width="11" style="85" bestFit="1" customWidth="1"/>
    <col min="12" max="221" width="9.140625" style="85"/>
    <col min="222" max="222" width="12.140625" style="85" customWidth="1"/>
    <col min="223" max="223" width="13.5703125" style="85" customWidth="1"/>
    <col min="224" max="224" width="10.7109375" style="85" customWidth="1"/>
    <col min="225" max="226" width="12.140625" style="85" customWidth="1"/>
    <col min="227" max="227" width="10" style="85" customWidth="1"/>
    <col min="228" max="228" width="10.85546875" style="85" customWidth="1"/>
    <col min="229" max="229" width="9.5703125" style="85" customWidth="1"/>
    <col min="230" max="230" width="10.140625" style="85" customWidth="1"/>
    <col min="231" max="231" width="11.5703125" style="85" customWidth="1"/>
    <col min="232" max="232" width="13.42578125" style="85" customWidth="1"/>
    <col min="233" max="233" width="15.140625" style="85" customWidth="1"/>
    <col min="234" max="234" width="9.140625" style="85"/>
    <col min="235" max="235" width="17.28515625" style="85" customWidth="1"/>
    <col min="236" max="236" width="10.42578125" style="85" bestFit="1" customWidth="1"/>
    <col min="237" max="477" width="9.140625" style="85"/>
    <col min="478" max="478" width="12.140625" style="85" customWidth="1"/>
    <col min="479" max="479" width="13.5703125" style="85" customWidth="1"/>
    <col min="480" max="480" width="10.7109375" style="85" customWidth="1"/>
    <col min="481" max="482" width="12.140625" style="85" customWidth="1"/>
    <col min="483" max="483" width="10" style="85" customWidth="1"/>
    <col min="484" max="484" width="10.85546875" style="85" customWidth="1"/>
    <col min="485" max="485" width="9.5703125" style="85" customWidth="1"/>
    <col min="486" max="486" width="10.140625" style="85" customWidth="1"/>
    <col min="487" max="487" width="11.5703125" style="85" customWidth="1"/>
    <col min="488" max="488" width="13.42578125" style="85" customWidth="1"/>
    <col min="489" max="489" width="15.140625" style="85" customWidth="1"/>
    <col min="490" max="490" width="9.140625" style="85"/>
    <col min="491" max="491" width="17.28515625" style="85" customWidth="1"/>
    <col min="492" max="492" width="10.42578125" style="85" bestFit="1" customWidth="1"/>
    <col min="493" max="733" width="9.140625" style="85"/>
    <col min="734" max="734" width="12.140625" style="85" customWidth="1"/>
    <col min="735" max="735" width="13.5703125" style="85" customWidth="1"/>
    <col min="736" max="736" width="10.7109375" style="85" customWidth="1"/>
    <col min="737" max="738" width="12.140625" style="85" customWidth="1"/>
    <col min="739" max="739" width="10" style="85" customWidth="1"/>
    <col min="740" max="740" width="10.85546875" style="85" customWidth="1"/>
    <col min="741" max="741" width="9.5703125" style="85" customWidth="1"/>
    <col min="742" max="742" width="10.140625" style="85" customWidth="1"/>
    <col min="743" max="743" width="11.5703125" style="85" customWidth="1"/>
    <col min="744" max="744" width="13.42578125" style="85" customWidth="1"/>
    <col min="745" max="745" width="15.140625" style="85" customWidth="1"/>
    <col min="746" max="746" width="9.140625" style="85"/>
    <col min="747" max="747" width="17.28515625" style="85" customWidth="1"/>
    <col min="748" max="748" width="10.42578125" style="85" bestFit="1" customWidth="1"/>
    <col min="749" max="989" width="9.140625" style="85"/>
    <col min="990" max="990" width="12.140625" style="85" customWidth="1"/>
    <col min="991" max="991" width="13.5703125" style="85" customWidth="1"/>
    <col min="992" max="992" width="10.7109375" style="85" customWidth="1"/>
    <col min="993" max="994" width="12.140625" style="85" customWidth="1"/>
    <col min="995" max="995" width="10" style="85" customWidth="1"/>
    <col min="996" max="996" width="10.85546875" style="85" customWidth="1"/>
    <col min="997" max="997" width="9.5703125" style="85" customWidth="1"/>
    <col min="998" max="998" width="10.140625" style="85" customWidth="1"/>
    <col min="999" max="999" width="11.5703125" style="85" customWidth="1"/>
    <col min="1000" max="1000" width="13.42578125" style="85" customWidth="1"/>
    <col min="1001" max="1001" width="15.140625" style="85" customWidth="1"/>
    <col min="1002" max="1002" width="9.140625" style="85"/>
    <col min="1003" max="1003" width="17.28515625" style="85" customWidth="1"/>
    <col min="1004" max="1004" width="10.42578125" style="85" bestFit="1" customWidth="1"/>
    <col min="1005" max="1245" width="9.140625" style="85"/>
    <col min="1246" max="1246" width="12.140625" style="85" customWidth="1"/>
    <col min="1247" max="1247" width="13.5703125" style="85" customWidth="1"/>
    <col min="1248" max="1248" width="10.7109375" style="85" customWidth="1"/>
    <col min="1249" max="1250" width="12.140625" style="85" customWidth="1"/>
    <col min="1251" max="1251" width="10" style="85" customWidth="1"/>
    <col min="1252" max="1252" width="10.85546875" style="85" customWidth="1"/>
    <col min="1253" max="1253" width="9.5703125" style="85" customWidth="1"/>
    <col min="1254" max="1254" width="10.140625" style="85" customWidth="1"/>
    <col min="1255" max="1255" width="11.5703125" style="85" customWidth="1"/>
    <col min="1256" max="1256" width="13.42578125" style="85" customWidth="1"/>
    <col min="1257" max="1257" width="15.140625" style="85" customWidth="1"/>
    <col min="1258" max="1258" width="9.140625" style="85"/>
    <col min="1259" max="1259" width="17.28515625" style="85" customWidth="1"/>
    <col min="1260" max="1260" width="10.42578125" style="85" bestFit="1" customWidth="1"/>
    <col min="1261" max="1501" width="9.140625" style="85"/>
    <col min="1502" max="1502" width="12.140625" style="85" customWidth="1"/>
    <col min="1503" max="1503" width="13.5703125" style="85" customWidth="1"/>
    <col min="1504" max="1504" width="10.7109375" style="85" customWidth="1"/>
    <col min="1505" max="1506" width="12.140625" style="85" customWidth="1"/>
    <col min="1507" max="1507" width="10" style="85" customWidth="1"/>
    <col min="1508" max="1508" width="10.85546875" style="85" customWidth="1"/>
    <col min="1509" max="1509" width="9.5703125" style="85" customWidth="1"/>
    <col min="1510" max="1510" width="10.140625" style="85" customWidth="1"/>
    <col min="1511" max="1511" width="11.5703125" style="85" customWidth="1"/>
    <col min="1512" max="1512" width="13.42578125" style="85" customWidth="1"/>
    <col min="1513" max="1513" width="15.140625" style="85" customWidth="1"/>
    <col min="1514" max="1514" width="9.140625" style="85"/>
    <col min="1515" max="1515" width="17.28515625" style="85" customWidth="1"/>
    <col min="1516" max="1516" width="10.42578125" style="85" bestFit="1" customWidth="1"/>
    <col min="1517" max="1757" width="9.140625" style="85"/>
    <col min="1758" max="1758" width="12.140625" style="85" customWidth="1"/>
    <col min="1759" max="1759" width="13.5703125" style="85" customWidth="1"/>
    <col min="1760" max="1760" width="10.7109375" style="85" customWidth="1"/>
    <col min="1761" max="1762" width="12.140625" style="85" customWidth="1"/>
    <col min="1763" max="1763" width="10" style="85" customWidth="1"/>
    <col min="1764" max="1764" width="10.85546875" style="85" customWidth="1"/>
    <col min="1765" max="1765" width="9.5703125" style="85" customWidth="1"/>
    <col min="1766" max="1766" width="10.140625" style="85" customWidth="1"/>
    <col min="1767" max="1767" width="11.5703125" style="85" customWidth="1"/>
    <col min="1768" max="1768" width="13.42578125" style="85" customWidth="1"/>
    <col min="1769" max="1769" width="15.140625" style="85" customWidth="1"/>
    <col min="1770" max="1770" width="9.140625" style="85"/>
    <col min="1771" max="1771" width="17.28515625" style="85" customWidth="1"/>
    <col min="1772" max="1772" width="10.42578125" style="85" bestFit="1" customWidth="1"/>
    <col min="1773" max="2013" width="9.140625" style="85"/>
    <col min="2014" max="2014" width="12.140625" style="85" customWidth="1"/>
    <col min="2015" max="2015" width="13.5703125" style="85" customWidth="1"/>
    <col min="2016" max="2016" width="10.7109375" style="85" customWidth="1"/>
    <col min="2017" max="2018" width="12.140625" style="85" customWidth="1"/>
    <col min="2019" max="2019" width="10" style="85" customWidth="1"/>
    <col min="2020" max="2020" width="10.85546875" style="85" customWidth="1"/>
    <col min="2021" max="2021" width="9.5703125" style="85" customWidth="1"/>
    <col min="2022" max="2022" width="10.140625" style="85" customWidth="1"/>
    <col min="2023" max="2023" width="11.5703125" style="85" customWidth="1"/>
    <col min="2024" max="2024" width="13.42578125" style="85" customWidth="1"/>
    <col min="2025" max="2025" width="15.140625" style="85" customWidth="1"/>
    <col min="2026" max="2026" width="9.140625" style="85"/>
    <col min="2027" max="2027" width="17.28515625" style="85" customWidth="1"/>
    <col min="2028" max="2028" width="10.42578125" style="85" bestFit="1" customWidth="1"/>
    <col min="2029" max="2269" width="9.140625" style="85"/>
    <col min="2270" max="2270" width="12.140625" style="85" customWidth="1"/>
    <col min="2271" max="2271" width="13.5703125" style="85" customWidth="1"/>
    <col min="2272" max="2272" width="10.7109375" style="85" customWidth="1"/>
    <col min="2273" max="2274" width="12.140625" style="85" customWidth="1"/>
    <col min="2275" max="2275" width="10" style="85" customWidth="1"/>
    <col min="2276" max="2276" width="10.85546875" style="85" customWidth="1"/>
    <col min="2277" max="2277" width="9.5703125" style="85" customWidth="1"/>
    <col min="2278" max="2278" width="10.140625" style="85" customWidth="1"/>
    <col min="2279" max="2279" width="11.5703125" style="85" customWidth="1"/>
    <col min="2280" max="2280" width="13.42578125" style="85" customWidth="1"/>
    <col min="2281" max="2281" width="15.140625" style="85" customWidth="1"/>
    <col min="2282" max="2282" width="9.140625" style="85"/>
    <col min="2283" max="2283" width="17.28515625" style="85" customWidth="1"/>
    <col min="2284" max="2284" width="10.42578125" style="85" bestFit="1" customWidth="1"/>
    <col min="2285" max="2525" width="9.140625" style="85"/>
    <col min="2526" max="2526" width="12.140625" style="85" customWidth="1"/>
    <col min="2527" max="2527" width="13.5703125" style="85" customWidth="1"/>
    <col min="2528" max="2528" width="10.7109375" style="85" customWidth="1"/>
    <col min="2529" max="2530" width="12.140625" style="85" customWidth="1"/>
    <col min="2531" max="2531" width="10" style="85" customWidth="1"/>
    <col min="2532" max="2532" width="10.85546875" style="85" customWidth="1"/>
    <col min="2533" max="2533" width="9.5703125" style="85" customWidth="1"/>
    <col min="2534" max="2534" width="10.140625" style="85" customWidth="1"/>
    <col min="2535" max="2535" width="11.5703125" style="85" customWidth="1"/>
    <col min="2536" max="2536" width="13.42578125" style="85" customWidth="1"/>
    <col min="2537" max="2537" width="15.140625" style="85" customWidth="1"/>
    <col min="2538" max="2538" width="9.140625" style="85"/>
    <col min="2539" max="2539" width="17.28515625" style="85" customWidth="1"/>
    <col min="2540" max="2540" width="10.42578125" style="85" bestFit="1" customWidth="1"/>
    <col min="2541" max="2781" width="9.140625" style="85"/>
    <col min="2782" max="2782" width="12.140625" style="85" customWidth="1"/>
    <col min="2783" max="2783" width="13.5703125" style="85" customWidth="1"/>
    <col min="2784" max="2784" width="10.7109375" style="85" customWidth="1"/>
    <col min="2785" max="2786" width="12.140625" style="85" customWidth="1"/>
    <col min="2787" max="2787" width="10" style="85" customWidth="1"/>
    <col min="2788" max="2788" width="10.85546875" style="85" customWidth="1"/>
    <col min="2789" max="2789" width="9.5703125" style="85" customWidth="1"/>
    <col min="2790" max="2790" width="10.140625" style="85" customWidth="1"/>
    <col min="2791" max="2791" width="11.5703125" style="85" customWidth="1"/>
    <col min="2792" max="2792" width="13.42578125" style="85" customWidth="1"/>
    <col min="2793" max="2793" width="15.140625" style="85" customWidth="1"/>
    <col min="2794" max="2794" width="9.140625" style="85"/>
    <col min="2795" max="2795" width="17.28515625" style="85" customWidth="1"/>
    <col min="2796" max="2796" width="10.42578125" style="85" bestFit="1" customWidth="1"/>
    <col min="2797" max="3037" width="9.140625" style="85"/>
    <col min="3038" max="3038" width="12.140625" style="85" customWidth="1"/>
    <col min="3039" max="3039" width="13.5703125" style="85" customWidth="1"/>
    <col min="3040" max="3040" width="10.7109375" style="85" customWidth="1"/>
    <col min="3041" max="3042" width="12.140625" style="85" customWidth="1"/>
    <col min="3043" max="3043" width="10" style="85" customWidth="1"/>
    <col min="3044" max="3044" width="10.85546875" style="85" customWidth="1"/>
    <col min="3045" max="3045" width="9.5703125" style="85" customWidth="1"/>
    <col min="3046" max="3046" width="10.140625" style="85" customWidth="1"/>
    <col min="3047" max="3047" width="11.5703125" style="85" customWidth="1"/>
    <col min="3048" max="3048" width="13.42578125" style="85" customWidth="1"/>
    <col min="3049" max="3049" width="15.140625" style="85" customWidth="1"/>
    <col min="3050" max="3050" width="9.140625" style="85"/>
    <col min="3051" max="3051" width="17.28515625" style="85" customWidth="1"/>
    <col min="3052" max="3052" width="10.42578125" style="85" bestFit="1" customWidth="1"/>
    <col min="3053" max="3293" width="9.140625" style="85"/>
    <col min="3294" max="3294" width="12.140625" style="85" customWidth="1"/>
    <col min="3295" max="3295" width="13.5703125" style="85" customWidth="1"/>
    <col min="3296" max="3296" width="10.7109375" style="85" customWidth="1"/>
    <col min="3297" max="3298" width="12.140625" style="85" customWidth="1"/>
    <col min="3299" max="3299" width="10" style="85" customWidth="1"/>
    <col min="3300" max="3300" width="10.85546875" style="85" customWidth="1"/>
    <col min="3301" max="3301" width="9.5703125" style="85" customWidth="1"/>
    <col min="3302" max="3302" width="10.140625" style="85" customWidth="1"/>
    <col min="3303" max="3303" width="11.5703125" style="85" customWidth="1"/>
    <col min="3304" max="3304" width="13.42578125" style="85" customWidth="1"/>
    <col min="3305" max="3305" width="15.140625" style="85" customWidth="1"/>
    <col min="3306" max="3306" width="9.140625" style="85"/>
    <col min="3307" max="3307" width="17.28515625" style="85" customWidth="1"/>
    <col min="3308" max="3308" width="10.42578125" style="85" bestFit="1" customWidth="1"/>
    <col min="3309" max="3549" width="9.140625" style="85"/>
    <col min="3550" max="3550" width="12.140625" style="85" customWidth="1"/>
    <col min="3551" max="3551" width="13.5703125" style="85" customWidth="1"/>
    <col min="3552" max="3552" width="10.7109375" style="85" customWidth="1"/>
    <col min="3553" max="3554" width="12.140625" style="85" customWidth="1"/>
    <col min="3555" max="3555" width="10" style="85" customWidth="1"/>
    <col min="3556" max="3556" width="10.85546875" style="85" customWidth="1"/>
    <col min="3557" max="3557" width="9.5703125" style="85" customWidth="1"/>
    <col min="3558" max="3558" width="10.140625" style="85" customWidth="1"/>
    <col min="3559" max="3559" width="11.5703125" style="85" customWidth="1"/>
    <col min="3560" max="3560" width="13.42578125" style="85" customWidth="1"/>
    <col min="3561" max="3561" width="15.140625" style="85" customWidth="1"/>
    <col min="3562" max="3562" width="9.140625" style="85"/>
    <col min="3563" max="3563" width="17.28515625" style="85" customWidth="1"/>
    <col min="3564" max="3564" width="10.42578125" style="85" bestFit="1" customWidth="1"/>
    <col min="3565" max="3805" width="9.140625" style="85"/>
    <col min="3806" max="3806" width="12.140625" style="85" customWidth="1"/>
    <col min="3807" max="3807" width="13.5703125" style="85" customWidth="1"/>
    <col min="3808" max="3808" width="10.7109375" style="85" customWidth="1"/>
    <col min="3809" max="3810" width="12.140625" style="85" customWidth="1"/>
    <col min="3811" max="3811" width="10" style="85" customWidth="1"/>
    <col min="3812" max="3812" width="10.85546875" style="85" customWidth="1"/>
    <col min="3813" max="3813" width="9.5703125" style="85" customWidth="1"/>
    <col min="3814" max="3814" width="10.140625" style="85" customWidth="1"/>
    <col min="3815" max="3815" width="11.5703125" style="85" customWidth="1"/>
    <col min="3816" max="3816" width="13.42578125" style="85" customWidth="1"/>
    <col min="3817" max="3817" width="15.140625" style="85" customWidth="1"/>
    <col min="3818" max="3818" width="9.140625" style="85"/>
    <col min="3819" max="3819" width="17.28515625" style="85" customWidth="1"/>
    <col min="3820" max="3820" width="10.42578125" style="85" bestFit="1" customWidth="1"/>
    <col min="3821" max="4061" width="9.140625" style="85"/>
    <col min="4062" max="4062" width="12.140625" style="85" customWidth="1"/>
    <col min="4063" max="4063" width="13.5703125" style="85" customWidth="1"/>
    <col min="4064" max="4064" width="10.7109375" style="85" customWidth="1"/>
    <col min="4065" max="4066" width="12.140625" style="85" customWidth="1"/>
    <col min="4067" max="4067" width="10" style="85" customWidth="1"/>
    <col min="4068" max="4068" width="10.85546875" style="85" customWidth="1"/>
    <col min="4069" max="4069" width="9.5703125" style="85" customWidth="1"/>
    <col min="4070" max="4070" width="10.140625" style="85" customWidth="1"/>
    <col min="4071" max="4071" width="11.5703125" style="85" customWidth="1"/>
    <col min="4072" max="4072" width="13.42578125" style="85" customWidth="1"/>
    <col min="4073" max="4073" width="15.140625" style="85" customWidth="1"/>
    <col min="4074" max="4074" width="9.140625" style="85"/>
    <col min="4075" max="4075" width="17.28515625" style="85" customWidth="1"/>
    <col min="4076" max="4076" width="10.42578125" style="85" bestFit="1" customWidth="1"/>
    <col min="4077" max="4317" width="9.140625" style="85"/>
    <col min="4318" max="4318" width="12.140625" style="85" customWidth="1"/>
    <col min="4319" max="4319" width="13.5703125" style="85" customWidth="1"/>
    <col min="4320" max="4320" width="10.7109375" style="85" customWidth="1"/>
    <col min="4321" max="4322" width="12.140625" style="85" customWidth="1"/>
    <col min="4323" max="4323" width="10" style="85" customWidth="1"/>
    <col min="4324" max="4324" width="10.85546875" style="85" customWidth="1"/>
    <col min="4325" max="4325" width="9.5703125" style="85" customWidth="1"/>
    <col min="4326" max="4326" width="10.140625" style="85" customWidth="1"/>
    <col min="4327" max="4327" width="11.5703125" style="85" customWidth="1"/>
    <col min="4328" max="4328" width="13.42578125" style="85" customWidth="1"/>
    <col min="4329" max="4329" width="15.140625" style="85" customWidth="1"/>
    <col min="4330" max="4330" width="9.140625" style="85"/>
    <col min="4331" max="4331" width="17.28515625" style="85" customWidth="1"/>
    <col min="4332" max="4332" width="10.42578125" style="85" bestFit="1" customWidth="1"/>
    <col min="4333" max="4573" width="9.140625" style="85"/>
    <col min="4574" max="4574" width="12.140625" style="85" customWidth="1"/>
    <col min="4575" max="4575" width="13.5703125" style="85" customWidth="1"/>
    <col min="4576" max="4576" width="10.7109375" style="85" customWidth="1"/>
    <col min="4577" max="4578" width="12.140625" style="85" customWidth="1"/>
    <col min="4579" max="4579" width="10" style="85" customWidth="1"/>
    <col min="4580" max="4580" width="10.85546875" style="85" customWidth="1"/>
    <col min="4581" max="4581" width="9.5703125" style="85" customWidth="1"/>
    <col min="4582" max="4582" width="10.140625" style="85" customWidth="1"/>
    <col min="4583" max="4583" width="11.5703125" style="85" customWidth="1"/>
    <col min="4584" max="4584" width="13.42578125" style="85" customWidth="1"/>
    <col min="4585" max="4585" width="15.140625" style="85" customWidth="1"/>
    <col min="4586" max="4586" width="9.140625" style="85"/>
    <col min="4587" max="4587" width="17.28515625" style="85" customWidth="1"/>
    <col min="4588" max="4588" width="10.42578125" style="85" bestFit="1" customWidth="1"/>
    <col min="4589" max="4829" width="9.140625" style="85"/>
    <col min="4830" max="4830" width="12.140625" style="85" customWidth="1"/>
    <col min="4831" max="4831" width="13.5703125" style="85" customWidth="1"/>
    <col min="4832" max="4832" width="10.7109375" style="85" customWidth="1"/>
    <col min="4833" max="4834" width="12.140625" style="85" customWidth="1"/>
    <col min="4835" max="4835" width="10" style="85" customWidth="1"/>
    <col min="4836" max="4836" width="10.85546875" style="85" customWidth="1"/>
    <col min="4837" max="4837" width="9.5703125" style="85" customWidth="1"/>
    <col min="4838" max="4838" width="10.140625" style="85" customWidth="1"/>
    <col min="4839" max="4839" width="11.5703125" style="85" customWidth="1"/>
    <col min="4840" max="4840" width="13.42578125" style="85" customWidth="1"/>
    <col min="4841" max="4841" width="15.140625" style="85" customWidth="1"/>
    <col min="4842" max="4842" width="9.140625" style="85"/>
    <col min="4843" max="4843" width="17.28515625" style="85" customWidth="1"/>
    <col min="4844" max="4844" width="10.42578125" style="85" bestFit="1" customWidth="1"/>
    <col min="4845" max="5085" width="9.140625" style="85"/>
    <col min="5086" max="5086" width="12.140625" style="85" customWidth="1"/>
    <col min="5087" max="5087" width="13.5703125" style="85" customWidth="1"/>
    <col min="5088" max="5088" width="10.7109375" style="85" customWidth="1"/>
    <col min="5089" max="5090" width="12.140625" style="85" customWidth="1"/>
    <col min="5091" max="5091" width="10" style="85" customWidth="1"/>
    <col min="5092" max="5092" width="10.85546875" style="85" customWidth="1"/>
    <col min="5093" max="5093" width="9.5703125" style="85" customWidth="1"/>
    <col min="5094" max="5094" width="10.140625" style="85" customWidth="1"/>
    <col min="5095" max="5095" width="11.5703125" style="85" customWidth="1"/>
    <col min="5096" max="5096" width="13.42578125" style="85" customWidth="1"/>
    <col min="5097" max="5097" width="15.140625" style="85" customWidth="1"/>
    <col min="5098" max="5098" width="9.140625" style="85"/>
    <col min="5099" max="5099" width="17.28515625" style="85" customWidth="1"/>
    <col min="5100" max="5100" width="10.42578125" style="85" bestFit="1" customWidth="1"/>
    <col min="5101" max="5341" width="9.140625" style="85"/>
    <col min="5342" max="5342" width="12.140625" style="85" customWidth="1"/>
    <col min="5343" max="5343" width="13.5703125" style="85" customWidth="1"/>
    <col min="5344" max="5344" width="10.7109375" style="85" customWidth="1"/>
    <col min="5345" max="5346" width="12.140625" style="85" customWidth="1"/>
    <col min="5347" max="5347" width="10" style="85" customWidth="1"/>
    <col min="5348" max="5348" width="10.85546875" style="85" customWidth="1"/>
    <col min="5349" max="5349" width="9.5703125" style="85" customWidth="1"/>
    <col min="5350" max="5350" width="10.140625" style="85" customWidth="1"/>
    <col min="5351" max="5351" width="11.5703125" style="85" customWidth="1"/>
    <col min="5352" max="5352" width="13.42578125" style="85" customWidth="1"/>
    <col min="5353" max="5353" width="15.140625" style="85" customWidth="1"/>
    <col min="5354" max="5354" width="9.140625" style="85"/>
    <col min="5355" max="5355" width="17.28515625" style="85" customWidth="1"/>
    <col min="5356" max="5356" width="10.42578125" style="85" bestFit="1" customWidth="1"/>
    <col min="5357" max="5597" width="9.140625" style="85"/>
    <col min="5598" max="5598" width="12.140625" style="85" customWidth="1"/>
    <col min="5599" max="5599" width="13.5703125" style="85" customWidth="1"/>
    <col min="5600" max="5600" width="10.7109375" style="85" customWidth="1"/>
    <col min="5601" max="5602" width="12.140625" style="85" customWidth="1"/>
    <col min="5603" max="5603" width="10" style="85" customWidth="1"/>
    <col min="5604" max="5604" width="10.85546875" style="85" customWidth="1"/>
    <col min="5605" max="5605" width="9.5703125" style="85" customWidth="1"/>
    <col min="5606" max="5606" width="10.140625" style="85" customWidth="1"/>
    <col min="5607" max="5607" width="11.5703125" style="85" customWidth="1"/>
    <col min="5608" max="5608" width="13.42578125" style="85" customWidth="1"/>
    <col min="5609" max="5609" width="15.140625" style="85" customWidth="1"/>
    <col min="5610" max="5610" width="9.140625" style="85"/>
    <col min="5611" max="5611" width="17.28515625" style="85" customWidth="1"/>
    <col min="5612" max="5612" width="10.42578125" style="85" bestFit="1" customWidth="1"/>
    <col min="5613" max="5853" width="9.140625" style="85"/>
    <col min="5854" max="5854" width="12.140625" style="85" customWidth="1"/>
    <col min="5855" max="5855" width="13.5703125" style="85" customWidth="1"/>
    <col min="5856" max="5856" width="10.7109375" style="85" customWidth="1"/>
    <col min="5857" max="5858" width="12.140625" style="85" customWidth="1"/>
    <col min="5859" max="5859" width="10" style="85" customWidth="1"/>
    <col min="5860" max="5860" width="10.85546875" style="85" customWidth="1"/>
    <col min="5861" max="5861" width="9.5703125" style="85" customWidth="1"/>
    <col min="5862" max="5862" width="10.140625" style="85" customWidth="1"/>
    <col min="5863" max="5863" width="11.5703125" style="85" customWidth="1"/>
    <col min="5864" max="5864" width="13.42578125" style="85" customWidth="1"/>
    <col min="5865" max="5865" width="15.140625" style="85" customWidth="1"/>
    <col min="5866" max="5866" width="9.140625" style="85"/>
    <col min="5867" max="5867" width="17.28515625" style="85" customWidth="1"/>
    <col min="5868" max="5868" width="10.42578125" style="85" bestFit="1" customWidth="1"/>
    <col min="5869" max="6109" width="9.140625" style="85"/>
    <col min="6110" max="6110" width="12.140625" style="85" customWidth="1"/>
    <col min="6111" max="6111" width="13.5703125" style="85" customWidth="1"/>
    <col min="6112" max="6112" width="10.7109375" style="85" customWidth="1"/>
    <col min="6113" max="6114" width="12.140625" style="85" customWidth="1"/>
    <col min="6115" max="6115" width="10" style="85" customWidth="1"/>
    <col min="6116" max="6116" width="10.85546875" style="85" customWidth="1"/>
    <col min="6117" max="6117" width="9.5703125" style="85" customWidth="1"/>
    <col min="6118" max="6118" width="10.140625" style="85" customWidth="1"/>
    <col min="6119" max="6119" width="11.5703125" style="85" customWidth="1"/>
    <col min="6120" max="6120" width="13.42578125" style="85" customWidth="1"/>
    <col min="6121" max="6121" width="15.140625" style="85" customWidth="1"/>
    <col min="6122" max="6122" width="9.140625" style="85"/>
    <col min="6123" max="6123" width="17.28515625" style="85" customWidth="1"/>
    <col min="6124" max="6124" width="10.42578125" style="85" bestFit="1" customWidth="1"/>
    <col min="6125" max="6365" width="9.140625" style="85"/>
    <col min="6366" max="6366" width="12.140625" style="85" customWidth="1"/>
    <col min="6367" max="6367" width="13.5703125" style="85" customWidth="1"/>
    <col min="6368" max="6368" width="10.7109375" style="85" customWidth="1"/>
    <col min="6369" max="6370" width="12.140625" style="85" customWidth="1"/>
    <col min="6371" max="6371" width="10" style="85" customWidth="1"/>
    <col min="6372" max="6372" width="10.85546875" style="85" customWidth="1"/>
    <col min="6373" max="6373" width="9.5703125" style="85" customWidth="1"/>
    <col min="6374" max="6374" width="10.140625" style="85" customWidth="1"/>
    <col min="6375" max="6375" width="11.5703125" style="85" customWidth="1"/>
    <col min="6376" max="6376" width="13.42578125" style="85" customWidth="1"/>
    <col min="6377" max="6377" width="15.140625" style="85" customWidth="1"/>
    <col min="6378" max="6378" width="9.140625" style="85"/>
    <col min="6379" max="6379" width="17.28515625" style="85" customWidth="1"/>
    <col min="6380" max="6380" width="10.42578125" style="85" bestFit="1" customWidth="1"/>
    <col min="6381" max="6621" width="9.140625" style="85"/>
    <col min="6622" max="6622" width="12.140625" style="85" customWidth="1"/>
    <col min="6623" max="6623" width="13.5703125" style="85" customWidth="1"/>
    <col min="6624" max="6624" width="10.7109375" style="85" customWidth="1"/>
    <col min="6625" max="6626" width="12.140625" style="85" customWidth="1"/>
    <col min="6627" max="6627" width="10" style="85" customWidth="1"/>
    <col min="6628" max="6628" width="10.85546875" style="85" customWidth="1"/>
    <col min="6629" max="6629" width="9.5703125" style="85" customWidth="1"/>
    <col min="6630" max="6630" width="10.140625" style="85" customWidth="1"/>
    <col min="6631" max="6631" width="11.5703125" style="85" customWidth="1"/>
    <col min="6632" max="6632" width="13.42578125" style="85" customWidth="1"/>
    <col min="6633" max="6633" width="15.140625" style="85" customWidth="1"/>
    <col min="6634" max="6634" width="9.140625" style="85"/>
    <col min="6635" max="6635" width="17.28515625" style="85" customWidth="1"/>
    <col min="6636" max="6636" width="10.42578125" style="85" bestFit="1" customWidth="1"/>
    <col min="6637" max="6877" width="9.140625" style="85"/>
    <col min="6878" max="6878" width="12.140625" style="85" customWidth="1"/>
    <col min="6879" max="6879" width="13.5703125" style="85" customWidth="1"/>
    <col min="6880" max="6880" width="10.7109375" style="85" customWidth="1"/>
    <col min="6881" max="6882" width="12.140625" style="85" customWidth="1"/>
    <col min="6883" max="6883" width="10" style="85" customWidth="1"/>
    <col min="6884" max="6884" width="10.85546875" style="85" customWidth="1"/>
    <col min="6885" max="6885" width="9.5703125" style="85" customWidth="1"/>
    <col min="6886" max="6886" width="10.140625" style="85" customWidth="1"/>
    <col min="6887" max="6887" width="11.5703125" style="85" customWidth="1"/>
    <col min="6888" max="6888" width="13.42578125" style="85" customWidth="1"/>
    <col min="6889" max="6889" width="15.140625" style="85" customWidth="1"/>
    <col min="6890" max="6890" width="9.140625" style="85"/>
    <col min="6891" max="6891" width="17.28515625" style="85" customWidth="1"/>
    <col min="6892" max="6892" width="10.42578125" style="85" bestFit="1" customWidth="1"/>
    <col min="6893" max="7133" width="9.140625" style="85"/>
    <col min="7134" max="7134" width="12.140625" style="85" customWidth="1"/>
    <col min="7135" max="7135" width="13.5703125" style="85" customWidth="1"/>
    <col min="7136" max="7136" width="10.7109375" style="85" customWidth="1"/>
    <col min="7137" max="7138" width="12.140625" style="85" customWidth="1"/>
    <col min="7139" max="7139" width="10" style="85" customWidth="1"/>
    <col min="7140" max="7140" width="10.85546875" style="85" customWidth="1"/>
    <col min="7141" max="7141" width="9.5703125" style="85" customWidth="1"/>
    <col min="7142" max="7142" width="10.140625" style="85" customWidth="1"/>
    <col min="7143" max="7143" width="11.5703125" style="85" customWidth="1"/>
    <col min="7144" max="7144" width="13.42578125" style="85" customWidth="1"/>
    <col min="7145" max="7145" width="15.140625" style="85" customWidth="1"/>
    <col min="7146" max="7146" width="9.140625" style="85"/>
    <col min="7147" max="7147" width="17.28515625" style="85" customWidth="1"/>
    <col min="7148" max="7148" width="10.42578125" style="85" bestFit="1" customWidth="1"/>
    <col min="7149" max="7389" width="9.140625" style="85"/>
    <col min="7390" max="7390" width="12.140625" style="85" customWidth="1"/>
    <col min="7391" max="7391" width="13.5703125" style="85" customWidth="1"/>
    <col min="7392" max="7392" width="10.7109375" style="85" customWidth="1"/>
    <col min="7393" max="7394" width="12.140625" style="85" customWidth="1"/>
    <col min="7395" max="7395" width="10" style="85" customWidth="1"/>
    <col min="7396" max="7396" width="10.85546875" style="85" customWidth="1"/>
    <col min="7397" max="7397" width="9.5703125" style="85" customWidth="1"/>
    <col min="7398" max="7398" width="10.140625" style="85" customWidth="1"/>
    <col min="7399" max="7399" width="11.5703125" style="85" customWidth="1"/>
    <col min="7400" max="7400" width="13.42578125" style="85" customWidth="1"/>
    <col min="7401" max="7401" width="15.140625" style="85" customWidth="1"/>
    <col min="7402" max="7402" width="9.140625" style="85"/>
    <col min="7403" max="7403" width="17.28515625" style="85" customWidth="1"/>
    <col min="7404" max="7404" width="10.42578125" style="85" bestFit="1" customWidth="1"/>
    <col min="7405" max="7645" width="9.140625" style="85"/>
    <col min="7646" max="7646" width="12.140625" style="85" customWidth="1"/>
    <col min="7647" max="7647" width="13.5703125" style="85" customWidth="1"/>
    <col min="7648" max="7648" width="10.7109375" style="85" customWidth="1"/>
    <col min="7649" max="7650" width="12.140625" style="85" customWidth="1"/>
    <col min="7651" max="7651" width="10" style="85" customWidth="1"/>
    <col min="7652" max="7652" width="10.85546875" style="85" customWidth="1"/>
    <col min="7653" max="7653" width="9.5703125" style="85" customWidth="1"/>
    <col min="7654" max="7654" width="10.140625" style="85" customWidth="1"/>
    <col min="7655" max="7655" width="11.5703125" style="85" customWidth="1"/>
    <col min="7656" max="7656" width="13.42578125" style="85" customWidth="1"/>
    <col min="7657" max="7657" width="15.140625" style="85" customWidth="1"/>
    <col min="7658" max="7658" width="9.140625" style="85"/>
    <col min="7659" max="7659" width="17.28515625" style="85" customWidth="1"/>
    <col min="7660" max="7660" width="10.42578125" style="85" bestFit="1" customWidth="1"/>
    <col min="7661" max="7901" width="9.140625" style="85"/>
    <col min="7902" max="7902" width="12.140625" style="85" customWidth="1"/>
    <col min="7903" max="7903" width="13.5703125" style="85" customWidth="1"/>
    <col min="7904" max="7904" width="10.7109375" style="85" customWidth="1"/>
    <col min="7905" max="7906" width="12.140625" style="85" customWidth="1"/>
    <col min="7907" max="7907" width="10" style="85" customWidth="1"/>
    <col min="7908" max="7908" width="10.85546875" style="85" customWidth="1"/>
    <col min="7909" max="7909" width="9.5703125" style="85" customWidth="1"/>
    <col min="7910" max="7910" width="10.140625" style="85" customWidth="1"/>
    <col min="7911" max="7911" width="11.5703125" style="85" customWidth="1"/>
    <col min="7912" max="7912" width="13.42578125" style="85" customWidth="1"/>
    <col min="7913" max="7913" width="15.140625" style="85" customWidth="1"/>
    <col min="7914" max="7914" width="9.140625" style="85"/>
    <col min="7915" max="7915" width="17.28515625" style="85" customWidth="1"/>
    <col min="7916" max="7916" width="10.42578125" style="85" bestFit="1" customWidth="1"/>
    <col min="7917" max="8157" width="9.140625" style="85"/>
    <col min="8158" max="8158" width="12.140625" style="85" customWidth="1"/>
    <col min="8159" max="8159" width="13.5703125" style="85" customWidth="1"/>
    <col min="8160" max="8160" width="10.7109375" style="85" customWidth="1"/>
    <col min="8161" max="8162" width="12.140625" style="85" customWidth="1"/>
    <col min="8163" max="8163" width="10" style="85" customWidth="1"/>
    <col min="8164" max="8164" width="10.85546875" style="85" customWidth="1"/>
    <col min="8165" max="8165" width="9.5703125" style="85" customWidth="1"/>
    <col min="8166" max="8166" width="10.140625" style="85" customWidth="1"/>
    <col min="8167" max="8167" width="11.5703125" style="85" customWidth="1"/>
    <col min="8168" max="8168" width="13.42578125" style="85" customWidth="1"/>
    <col min="8169" max="8169" width="15.140625" style="85" customWidth="1"/>
    <col min="8170" max="8170" width="9.140625" style="85"/>
    <col min="8171" max="8171" width="17.28515625" style="85" customWidth="1"/>
    <col min="8172" max="8172" width="10.42578125" style="85" bestFit="1" customWidth="1"/>
    <col min="8173" max="8413" width="9.140625" style="85"/>
    <col min="8414" max="8414" width="12.140625" style="85" customWidth="1"/>
    <col min="8415" max="8415" width="13.5703125" style="85" customWidth="1"/>
    <col min="8416" max="8416" width="10.7109375" style="85" customWidth="1"/>
    <col min="8417" max="8418" width="12.140625" style="85" customWidth="1"/>
    <col min="8419" max="8419" width="10" style="85" customWidth="1"/>
    <col min="8420" max="8420" width="10.85546875" style="85" customWidth="1"/>
    <col min="8421" max="8421" width="9.5703125" style="85" customWidth="1"/>
    <col min="8422" max="8422" width="10.140625" style="85" customWidth="1"/>
    <col min="8423" max="8423" width="11.5703125" style="85" customWidth="1"/>
    <col min="8424" max="8424" width="13.42578125" style="85" customWidth="1"/>
    <col min="8425" max="8425" width="15.140625" style="85" customWidth="1"/>
    <col min="8426" max="8426" width="9.140625" style="85"/>
    <col min="8427" max="8427" width="17.28515625" style="85" customWidth="1"/>
    <col min="8428" max="8428" width="10.42578125" style="85" bestFit="1" customWidth="1"/>
    <col min="8429" max="8669" width="9.140625" style="85"/>
    <col min="8670" max="8670" width="12.140625" style="85" customWidth="1"/>
    <col min="8671" max="8671" width="13.5703125" style="85" customWidth="1"/>
    <col min="8672" max="8672" width="10.7109375" style="85" customWidth="1"/>
    <col min="8673" max="8674" width="12.140625" style="85" customWidth="1"/>
    <col min="8675" max="8675" width="10" style="85" customWidth="1"/>
    <col min="8676" max="8676" width="10.85546875" style="85" customWidth="1"/>
    <col min="8677" max="8677" width="9.5703125" style="85" customWidth="1"/>
    <col min="8678" max="8678" width="10.140625" style="85" customWidth="1"/>
    <col min="8679" max="8679" width="11.5703125" style="85" customWidth="1"/>
    <col min="8680" max="8680" width="13.42578125" style="85" customWidth="1"/>
    <col min="8681" max="8681" width="15.140625" style="85" customWidth="1"/>
    <col min="8682" max="8682" width="9.140625" style="85"/>
    <col min="8683" max="8683" width="17.28515625" style="85" customWidth="1"/>
    <col min="8684" max="8684" width="10.42578125" style="85" bestFit="1" customWidth="1"/>
    <col min="8685" max="8925" width="9.140625" style="85"/>
    <col min="8926" max="8926" width="12.140625" style="85" customWidth="1"/>
    <col min="8927" max="8927" width="13.5703125" style="85" customWidth="1"/>
    <col min="8928" max="8928" width="10.7109375" style="85" customWidth="1"/>
    <col min="8929" max="8930" width="12.140625" style="85" customWidth="1"/>
    <col min="8931" max="8931" width="10" style="85" customWidth="1"/>
    <col min="8932" max="8932" width="10.85546875" style="85" customWidth="1"/>
    <col min="8933" max="8933" width="9.5703125" style="85" customWidth="1"/>
    <col min="8934" max="8934" width="10.140625" style="85" customWidth="1"/>
    <col min="8935" max="8935" width="11.5703125" style="85" customWidth="1"/>
    <col min="8936" max="8936" width="13.42578125" style="85" customWidth="1"/>
    <col min="8937" max="8937" width="15.140625" style="85" customWidth="1"/>
    <col min="8938" max="8938" width="9.140625" style="85"/>
    <col min="8939" max="8939" width="17.28515625" style="85" customWidth="1"/>
    <col min="8940" max="8940" width="10.42578125" style="85" bestFit="1" customWidth="1"/>
    <col min="8941" max="9181" width="9.140625" style="85"/>
    <col min="9182" max="9182" width="12.140625" style="85" customWidth="1"/>
    <col min="9183" max="9183" width="13.5703125" style="85" customWidth="1"/>
    <col min="9184" max="9184" width="10.7109375" style="85" customWidth="1"/>
    <col min="9185" max="9186" width="12.140625" style="85" customWidth="1"/>
    <col min="9187" max="9187" width="10" style="85" customWidth="1"/>
    <col min="9188" max="9188" width="10.85546875" style="85" customWidth="1"/>
    <col min="9189" max="9189" width="9.5703125" style="85" customWidth="1"/>
    <col min="9190" max="9190" width="10.140625" style="85" customWidth="1"/>
    <col min="9191" max="9191" width="11.5703125" style="85" customWidth="1"/>
    <col min="9192" max="9192" width="13.42578125" style="85" customWidth="1"/>
    <col min="9193" max="9193" width="15.140625" style="85" customWidth="1"/>
    <col min="9194" max="9194" width="9.140625" style="85"/>
    <col min="9195" max="9195" width="17.28515625" style="85" customWidth="1"/>
    <col min="9196" max="9196" width="10.42578125" style="85" bestFit="1" customWidth="1"/>
    <col min="9197" max="9437" width="9.140625" style="85"/>
    <col min="9438" max="9438" width="12.140625" style="85" customWidth="1"/>
    <col min="9439" max="9439" width="13.5703125" style="85" customWidth="1"/>
    <col min="9440" max="9440" width="10.7109375" style="85" customWidth="1"/>
    <col min="9441" max="9442" width="12.140625" style="85" customWidth="1"/>
    <col min="9443" max="9443" width="10" style="85" customWidth="1"/>
    <col min="9444" max="9444" width="10.85546875" style="85" customWidth="1"/>
    <col min="9445" max="9445" width="9.5703125" style="85" customWidth="1"/>
    <col min="9446" max="9446" width="10.140625" style="85" customWidth="1"/>
    <col min="9447" max="9447" width="11.5703125" style="85" customWidth="1"/>
    <col min="9448" max="9448" width="13.42578125" style="85" customWidth="1"/>
    <col min="9449" max="9449" width="15.140625" style="85" customWidth="1"/>
    <col min="9450" max="9450" width="9.140625" style="85"/>
    <col min="9451" max="9451" width="17.28515625" style="85" customWidth="1"/>
    <col min="9452" max="9452" width="10.42578125" style="85" bestFit="1" customWidth="1"/>
    <col min="9453" max="9693" width="9.140625" style="85"/>
    <col min="9694" max="9694" width="12.140625" style="85" customWidth="1"/>
    <col min="9695" max="9695" width="13.5703125" style="85" customWidth="1"/>
    <col min="9696" max="9696" width="10.7109375" style="85" customWidth="1"/>
    <col min="9697" max="9698" width="12.140625" style="85" customWidth="1"/>
    <col min="9699" max="9699" width="10" style="85" customWidth="1"/>
    <col min="9700" max="9700" width="10.85546875" style="85" customWidth="1"/>
    <col min="9701" max="9701" width="9.5703125" style="85" customWidth="1"/>
    <col min="9702" max="9702" width="10.140625" style="85" customWidth="1"/>
    <col min="9703" max="9703" width="11.5703125" style="85" customWidth="1"/>
    <col min="9704" max="9704" width="13.42578125" style="85" customWidth="1"/>
    <col min="9705" max="9705" width="15.140625" style="85" customWidth="1"/>
    <col min="9706" max="9706" width="9.140625" style="85"/>
    <col min="9707" max="9707" width="17.28515625" style="85" customWidth="1"/>
    <col min="9708" max="9708" width="10.42578125" style="85" bestFit="1" customWidth="1"/>
    <col min="9709" max="9949" width="9.140625" style="85"/>
    <col min="9950" max="9950" width="12.140625" style="85" customWidth="1"/>
    <col min="9951" max="9951" width="13.5703125" style="85" customWidth="1"/>
    <col min="9952" max="9952" width="10.7109375" style="85" customWidth="1"/>
    <col min="9953" max="9954" width="12.140625" style="85" customWidth="1"/>
    <col min="9955" max="9955" width="10" style="85" customWidth="1"/>
    <col min="9956" max="9956" width="10.85546875" style="85" customWidth="1"/>
    <col min="9957" max="9957" width="9.5703125" style="85" customWidth="1"/>
    <col min="9958" max="9958" width="10.140625" style="85" customWidth="1"/>
    <col min="9959" max="9959" width="11.5703125" style="85" customWidth="1"/>
    <col min="9960" max="9960" width="13.42578125" style="85" customWidth="1"/>
    <col min="9961" max="9961" width="15.140625" style="85" customWidth="1"/>
    <col min="9962" max="9962" width="9.140625" style="85"/>
    <col min="9963" max="9963" width="17.28515625" style="85" customWidth="1"/>
    <col min="9964" max="9964" width="10.42578125" style="85" bestFit="1" customWidth="1"/>
    <col min="9965" max="10205" width="9.140625" style="85"/>
    <col min="10206" max="10206" width="12.140625" style="85" customWidth="1"/>
    <col min="10207" max="10207" width="13.5703125" style="85" customWidth="1"/>
    <col min="10208" max="10208" width="10.7109375" style="85" customWidth="1"/>
    <col min="10209" max="10210" width="12.140625" style="85" customWidth="1"/>
    <col min="10211" max="10211" width="10" style="85" customWidth="1"/>
    <col min="10212" max="10212" width="10.85546875" style="85" customWidth="1"/>
    <col min="10213" max="10213" width="9.5703125" style="85" customWidth="1"/>
    <col min="10214" max="10214" width="10.140625" style="85" customWidth="1"/>
    <col min="10215" max="10215" width="11.5703125" style="85" customWidth="1"/>
    <col min="10216" max="10216" width="13.42578125" style="85" customWidth="1"/>
    <col min="10217" max="10217" width="15.140625" style="85" customWidth="1"/>
    <col min="10218" max="10218" width="9.140625" style="85"/>
    <col min="10219" max="10219" width="17.28515625" style="85" customWidth="1"/>
    <col min="10220" max="10220" width="10.42578125" style="85" bestFit="1" customWidth="1"/>
    <col min="10221" max="10461" width="9.140625" style="85"/>
    <col min="10462" max="10462" width="12.140625" style="85" customWidth="1"/>
    <col min="10463" max="10463" width="13.5703125" style="85" customWidth="1"/>
    <col min="10464" max="10464" width="10.7109375" style="85" customWidth="1"/>
    <col min="10465" max="10466" width="12.140625" style="85" customWidth="1"/>
    <col min="10467" max="10467" width="10" style="85" customWidth="1"/>
    <col min="10468" max="10468" width="10.85546875" style="85" customWidth="1"/>
    <col min="10469" max="10469" width="9.5703125" style="85" customWidth="1"/>
    <col min="10470" max="10470" width="10.140625" style="85" customWidth="1"/>
    <col min="10471" max="10471" width="11.5703125" style="85" customWidth="1"/>
    <col min="10472" max="10472" width="13.42578125" style="85" customWidth="1"/>
    <col min="10473" max="10473" width="15.140625" style="85" customWidth="1"/>
    <col min="10474" max="10474" width="9.140625" style="85"/>
    <col min="10475" max="10475" width="17.28515625" style="85" customWidth="1"/>
    <col min="10476" max="10476" width="10.42578125" style="85" bestFit="1" customWidth="1"/>
    <col min="10477" max="10717" width="9.140625" style="85"/>
    <col min="10718" max="10718" width="12.140625" style="85" customWidth="1"/>
    <col min="10719" max="10719" width="13.5703125" style="85" customWidth="1"/>
    <col min="10720" max="10720" width="10.7109375" style="85" customWidth="1"/>
    <col min="10721" max="10722" width="12.140625" style="85" customWidth="1"/>
    <col min="10723" max="10723" width="10" style="85" customWidth="1"/>
    <col min="10724" max="10724" width="10.85546875" style="85" customWidth="1"/>
    <col min="10725" max="10725" width="9.5703125" style="85" customWidth="1"/>
    <col min="10726" max="10726" width="10.140625" style="85" customWidth="1"/>
    <col min="10727" max="10727" width="11.5703125" style="85" customWidth="1"/>
    <col min="10728" max="10728" width="13.42578125" style="85" customWidth="1"/>
    <col min="10729" max="10729" width="15.140625" style="85" customWidth="1"/>
    <col min="10730" max="10730" width="9.140625" style="85"/>
    <col min="10731" max="10731" width="17.28515625" style="85" customWidth="1"/>
    <col min="10732" max="10732" width="10.42578125" style="85" bestFit="1" customWidth="1"/>
    <col min="10733" max="10973" width="9.140625" style="85"/>
    <col min="10974" max="10974" width="12.140625" style="85" customWidth="1"/>
    <col min="10975" max="10975" width="13.5703125" style="85" customWidth="1"/>
    <col min="10976" max="10976" width="10.7109375" style="85" customWidth="1"/>
    <col min="10977" max="10978" width="12.140625" style="85" customWidth="1"/>
    <col min="10979" max="10979" width="10" style="85" customWidth="1"/>
    <col min="10980" max="10980" width="10.85546875" style="85" customWidth="1"/>
    <col min="10981" max="10981" width="9.5703125" style="85" customWidth="1"/>
    <col min="10982" max="10982" width="10.140625" style="85" customWidth="1"/>
    <col min="10983" max="10983" width="11.5703125" style="85" customWidth="1"/>
    <col min="10984" max="10984" width="13.42578125" style="85" customWidth="1"/>
    <col min="10985" max="10985" width="15.140625" style="85" customWidth="1"/>
    <col min="10986" max="10986" width="9.140625" style="85"/>
    <col min="10987" max="10987" width="17.28515625" style="85" customWidth="1"/>
    <col min="10988" max="10988" width="10.42578125" style="85" bestFit="1" customWidth="1"/>
    <col min="10989" max="11229" width="9.140625" style="85"/>
    <col min="11230" max="11230" width="12.140625" style="85" customWidth="1"/>
    <col min="11231" max="11231" width="13.5703125" style="85" customWidth="1"/>
    <col min="11232" max="11232" width="10.7109375" style="85" customWidth="1"/>
    <col min="11233" max="11234" width="12.140625" style="85" customWidth="1"/>
    <col min="11235" max="11235" width="10" style="85" customWidth="1"/>
    <col min="11236" max="11236" width="10.85546875" style="85" customWidth="1"/>
    <col min="11237" max="11237" width="9.5703125" style="85" customWidth="1"/>
    <col min="11238" max="11238" width="10.140625" style="85" customWidth="1"/>
    <col min="11239" max="11239" width="11.5703125" style="85" customWidth="1"/>
    <col min="11240" max="11240" width="13.42578125" style="85" customWidth="1"/>
    <col min="11241" max="11241" width="15.140625" style="85" customWidth="1"/>
    <col min="11242" max="11242" width="9.140625" style="85"/>
    <col min="11243" max="11243" width="17.28515625" style="85" customWidth="1"/>
    <col min="11244" max="11244" width="10.42578125" style="85" bestFit="1" customWidth="1"/>
    <col min="11245" max="11485" width="9.140625" style="85"/>
    <col min="11486" max="11486" width="12.140625" style="85" customWidth="1"/>
    <col min="11487" max="11487" width="13.5703125" style="85" customWidth="1"/>
    <col min="11488" max="11488" width="10.7109375" style="85" customWidth="1"/>
    <col min="11489" max="11490" width="12.140625" style="85" customWidth="1"/>
    <col min="11491" max="11491" width="10" style="85" customWidth="1"/>
    <col min="11492" max="11492" width="10.85546875" style="85" customWidth="1"/>
    <col min="11493" max="11493" width="9.5703125" style="85" customWidth="1"/>
    <col min="11494" max="11494" width="10.140625" style="85" customWidth="1"/>
    <col min="11495" max="11495" width="11.5703125" style="85" customWidth="1"/>
    <col min="11496" max="11496" width="13.42578125" style="85" customWidth="1"/>
    <col min="11497" max="11497" width="15.140625" style="85" customWidth="1"/>
    <col min="11498" max="11498" width="9.140625" style="85"/>
    <col min="11499" max="11499" width="17.28515625" style="85" customWidth="1"/>
    <col min="11500" max="11500" width="10.42578125" style="85" bestFit="1" customWidth="1"/>
    <col min="11501" max="11741" width="9.140625" style="85"/>
    <col min="11742" max="11742" width="12.140625" style="85" customWidth="1"/>
    <col min="11743" max="11743" width="13.5703125" style="85" customWidth="1"/>
    <col min="11744" max="11744" width="10.7109375" style="85" customWidth="1"/>
    <col min="11745" max="11746" width="12.140625" style="85" customWidth="1"/>
    <col min="11747" max="11747" width="10" style="85" customWidth="1"/>
    <col min="11748" max="11748" width="10.85546875" style="85" customWidth="1"/>
    <col min="11749" max="11749" width="9.5703125" style="85" customWidth="1"/>
    <col min="11750" max="11750" width="10.140625" style="85" customWidth="1"/>
    <col min="11751" max="11751" width="11.5703125" style="85" customWidth="1"/>
    <col min="11752" max="11752" width="13.42578125" style="85" customWidth="1"/>
    <col min="11753" max="11753" width="15.140625" style="85" customWidth="1"/>
    <col min="11754" max="11754" width="9.140625" style="85"/>
    <col min="11755" max="11755" width="17.28515625" style="85" customWidth="1"/>
    <col min="11756" max="11756" width="10.42578125" style="85" bestFit="1" customWidth="1"/>
    <col min="11757" max="11997" width="9.140625" style="85"/>
    <col min="11998" max="11998" width="12.140625" style="85" customWidth="1"/>
    <col min="11999" max="11999" width="13.5703125" style="85" customWidth="1"/>
    <col min="12000" max="12000" width="10.7109375" style="85" customWidth="1"/>
    <col min="12001" max="12002" width="12.140625" style="85" customWidth="1"/>
    <col min="12003" max="12003" width="10" style="85" customWidth="1"/>
    <col min="12004" max="12004" width="10.85546875" style="85" customWidth="1"/>
    <col min="12005" max="12005" width="9.5703125" style="85" customWidth="1"/>
    <col min="12006" max="12006" width="10.140625" style="85" customWidth="1"/>
    <col min="12007" max="12007" width="11.5703125" style="85" customWidth="1"/>
    <col min="12008" max="12008" width="13.42578125" style="85" customWidth="1"/>
    <col min="12009" max="12009" width="15.140625" style="85" customWidth="1"/>
    <col min="12010" max="12010" width="9.140625" style="85"/>
    <col min="12011" max="12011" width="17.28515625" style="85" customWidth="1"/>
    <col min="12012" max="12012" width="10.42578125" style="85" bestFit="1" customWidth="1"/>
    <col min="12013" max="12253" width="9.140625" style="85"/>
    <col min="12254" max="12254" width="12.140625" style="85" customWidth="1"/>
    <col min="12255" max="12255" width="13.5703125" style="85" customWidth="1"/>
    <col min="12256" max="12256" width="10.7109375" style="85" customWidth="1"/>
    <col min="12257" max="12258" width="12.140625" style="85" customWidth="1"/>
    <col min="12259" max="12259" width="10" style="85" customWidth="1"/>
    <col min="12260" max="12260" width="10.85546875" style="85" customWidth="1"/>
    <col min="12261" max="12261" width="9.5703125" style="85" customWidth="1"/>
    <col min="12262" max="12262" width="10.140625" style="85" customWidth="1"/>
    <col min="12263" max="12263" width="11.5703125" style="85" customWidth="1"/>
    <col min="12264" max="12264" width="13.42578125" style="85" customWidth="1"/>
    <col min="12265" max="12265" width="15.140625" style="85" customWidth="1"/>
    <col min="12266" max="12266" width="9.140625" style="85"/>
    <col min="12267" max="12267" width="17.28515625" style="85" customWidth="1"/>
    <col min="12268" max="12268" width="10.42578125" style="85" bestFit="1" customWidth="1"/>
    <col min="12269" max="12509" width="9.140625" style="85"/>
    <col min="12510" max="12510" width="12.140625" style="85" customWidth="1"/>
    <col min="12511" max="12511" width="13.5703125" style="85" customWidth="1"/>
    <col min="12512" max="12512" width="10.7109375" style="85" customWidth="1"/>
    <col min="12513" max="12514" width="12.140625" style="85" customWidth="1"/>
    <col min="12515" max="12515" width="10" style="85" customWidth="1"/>
    <col min="12516" max="12516" width="10.85546875" style="85" customWidth="1"/>
    <col min="12517" max="12517" width="9.5703125" style="85" customWidth="1"/>
    <col min="12518" max="12518" width="10.140625" style="85" customWidth="1"/>
    <col min="12519" max="12519" width="11.5703125" style="85" customWidth="1"/>
    <col min="12520" max="12520" width="13.42578125" style="85" customWidth="1"/>
    <col min="12521" max="12521" width="15.140625" style="85" customWidth="1"/>
    <col min="12522" max="12522" width="9.140625" style="85"/>
    <col min="12523" max="12523" width="17.28515625" style="85" customWidth="1"/>
    <col min="12524" max="12524" width="10.42578125" style="85" bestFit="1" customWidth="1"/>
    <col min="12525" max="12765" width="9.140625" style="85"/>
    <col min="12766" max="12766" width="12.140625" style="85" customWidth="1"/>
    <col min="12767" max="12767" width="13.5703125" style="85" customWidth="1"/>
    <col min="12768" max="12768" width="10.7109375" style="85" customWidth="1"/>
    <col min="12769" max="12770" width="12.140625" style="85" customWidth="1"/>
    <col min="12771" max="12771" width="10" style="85" customWidth="1"/>
    <col min="12772" max="12772" width="10.85546875" style="85" customWidth="1"/>
    <col min="12773" max="12773" width="9.5703125" style="85" customWidth="1"/>
    <col min="12774" max="12774" width="10.140625" style="85" customWidth="1"/>
    <col min="12775" max="12775" width="11.5703125" style="85" customWidth="1"/>
    <col min="12776" max="12776" width="13.42578125" style="85" customWidth="1"/>
    <col min="12777" max="12777" width="15.140625" style="85" customWidth="1"/>
    <col min="12778" max="12778" width="9.140625" style="85"/>
    <col min="12779" max="12779" width="17.28515625" style="85" customWidth="1"/>
    <col min="12780" max="12780" width="10.42578125" style="85" bestFit="1" customWidth="1"/>
    <col min="12781" max="13021" width="9.140625" style="85"/>
    <col min="13022" max="13022" width="12.140625" style="85" customWidth="1"/>
    <col min="13023" max="13023" width="13.5703125" style="85" customWidth="1"/>
    <col min="13024" max="13024" width="10.7109375" style="85" customWidth="1"/>
    <col min="13025" max="13026" width="12.140625" style="85" customWidth="1"/>
    <col min="13027" max="13027" width="10" style="85" customWidth="1"/>
    <col min="13028" max="13028" width="10.85546875" style="85" customWidth="1"/>
    <col min="13029" max="13029" width="9.5703125" style="85" customWidth="1"/>
    <col min="13030" max="13030" width="10.140625" style="85" customWidth="1"/>
    <col min="13031" max="13031" width="11.5703125" style="85" customWidth="1"/>
    <col min="13032" max="13032" width="13.42578125" style="85" customWidth="1"/>
    <col min="13033" max="13033" width="15.140625" style="85" customWidth="1"/>
    <col min="13034" max="13034" width="9.140625" style="85"/>
    <col min="13035" max="13035" width="17.28515625" style="85" customWidth="1"/>
    <col min="13036" max="13036" width="10.42578125" style="85" bestFit="1" customWidth="1"/>
    <col min="13037" max="13277" width="9.140625" style="85"/>
    <col min="13278" max="13278" width="12.140625" style="85" customWidth="1"/>
    <col min="13279" max="13279" width="13.5703125" style="85" customWidth="1"/>
    <col min="13280" max="13280" width="10.7109375" style="85" customWidth="1"/>
    <col min="13281" max="13282" width="12.140625" style="85" customWidth="1"/>
    <col min="13283" max="13283" width="10" style="85" customWidth="1"/>
    <col min="13284" max="13284" width="10.85546875" style="85" customWidth="1"/>
    <col min="13285" max="13285" width="9.5703125" style="85" customWidth="1"/>
    <col min="13286" max="13286" width="10.140625" style="85" customWidth="1"/>
    <col min="13287" max="13287" width="11.5703125" style="85" customWidth="1"/>
    <col min="13288" max="13288" width="13.42578125" style="85" customWidth="1"/>
    <col min="13289" max="13289" width="15.140625" style="85" customWidth="1"/>
    <col min="13290" max="13290" width="9.140625" style="85"/>
    <col min="13291" max="13291" width="17.28515625" style="85" customWidth="1"/>
    <col min="13292" max="13292" width="10.42578125" style="85" bestFit="1" customWidth="1"/>
    <col min="13293" max="13533" width="9.140625" style="85"/>
    <col min="13534" max="13534" width="12.140625" style="85" customWidth="1"/>
    <col min="13535" max="13535" width="13.5703125" style="85" customWidth="1"/>
    <col min="13536" max="13536" width="10.7109375" style="85" customWidth="1"/>
    <col min="13537" max="13538" width="12.140625" style="85" customWidth="1"/>
    <col min="13539" max="13539" width="10" style="85" customWidth="1"/>
    <col min="13540" max="13540" width="10.85546875" style="85" customWidth="1"/>
    <col min="13541" max="13541" width="9.5703125" style="85" customWidth="1"/>
    <col min="13542" max="13542" width="10.140625" style="85" customWidth="1"/>
    <col min="13543" max="13543" width="11.5703125" style="85" customWidth="1"/>
    <col min="13544" max="13544" width="13.42578125" style="85" customWidth="1"/>
    <col min="13545" max="13545" width="15.140625" style="85" customWidth="1"/>
    <col min="13546" max="13546" width="9.140625" style="85"/>
    <col min="13547" max="13547" width="17.28515625" style="85" customWidth="1"/>
    <col min="13548" max="13548" width="10.42578125" style="85" bestFit="1" customWidth="1"/>
    <col min="13549" max="13789" width="9.140625" style="85"/>
    <col min="13790" max="13790" width="12.140625" style="85" customWidth="1"/>
    <col min="13791" max="13791" width="13.5703125" style="85" customWidth="1"/>
    <col min="13792" max="13792" width="10.7109375" style="85" customWidth="1"/>
    <col min="13793" max="13794" width="12.140625" style="85" customWidth="1"/>
    <col min="13795" max="13795" width="10" style="85" customWidth="1"/>
    <col min="13796" max="13796" width="10.85546875" style="85" customWidth="1"/>
    <col min="13797" max="13797" width="9.5703125" style="85" customWidth="1"/>
    <col min="13798" max="13798" width="10.140625" style="85" customWidth="1"/>
    <col min="13799" max="13799" width="11.5703125" style="85" customWidth="1"/>
    <col min="13800" max="13800" width="13.42578125" style="85" customWidth="1"/>
    <col min="13801" max="13801" width="15.140625" style="85" customWidth="1"/>
    <col min="13802" max="13802" width="9.140625" style="85"/>
    <col min="13803" max="13803" width="17.28515625" style="85" customWidth="1"/>
    <col min="13804" max="13804" width="10.42578125" style="85" bestFit="1" customWidth="1"/>
    <col min="13805" max="14045" width="9.140625" style="85"/>
    <col min="14046" max="14046" width="12.140625" style="85" customWidth="1"/>
    <col min="14047" max="14047" width="13.5703125" style="85" customWidth="1"/>
    <col min="14048" max="14048" width="10.7109375" style="85" customWidth="1"/>
    <col min="14049" max="14050" width="12.140625" style="85" customWidth="1"/>
    <col min="14051" max="14051" width="10" style="85" customWidth="1"/>
    <col min="14052" max="14052" width="10.85546875" style="85" customWidth="1"/>
    <col min="14053" max="14053" width="9.5703125" style="85" customWidth="1"/>
    <col min="14054" max="14054" width="10.140625" style="85" customWidth="1"/>
    <col min="14055" max="14055" width="11.5703125" style="85" customWidth="1"/>
    <col min="14056" max="14056" width="13.42578125" style="85" customWidth="1"/>
    <col min="14057" max="14057" width="15.140625" style="85" customWidth="1"/>
    <col min="14058" max="14058" width="9.140625" style="85"/>
    <col min="14059" max="14059" width="17.28515625" style="85" customWidth="1"/>
    <col min="14060" max="14060" width="10.42578125" style="85" bestFit="1" customWidth="1"/>
    <col min="14061" max="14301" width="9.140625" style="85"/>
    <col min="14302" max="14302" width="12.140625" style="85" customWidth="1"/>
    <col min="14303" max="14303" width="13.5703125" style="85" customWidth="1"/>
    <col min="14304" max="14304" width="10.7109375" style="85" customWidth="1"/>
    <col min="14305" max="14306" width="12.140625" style="85" customWidth="1"/>
    <col min="14307" max="14307" width="10" style="85" customWidth="1"/>
    <col min="14308" max="14308" width="10.85546875" style="85" customWidth="1"/>
    <col min="14309" max="14309" width="9.5703125" style="85" customWidth="1"/>
    <col min="14310" max="14310" width="10.140625" style="85" customWidth="1"/>
    <col min="14311" max="14311" width="11.5703125" style="85" customWidth="1"/>
    <col min="14312" max="14312" width="13.42578125" style="85" customWidth="1"/>
    <col min="14313" max="14313" width="15.140625" style="85" customWidth="1"/>
    <col min="14314" max="14314" width="9.140625" style="85"/>
    <col min="14315" max="14315" width="17.28515625" style="85" customWidth="1"/>
    <col min="14316" max="14316" width="10.42578125" style="85" bestFit="1" customWidth="1"/>
    <col min="14317" max="14557" width="9.140625" style="85"/>
    <col min="14558" max="14558" width="12.140625" style="85" customWidth="1"/>
    <col min="14559" max="14559" width="13.5703125" style="85" customWidth="1"/>
    <col min="14560" max="14560" width="10.7109375" style="85" customWidth="1"/>
    <col min="14561" max="14562" width="12.140625" style="85" customWidth="1"/>
    <col min="14563" max="14563" width="10" style="85" customWidth="1"/>
    <col min="14564" max="14564" width="10.85546875" style="85" customWidth="1"/>
    <col min="14565" max="14565" width="9.5703125" style="85" customWidth="1"/>
    <col min="14566" max="14566" width="10.140625" style="85" customWidth="1"/>
    <col min="14567" max="14567" width="11.5703125" style="85" customWidth="1"/>
    <col min="14568" max="14568" width="13.42578125" style="85" customWidth="1"/>
    <col min="14569" max="14569" width="15.140625" style="85" customWidth="1"/>
    <col min="14570" max="14570" width="9.140625" style="85"/>
    <col min="14571" max="14571" width="17.28515625" style="85" customWidth="1"/>
    <col min="14572" max="14572" width="10.42578125" style="85" bestFit="1" customWidth="1"/>
    <col min="14573" max="14813" width="9.140625" style="85"/>
    <col min="14814" max="14814" width="12.140625" style="85" customWidth="1"/>
    <col min="14815" max="14815" width="13.5703125" style="85" customWidth="1"/>
    <col min="14816" max="14816" width="10.7109375" style="85" customWidth="1"/>
    <col min="14817" max="14818" width="12.140625" style="85" customWidth="1"/>
    <col min="14819" max="14819" width="10" style="85" customWidth="1"/>
    <col min="14820" max="14820" width="10.85546875" style="85" customWidth="1"/>
    <col min="14821" max="14821" width="9.5703125" style="85" customWidth="1"/>
    <col min="14822" max="14822" width="10.140625" style="85" customWidth="1"/>
    <col min="14823" max="14823" width="11.5703125" style="85" customWidth="1"/>
    <col min="14824" max="14824" width="13.42578125" style="85" customWidth="1"/>
    <col min="14825" max="14825" width="15.140625" style="85" customWidth="1"/>
    <col min="14826" max="14826" width="9.140625" style="85"/>
    <col min="14827" max="14827" width="17.28515625" style="85" customWidth="1"/>
    <col min="14828" max="14828" width="10.42578125" style="85" bestFit="1" customWidth="1"/>
    <col min="14829" max="15069" width="9.140625" style="85"/>
    <col min="15070" max="15070" width="12.140625" style="85" customWidth="1"/>
    <col min="15071" max="15071" width="13.5703125" style="85" customWidth="1"/>
    <col min="15072" max="15072" width="10.7109375" style="85" customWidth="1"/>
    <col min="15073" max="15074" width="12.140625" style="85" customWidth="1"/>
    <col min="15075" max="15075" width="10" style="85" customWidth="1"/>
    <col min="15076" max="15076" width="10.85546875" style="85" customWidth="1"/>
    <col min="15077" max="15077" width="9.5703125" style="85" customWidth="1"/>
    <col min="15078" max="15078" width="10.140625" style="85" customWidth="1"/>
    <col min="15079" max="15079" width="11.5703125" style="85" customWidth="1"/>
    <col min="15080" max="15080" width="13.42578125" style="85" customWidth="1"/>
    <col min="15081" max="15081" width="15.140625" style="85" customWidth="1"/>
    <col min="15082" max="15082" width="9.140625" style="85"/>
    <col min="15083" max="15083" width="17.28515625" style="85" customWidth="1"/>
    <col min="15084" max="15084" width="10.42578125" style="85" bestFit="1" customWidth="1"/>
    <col min="15085" max="15325" width="9.140625" style="85"/>
    <col min="15326" max="15326" width="12.140625" style="85" customWidth="1"/>
    <col min="15327" max="15327" width="13.5703125" style="85" customWidth="1"/>
    <col min="15328" max="15328" width="10.7109375" style="85" customWidth="1"/>
    <col min="15329" max="15330" width="12.140625" style="85" customWidth="1"/>
    <col min="15331" max="15331" width="10" style="85" customWidth="1"/>
    <col min="15332" max="15332" width="10.85546875" style="85" customWidth="1"/>
    <col min="15333" max="15333" width="9.5703125" style="85" customWidth="1"/>
    <col min="15334" max="15334" width="10.140625" style="85" customWidth="1"/>
    <col min="15335" max="15335" width="11.5703125" style="85" customWidth="1"/>
    <col min="15336" max="15336" width="13.42578125" style="85" customWidth="1"/>
    <col min="15337" max="15337" width="15.140625" style="85" customWidth="1"/>
    <col min="15338" max="15338" width="9.140625" style="85"/>
    <col min="15339" max="15339" width="17.28515625" style="85" customWidth="1"/>
    <col min="15340" max="15340" width="10.42578125" style="85" bestFit="1" customWidth="1"/>
    <col min="15341" max="15581" width="9.140625" style="85"/>
    <col min="15582" max="15582" width="12.140625" style="85" customWidth="1"/>
    <col min="15583" max="15583" width="13.5703125" style="85" customWidth="1"/>
    <col min="15584" max="15584" width="10.7109375" style="85" customWidth="1"/>
    <col min="15585" max="15586" width="12.140625" style="85" customWidth="1"/>
    <col min="15587" max="15587" width="10" style="85" customWidth="1"/>
    <col min="15588" max="15588" width="10.85546875" style="85" customWidth="1"/>
    <col min="15589" max="15589" width="9.5703125" style="85" customWidth="1"/>
    <col min="15590" max="15590" width="10.140625" style="85" customWidth="1"/>
    <col min="15591" max="15591" width="11.5703125" style="85" customWidth="1"/>
    <col min="15592" max="15592" width="13.42578125" style="85" customWidth="1"/>
    <col min="15593" max="15593" width="15.140625" style="85" customWidth="1"/>
    <col min="15594" max="15594" width="9.140625" style="85"/>
    <col min="15595" max="15595" width="17.28515625" style="85" customWidth="1"/>
    <col min="15596" max="15596" width="10.42578125" style="85" bestFit="1" customWidth="1"/>
    <col min="15597" max="15837" width="9.140625" style="85"/>
    <col min="15838" max="15838" width="12.140625" style="85" customWidth="1"/>
    <col min="15839" max="15839" width="13.5703125" style="85" customWidth="1"/>
    <col min="15840" max="15840" width="10.7109375" style="85" customWidth="1"/>
    <col min="15841" max="15842" width="12.140625" style="85" customWidth="1"/>
    <col min="15843" max="15843" width="10" style="85" customWidth="1"/>
    <col min="15844" max="15844" width="10.85546875" style="85" customWidth="1"/>
    <col min="15845" max="15845" width="9.5703125" style="85" customWidth="1"/>
    <col min="15846" max="15846" width="10.140625" style="85" customWidth="1"/>
    <col min="15847" max="15847" width="11.5703125" style="85" customWidth="1"/>
    <col min="15848" max="15848" width="13.42578125" style="85" customWidth="1"/>
    <col min="15849" max="15849" width="15.140625" style="85" customWidth="1"/>
    <col min="15850" max="15850" width="9.140625" style="85"/>
    <col min="15851" max="15851" width="17.28515625" style="85" customWidth="1"/>
    <col min="15852" max="15852" width="10.42578125" style="85" bestFit="1" customWidth="1"/>
    <col min="15853" max="16093" width="9.140625" style="85"/>
    <col min="16094" max="16094" width="12.140625" style="85" customWidth="1"/>
    <col min="16095" max="16095" width="13.5703125" style="85" customWidth="1"/>
    <col min="16096" max="16096" width="10.7109375" style="85" customWidth="1"/>
    <col min="16097" max="16098" width="12.140625" style="85" customWidth="1"/>
    <col min="16099" max="16099" width="10" style="85" customWidth="1"/>
    <col min="16100" max="16100" width="10.85546875" style="85" customWidth="1"/>
    <col min="16101" max="16101" width="9.5703125" style="85" customWidth="1"/>
    <col min="16102" max="16102" width="10.140625" style="85" customWidth="1"/>
    <col min="16103" max="16103" width="11.5703125" style="85" customWidth="1"/>
    <col min="16104" max="16104" width="13.42578125" style="85" customWidth="1"/>
    <col min="16105" max="16105" width="15.140625" style="85" customWidth="1"/>
    <col min="16106" max="16106" width="9.140625" style="85"/>
    <col min="16107" max="16107" width="17.28515625" style="85" customWidth="1"/>
    <col min="16108" max="16108" width="10.42578125" style="85" bestFit="1" customWidth="1"/>
    <col min="16109" max="16384" width="9.140625" style="85"/>
  </cols>
  <sheetData>
    <row r="2" spans="1:11" x14ac:dyDescent="0.2">
      <c r="A2" s="92" t="s">
        <v>71</v>
      </c>
      <c r="C2" s="93"/>
      <c r="D2" s="93"/>
      <c r="E2" s="94"/>
      <c r="F2" s="93"/>
      <c r="G2" s="93"/>
      <c r="H2" s="93"/>
      <c r="J2" s="94"/>
      <c r="K2" s="94"/>
    </row>
    <row r="3" spans="1:11" x14ac:dyDescent="0.2">
      <c r="A3" s="86"/>
      <c r="C3" s="93"/>
      <c r="D3" s="93"/>
      <c r="E3" s="93"/>
      <c r="F3" s="93"/>
      <c r="G3" s="93"/>
      <c r="H3" s="93"/>
      <c r="J3" s="93"/>
      <c r="K3" s="93"/>
    </row>
    <row r="4" spans="1:11" x14ac:dyDescent="0.2">
      <c r="A4" s="93"/>
      <c r="B4" s="95" t="s">
        <v>72</v>
      </c>
      <c r="C4" s="95" t="s">
        <v>73</v>
      </c>
      <c r="D4" s="95" t="s">
        <v>19</v>
      </c>
      <c r="E4" s="95" t="s">
        <v>74</v>
      </c>
      <c r="F4" s="95" t="s">
        <v>18</v>
      </c>
      <c r="G4" s="95" t="s">
        <v>11</v>
      </c>
      <c r="H4" s="95" t="s">
        <v>1</v>
      </c>
      <c r="I4" s="95" t="s">
        <v>75</v>
      </c>
      <c r="J4" s="95" t="s">
        <v>76</v>
      </c>
      <c r="K4" s="96" t="s">
        <v>77</v>
      </c>
    </row>
    <row r="5" spans="1:11" x14ac:dyDescent="0.2">
      <c r="A5" s="97">
        <v>43435</v>
      </c>
      <c r="B5" s="98">
        <v>73.16</v>
      </c>
      <c r="C5" s="98">
        <v>-45</v>
      </c>
      <c r="D5" s="98">
        <v>68.239999999999995</v>
      </c>
      <c r="E5" s="98">
        <v>1100.82</v>
      </c>
      <c r="F5" s="98">
        <v>163.49</v>
      </c>
      <c r="G5" s="98">
        <v>-53.34</v>
      </c>
      <c r="H5" s="98">
        <v>160</v>
      </c>
      <c r="I5" s="98">
        <v>710</v>
      </c>
      <c r="J5" s="98">
        <v>350</v>
      </c>
      <c r="K5" s="98">
        <v>-140</v>
      </c>
    </row>
    <row r="6" spans="1:11" x14ac:dyDescent="0.2">
      <c r="A6" s="97">
        <v>43466</v>
      </c>
      <c r="B6" s="98">
        <v>73.48</v>
      </c>
      <c r="C6" s="98">
        <v>-47.5</v>
      </c>
      <c r="D6" s="98">
        <v>74.319999999999993</v>
      </c>
      <c r="E6" s="98">
        <v>902.8</v>
      </c>
      <c r="F6" s="98">
        <v>141.29</v>
      </c>
      <c r="G6" s="98">
        <v>-53.34</v>
      </c>
      <c r="H6" s="98">
        <v>160</v>
      </c>
      <c r="I6" s="98">
        <v>710</v>
      </c>
      <c r="J6" s="98">
        <v>350</v>
      </c>
      <c r="K6" s="98">
        <v>-140</v>
      </c>
    </row>
    <row r="7" spans="1:11" x14ac:dyDescent="0.2">
      <c r="A7" s="97">
        <v>43497</v>
      </c>
      <c r="B7" s="98">
        <v>63.38</v>
      </c>
      <c r="C7" s="98">
        <v>-47.5</v>
      </c>
      <c r="D7" s="98">
        <v>66.44</v>
      </c>
      <c r="E7" s="98">
        <v>993.6</v>
      </c>
      <c r="F7" s="98">
        <v>143.27000000000001</v>
      </c>
      <c r="G7" s="98">
        <v>-53.34</v>
      </c>
      <c r="H7" s="98">
        <v>160</v>
      </c>
      <c r="I7" s="98">
        <v>640</v>
      </c>
      <c r="J7" s="98">
        <v>310</v>
      </c>
      <c r="K7" s="98">
        <v>-140</v>
      </c>
    </row>
    <row r="8" spans="1:11" x14ac:dyDescent="0.2">
      <c r="A8" s="97">
        <v>43525</v>
      </c>
      <c r="B8" s="98">
        <v>60.51</v>
      </c>
      <c r="C8" s="98">
        <v>-47.5</v>
      </c>
      <c r="D8" s="98">
        <v>68.13</v>
      </c>
      <c r="E8" s="98">
        <v>990.71</v>
      </c>
      <c r="F8" s="98">
        <v>156.94</v>
      </c>
      <c r="G8" s="98">
        <v>-53.34</v>
      </c>
      <c r="H8" s="98">
        <v>131.57</v>
      </c>
      <c r="I8" s="98">
        <v>600</v>
      </c>
      <c r="J8" s="98">
        <v>310</v>
      </c>
      <c r="K8" s="98">
        <v>-140</v>
      </c>
    </row>
    <row r="9" spans="1:11" x14ac:dyDescent="0.2">
      <c r="A9" s="97">
        <v>43556</v>
      </c>
      <c r="B9" s="98">
        <v>20.100000000000001</v>
      </c>
      <c r="C9" s="98">
        <v>-47.5</v>
      </c>
      <c r="D9" s="98">
        <v>51.68</v>
      </c>
      <c r="E9" s="98">
        <v>1117.81</v>
      </c>
      <c r="F9" s="98">
        <v>150.51</v>
      </c>
      <c r="G9" s="98">
        <v>-53.34</v>
      </c>
      <c r="H9" s="98">
        <v>175</v>
      </c>
      <c r="I9" s="98">
        <v>500</v>
      </c>
      <c r="J9" s="98">
        <v>270</v>
      </c>
      <c r="K9" s="98">
        <v>-140</v>
      </c>
    </row>
    <row r="10" spans="1:11" x14ac:dyDescent="0.2">
      <c r="A10" s="97">
        <v>43586</v>
      </c>
      <c r="B10" s="98">
        <v>8.19</v>
      </c>
      <c r="C10" s="98">
        <v>-55.5</v>
      </c>
      <c r="D10" s="98">
        <v>60.37</v>
      </c>
      <c r="E10" s="98">
        <v>979.54</v>
      </c>
      <c r="F10" s="98">
        <v>135.08000000000001</v>
      </c>
      <c r="G10" s="98">
        <f t="shared" ref="G10:K10" si="0">+G9</f>
        <v>-53.34</v>
      </c>
      <c r="H10" s="98">
        <v>170</v>
      </c>
      <c r="I10" s="98">
        <v>420</v>
      </c>
      <c r="J10" s="98">
        <v>230</v>
      </c>
      <c r="K10" s="98">
        <f t="shared" si="0"/>
        <v>-140</v>
      </c>
    </row>
    <row r="12" spans="1:11" x14ac:dyDescent="0.2">
      <c r="A12" s="90" t="s">
        <v>130</v>
      </c>
      <c r="B12" s="155">
        <f t="shared" ref="B12:K12" si="1">AVERAGE(B5:B10)</f>
        <v>49.803333333333335</v>
      </c>
      <c r="C12" s="155">
        <f t="shared" si="1"/>
        <v>-48.416666666666664</v>
      </c>
      <c r="D12" s="155">
        <f t="shared" si="1"/>
        <v>64.86333333333333</v>
      </c>
      <c r="E12" s="155">
        <f t="shared" si="1"/>
        <v>1014.2133333333333</v>
      </c>
      <c r="F12" s="155">
        <f t="shared" si="1"/>
        <v>148.43</v>
      </c>
      <c r="G12" s="155">
        <f t="shared" si="1"/>
        <v>-53.340000000000011</v>
      </c>
      <c r="H12" s="155">
        <f t="shared" si="1"/>
        <v>159.42833333333331</v>
      </c>
      <c r="I12" s="155">
        <f t="shared" si="1"/>
        <v>596.66666666666663</v>
      </c>
      <c r="J12" s="155">
        <f t="shared" si="1"/>
        <v>303.33333333333331</v>
      </c>
      <c r="K12" s="155">
        <f t="shared" si="1"/>
        <v>-140</v>
      </c>
    </row>
    <row r="14" spans="1:11" x14ac:dyDescent="0.2">
      <c r="H14" s="171"/>
      <c r="I14" s="171"/>
      <c r="J14" s="171"/>
      <c r="K14" s="172"/>
    </row>
    <row r="15" spans="1:11" ht="12.75" customHeight="1" x14ac:dyDescent="0.2">
      <c r="H15" s="171"/>
    </row>
    <row r="16" spans="1:11" ht="12.75" customHeight="1" x14ac:dyDescent="0.2"/>
    <row r="17" spans="8:11" x14ac:dyDescent="0.2">
      <c r="H17" s="170"/>
      <c r="I17" s="170"/>
      <c r="J17" s="170"/>
      <c r="K17" s="170"/>
    </row>
    <row r="19" spans="8:11" x14ac:dyDescent="0.2">
      <c r="K19" s="171"/>
    </row>
  </sheetData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25"/>
  <sheetViews>
    <sheetView workbookViewId="0">
      <selection activeCell="C12" sqref="C12:H12"/>
    </sheetView>
  </sheetViews>
  <sheetFormatPr defaultRowHeight="12.75" x14ac:dyDescent="0.2"/>
  <cols>
    <col min="1" max="1" width="38.85546875" bestFit="1" customWidth="1"/>
    <col min="2" max="2" width="4.7109375" customWidth="1"/>
    <col min="3" max="8" width="10.28515625" bestFit="1" customWidth="1"/>
    <col min="9" max="9" width="3.7109375" customWidth="1"/>
    <col min="10" max="10" width="11.28515625" bestFit="1" customWidth="1"/>
  </cols>
  <sheetData>
    <row r="1" spans="1:13" ht="23.25" x14ac:dyDescent="0.35">
      <c r="A1" s="22" t="s">
        <v>31</v>
      </c>
    </row>
    <row r="2" spans="1:13" x14ac:dyDescent="0.2">
      <c r="A2" s="1" t="s">
        <v>94</v>
      </c>
    </row>
    <row r="4" spans="1:13" x14ac:dyDescent="0.2">
      <c r="A4" s="3"/>
      <c r="B4" s="3"/>
      <c r="C4" s="106">
        <v>43435</v>
      </c>
      <c r="D4" s="106">
        <v>43466</v>
      </c>
      <c r="E4" s="106">
        <v>43497</v>
      </c>
      <c r="F4" s="106">
        <v>43525</v>
      </c>
      <c r="G4" s="106">
        <v>43556</v>
      </c>
      <c r="H4" s="106">
        <v>43586</v>
      </c>
      <c r="I4" s="107"/>
      <c r="J4" s="101" t="s">
        <v>130</v>
      </c>
    </row>
    <row r="5" spans="1:13" x14ac:dyDescent="0.2">
      <c r="A5" s="3" t="s">
        <v>88</v>
      </c>
      <c r="B5" s="1"/>
    </row>
    <row r="6" spans="1:13" x14ac:dyDescent="0.2">
      <c r="A6" s="105" t="s">
        <v>81</v>
      </c>
      <c r="B6" s="104"/>
      <c r="C6" s="75">
        <v>707</v>
      </c>
      <c r="D6" s="147">
        <v>707</v>
      </c>
      <c r="E6" s="147">
        <v>697</v>
      </c>
      <c r="F6" s="147">
        <v>702</v>
      </c>
      <c r="G6" s="147">
        <v>712</v>
      </c>
      <c r="H6" s="147">
        <v>715</v>
      </c>
      <c r="I6" s="103"/>
      <c r="J6" s="103"/>
    </row>
    <row r="7" spans="1:13" x14ac:dyDescent="0.2">
      <c r="A7" s="105" t="s">
        <v>80</v>
      </c>
      <c r="B7" s="104"/>
      <c r="C7" s="75">
        <v>1423</v>
      </c>
      <c r="D7" s="147">
        <v>1421</v>
      </c>
      <c r="E7" s="147">
        <v>1420</v>
      </c>
      <c r="F7" s="147">
        <v>1425</v>
      </c>
      <c r="G7" s="147">
        <v>1431</v>
      </c>
      <c r="H7" s="147">
        <v>1437</v>
      </c>
      <c r="I7" s="103"/>
      <c r="J7" s="103"/>
    </row>
    <row r="8" spans="1:13" x14ac:dyDescent="0.2">
      <c r="A8" s="105" t="s">
        <v>82</v>
      </c>
      <c r="B8" s="104"/>
      <c r="C8" s="75">
        <v>3459</v>
      </c>
      <c r="D8" s="147">
        <v>3469</v>
      </c>
      <c r="E8" s="147">
        <v>3470</v>
      </c>
      <c r="F8" s="147">
        <v>3484</v>
      </c>
      <c r="G8" s="147">
        <v>3489</v>
      </c>
      <c r="H8" s="147">
        <v>3543</v>
      </c>
      <c r="I8" s="103"/>
      <c r="J8" s="103"/>
    </row>
    <row r="9" spans="1:13" ht="15" x14ac:dyDescent="0.35">
      <c r="A9" s="105" t="s">
        <v>83</v>
      </c>
      <c r="B9" s="104"/>
      <c r="C9" s="108">
        <v>24076</v>
      </c>
      <c r="D9" s="108">
        <v>24024</v>
      </c>
      <c r="E9" s="108">
        <v>24060</v>
      </c>
      <c r="F9" s="108">
        <v>24179</v>
      </c>
      <c r="G9" s="108">
        <v>24212</v>
      </c>
      <c r="H9" s="108">
        <v>24399</v>
      </c>
      <c r="I9" s="103"/>
      <c r="J9" s="103"/>
    </row>
    <row r="10" spans="1:13" ht="15" x14ac:dyDescent="0.35">
      <c r="A10" s="104" t="s">
        <v>87</v>
      </c>
      <c r="B10" s="104"/>
      <c r="C10" s="112">
        <f t="shared" ref="C10:H10" si="0">SUM(C6:C9)</f>
        <v>29665</v>
      </c>
      <c r="D10" s="112">
        <f t="shared" si="0"/>
        <v>29621</v>
      </c>
      <c r="E10" s="112">
        <f t="shared" si="0"/>
        <v>29647</v>
      </c>
      <c r="F10" s="112">
        <f t="shared" si="0"/>
        <v>29790</v>
      </c>
      <c r="G10" s="112">
        <f t="shared" si="0"/>
        <v>29844</v>
      </c>
      <c r="H10" s="112">
        <f t="shared" si="0"/>
        <v>30094</v>
      </c>
      <c r="I10" s="103"/>
      <c r="J10" s="103"/>
    </row>
    <row r="11" spans="1:13" x14ac:dyDescent="0.2">
      <c r="A11" s="104"/>
      <c r="B11" s="104"/>
      <c r="C11" s="109"/>
      <c r="D11" s="109"/>
      <c r="E11" s="109"/>
      <c r="F11" s="109"/>
      <c r="G11" s="109"/>
      <c r="H11" s="109"/>
      <c r="I11" s="103"/>
      <c r="J11" s="103"/>
    </row>
    <row r="12" spans="1:13" x14ac:dyDescent="0.2">
      <c r="A12" s="104" t="s">
        <v>86</v>
      </c>
      <c r="B12" s="110"/>
      <c r="C12" s="111">
        <v>23180</v>
      </c>
      <c r="D12" s="111">
        <v>23189</v>
      </c>
      <c r="E12" s="111">
        <v>23180</v>
      </c>
      <c r="F12" s="111">
        <v>23309</v>
      </c>
      <c r="G12" s="111">
        <v>23529</v>
      </c>
      <c r="H12" s="111">
        <v>24555</v>
      </c>
      <c r="I12" s="110"/>
      <c r="J12" s="111">
        <f>AVERAGE(C12:H12)</f>
        <v>23490.333333333332</v>
      </c>
    </row>
    <row r="13" spans="1:13" x14ac:dyDescent="0.2">
      <c r="H13" s="63"/>
      <c r="L13" s="13"/>
      <c r="M13" s="6"/>
    </row>
    <row r="14" spans="1:13" ht="15" x14ac:dyDescent="0.35">
      <c r="C14" s="14">
        <f t="shared" ref="C14:H14" si="1">+C12+C10</f>
        <v>52845</v>
      </c>
      <c r="D14" s="14">
        <f t="shared" si="1"/>
        <v>52810</v>
      </c>
      <c r="E14" s="14">
        <f t="shared" si="1"/>
        <v>52827</v>
      </c>
      <c r="F14" s="14">
        <f t="shared" si="1"/>
        <v>53099</v>
      </c>
      <c r="G14" s="14">
        <f t="shared" si="1"/>
        <v>53373</v>
      </c>
      <c r="H14" s="14">
        <f t="shared" si="1"/>
        <v>54649</v>
      </c>
    </row>
    <row r="16" spans="1:13" x14ac:dyDescent="0.2">
      <c r="A16" s="1" t="s">
        <v>89</v>
      </c>
      <c r="C16" s="100">
        <f t="shared" ref="C16:H16" si="2">+C12/C14</f>
        <v>0.43864130949001795</v>
      </c>
      <c r="D16" s="100">
        <f t="shared" si="2"/>
        <v>0.43910244271918197</v>
      </c>
      <c r="E16" s="100">
        <f t="shared" si="2"/>
        <v>0.43879076987146726</v>
      </c>
      <c r="F16" s="100">
        <f t="shared" si="2"/>
        <v>0.43897248535753969</v>
      </c>
      <c r="G16" s="100">
        <f t="shared" si="2"/>
        <v>0.4408408745995166</v>
      </c>
      <c r="H16" s="100">
        <f t="shared" si="2"/>
        <v>0.44932203699976214</v>
      </c>
    </row>
    <row r="18" spans="1:23" x14ac:dyDescent="0.2">
      <c r="A18" s="1" t="s">
        <v>90</v>
      </c>
      <c r="C18" s="114">
        <f t="shared" ref="C18:H18" si="3">1-C16</f>
        <v>0.56135869050998211</v>
      </c>
      <c r="D18" s="114">
        <f t="shared" si="3"/>
        <v>0.56089755728081803</v>
      </c>
      <c r="E18" s="114">
        <f t="shared" si="3"/>
        <v>0.56120923012853274</v>
      </c>
      <c r="F18" s="114">
        <f t="shared" si="3"/>
        <v>0.56102751464246037</v>
      </c>
      <c r="G18" s="114">
        <f t="shared" si="3"/>
        <v>0.5591591254004834</v>
      </c>
      <c r="H18" s="114">
        <f t="shared" si="3"/>
        <v>0.55067796300023786</v>
      </c>
    </row>
    <row r="20" spans="1:23" x14ac:dyDescent="0.2"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</row>
    <row r="21" spans="1:23" x14ac:dyDescent="0.2">
      <c r="A21" s="1" t="s">
        <v>93</v>
      </c>
      <c r="B21" s="1"/>
      <c r="C21" s="120">
        <v>-291.45</v>
      </c>
      <c r="D21" s="120">
        <v>-291.45</v>
      </c>
      <c r="E21" s="120">
        <v>0</v>
      </c>
      <c r="F21" s="120">
        <v>-453.65</v>
      </c>
      <c r="G21" s="120">
        <v>-453.65</v>
      </c>
      <c r="H21" s="120">
        <v>-457.21</v>
      </c>
      <c r="I21" s="120"/>
      <c r="J21" s="120">
        <f>SUM(C21:H21)</f>
        <v>-1947.4099999999999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</row>
    <row r="22" spans="1:23" x14ac:dyDescent="0.2">
      <c r="A22" s="63"/>
      <c r="C22" s="2"/>
      <c r="D22" s="2"/>
      <c r="E22" s="2"/>
      <c r="F22" s="2"/>
      <c r="G22" s="2"/>
      <c r="H22" s="2"/>
      <c r="J22" s="13"/>
    </row>
    <row r="23" spans="1:23" ht="15" x14ac:dyDescent="0.35">
      <c r="A23" s="1" t="s">
        <v>91</v>
      </c>
      <c r="C23" s="115">
        <v>0.17</v>
      </c>
      <c r="D23" s="115"/>
      <c r="E23" s="115">
        <v>0</v>
      </c>
      <c r="F23" s="115">
        <v>0.26</v>
      </c>
      <c r="G23" s="115">
        <f>+F23</f>
        <v>0.26</v>
      </c>
      <c r="H23" s="115">
        <f>+G23</f>
        <v>0.26</v>
      </c>
      <c r="I23" s="115"/>
      <c r="J23" s="115"/>
    </row>
    <row r="25" spans="1:23" ht="15" x14ac:dyDescent="0.35">
      <c r="A25" s="1" t="s">
        <v>92</v>
      </c>
      <c r="B25" s="116"/>
      <c r="C25" s="117">
        <f t="shared" ref="C25:H25" si="4">-(C21)/C23</f>
        <v>1714.4117647058822</v>
      </c>
      <c r="D25" s="117">
        <f>+C25</f>
        <v>1714.4117647058822</v>
      </c>
      <c r="E25" s="117">
        <f>+D25</f>
        <v>1714.4117647058822</v>
      </c>
      <c r="F25" s="117">
        <f t="shared" si="4"/>
        <v>1744.8076923076922</v>
      </c>
      <c r="G25" s="117">
        <f t="shared" si="4"/>
        <v>1744.8076923076922</v>
      </c>
      <c r="H25" s="117">
        <f t="shared" si="4"/>
        <v>1758.4999999999998</v>
      </c>
      <c r="I25" s="118"/>
      <c r="J25" s="14">
        <f>SUM(C25:I25)</f>
        <v>10391.350678733032</v>
      </c>
    </row>
  </sheetData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8"/>
  <sheetViews>
    <sheetView workbookViewId="0">
      <selection activeCell="I31" sqref="I30:I31"/>
    </sheetView>
  </sheetViews>
  <sheetFormatPr defaultRowHeight="12.75" x14ac:dyDescent="0.2"/>
  <cols>
    <col min="1" max="1" width="72.5703125" bestFit="1" customWidth="1"/>
    <col min="4" max="4" width="12.28515625" bestFit="1" customWidth="1"/>
    <col min="6" max="6" width="12.42578125" style="63" bestFit="1" customWidth="1"/>
    <col min="8" max="8" width="11.28515625" bestFit="1" customWidth="1"/>
    <col min="9" max="9" width="9" bestFit="1" customWidth="1"/>
    <col min="10" max="10" width="12.42578125" bestFit="1" customWidth="1"/>
  </cols>
  <sheetData>
    <row r="1" spans="1:8" ht="23.25" x14ac:dyDescent="0.35">
      <c r="A1" s="140" t="s">
        <v>143</v>
      </c>
      <c r="B1" s="140"/>
      <c r="C1" s="141"/>
      <c r="D1" s="141"/>
    </row>
    <row r="2" spans="1:8" ht="15.75" x14ac:dyDescent="0.25">
      <c r="A2" s="142" t="s">
        <v>144</v>
      </c>
      <c r="B2" s="142"/>
      <c r="C2" s="143"/>
      <c r="D2" s="144"/>
    </row>
    <row r="3" spans="1:8" x14ac:dyDescent="0.2">
      <c r="A3" s="204"/>
      <c r="B3" s="204"/>
      <c r="C3" s="205"/>
      <c r="D3" s="206"/>
      <c r="E3" s="63"/>
      <c r="F3" s="4" t="s">
        <v>152</v>
      </c>
      <c r="G3" s="63"/>
      <c r="H3" s="255" t="s">
        <v>189</v>
      </c>
    </row>
    <row r="4" spans="1:8" ht="15" x14ac:dyDescent="0.35">
      <c r="A4" s="191"/>
      <c r="B4" s="191"/>
      <c r="C4" s="205"/>
      <c r="D4" s="207" t="s">
        <v>106</v>
      </c>
      <c r="E4" s="63"/>
      <c r="F4" s="101" t="s">
        <v>170</v>
      </c>
      <c r="G4" s="63"/>
    </row>
    <row r="5" spans="1:8" x14ac:dyDescent="0.2">
      <c r="A5" s="208" t="s">
        <v>107</v>
      </c>
      <c r="B5" s="208"/>
      <c r="C5" s="205"/>
      <c r="D5" s="209"/>
      <c r="E5" s="63"/>
      <c r="G5" s="63"/>
    </row>
    <row r="6" spans="1:8" ht="15" x14ac:dyDescent="0.35">
      <c r="A6" s="191" t="s">
        <v>21</v>
      </c>
      <c r="B6" s="191"/>
      <c r="C6" s="205"/>
      <c r="D6" s="210">
        <v>22957</v>
      </c>
      <c r="E6" s="63"/>
      <c r="G6" s="63"/>
    </row>
    <row r="7" spans="1:8" x14ac:dyDescent="0.2">
      <c r="A7" s="191"/>
      <c r="B7" s="191"/>
      <c r="C7" s="205"/>
      <c r="D7" s="211"/>
      <c r="E7" s="63"/>
      <c r="G7" s="63"/>
    </row>
    <row r="8" spans="1:8" x14ac:dyDescent="0.2">
      <c r="A8" s="208" t="s">
        <v>108</v>
      </c>
      <c r="B8" s="208"/>
      <c r="C8" s="205"/>
      <c r="D8" s="211"/>
      <c r="E8" s="63"/>
      <c r="G8" s="63"/>
    </row>
    <row r="9" spans="1:8" ht="15" x14ac:dyDescent="0.35">
      <c r="A9" s="212" t="s">
        <v>135</v>
      </c>
      <c r="B9" s="212"/>
      <c r="C9" s="205"/>
      <c r="D9" s="213">
        <v>10601</v>
      </c>
      <c r="E9" s="63"/>
      <c r="G9" s="63"/>
      <c r="H9" s="263">
        <f>'Tons &amp; Revenue Staff'!H21*2</f>
        <v>10662.696245538471</v>
      </c>
    </row>
    <row r="10" spans="1:8" x14ac:dyDescent="0.2">
      <c r="A10" s="192"/>
      <c r="B10" s="192"/>
      <c r="C10" s="205"/>
      <c r="D10" s="211"/>
      <c r="E10" s="63"/>
      <c r="G10" s="63"/>
    </row>
    <row r="11" spans="1:8" x14ac:dyDescent="0.2">
      <c r="A11" s="208" t="s">
        <v>109</v>
      </c>
      <c r="B11" s="208"/>
      <c r="C11" s="205"/>
      <c r="D11" s="209"/>
      <c r="E11" s="63"/>
      <c r="G11" s="63"/>
    </row>
    <row r="12" spans="1:8" ht="28.5" thickBot="1" x14ac:dyDescent="0.4">
      <c r="A12" s="214" t="s">
        <v>137</v>
      </c>
      <c r="B12" s="214"/>
      <c r="C12" s="194"/>
      <c r="D12" s="215">
        <v>896600</v>
      </c>
      <c r="E12" s="63"/>
      <c r="F12" s="189">
        <f>+'Budget vs. Actual comparison'!G11</f>
        <v>426685.96419545251</v>
      </c>
      <c r="G12" s="63"/>
      <c r="H12" s="269">
        <f>'Tons &amp; Revenue Staff'!M139*2</f>
        <v>789665.89377882564</v>
      </c>
    </row>
    <row r="13" spans="1:8" ht="13.5" thickTop="1" x14ac:dyDescent="0.2">
      <c r="A13" s="214"/>
      <c r="B13" s="214"/>
      <c r="C13" s="194"/>
      <c r="D13" s="216"/>
      <c r="E13" s="63"/>
      <c r="G13" s="63"/>
    </row>
    <row r="14" spans="1:8" x14ac:dyDescent="0.2">
      <c r="A14" s="208" t="s">
        <v>110</v>
      </c>
      <c r="B14" s="214"/>
      <c r="C14" s="194"/>
      <c r="D14" s="216"/>
      <c r="E14" s="63"/>
      <c r="G14" s="63"/>
    </row>
    <row r="15" spans="1:8" x14ac:dyDescent="0.2">
      <c r="A15" s="214" t="s">
        <v>111</v>
      </c>
      <c r="B15" s="214"/>
      <c r="C15" s="217">
        <v>0.5</v>
      </c>
      <c r="D15" s="218">
        <f>ROUND(+D12*C15,-2)</f>
        <v>448300</v>
      </c>
      <c r="E15" s="63"/>
      <c r="F15" s="189">
        <f>+F12*C15</f>
        <v>213342.98209772626</v>
      </c>
      <c r="G15" s="63"/>
      <c r="H15" s="261">
        <f>H12*50%</f>
        <v>394832.94688941282</v>
      </c>
    </row>
    <row r="16" spans="1:8" ht="15" x14ac:dyDescent="0.35">
      <c r="A16" s="219" t="s">
        <v>136</v>
      </c>
      <c r="B16" s="191"/>
      <c r="C16" s="220">
        <v>0.05</v>
      </c>
      <c r="D16" s="221">
        <f>-ROUND(+D28*C16,-2)</f>
        <v>-20400</v>
      </c>
      <c r="E16" s="63"/>
      <c r="F16" s="10">
        <f>-F15*C16</f>
        <v>-10667.149104886314</v>
      </c>
      <c r="G16" s="63"/>
      <c r="H16" s="268">
        <f>-H12*5%</f>
        <v>-39483.294688941285</v>
      </c>
    </row>
    <row r="17" spans="1:11" ht="15.75" thickBot="1" x14ac:dyDescent="0.4">
      <c r="A17" s="219"/>
      <c r="B17" s="191"/>
      <c r="C17" s="205"/>
      <c r="D17" s="222">
        <f>+D15+D16</f>
        <v>427900</v>
      </c>
      <c r="E17" s="63"/>
      <c r="F17" s="222">
        <f>+F15+F16</f>
        <v>202675.83299283995</v>
      </c>
      <c r="G17" s="63"/>
      <c r="H17" s="270">
        <f>SUM(H15:H16)</f>
        <v>355349.65220047155</v>
      </c>
    </row>
    <row r="18" spans="1:11" ht="13.5" thickTop="1" x14ac:dyDescent="0.2">
      <c r="A18" s="208" t="s">
        <v>112</v>
      </c>
      <c r="B18" s="208"/>
      <c r="C18" s="205"/>
      <c r="D18" s="209"/>
      <c r="E18" s="63"/>
      <c r="G18" s="63"/>
    </row>
    <row r="19" spans="1:11" ht="15" x14ac:dyDescent="0.35">
      <c r="A19" s="223" t="s">
        <v>113</v>
      </c>
      <c r="B19" s="223"/>
      <c r="C19" s="205"/>
      <c r="D19" s="224">
        <f>+D44</f>
        <v>124300</v>
      </c>
      <c r="E19" s="168"/>
      <c r="F19" s="190">
        <v>36152</v>
      </c>
      <c r="G19" s="63"/>
    </row>
    <row r="20" spans="1:11" ht="15" x14ac:dyDescent="0.35">
      <c r="A20" s="223"/>
      <c r="B20" s="223"/>
      <c r="C20" s="225"/>
      <c r="D20" s="226"/>
      <c r="E20" s="63"/>
      <c r="G20" s="63"/>
    </row>
    <row r="21" spans="1:11" ht="15" x14ac:dyDescent="0.35">
      <c r="A21" s="227" t="s">
        <v>114</v>
      </c>
      <c r="B21" s="227"/>
      <c r="C21" s="193"/>
      <c r="D21" s="226"/>
      <c r="E21" s="63"/>
      <c r="G21" s="63"/>
    </row>
    <row r="22" spans="1:11" x14ac:dyDescent="0.2">
      <c r="A22" s="195" t="s">
        <v>139</v>
      </c>
      <c r="B22" s="195"/>
      <c r="C22" s="228"/>
      <c r="D22" s="229">
        <v>125000</v>
      </c>
      <c r="E22" s="63"/>
      <c r="F22" s="229">
        <v>10500</v>
      </c>
      <c r="G22" s="63"/>
    </row>
    <row r="23" spans="1:11" x14ac:dyDescent="0.2">
      <c r="A23" s="195" t="s">
        <v>140</v>
      </c>
      <c r="B23" s="195"/>
      <c r="C23" s="194"/>
      <c r="D23" s="229">
        <v>25000</v>
      </c>
      <c r="E23" s="63"/>
      <c r="F23" s="229">
        <v>600</v>
      </c>
      <c r="G23" s="63"/>
    </row>
    <row r="24" spans="1:11" x14ac:dyDescent="0.2">
      <c r="A24" s="195" t="s">
        <v>141</v>
      </c>
      <c r="B24" s="195"/>
      <c r="C24" s="230"/>
      <c r="D24" s="229">
        <v>80000</v>
      </c>
      <c r="E24" s="63"/>
      <c r="F24" s="229">
        <v>39202</v>
      </c>
      <c r="G24" s="63"/>
    </row>
    <row r="25" spans="1:11" ht="15" x14ac:dyDescent="0.35">
      <c r="A25" s="195" t="s">
        <v>142</v>
      </c>
      <c r="B25" s="195"/>
      <c r="C25" s="230"/>
      <c r="D25" s="231">
        <v>53200</v>
      </c>
      <c r="E25" s="63"/>
      <c r="F25" s="231">
        <v>31486</v>
      </c>
      <c r="G25" s="63"/>
    </row>
    <row r="26" spans="1:11" ht="15" x14ac:dyDescent="0.35">
      <c r="A26" s="223" t="s">
        <v>115</v>
      </c>
      <c r="B26" s="223"/>
      <c r="C26" s="194"/>
      <c r="D26" s="224">
        <f>SUM(D22:D25)</f>
        <v>283200</v>
      </c>
      <c r="E26" s="168"/>
      <c r="F26" s="224">
        <f>SUM(F22:F25)</f>
        <v>81788</v>
      </c>
      <c r="G26" s="63"/>
    </row>
    <row r="27" spans="1:11" x14ac:dyDescent="0.2">
      <c r="A27" s="223"/>
      <c r="B27" s="223"/>
      <c r="C27" s="232"/>
      <c r="D27" s="233"/>
      <c r="E27" s="63"/>
      <c r="F27" s="233"/>
      <c r="G27" s="63"/>
    </row>
    <row r="28" spans="1:11" ht="15" x14ac:dyDescent="0.35">
      <c r="A28" s="223" t="s">
        <v>116</v>
      </c>
      <c r="B28" s="223"/>
      <c r="C28" s="232"/>
      <c r="D28" s="234">
        <f>+D26+D19</f>
        <v>407500</v>
      </c>
      <c r="E28" s="63"/>
      <c r="F28" s="234">
        <f>+F26+F19</f>
        <v>117940</v>
      </c>
      <c r="G28" s="63"/>
      <c r="K28" s="63" t="s">
        <v>171</v>
      </c>
    </row>
    <row r="29" spans="1:11" ht="15" x14ac:dyDescent="0.35">
      <c r="A29" s="223"/>
      <c r="B29" s="223"/>
      <c r="C29" s="232"/>
      <c r="D29" s="234"/>
      <c r="E29" s="63"/>
      <c r="G29" s="63"/>
    </row>
    <row r="30" spans="1:11" ht="15" x14ac:dyDescent="0.35">
      <c r="A30" s="223" t="s">
        <v>117</v>
      </c>
      <c r="B30" s="223"/>
      <c r="C30" s="232"/>
      <c r="D30" s="224">
        <f>ROUND(+D28*0.05,-2)</f>
        <v>20400</v>
      </c>
      <c r="E30" s="63"/>
      <c r="G30" s="63"/>
    </row>
    <row r="31" spans="1:11" x14ac:dyDescent="0.2">
      <c r="A31" s="223"/>
      <c r="B31" s="223"/>
      <c r="C31" s="232"/>
      <c r="D31" s="235"/>
      <c r="E31" s="63"/>
      <c r="G31" s="63"/>
    </row>
    <row r="32" spans="1:11" x14ac:dyDescent="0.2">
      <c r="A32" s="223" t="s">
        <v>118</v>
      </c>
      <c r="B32" s="223"/>
      <c r="C32" s="236"/>
      <c r="D32" s="235">
        <f>+D30+D28</f>
        <v>427900</v>
      </c>
      <c r="E32" s="63"/>
      <c r="G32" s="63"/>
    </row>
    <row r="33" spans="1:7" x14ac:dyDescent="0.2">
      <c r="A33" s="204"/>
      <c r="B33" s="204"/>
      <c r="C33" s="237"/>
      <c r="D33" s="238"/>
      <c r="E33" s="63"/>
      <c r="G33" s="63"/>
    </row>
    <row r="34" spans="1:7" x14ac:dyDescent="0.2">
      <c r="A34" s="223" t="s">
        <v>119</v>
      </c>
      <c r="B34" s="223"/>
      <c r="C34" s="237"/>
      <c r="D34" s="239">
        <f>+D9*2000/D6/24</f>
        <v>38.481363708963137</v>
      </c>
      <c r="E34" s="63"/>
      <c r="G34" s="63"/>
    </row>
    <row r="35" spans="1:7" x14ac:dyDescent="0.2">
      <c r="A35" s="63"/>
      <c r="B35" s="63"/>
      <c r="C35" s="237"/>
      <c r="D35" s="239"/>
      <c r="E35" s="63"/>
      <c r="G35" s="63"/>
    </row>
    <row r="36" spans="1:7" x14ac:dyDescent="0.2">
      <c r="A36" s="223" t="s">
        <v>120</v>
      </c>
      <c r="B36" s="223"/>
      <c r="C36" s="237"/>
      <c r="D36" s="240">
        <f>+D12/D9</f>
        <v>84.57692670502783</v>
      </c>
      <c r="E36" s="63"/>
      <c r="G36" s="63"/>
    </row>
    <row r="37" spans="1:7" ht="13.5" thickBot="1" x14ac:dyDescent="0.25">
      <c r="A37" s="195"/>
      <c r="B37" s="195"/>
      <c r="C37" s="194"/>
      <c r="D37" s="194"/>
      <c r="E37" s="63"/>
      <c r="G37" s="63"/>
    </row>
    <row r="38" spans="1:7" x14ac:dyDescent="0.2">
      <c r="A38" s="196"/>
      <c r="B38" s="197"/>
      <c r="C38" s="198"/>
      <c r="D38" s="199"/>
      <c r="E38" s="63"/>
      <c r="G38" s="63"/>
    </row>
    <row r="39" spans="1:7" ht="25.5" x14ac:dyDescent="0.2">
      <c r="A39" s="241" t="s">
        <v>121</v>
      </c>
      <c r="B39" s="242" t="s">
        <v>122</v>
      </c>
      <c r="C39" s="243" t="s">
        <v>123</v>
      </c>
      <c r="D39" s="244" t="s">
        <v>124</v>
      </c>
      <c r="E39" s="63"/>
      <c r="G39" s="63"/>
    </row>
    <row r="40" spans="1:7" x14ac:dyDescent="0.2">
      <c r="A40" s="145" t="s">
        <v>125</v>
      </c>
      <c r="B40" s="245">
        <v>50</v>
      </c>
      <c r="C40" s="246">
        <v>80</v>
      </c>
      <c r="D40" s="247">
        <f t="shared" ref="D40:D43" si="0">ROUND(B40*C40,-2)</f>
        <v>4000</v>
      </c>
      <c r="E40" s="63"/>
      <c r="G40" s="63"/>
    </row>
    <row r="41" spans="1:7" x14ac:dyDescent="0.2">
      <c r="A41" s="145" t="s">
        <v>126</v>
      </c>
      <c r="B41" s="245">
        <v>50</v>
      </c>
      <c r="C41" s="246">
        <v>140</v>
      </c>
      <c r="D41" s="247">
        <f t="shared" si="0"/>
        <v>7000</v>
      </c>
      <c r="E41" s="63"/>
      <c r="G41" s="63"/>
    </row>
    <row r="42" spans="1:7" x14ac:dyDescent="0.2">
      <c r="A42" s="145" t="s">
        <v>138</v>
      </c>
      <c r="B42" s="245">
        <v>960</v>
      </c>
      <c r="C42" s="246">
        <v>110</v>
      </c>
      <c r="D42" s="247">
        <f t="shared" si="0"/>
        <v>105600</v>
      </c>
      <c r="E42" s="63"/>
      <c r="G42" s="63"/>
    </row>
    <row r="43" spans="1:7" ht="15" x14ac:dyDescent="0.35">
      <c r="A43" s="145" t="s">
        <v>127</v>
      </c>
      <c r="B43" s="248">
        <v>96</v>
      </c>
      <c r="C43" s="246">
        <v>80</v>
      </c>
      <c r="D43" s="249">
        <f t="shared" si="0"/>
        <v>7700</v>
      </c>
      <c r="E43" s="63"/>
      <c r="G43" s="63"/>
    </row>
    <row r="44" spans="1:7" ht="15" x14ac:dyDescent="0.35">
      <c r="A44" s="250" t="s">
        <v>128</v>
      </c>
      <c r="B44" s="251">
        <f>SUM(B40:B43)</f>
        <v>1156</v>
      </c>
      <c r="C44" s="246"/>
      <c r="D44" s="252">
        <f>SUM(D40:D43)</f>
        <v>124300</v>
      </c>
      <c r="E44" s="63"/>
      <c r="G44" s="63"/>
    </row>
    <row r="45" spans="1:7" ht="13.5" thickBot="1" x14ac:dyDescent="0.25">
      <c r="A45" s="200"/>
      <c r="B45" s="201"/>
      <c r="C45" s="202"/>
      <c r="D45" s="203"/>
      <c r="E45" s="63"/>
      <c r="G45" s="63"/>
    </row>
    <row r="46" spans="1:7" x14ac:dyDescent="0.2">
      <c r="A46" s="63"/>
      <c r="B46" s="63"/>
      <c r="C46" s="63"/>
      <c r="D46" s="63"/>
      <c r="E46" s="63"/>
      <c r="G46" s="63"/>
    </row>
    <row r="47" spans="1:7" x14ac:dyDescent="0.2">
      <c r="A47" s="63"/>
      <c r="B47" s="63"/>
      <c r="C47" s="63"/>
      <c r="D47" s="63"/>
      <c r="E47" s="63"/>
      <c r="G47" s="63"/>
    </row>
    <row r="48" spans="1:7" x14ac:dyDescent="0.2">
      <c r="A48" s="63"/>
      <c r="B48" s="63"/>
      <c r="C48" s="63"/>
      <c r="D48" s="63"/>
      <c r="E48" s="63"/>
      <c r="G48" s="63"/>
    </row>
  </sheetData>
  <pageMargins left="0.7" right="0.2" top="0.5" bottom="0.5" header="0.3" footer="0.3"/>
  <pageSetup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workbookViewId="0">
      <selection activeCell="G9" sqref="G9"/>
    </sheetView>
  </sheetViews>
  <sheetFormatPr defaultRowHeight="12.75" x14ac:dyDescent="0.2"/>
  <cols>
    <col min="1" max="1" width="18.28515625" bestFit="1" customWidth="1"/>
    <col min="3" max="3" width="9.7109375" style="156" bestFit="1" customWidth="1"/>
    <col min="4" max="4" width="7.42578125" bestFit="1" customWidth="1"/>
    <col min="5" max="5" width="9.7109375" bestFit="1" customWidth="1"/>
    <col min="6" max="6" width="3.85546875" customWidth="1"/>
    <col min="7" max="7" width="9.7109375" bestFit="1" customWidth="1"/>
    <col min="8" max="8" width="10.28515625" bestFit="1" customWidth="1"/>
  </cols>
  <sheetData>
    <row r="1" spans="1:9" s="1" customFormat="1" ht="23.25" x14ac:dyDescent="0.35">
      <c r="A1" s="22" t="s">
        <v>31</v>
      </c>
      <c r="C1" s="173"/>
    </row>
    <row r="2" spans="1:9" s="1" customFormat="1" x14ac:dyDescent="0.2">
      <c r="A2" s="1" t="s">
        <v>157</v>
      </c>
      <c r="C2" s="173"/>
    </row>
    <row r="3" spans="1:9" s="1" customFormat="1" x14ac:dyDescent="0.2">
      <c r="C3" s="173"/>
      <c r="I3" s="4"/>
    </row>
    <row r="4" spans="1:9" s="1" customFormat="1" x14ac:dyDescent="0.2">
      <c r="C4" s="174"/>
      <c r="D4" s="4" t="s">
        <v>150</v>
      </c>
      <c r="E4" s="4" t="s">
        <v>148</v>
      </c>
      <c r="F4" s="4"/>
      <c r="G4" s="4"/>
      <c r="H4" s="4" t="s">
        <v>153</v>
      </c>
      <c r="I4" s="4" t="s">
        <v>4</v>
      </c>
    </row>
    <row r="5" spans="1:9" s="3" customFormat="1" x14ac:dyDescent="0.2">
      <c r="C5" s="175" t="s">
        <v>106</v>
      </c>
      <c r="D5" s="101" t="s">
        <v>151</v>
      </c>
      <c r="E5" s="101" t="s">
        <v>106</v>
      </c>
      <c r="F5" s="101"/>
      <c r="G5" s="101" t="s">
        <v>152</v>
      </c>
      <c r="H5" s="101" t="s">
        <v>154</v>
      </c>
      <c r="I5" s="101" t="s">
        <v>155</v>
      </c>
    </row>
    <row r="6" spans="1:9" s="3" customFormat="1" x14ac:dyDescent="0.2">
      <c r="C6" s="175"/>
      <c r="D6" s="101"/>
      <c r="E6" s="101"/>
      <c r="F6" s="101"/>
      <c r="G6" s="101"/>
      <c r="H6" s="101"/>
      <c r="I6" s="101"/>
    </row>
    <row r="7" spans="1:9" s="3" customFormat="1" x14ac:dyDescent="0.2">
      <c r="A7" s="63" t="s">
        <v>5</v>
      </c>
      <c r="C7" s="177">
        <f>+Budget!D6</f>
        <v>22957</v>
      </c>
      <c r="D7" s="178"/>
      <c r="E7" s="179">
        <f>+C7</f>
        <v>22957</v>
      </c>
      <c r="F7" s="101"/>
      <c r="G7" s="177">
        <f>+'Res''l &amp; MF Customers'!J12</f>
        <v>23490.333333333332</v>
      </c>
      <c r="H7" s="156">
        <f>+G7-E7</f>
        <v>533.33333333333212</v>
      </c>
      <c r="I7" s="113">
        <f>+H7/E7</f>
        <v>2.3231839235672437E-2</v>
      </c>
    </row>
    <row r="8" spans="1:9" s="3" customFormat="1" x14ac:dyDescent="0.2">
      <c r="C8" s="175"/>
      <c r="D8" s="101"/>
      <c r="E8" s="101"/>
      <c r="F8" s="101"/>
      <c r="G8" s="101"/>
      <c r="H8" s="101"/>
      <c r="I8" s="101"/>
    </row>
    <row r="9" spans="1:9" x14ac:dyDescent="0.2">
      <c r="A9" t="s">
        <v>149</v>
      </c>
      <c r="C9" s="156">
        <f>+Budget!D9</f>
        <v>10601</v>
      </c>
      <c r="D9" s="176">
        <v>12</v>
      </c>
      <c r="E9" s="156">
        <f>+C9/24*D9</f>
        <v>5300.5</v>
      </c>
      <c r="G9" s="156">
        <f>2937.23+'Tons &amp; Revenue'!H15</f>
        <v>5331.3468989924859</v>
      </c>
      <c r="H9" s="156">
        <f>+G9-E9</f>
        <v>30.846898992485876</v>
      </c>
      <c r="I9" s="113">
        <f>+H9/E9</f>
        <v>5.8196206004123901E-3</v>
      </c>
    </row>
    <row r="10" spans="1:9" x14ac:dyDescent="0.2">
      <c r="D10" s="176"/>
      <c r="G10" s="156"/>
      <c r="H10" s="156"/>
    </row>
    <row r="11" spans="1:9" x14ac:dyDescent="0.2">
      <c r="A11" s="63" t="s">
        <v>158</v>
      </c>
      <c r="C11" s="9">
        <f>+Budget!D12</f>
        <v>896600</v>
      </c>
      <c r="D11" s="176">
        <v>12</v>
      </c>
      <c r="E11" s="9">
        <f>+C11/24*D11</f>
        <v>448300</v>
      </c>
      <c r="G11" s="9">
        <f>+'Rebate Calculation'!F74+'Rebate Calculation'!F13+'Rebate Calculation'!F42+'Rebate Calculation'!F100</f>
        <v>426685.96419545251</v>
      </c>
      <c r="H11" s="9">
        <f>+G11-E11</f>
        <v>-21614.035804547486</v>
      </c>
      <c r="I11" s="113">
        <f>+H11/E11</f>
        <v>-4.8213329923148529E-2</v>
      </c>
    </row>
    <row r="12" spans="1:9" x14ac:dyDescent="0.2">
      <c r="D12" s="176"/>
      <c r="G12" s="156"/>
      <c r="H12" s="156"/>
    </row>
    <row r="13" spans="1:9" x14ac:dyDescent="0.2">
      <c r="A13" s="63" t="s">
        <v>156</v>
      </c>
      <c r="C13" s="76">
        <f>+C11/C9</f>
        <v>84.57692670502783</v>
      </c>
      <c r="D13" s="76"/>
      <c r="E13" s="76">
        <f t="shared" ref="E13:G13" si="0">+E11/E9</f>
        <v>84.57692670502783</v>
      </c>
      <c r="F13" s="76"/>
      <c r="G13" s="76">
        <f t="shared" si="0"/>
        <v>80.033427251955288</v>
      </c>
      <c r="H13" s="76">
        <f>+G13-E13</f>
        <v>-4.5434994530725419</v>
      </c>
      <c r="I13" s="113">
        <f>+H13/E13</f>
        <v>-5.3720318650481838E-2</v>
      </c>
    </row>
    <row r="14" spans="1:9" x14ac:dyDescent="0.2">
      <c r="D14" s="176"/>
      <c r="G14" s="156"/>
      <c r="H14" s="156"/>
    </row>
    <row r="15" spans="1:9" x14ac:dyDescent="0.2">
      <c r="D15" s="176"/>
      <c r="G15" s="156"/>
      <c r="H15" s="156"/>
    </row>
    <row r="16" spans="1:9" x14ac:dyDescent="0.2">
      <c r="D16" s="176"/>
      <c r="G16" s="156"/>
      <c r="H16" s="156"/>
    </row>
    <row r="17" spans="4:8" x14ac:dyDescent="0.2">
      <c r="D17" s="176"/>
      <c r="G17" s="156"/>
      <c r="H17" s="156"/>
    </row>
    <row r="18" spans="4:8" x14ac:dyDescent="0.2">
      <c r="D18" s="176"/>
      <c r="G18" s="156"/>
      <c r="H18" s="156"/>
    </row>
    <row r="19" spans="4:8" x14ac:dyDescent="0.2">
      <c r="D19" s="176"/>
      <c r="G19" s="156"/>
      <c r="H19" s="156"/>
    </row>
    <row r="20" spans="4:8" x14ac:dyDescent="0.2">
      <c r="D20" s="176"/>
      <c r="G20" s="156"/>
      <c r="H20" s="156"/>
    </row>
    <row r="21" spans="4:8" x14ac:dyDescent="0.2">
      <c r="D21" s="176"/>
      <c r="G21" s="156"/>
      <c r="H21" s="156"/>
    </row>
    <row r="22" spans="4:8" x14ac:dyDescent="0.2">
      <c r="D22" s="176"/>
      <c r="G22" s="156"/>
      <c r="H22" s="156"/>
    </row>
    <row r="23" spans="4:8" x14ac:dyDescent="0.2">
      <c r="D23" s="176"/>
      <c r="G23" s="156"/>
      <c r="H23" s="156"/>
    </row>
    <row r="24" spans="4:8" x14ac:dyDescent="0.2">
      <c r="D24" s="176"/>
      <c r="G24" s="156"/>
      <c r="H24" s="156"/>
    </row>
    <row r="25" spans="4:8" x14ac:dyDescent="0.2">
      <c r="D25" s="176"/>
      <c r="G25" s="156"/>
      <c r="H25" s="156"/>
    </row>
    <row r="26" spans="4:8" x14ac:dyDescent="0.2">
      <c r="D26" s="176"/>
      <c r="G26" s="156"/>
      <c r="H26" s="156"/>
    </row>
    <row r="27" spans="4:8" x14ac:dyDescent="0.2">
      <c r="D27" s="176"/>
      <c r="G27" s="156"/>
      <c r="H27" s="156"/>
    </row>
    <row r="28" spans="4:8" x14ac:dyDescent="0.2">
      <c r="D28" s="176"/>
      <c r="G28" s="156"/>
      <c r="H28" s="156"/>
    </row>
    <row r="29" spans="4:8" x14ac:dyDescent="0.2">
      <c r="D29" s="176"/>
      <c r="G29" s="156"/>
      <c r="H29" s="156"/>
    </row>
    <row r="30" spans="4:8" x14ac:dyDescent="0.2">
      <c r="D30" s="176"/>
      <c r="G30" s="156"/>
      <c r="H30" s="156"/>
    </row>
    <row r="31" spans="4:8" x14ac:dyDescent="0.2">
      <c r="D31" s="176"/>
      <c r="G31" s="156"/>
      <c r="H31" s="156"/>
    </row>
    <row r="32" spans="4:8" x14ac:dyDescent="0.2">
      <c r="D32" s="176"/>
      <c r="G32" s="156"/>
      <c r="H32" s="156"/>
    </row>
    <row r="33" spans="7:8" x14ac:dyDescent="0.2">
      <c r="G33" s="156"/>
      <c r="H33" s="156"/>
    </row>
    <row r="34" spans="7:8" x14ac:dyDescent="0.2">
      <c r="G34" s="156"/>
      <c r="H34" s="156"/>
    </row>
    <row r="35" spans="7:8" x14ac:dyDescent="0.2">
      <c r="G35" s="156"/>
      <c r="H35" s="156"/>
    </row>
    <row r="36" spans="7:8" x14ac:dyDescent="0.2">
      <c r="G36" s="156"/>
      <c r="H36" s="156"/>
    </row>
    <row r="37" spans="7:8" x14ac:dyDescent="0.2">
      <c r="G37" s="156"/>
      <c r="H37" s="15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A83D7D1F4F9746B74E2944A32CA6E3" ma:contentTypeVersion="56" ma:contentTypeDescription="" ma:contentTypeScope="" ma:versionID="a1ab3f9da703a0b19f560984a4f61e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2019-09-27T07:00:00+00:00</OpenedDate>
    <SignificantOrder xmlns="dc463f71-b30c-4ab2-9473-d307f9d35888">false</SignificantOrder>
    <Date1 xmlns="dc463f71-b30c-4ab2-9473-d307f9d35888">2019-09-27T07:00:00+00:00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190821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343765E-C9BE-4BB1-B33A-9459FFE7D621}"/>
</file>

<file path=customXml/itemProps2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D76EC-DDB2-42CB-AF9B-46F240AA15BA}">
  <ds:schemaRefs>
    <ds:schemaRef ds:uri="http://schemas.microsoft.com/office/2006/documentManagement/types"/>
    <ds:schemaRef ds:uri="cbb60f30-5457-4fe2-8643-83400c4de494"/>
    <ds:schemaRef ds:uri="dd505c63-389f-4c50-b250-8880f70a2ae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8414131-3248-47A5-8098-6A0A30693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Rebate Calculation Staff</vt:lpstr>
      <vt:lpstr>Rebate Calculation</vt:lpstr>
      <vt:lpstr>Tons &amp; Revenue Staff</vt:lpstr>
      <vt:lpstr>Tons &amp; Revenue</vt:lpstr>
      <vt:lpstr>Composition</vt:lpstr>
      <vt:lpstr>Prices</vt:lpstr>
      <vt:lpstr>Res'l &amp; MF Customers</vt:lpstr>
      <vt:lpstr>Budget</vt:lpstr>
      <vt:lpstr>Budget vs. Actual comparison</vt:lpstr>
      <vt:lpstr>Budget!Print_Area</vt:lpstr>
      <vt:lpstr>Composition!Print_Area</vt:lpstr>
      <vt:lpstr>'Rebate Calculation'!Print_Area</vt:lpstr>
      <vt:lpstr>'Rebate Calculation Staff'!Print_Area</vt:lpstr>
      <vt:lpstr>'Res''l &amp; MF Customers'!Print_Area</vt:lpstr>
      <vt:lpstr>'Tons &amp; Revenue'!Print_Area</vt:lpstr>
      <vt:lpstr>'Tons &amp; Revenue Staff'!Print_Area</vt:lpstr>
      <vt:lpstr>'Tons &amp; Revenue'!Print_Titles</vt:lpstr>
      <vt:lpstr>'Tons &amp; Revenue Staff'!Print_Titles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tg-190496</dc:title>
  <dc:subject>Commodity Credit</dc:subject>
  <dc:creator>Mike Weinstein</dc:creator>
  <cp:lastModifiedBy>Weinstein, Mike</cp:lastModifiedBy>
  <cp:lastPrinted>2018-06-12T15:36:38Z</cp:lastPrinted>
  <dcterms:created xsi:type="dcterms:W3CDTF">2004-02-20T19:40:08Z</dcterms:created>
  <dcterms:modified xsi:type="dcterms:W3CDTF">2019-09-27T20:45:31Z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0x0101006E56B4D1795A2E4DB2F0B01679ED314A0076A83D7D1F4F9746B74E2944A32CA6E3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Industry">
    <vt:lpwstr>8;#227 - Solid Waste|e5216a35-883e-4320-8450-4a52f3c8956b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