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7.bin" ContentType="application/vnd.openxmlformats-officedocument.spreadsheetml.customProperty"/>
  <Override PartName="/xl/customProperty16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ustomProperty1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94 BPA\2019 Filing Eff 10-12-19\Analysis\no links\"/>
    </mc:Choice>
  </mc:AlternateContent>
  <bookViews>
    <workbookView xWindow="195" yWindow="390" windowWidth="21525" windowHeight="9300" tabRatio="861"/>
  </bookViews>
  <sheets>
    <sheet name="FY2020 Sch 194 Summary" sheetId="1" r:id="rId1"/>
    <sheet name="Rate Impact (Eff 10-12-2019)" sheetId="34" r:id="rId2"/>
    <sheet name="Typ Res (Eff 10-12-19)" sheetId="32" r:id="rId3"/>
    <sheet name="Workpapers -&gt; " sheetId="35" r:id="rId4"/>
    <sheet name="Utility Spec PFx RAM 2020" sheetId="36" r:id="rId5"/>
    <sheet name="186 - 253 Balance" sheetId="2" r:id="rId6"/>
    <sheet name="Conversion Factor " sheetId="17" r:id="rId7"/>
    <sheet name="F2019 Res Exch Load" sheetId="20" r:id="rId8"/>
    <sheet name="F2019 Delivered Sales" sheetId="2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94_98_B.O." localSheetId="2">#REF!</definedName>
    <definedName name="_94_98_B.O.">#REF!</definedName>
    <definedName name="_95_B.O." localSheetId="2">#REF!</definedName>
    <definedName name="_95_B.O.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ccessDatabase" hidden="1">"I:\COMTREL\FINICLE\TradeSummary.mdb"</definedName>
    <definedName name="AdjustableCRAC" localSheetId="2">'[1]TK Main'!#REF!</definedName>
    <definedName name="AdjustableCRAC">'[1]TK Main'!#REF!</definedName>
    <definedName name="ASD" localSheetId="2">#REF!</definedName>
    <definedName name="ASD">#REF!</definedName>
    <definedName name="Average" localSheetId="2">#REF!</definedName>
    <definedName name="Average">#REF!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aseCodes" localSheetId="2">#REF!</definedName>
    <definedName name="BaseCodes">#REF!</definedName>
    <definedName name="baseyear" localSheetId="2">[2]INPUTS!#REF!</definedName>
    <definedName name="baseyear">[2]INPUTS!#REF!</definedName>
    <definedName name="BlankOutputCell" localSheetId="2">[3]MiscResources!#REF!</definedName>
    <definedName name="BlankOutputCell">[3]MiscResources!#REF!</definedName>
    <definedName name="cap">'[4](106) NR Data'!$L$4</definedName>
    <definedName name="ConsAmortYears" localSheetId="2">#REF!</definedName>
    <definedName name="ConsAmortYears">#REF!</definedName>
    <definedName name="ConsExpRate" localSheetId="2">#REF!</definedName>
    <definedName name="ConsExpRate">#REF!</definedName>
    <definedName name="ConsResourcesRow" localSheetId="2">#REF!</definedName>
    <definedName name="ConsResourcesRow">#REF!</definedName>
    <definedName name="ConsYearsRow" localSheetId="2">#REF!</definedName>
    <definedName name="ConsYearsRow">#REF!</definedName>
    <definedName name="Credit" localSheetId="2">[5]Data!#REF!</definedName>
    <definedName name="Credit">[5]Data!#REF!</definedName>
    <definedName name="cumdeftp2" localSheetId="2">'[6]PBL Income &amp; Reserves'!#REF!</definedName>
    <definedName name="cumdeftp2">'[6]PBL Income &amp; Reserves'!#REF!</definedName>
    <definedName name="Data" localSheetId="2">#REF!</definedName>
    <definedName name="Data">#REF!</definedName>
    <definedName name="defertp2" localSheetId="2">'[6]PBL Income &amp; Reserves'!#REF!</definedName>
    <definedName name="defertp2">'[6]PBL Income &amp; Reserves'!#REF!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localSheetId="6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5" hidden="1">{#N/A,#N/A,FALSE,"Coversheet";#N/A,#N/A,FALSE,"QA"}</definedName>
    <definedName name="Delete09" localSheetId="6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5" hidden="1">{#N/A,#N/A,FALSE,"Schedule F";#N/A,#N/A,FALSE,"Schedule G"}</definedName>
    <definedName name="Delete10" localSheetId="6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5" hidden="1">{#N/A,#N/A,FALSE,"Coversheet";#N/A,#N/A,FALSE,"QA"}</definedName>
    <definedName name="Delete21" localSheetId="6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DFOP" localSheetId="2">#REF!</definedName>
    <definedName name="DFOP">#REF!</definedName>
    <definedName name="Dry" localSheetId="2">#REF!</definedName>
    <definedName name="Dry">#REF!</definedName>
    <definedName name="dsa" localSheetId="2">'[7]FY02 Costs'!#REF!</definedName>
    <definedName name="dsa">'[7]FY02 Costs'!#REF!</definedName>
    <definedName name="ee" hidden="1">{#N/A,#N/A,FALSE,"Month ";#N/A,#N/A,FALSE,"YTD";#N/A,#N/A,FALSE,"12 mo ended"}</definedName>
    <definedName name="endres2" localSheetId="2">'[6]PBL Income &amp; Reserves'!#REF!</definedName>
    <definedName name="endres2">'[6]PBL Income &amp; Reserves'!#REF!</definedName>
    <definedName name="entry" localSheetId="2">[8]Data!$A$3:$M$20089,[8]Data!#REF!,[8]Data!#REF!,[8]Data!#REF!,[8]Data!#REF!,[8]Data!#REF!</definedName>
    <definedName name="entry">[8]Data!$A$3:$M$20089,[8]Data!#REF!,[8]Data!#REF!,[8]Data!#REF!,[8]Data!#REF!,[8]Data!#REF!</definedName>
    <definedName name="EntryFields" localSheetId="2">[8]Data!$A$3:$M$20089,[8]Data!#REF!,[8]Data!#REF!,[8]Data!#REF!,[8]Data!#REF!,[8]Data!#REF!</definedName>
    <definedName name="EntryFields">[8]Data!$A$3:$M$20089,[8]Data!#REF!,[8]Data!#REF!,[8]Data!#REF!,[8]Data!#REF!,[8]Data!#REF!</definedName>
    <definedName name="exchangeloads" localSheetId="2">#REF!</definedName>
    <definedName name="exchangeloads">#REF!</definedName>
    <definedName name="exchyr1" localSheetId="2">#REF!</definedName>
    <definedName name="exchyr1">#REF!</definedName>
    <definedName name="exchyr10" localSheetId="2">#REF!</definedName>
    <definedName name="exchyr10">#REF!</definedName>
    <definedName name="exchyr2" localSheetId="2">#REF!</definedName>
    <definedName name="exchyr2">#REF!</definedName>
    <definedName name="exchyr3" localSheetId="2">#REF!</definedName>
    <definedName name="exchyr3">#REF!</definedName>
    <definedName name="exchyr4" localSheetId="2">#REF!</definedName>
    <definedName name="exchyr4">#REF!</definedName>
    <definedName name="exchyr5" localSheetId="2">#REF!</definedName>
    <definedName name="exchyr5">#REF!</definedName>
    <definedName name="exchyr6" localSheetId="2">#REF!</definedName>
    <definedName name="exchyr6">#REF!</definedName>
    <definedName name="exchyr7" localSheetId="2">#REF!</definedName>
    <definedName name="exchyr7">#REF!</definedName>
    <definedName name="exchyr8" localSheetId="2">#REF!</definedName>
    <definedName name="exchyr8">#REF!</definedName>
    <definedName name="exchyr9" localSheetId="2">#REF!</definedName>
    <definedName name="exchyr9">#REF!</definedName>
    <definedName name="ExpenseCodes" localSheetId="2">#REF!</definedName>
    <definedName name="ExpenseCode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" localSheetId="2">[8]Data!#REF!</definedName>
    <definedName name="form">[8]Data!#REF!</definedName>
    <definedName name="fourh10c2" localSheetId="2">#REF!</definedName>
    <definedName name="fourh10c2">#REF!</definedName>
    <definedName name="FY" localSheetId="2">#REF!</definedName>
    <definedName name="FY">#REF!</definedName>
    <definedName name="GDPDeflators" localSheetId="2">#REF!</definedName>
    <definedName name="GDPDeflators">#REF!</definedName>
    <definedName name="Header" localSheetId="2">[8]Data!#REF!</definedName>
    <definedName name="Header">[8]Data!#REF!</definedName>
    <definedName name="High" localSheetId="2">#REF!</definedName>
    <definedName name="High">#REF!</definedName>
    <definedName name="HydroAdj" localSheetId="2">'[9]CALIF MODEL'!#REF!</definedName>
    <definedName name="HydroAdj">'[9]CALIF MODEL'!#REF!</definedName>
    <definedName name="IncrementalAugmentation" localSheetId="2">'[1]TK Main'!#REF!</definedName>
    <definedName name="IncrementalAugmentation">'[1]TK Main'!#REF!</definedName>
    <definedName name="inlieu">[2]INPUTS!$C$7</definedName>
    <definedName name="IOU_FinSetPrice" localSheetId="2">'[1]TK Main'!#REF!</definedName>
    <definedName name="IOU_FinSetPrice">'[1]TK Main'!#REF!</definedName>
    <definedName name="IPPFMargin" localSheetId="2">#REF!</definedName>
    <definedName name="IPPFMargin">#REF!</definedName>
    <definedName name="iter" localSheetId="2">[10]summary!#REF!</definedName>
    <definedName name="iter">[10]summary!#REF!</definedName>
    <definedName name="iteration" localSheetId="2">[10]summary!#REF!</definedName>
    <definedName name="iteration">[10]summary!#REF!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FITrate">'[11]KJB-3,11 Def'!$L$20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adDataSource" localSheetId="2">#REF!</definedName>
    <definedName name="LoadDataSource">#REF!</definedName>
    <definedName name="loadstart">[12]Init!$B$17</definedName>
    <definedName name="Logo">"Picture 6"</definedName>
    <definedName name="Low" localSheetId="2">#REF!</definedName>
    <definedName name="Low">#REF!</definedName>
    <definedName name="market">[2]INPUTS!$B$54:$C$63</definedName>
    <definedName name="Medium" localSheetId="2">#REF!</definedName>
    <definedName name="Medium">#REF!</definedName>
    <definedName name="Multiplier">[13]Unadjusted!$D$65</definedName>
    <definedName name="NetInterestCodes" localSheetId="2">#REF!</definedName>
    <definedName name="NetInterestCodes">#REF!</definedName>
    <definedName name="NetRevenueCode" localSheetId="2">#REF!</definedName>
    <definedName name="NetRevenueCode">#REF!</definedName>
    <definedName name="NvsASD">"V2002-09-30"</definedName>
    <definedName name="NvsAutoDrillOk">"VY"</definedName>
    <definedName name="NvsElapsedTime">0.000717592592991423</definedName>
    <definedName name="NvsEndTime">37592.3305208333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"V2002-10-01"</definedName>
    <definedName name="NvsPanelSetid">"VFCRPS"</definedName>
    <definedName name="NvsReqBU">"VPOWER"</definedName>
    <definedName name="NvsReqBUOnly">"VN"</definedName>
    <definedName name="NvsTransLed">"VN"</definedName>
    <definedName name="NvsTreeASD">"V2002-10-01"</definedName>
    <definedName name="NvsValTbl.ACCOUNT">"GL_ACCOUNT_TBL"</definedName>
    <definedName name="NvsValTbl.BUSINESS_UNIT">"BUS_UNIT_TBL_GL"</definedName>
    <definedName name="NvsValTbl.PROJECT_ID">"PROJECT_VW"</definedName>
    <definedName name="NvsValTbl.SCENARIO">"BD_SCENARIO_TBL"</definedName>
    <definedName name="OpsData" localSheetId="2">#REF!</definedName>
    <definedName name="OpsData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blnr2" localSheetId="2">#REF!</definedName>
    <definedName name="pblnr2">#REF!</definedName>
    <definedName name="PED" localSheetId="2">#REF!</definedName>
    <definedName name="PED">#REF!</definedName>
    <definedName name="_xlnm.Print_Area" localSheetId="5">'186 - 253 Balance'!$A$1:$I$46</definedName>
    <definedName name="_xlnm.Print_Area" localSheetId="6">'Conversion Factor '!$A$1:$E$22</definedName>
    <definedName name="_xlnm.Print_Area" localSheetId="8">'F2019 Delivered Sales'!$A$1:$AS$78</definedName>
    <definedName name="_xlnm.Print_Area" localSheetId="7">'F2019 Res Exch Load'!$A$1:$N$38</definedName>
    <definedName name="_xlnm.Print_Area" localSheetId="0">'FY2020 Sch 194 Summary'!$A$1:$D$27</definedName>
    <definedName name="_xlnm.Print_Area" localSheetId="1">'Rate Impact (Eff 10-12-2019)'!$A$1:$Z$42</definedName>
    <definedName name="_xlnm.Print_Area" localSheetId="2">'Typ Res (Eff 10-12-19)'!$A$1:$T$83</definedName>
    <definedName name="_xlnm.Print_Titles" localSheetId="8">'F2019 Delivered Sales'!$A:$B</definedName>
    <definedName name="_xlnm.Print_Titles">#REF!</definedName>
    <definedName name="PseudoCRAC" localSheetId="2">'[1]TK Main'!#REF!</definedName>
    <definedName name="PseudoCRAC">'[1]TK Main'!#REF!</definedName>
    <definedName name="purchases2" localSheetId="2">#REF!</definedName>
    <definedName name="purchases2">#REF!</definedName>
    <definedName name="RID" localSheetId="2">#REF!</definedName>
    <definedName name="RID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3000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0</definedName>
    <definedName name="RiskStatFunctionsUpdateFreq">100</definedName>
    <definedName name="RiskUpdateDisplay">FALSE</definedName>
    <definedName name="RiskUpdateStatFunctions">TRUE</definedName>
    <definedName name="RiskUseDifferentSeedForEachSim">FALSE</definedName>
    <definedName name="RiskUseFixedSeed">TRUE</definedName>
    <definedName name="secrev2" localSheetId="2">#REF!</definedName>
    <definedName name="secrev2">#REF!</definedName>
    <definedName name="SliceFractionOfLoad" localSheetId="2">'[1]TK Main'!#REF!</definedName>
    <definedName name="SliceFractionOfLoad">'[1]TK Main'!#REF!</definedName>
    <definedName name="SliceFractionOfSystem" localSheetId="2">'[1]TK Main'!#REF!</definedName>
    <definedName name="SliceFractionOfSystem">'[1]TK Main'!#REF!</definedName>
    <definedName name="SliceLoad" localSheetId="2">'[1]TK Main'!#REF!</definedName>
    <definedName name="SliceLoad">'[1]TK Main'!#REF!</definedName>
    <definedName name="StartYear" localSheetId="2">#REF!</definedName>
    <definedName name="StartYear">#REF!</definedName>
    <definedName name="Startyr">[14]hours!$B$6</definedName>
    <definedName name="Summary" localSheetId="2">#REF!</definedName>
    <definedName name="Summary">#REF!</definedName>
    <definedName name="surplus" localSheetId="2">[10]summary!#REF!</definedName>
    <definedName name="surplus">[10]summary!#REF!</definedName>
    <definedName name="Switch">[15]Invoice!$I$1</definedName>
    <definedName name="Titles" localSheetId="2">#REF!</definedName>
    <definedName name="Titles">#REF!</definedName>
    <definedName name="transmission">[2]INPUTS!$C$6</definedName>
    <definedName name="TxLossPct" localSheetId="2">#REF!</definedName>
    <definedName name="TxLossPct">#REF!</definedName>
    <definedName name="we" hidden="1">{#N/A,#N/A,FALSE,"Pg 6b CustCount_Gas";#N/A,#N/A,FALSE,"QA";#N/A,#N/A,FALSE,"Report";#N/A,#N/A,FALSE,"forecast"}</definedName>
    <definedName name="Wet" localSheetId="2">#REF!</definedName>
    <definedName name="Wet">#REF!</definedName>
    <definedName name="wrn.7b2." hidden="1">{"pfexch7b2",#N/A,FALSE,"7(b)(2)";"PFPREF7b2",#N/A,FALSE,"7(b)(2)"}</definedName>
    <definedName name="wrn.COSTS." hidden="1">{"costs97",#N/A,FALSE,"COSA";"costs98",#N/A,FALSE,"COSA";"costs99",#N/A,FALSE,"COSA";"costs00",#N/A,FALSE,"COSA";"costs01",#N/A,FALSE,"COSA";"costsTP",#N/A,FALSE,"COSA"}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rates." hidden="1">{"dsino7b2",#N/A,FALSE,"RATES";"nrno7b2",#N/A,FALSE,"RATES";"pfno7b2",#N/A,FALSE,"RATES"}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WPRDSAll." hidden="1">{"COSA06FY97",#N/A,FALSE,"COSA";"COSA06FY98",#N/A,FALSE,"COSA";"COSA06FY99",#N/A,FALSE,"COSA";"COSA06FY00",#N/A,FALSE,"COSA";"COSA06FY01",#N/A,FALSE,"COSA";"COSA08",#N/A,FALSE,"COSA";"COSA09",#N/A,FALSE,"COSA";"COSA11",#N/A,FALSE,"COSA";"RDS01",#N/A,FALSE,"COSA";"RDS02",#N/A,FALSE,"ADJUST1";"RDS04",#N/A,FALSE,"ADJUST1";"RDS05_RDS06",#N/A,FALSE,"ADJUST1";"RDS07",#N/A,FALSE,"ADJUST1";"RDS11",#N/A,FALSE,"ADJUST2";"RDS12",#N/A,FALSE,"ADJUST2";"RDS15",#N/A,FALSE,"ADJUST2";"RDS16",#N/A,FALSE,"ADJUST2";"RDS16B",#N/A,FALSE,"ADJUST2";"RDS17",#N/A,FALSE,"ADJUST2";"RDS18",#N/A,FALSE,"ADJUST2";"RDS20",#N/A,FALSE,"DSI";"RDS21",#N/A,FALSE,"DSI";"RDS22",#N/A,FALSE,"DSI";"RDS23",#N/A,FALSE,"DSI";"RDS24",#N/A,FALSE,"DSI";"rds30_rds31",#N/A,FALSE,"7(b)(2)";"rds32",#N/A,FALSE,"7(b)(2)";"rds33",#N/A,FALSE,"7(b)(2)";"rds34",#N/A,FALSE,"7(b)(2)";"rds34a",#N/A,FALSE,"7(b)(2)";"rds40p1",#N/A,FALSE,"CONTRA";"rds40p2",#N/A,FALSE,"CONTRA";"rds41",#N/A,FALSE,"CONTRA";"rds50",#N/A,FALSE,"7(b)(2)";"rds36",#N/A,FALSE,"7(b)(2)";"rds51",#N/A,FALSE,"RATES";"rds52",#N/A,FALSE,"RATES";"rds60a",#N/A,FALSE,"UNITCOST";"rds60b",#N/A,FALSE,"UNITCOST";"rds61",#N/A,FALSE,"UNITCOST";"rds62",#N/A,FALSE,"UNITCOST";"rds63",#N/A,FALSE,"UNITCOST";"recon01",#N/A,FALSE,"RECON";"recon02",#N/A,FALSE,"RECON";"recon03",#N/A,FALSE,"RECON";"recon04",#N/A,FALSE,"RECON";"resex01_p1",#N/A,FALSE,"RESEX";"resex01_p2",#N/A,FALSE,"RESEX"}</definedName>
    <definedName name="wrn.WPRDSLandscape." hidden="1">{"COSA06FY97",#N/A,FALSE,"COSA";"COSA06FY98",#N/A,FALSE,"COSA";"COSA06FY99",#N/A,FALSE,"COSA";"COSA06FY00",#N/A,FALSE,"COSA";"COSA06FY01",#N/A,FALSE,"COSA";"COSA08",#N/A,FALSE,"COSA";"COSA09",#N/A,FALSE,"COSA";"COSA11",#N/A,FALSE,"COSA";"RDS01",#N/A,FALSE,"COSA";"RDS02",#N/A,FALSE,"ADJUST1";"RDS04",#N/A,FALSE,"ADJUST1";"RDS20",#N/A,FALSE,"DSI";"RDS21",#N/A,FALSE,"DSI";"RDS22",#N/A,FALSE,"DSI";"RDS23",#N/A,FALSE,"DSI";"RDS24",#N/A,FALSE,"DSI";"rds32",#N/A,FALSE,"7(b)(2)";"rds33",#N/A,FALSE,"7(b)(2)";"rds34",#N/A,FALSE,"7(b)(2)";"rds40p1",#N/A,FALSE,"CONTRA";"rds40p2",#N/A,FALSE,"CONTRA";"rds41",#N/A,FALSE,"CONTRA";"rds50",#N/A,FALSE,"7(b)(2)";"rds36",#N/A,FALSE,"7(b)(2)";"rds51",#N/A,FALSE,"RATES";"rds52",#N/A,FALSE,"RATES";"rds63",#N/A,FALSE,"UNITCOST";"recon04",#N/A,FALSE,"RECON";"resex01_p1",#N/A,FALSE,"RESEX";"resex01_p2",#N/A,FALSE,"RESEX"}</definedName>
    <definedName name="wrn.WPRDSPortrait." hidden="1">{"RDS05_RDS06",#N/A,FALSE,"ADJUST1";"RDS07",#N/A,FALSE,"ADJUST1";"RDS11",#N/A,FALSE,"ADJUST2";"RDS12",#N/A,FALSE,"ADJUST2";"RDS15",#N/A,FALSE,"ADJUST2";"RDS16",#N/A,FALSE,"ADJUST2";"RDS16B",#N/A,FALSE,"ADJUST2";"RDS17",#N/A,FALSE,"ADJUST2";"RDS18",#N/A,FALSE,"ADJUST2";"rds30_rds31",#N/A,FALSE,"7(b)(2)";"rds34a",#N/A,FALSE,"7(b)(2)";"rds60a",#N/A,FALSE,"UNITCOST";"rds60b",#N/A,FALSE,"UNITCOST";"rds61",#N/A,FALSE,"UNITCOST";"rds62",#N/A,FALSE,"UNITCOST";"recon01",#N/A,FALSE,"RECON";"recon02",#N/A,FALSE,"RECON";"recon03",#N/A,FALSE,"RECON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">[2]INPUTS!$B$54:$B$63</definedName>
  </definedNames>
  <calcPr calcId="162913" iterate="1" calcOnSave="0"/>
</workbook>
</file>

<file path=xl/calcChain.xml><?xml version="1.0" encoding="utf-8"?>
<calcChain xmlns="http://schemas.openxmlformats.org/spreadsheetml/2006/main">
  <c r="L8" i="20" l="1"/>
  <c r="K8" i="20"/>
  <c r="J8" i="20"/>
  <c r="I8" i="20"/>
  <c r="H8" i="20"/>
  <c r="G8" i="20"/>
  <c r="F8" i="20"/>
  <c r="E8" i="20"/>
  <c r="D8" i="20"/>
  <c r="C8" i="20"/>
  <c r="D15" i="1" l="1"/>
  <c r="A2" i="20" l="1"/>
  <c r="A2" i="36" l="1"/>
  <c r="A4" i="36"/>
  <c r="A1" i="36"/>
  <c r="D10" i="1" l="1"/>
  <c r="A8" i="34" l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C9" i="20"/>
  <c r="A3" i="32"/>
  <c r="F54" i="32"/>
  <c r="F45" i="32"/>
  <c r="E35" i="32"/>
  <c r="A70" i="32"/>
  <c r="A71" i="32"/>
  <c r="A72" i="32"/>
  <c r="A73" i="32"/>
  <c r="A74" i="32"/>
  <c r="A75" i="32"/>
  <c r="A76" i="32"/>
  <c r="A77" i="32"/>
  <c r="A78" i="32"/>
  <c r="A79" i="32"/>
  <c r="A80" i="32"/>
  <c r="A69" i="32"/>
  <c r="P8" i="32"/>
  <c r="Q8" i="32" s="1"/>
  <c r="C29" i="32" l="1"/>
  <c r="F34" i="32"/>
  <c r="F35" i="32" s="1"/>
  <c r="F37" i="32"/>
  <c r="S36" i="34" l="1"/>
  <c r="S40" i="34" s="1"/>
  <c r="D76" i="32"/>
  <c r="B16" i="32" s="1"/>
  <c r="C16" i="32" s="1"/>
  <c r="D77" i="32"/>
  <c r="B17" i="32" s="1"/>
  <c r="D75" i="32"/>
  <c r="B15" i="32" s="1"/>
  <c r="C17" i="32" l="1"/>
  <c r="C15" i="32"/>
  <c r="T33" i="34"/>
  <c r="F58" i="32" l="1"/>
  <c r="E29" i="32"/>
  <c r="E16" i="32"/>
  <c r="E17" i="32"/>
  <c r="E15" i="32"/>
  <c r="F40" i="32"/>
  <c r="L29" i="32"/>
  <c r="L16" i="32"/>
  <c r="L17" i="32"/>
  <c r="L15" i="32"/>
  <c r="F48" i="32"/>
  <c r="F60" i="32"/>
  <c r="H29" i="32"/>
  <c r="H16" i="32"/>
  <c r="H15" i="32"/>
  <c r="H17" i="32"/>
  <c r="F41" i="32"/>
  <c r="K29" i="32"/>
  <c r="K16" i="32"/>
  <c r="K15" i="32"/>
  <c r="K17" i="32"/>
  <c r="F61" i="32"/>
  <c r="I29" i="32"/>
  <c r="I16" i="32"/>
  <c r="I17" i="32"/>
  <c r="I15" i="32"/>
  <c r="F59" i="32"/>
  <c r="F29" i="32"/>
  <c r="F16" i="32"/>
  <c r="F17" i="32"/>
  <c r="F15" i="32"/>
  <c r="N29" i="32"/>
  <c r="P29" i="32" s="1"/>
  <c r="N16" i="32"/>
  <c r="P16" i="32" s="1"/>
  <c r="N17" i="32"/>
  <c r="P17" i="32" s="1"/>
  <c r="N15" i="32"/>
  <c r="P15" i="32" s="1"/>
  <c r="F49" i="32"/>
  <c r="B81" i="32" l="1"/>
  <c r="T34" i="34" l="1"/>
  <c r="F57" i="32" l="1"/>
  <c r="F62" i="32" s="1"/>
  <c r="D29" i="32"/>
  <c r="E62" i="32"/>
  <c r="D16" i="32"/>
  <c r="D17" i="32"/>
  <c r="D15" i="32"/>
  <c r="Q34" i="34" l="1"/>
  <c r="R34" i="34" l="1"/>
  <c r="X34" i="34" s="1"/>
  <c r="D74" i="32"/>
  <c r="B14" i="32" s="1"/>
  <c r="D73" i="32"/>
  <c r="B13" i="32" s="1"/>
  <c r="V34" i="34" l="1"/>
  <c r="Z34" i="34" s="1"/>
  <c r="C14" i="32"/>
  <c r="F14" i="32"/>
  <c r="I14" i="32"/>
  <c r="D14" i="32"/>
  <c r="E14" i="32"/>
  <c r="K14" i="32"/>
  <c r="L14" i="32"/>
  <c r="H14" i="32"/>
  <c r="N14" i="32"/>
  <c r="P14" i="32" s="1"/>
  <c r="I13" i="32"/>
  <c r="F13" i="32"/>
  <c r="D13" i="32"/>
  <c r="H13" i="32"/>
  <c r="E13" i="32"/>
  <c r="C13" i="32"/>
  <c r="N13" i="32"/>
  <c r="P13" i="32" s="1"/>
  <c r="K13" i="32"/>
  <c r="L13" i="32"/>
  <c r="W34" i="34" l="1"/>
  <c r="Y34" i="34" s="1"/>
  <c r="M30" i="34"/>
  <c r="L30" i="34" l="1"/>
  <c r="N30" i="34" l="1"/>
  <c r="F39" i="32"/>
  <c r="J29" i="32"/>
  <c r="J16" i="32"/>
  <c r="J15" i="32"/>
  <c r="J17" i="32"/>
  <c r="J13" i="32"/>
  <c r="J14" i="32"/>
  <c r="D80" i="32" l="1"/>
  <c r="B20" i="32" s="1"/>
  <c r="D79" i="32"/>
  <c r="B19" i="32" s="1"/>
  <c r="D78" i="32"/>
  <c r="B18" i="32" s="1"/>
  <c r="D72" i="32"/>
  <c r="B12" i="32" s="1"/>
  <c r="D71" i="32"/>
  <c r="B11" i="32" s="1"/>
  <c r="D70" i="32"/>
  <c r="B10" i="32" s="1"/>
  <c r="E12" i="32" l="1"/>
  <c r="N12" i="32"/>
  <c r="P12" i="32" s="1"/>
  <c r="F12" i="32"/>
  <c r="C12" i="32"/>
  <c r="I12" i="32"/>
  <c r="L12" i="32"/>
  <c r="J12" i="32"/>
  <c r="K12" i="32"/>
  <c r="D12" i="32"/>
  <c r="H12" i="32"/>
  <c r="C81" i="32"/>
  <c r="D69" i="32"/>
  <c r="J18" i="32"/>
  <c r="E18" i="32"/>
  <c r="F18" i="32"/>
  <c r="D18" i="32"/>
  <c r="N18" i="32"/>
  <c r="P18" i="32" s="1"/>
  <c r="C18" i="32"/>
  <c r="I18" i="32"/>
  <c r="K18" i="32"/>
  <c r="H18" i="32"/>
  <c r="L18" i="32"/>
  <c r="I10" i="32"/>
  <c r="K10" i="32"/>
  <c r="H10" i="32"/>
  <c r="D10" i="32"/>
  <c r="F10" i="32"/>
  <c r="J10" i="32"/>
  <c r="L10" i="32"/>
  <c r="N10" i="32"/>
  <c r="P10" i="32" s="1"/>
  <c r="E10" i="32"/>
  <c r="C10" i="32"/>
  <c r="F19" i="32"/>
  <c r="H19" i="32"/>
  <c r="K19" i="32"/>
  <c r="L19" i="32"/>
  <c r="C19" i="32"/>
  <c r="N19" i="32"/>
  <c r="P19" i="32" s="1"/>
  <c r="E19" i="32"/>
  <c r="I19" i="32"/>
  <c r="D19" i="32"/>
  <c r="J19" i="32"/>
  <c r="N11" i="32"/>
  <c r="P11" i="32" s="1"/>
  <c r="J11" i="32"/>
  <c r="E11" i="32"/>
  <c r="C11" i="32"/>
  <c r="F11" i="32"/>
  <c r="H11" i="32"/>
  <c r="K11" i="32"/>
  <c r="D11" i="32"/>
  <c r="L11" i="32"/>
  <c r="I11" i="32"/>
  <c r="I20" i="32"/>
  <c r="F20" i="32"/>
  <c r="E20" i="32"/>
  <c r="N20" i="32"/>
  <c r="P20" i="32" s="1"/>
  <c r="L20" i="32"/>
  <c r="H20" i="32"/>
  <c r="J20" i="32"/>
  <c r="K20" i="32"/>
  <c r="D20" i="32"/>
  <c r="C20" i="32"/>
  <c r="B9" i="32" l="1"/>
  <c r="D83" i="32"/>
  <c r="D81" i="32"/>
  <c r="F9" i="32" l="1"/>
  <c r="F22" i="32" s="1"/>
  <c r="I9" i="32"/>
  <c r="I22" i="32" s="1"/>
  <c r="L9" i="32"/>
  <c r="L22" i="32" s="1"/>
  <c r="B22" i="32"/>
  <c r="B24" i="32" s="1"/>
  <c r="B28" i="32" s="1"/>
  <c r="C9" i="32"/>
  <c r="K9" i="32"/>
  <c r="K22" i="32" s="1"/>
  <c r="D9" i="32"/>
  <c r="D22" i="32" s="1"/>
  <c r="N9" i="32"/>
  <c r="J9" i="32"/>
  <c r="J22" i="32" s="1"/>
  <c r="H9" i="32"/>
  <c r="H22" i="32" s="1"/>
  <c r="E9" i="32"/>
  <c r="E22" i="32" s="1"/>
  <c r="N22" i="32" l="1"/>
  <c r="N26" i="32" s="1"/>
  <c r="P9" i="32"/>
  <c r="K28" i="32"/>
  <c r="H28" i="32"/>
  <c r="N28" i="32"/>
  <c r="P28" i="32" s="1"/>
  <c r="F28" i="32"/>
  <c r="I28" i="32"/>
  <c r="L28" i="32"/>
  <c r="J28" i="32"/>
  <c r="D28" i="32"/>
  <c r="E28" i="32"/>
  <c r="C28" i="32"/>
  <c r="J26" i="32"/>
  <c r="J24" i="32"/>
  <c r="D26" i="32"/>
  <c r="D24" i="32"/>
  <c r="L26" i="32"/>
  <c r="L24" i="32"/>
  <c r="E24" i="32"/>
  <c r="E26" i="32"/>
  <c r="K26" i="32"/>
  <c r="K24" i="32"/>
  <c r="I26" i="32"/>
  <c r="I24" i="32"/>
  <c r="H26" i="32"/>
  <c r="H24" i="32"/>
  <c r="C22" i="32"/>
  <c r="F26" i="32"/>
  <c r="F24" i="32"/>
  <c r="N24" i="32" l="1"/>
  <c r="C26" i="32"/>
  <c r="C24" i="32"/>
  <c r="F50" i="32" l="1"/>
  <c r="F42" i="32" l="1"/>
  <c r="M29" i="32"/>
  <c r="M16" i="32"/>
  <c r="M15" i="32"/>
  <c r="M17" i="32"/>
  <c r="M14" i="32"/>
  <c r="M13" i="32"/>
  <c r="M10" i="32"/>
  <c r="M19" i="32"/>
  <c r="M11" i="32"/>
  <c r="M12" i="32"/>
  <c r="M18" i="32"/>
  <c r="M20" i="32"/>
  <c r="M9" i="32"/>
  <c r="M28" i="32"/>
  <c r="M22" i="32" l="1"/>
  <c r="M26" i="32" l="1"/>
  <c r="M24" i="32"/>
  <c r="C8" i="34" l="1"/>
  <c r="T23" i="34" l="1"/>
  <c r="T26" i="34"/>
  <c r="T29" i="34"/>
  <c r="C24" i="34"/>
  <c r="T16" i="34"/>
  <c r="T21" i="34"/>
  <c r="O30" i="34" l="1"/>
  <c r="C30" i="34"/>
  <c r="C18" i="34"/>
  <c r="O8" i="34"/>
  <c r="I30" i="34"/>
  <c r="G8" i="34"/>
  <c r="I8" i="34"/>
  <c r="I24" i="34"/>
  <c r="K8" i="34"/>
  <c r="D8" i="34"/>
  <c r="N8" i="34"/>
  <c r="O24" i="34"/>
  <c r="L8" i="34"/>
  <c r="M8" i="34"/>
  <c r="T11" i="34"/>
  <c r="T14" i="34"/>
  <c r="M24" i="34" l="1"/>
  <c r="C36" i="34"/>
  <c r="C40" i="34" s="1"/>
  <c r="N24" i="34"/>
  <c r="G18" i="34"/>
  <c r="L18" i="34"/>
  <c r="N18" i="34"/>
  <c r="I18" i="34"/>
  <c r="I36" i="34" s="1"/>
  <c r="E30" i="34"/>
  <c r="T28" i="34"/>
  <c r="P30" i="34"/>
  <c r="T38" i="34"/>
  <c r="L24" i="34"/>
  <c r="E8" i="34"/>
  <c r="D30" i="34"/>
  <c r="D24" i="34"/>
  <c r="D18" i="34"/>
  <c r="O18" i="34"/>
  <c r="O36" i="34" s="1"/>
  <c r="O40" i="34" s="1"/>
  <c r="M18" i="34"/>
  <c r="N36" i="34" l="1"/>
  <c r="N40" i="34" s="1"/>
  <c r="D36" i="34"/>
  <c r="D40" i="34" s="1"/>
  <c r="T30" i="34"/>
  <c r="L36" i="34"/>
  <c r="L40" i="34" s="1"/>
  <c r="M36" i="34"/>
  <c r="M40" i="34" s="1"/>
  <c r="I40" i="34"/>
  <c r="F47" i="32" l="1"/>
  <c r="K30" i="34" l="1"/>
  <c r="K18" i="34" l="1"/>
  <c r="K24" i="34"/>
  <c r="K36" i="34" l="1"/>
  <c r="K40" i="34" s="1"/>
  <c r="G30" i="34"/>
  <c r="G24" i="34" l="1"/>
  <c r="G36" i="34" s="1"/>
  <c r="G40" i="34" s="1"/>
  <c r="T13" i="34" l="1"/>
  <c r="T22" i="34" l="1"/>
  <c r="T17" i="34"/>
  <c r="T15" i="34"/>
  <c r="T12" i="34"/>
  <c r="T20" i="34" l="1"/>
  <c r="P24" i="34"/>
  <c r="T10" i="34"/>
  <c r="P18" i="34"/>
  <c r="T7" i="34"/>
  <c r="P8" i="34"/>
  <c r="T32" i="34" l="1"/>
  <c r="T24" i="34"/>
  <c r="P36" i="34"/>
  <c r="P40" i="34" s="1"/>
  <c r="T18" i="34"/>
  <c r="T8" i="34"/>
  <c r="T36" i="34" l="1"/>
  <c r="E18" i="34" l="1"/>
  <c r="E24" i="34"/>
  <c r="E36" i="34" l="1"/>
  <c r="E40" i="34" s="1"/>
  <c r="Q38" i="34"/>
  <c r="R38" i="34" l="1"/>
  <c r="X38" i="34" s="1"/>
  <c r="V38" i="34" l="1"/>
  <c r="T40" i="34"/>
  <c r="Z38" i="34" l="1"/>
  <c r="W38" i="34"/>
  <c r="Y38" i="34" s="1"/>
  <c r="F30" i="34" l="1"/>
  <c r="J30" i="34"/>
  <c r="J8" i="34" l="1"/>
  <c r="F8" i="34" l="1"/>
  <c r="J24" i="34" l="1"/>
  <c r="F24" i="34" l="1"/>
  <c r="J18" i="34" l="1"/>
  <c r="J36" i="34" s="1"/>
  <c r="J40" i="34" s="1"/>
  <c r="F18" i="34" l="1"/>
  <c r="F36" i="34" s="1"/>
  <c r="F40" i="34" s="1"/>
  <c r="Q26" i="34" l="1"/>
  <c r="R26" i="34" l="1"/>
  <c r="X26" i="34" s="1"/>
  <c r="Q23" i="34"/>
  <c r="R23" i="34" s="1"/>
  <c r="X23" i="34" s="1"/>
  <c r="Q32" i="34"/>
  <c r="Q17" i="34"/>
  <c r="Q33" i="34"/>
  <c r="Q22" i="34"/>
  <c r="Q29" i="34"/>
  <c r="F38" i="32"/>
  <c r="V26" i="34" l="1"/>
  <c r="Z26" i="34" s="1"/>
  <c r="R29" i="34"/>
  <c r="X29" i="34" s="1"/>
  <c r="R32" i="34"/>
  <c r="X32" i="34" s="1"/>
  <c r="R22" i="34"/>
  <c r="X22" i="34" s="1"/>
  <c r="V33" i="34"/>
  <c r="R33" i="34"/>
  <c r="X33" i="34" s="1"/>
  <c r="R17" i="34"/>
  <c r="X17" i="34" s="1"/>
  <c r="Q21" i="34"/>
  <c r="H30" i="34"/>
  <c r="Q28" i="34"/>
  <c r="R28" i="34" s="1"/>
  <c r="X28" i="34" s="1"/>
  <c r="Q11" i="34"/>
  <c r="Q15" i="34"/>
  <c r="Q13" i="34"/>
  <c r="Q16" i="34"/>
  <c r="R16" i="34" s="1"/>
  <c r="X16" i="34" s="1"/>
  <c r="V23" i="34"/>
  <c r="Z23" i="34" s="1"/>
  <c r="G29" i="32"/>
  <c r="E43" i="32"/>
  <c r="E64" i="32" s="1"/>
  <c r="G16" i="32"/>
  <c r="G17" i="32"/>
  <c r="G15" i="32"/>
  <c r="G13" i="32"/>
  <c r="G14" i="32"/>
  <c r="G19" i="32"/>
  <c r="G11" i="32"/>
  <c r="G18" i="32"/>
  <c r="G12" i="32"/>
  <c r="G10" i="32"/>
  <c r="G20" i="32"/>
  <c r="G9" i="32"/>
  <c r="G28" i="32"/>
  <c r="W26" i="34" l="1"/>
  <c r="Y26" i="34" s="1"/>
  <c r="Z33" i="34"/>
  <c r="V29" i="34"/>
  <c r="Z29" i="34" s="1"/>
  <c r="W33" i="34"/>
  <c r="Y33" i="34" s="1"/>
  <c r="W23" i="34"/>
  <c r="Y23" i="34" s="1"/>
  <c r="R30" i="34"/>
  <c r="X30" i="34" s="1"/>
  <c r="R13" i="34"/>
  <c r="X13" i="34" s="1"/>
  <c r="R11" i="34"/>
  <c r="X11" i="34" s="1"/>
  <c r="R15" i="34"/>
  <c r="X15" i="34" s="1"/>
  <c r="R21" i="34"/>
  <c r="X21" i="34" s="1"/>
  <c r="Q30" i="34"/>
  <c r="Q12" i="34"/>
  <c r="H18" i="34"/>
  <c r="Q10" i="34"/>
  <c r="Q14" i="34"/>
  <c r="H24" i="34"/>
  <c r="Q20" i="34"/>
  <c r="R20" i="34" s="1"/>
  <c r="X20" i="34" s="1"/>
  <c r="V16" i="34"/>
  <c r="Z16" i="34" s="1"/>
  <c r="H8" i="34"/>
  <c r="Q7" i="34"/>
  <c r="F46" i="32"/>
  <c r="O20" i="32"/>
  <c r="O28" i="32"/>
  <c r="O12" i="32"/>
  <c r="O14" i="32"/>
  <c r="O16" i="32"/>
  <c r="G22" i="32"/>
  <c r="O9" i="32"/>
  <c r="O18" i="32"/>
  <c r="O13" i="32"/>
  <c r="O11" i="32"/>
  <c r="O15" i="32"/>
  <c r="O29" i="32"/>
  <c r="O10" i="32"/>
  <c r="O19" i="32"/>
  <c r="O17" i="32"/>
  <c r="F43" i="32"/>
  <c r="D23" i="1" l="1"/>
  <c r="W29" i="34"/>
  <c r="Y29" i="34" s="1"/>
  <c r="W16" i="34"/>
  <c r="Y16" i="34" s="1"/>
  <c r="V11" i="34"/>
  <c r="Z11" i="34" s="1"/>
  <c r="Q8" i="34"/>
  <c r="R7" i="34"/>
  <c r="X7" i="34" s="1"/>
  <c r="R14" i="34"/>
  <c r="X14" i="34" s="1"/>
  <c r="R12" i="34"/>
  <c r="X12" i="34" s="1"/>
  <c r="V21" i="34"/>
  <c r="Z21" i="34" s="1"/>
  <c r="R10" i="34"/>
  <c r="X10" i="34" s="1"/>
  <c r="R24" i="34"/>
  <c r="X24" i="34" s="1"/>
  <c r="H36" i="34"/>
  <c r="H40" i="34" s="1"/>
  <c r="Q24" i="34"/>
  <c r="U30" i="34"/>
  <c r="V28" i="34"/>
  <c r="Q18" i="34"/>
  <c r="O22" i="32"/>
  <c r="G26" i="32"/>
  <c r="G24" i="32"/>
  <c r="F51" i="32"/>
  <c r="E51" i="32"/>
  <c r="E65" i="32" s="1"/>
  <c r="P22" i="32"/>
  <c r="P26" i="32" s="1"/>
  <c r="W11" i="34" l="1"/>
  <c r="Y11" i="34" s="1"/>
  <c r="W21" i="34"/>
  <c r="Y21" i="34" s="1"/>
  <c r="R8" i="34"/>
  <c r="X8" i="34" s="1"/>
  <c r="Z28" i="34"/>
  <c r="W28" i="34"/>
  <c r="V14" i="34"/>
  <c r="Z14" i="34" s="1"/>
  <c r="R18" i="34"/>
  <c r="X18" i="34" s="1"/>
  <c r="Q36" i="34"/>
  <c r="Q40" i="34" s="1"/>
  <c r="V30" i="34"/>
  <c r="Z30" i="34" s="1"/>
  <c r="P24" i="32"/>
  <c r="O26" i="32"/>
  <c r="O24" i="32"/>
  <c r="W30" i="34" l="1"/>
  <c r="Y30" i="34" s="1"/>
  <c r="Y28" i="34"/>
  <c r="W14" i="34"/>
  <c r="Y14" i="34" s="1"/>
  <c r="R36" i="34"/>
  <c r="R40" i="34" l="1"/>
  <c r="X40" i="34" s="1"/>
  <c r="X36" i="34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A1" i="20"/>
  <c r="A2" i="2"/>
  <c r="A1" i="2"/>
  <c r="A4" i="34"/>
  <c r="A3" i="34"/>
  <c r="A1" i="34"/>
  <c r="A1" i="32"/>
  <c r="K33" i="20" l="1"/>
  <c r="L33" i="20"/>
  <c r="K35" i="20"/>
  <c r="L35" i="20"/>
  <c r="T6" i="34"/>
  <c r="U6" i="34" s="1"/>
  <c r="M31" i="20" l="1"/>
  <c r="M30" i="20"/>
  <c r="M27" i="20" l="1"/>
  <c r="M28" i="20"/>
  <c r="M24" i="20"/>
  <c r="M20" i="20"/>
  <c r="M29" i="20"/>
  <c r="M25" i="20"/>
  <c r="M21" i="20"/>
  <c r="M23" i="20"/>
  <c r="M26" i="20"/>
  <c r="M22" i="20"/>
  <c r="M35" i="20" l="1"/>
  <c r="M19" i="20"/>
  <c r="M18" i="20"/>
  <c r="M17" i="20"/>
  <c r="M16" i="20"/>
  <c r="M15" i="20"/>
  <c r="M14" i="20"/>
  <c r="M13" i="20"/>
  <c r="M12" i="20"/>
  <c r="M11" i="20"/>
  <c r="M10" i="20"/>
  <c r="M9" i="20"/>
  <c r="M8" i="20"/>
  <c r="M33" i="20" l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3" i="20" s="1"/>
  <c r="A35" i="20" s="1"/>
  <c r="A11" i="2"/>
  <c r="A12" i="2" s="1"/>
  <c r="A8" i="1"/>
  <c r="A9" i="1"/>
  <c r="A10" i="1"/>
  <c r="A11" i="1"/>
  <c r="A12" i="1"/>
  <c r="A13" i="1"/>
  <c r="A14" i="1"/>
  <c r="A15" i="1"/>
  <c r="A16" i="1"/>
  <c r="B18" i="1" s="1"/>
  <c r="A17" i="1"/>
  <c r="A18" i="1"/>
  <c r="A19" i="1"/>
  <c r="A20" i="1"/>
  <c r="A21" i="1"/>
  <c r="A22" i="1"/>
  <c r="A23" i="1"/>
  <c r="A24" i="1"/>
  <c r="B25" i="1" s="1"/>
  <c r="A25" i="1"/>
  <c r="B26" i="1" s="1"/>
  <c r="A26" i="1"/>
  <c r="B13" i="1" l="1"/>
  <c r="B16" i="1"/>
  <c r="D8" i="1"/>
  <c r="C12" i="2" l="1"/>
  <c r="D12" i="1" s="1"/>
  <c r="D13" i="1" l="1"/>
  <c r="D16" i="1" s="1"/>
  <c r="D18" i="1" s="1"/>
  <c r="F53" i="32" s="1"/>
  <c r="Q12" i="32" l="1"/>
  <c r="R12" i="32" s="1"/>
  <c r="Q16" i="32"/>
  <c r="R16" i="32" s="1"/>
  <c r="Q20" i="32"/>
  <c r="R20" i="32" s="1"/>
  <c r="Q9" i="32"/>
  <c r="Q10" i="32"/>
  <c r="R10" i="32" s="1"/>
  <c r="Q14" i="32"/>
  <c r="R14" i="32" s="1"/>
  <c r="Q29" i="32"/>
  <c r="R29" i="32" s="1"/>
  <c r="Q15" i="32"/>
  <c r="R15" i="32" s="1"/>
  <c r="Q28" i="32"/>
  <c r="R28" i="32" s="1"/>
  <c r="Q13" i="32"/>
  <c r="R13" i="32" s="1"/>
  <c r="Q17" i="32"/>
  <c r="R17" i="32" s="1"/>
  <c r="Q18" i="32"/>
  <c r="R18" i="32" s="1"/>
  <c r="Q11" i="32"/>
  <c r="R11" i="32" s="1"/>
  <c r="Q19" i="32"/>
  <c r="R19" i="32" s="1"/>
  <c r="F64" i="32"/>
  <c r="F65" i="32"/>
  <c r="T18" i="32" l="1"/>
  <c r="S18" i="32"/>
  <c r="T15" i="32"/>
  <c r="S15" i="32"/>
  <c r="R9" i="32"/>
  <c r="Q22" i="32"/>
  <c r="T17" i="32"/>
  <c r="S17" i="32"/>
  <c r="T29" i="32"/>
  <c r="S29" i="32"/>
  <c r="T20" i="32"/>
  <c r="S20" i="32"/>
  <c r="T19" i="32"/>
  <c r="S19" i="32"/>
  <c r="T13" i="32"/>
  <c r="S13" i="32"/>
  <c r="T14" i="32"/>
  <c r="S14" i="32"/>
  <c r="T16" i="32"/>
  <c r="S16" i="32"/>
  <c r="T11" i="32"/>
  <c r="S11" i="32"/>
  <c r="T28" i="32"/>
  <c r="S28" i="32"/>
  <c r="T10" i="32"/>
  <c r="S10" i="32"/>
  <c r="T12" i="32"/>
  <c r="S12" i="32"/>
  <c r="D24" i="1" l="1"/>
  <c r="Q26" i="32"/>
  <c r="Q24" i="32"/>
  <c r="S9" i="32"/>
  <c r="S22" i="32" s="1"/>
  <c r="T9" i="32"/>
  <c r="R22" i="32"/>
  <c r="D25" i="1" l="1"/>
  <c r="D26" i="1" s="1"/>
  <c r="S26" i="32"/>
  <c r="S24" i="32"/>
  <c r="R26" i="32"/>
  <c r="R24" i="32"/>
  <c r="T24" i="32" s="1"/>
  <c r="T22" i="32"/>
  <c r="V32" i="34" l="1"/>
  <c r="W32" i="34" l="1"/>
  <c r="Y32" i="34" s="1"/>
  <c r="Z32" i="34"/>
  <c r="V15" i="34" l="1"/>
  <c r="Z15" i="34" l="1"/>
  <c r="W15" i="34"/>
  <c r="Y15" i="34" s="1"/>
  <c r="V12" i="34"/>
  <c r="V20" i="34" l="1"/>
  <c r="Z12" i="34"/>
  <c r="W12" i="34"/>
  <c r="Y12" i="34" s="1"/>
  <c r="V10" i="34" l="1"/>
  <c r="W20" i="34"/>
  <c r="Z20" i="34"/>
  <c r="V17" i="34"/>
  <c r="Y20" i="34" l="1"/>
  <c r="W17" i="34"/>
  <c r="Y17" i="34" s="1"/>
  <c r="Z17" i="34"/>
  <c r="W10" i="34"/>
  <c r="Z10" i="34"/>
  <c r="Y10" i="34" l="1"/>
  <c r="V22" i="34"/>
  <c r="U24" i="34"/>
  <c r="V13" i="34"/>
  <c r="U18" i="34"/>
  <c r="Z13" i="34" l="1"/>
  <c r="W13" i="34"/>
  <c r="V18" i="34"/>
  <c r="Z18" i="34" s="1"/>
  <c r="V24" i="34"/>
  <c r="Z24" i="34" s="1"/>
  <c r="W22" i="34"/>
  <c r="Z22" i="34"/>
  <c r="U8" i="34"/>
  <c r="U36" i="34" s="1"/>
  <c r="V7" i="34"/>
  <c r="W7" i="34" l="1"/>
  <c r="V8" i="34"/>
  <c r="Z8" i="34" s="1"/>
  <c r="Z7" i="34"/>
  <c r="Y13" i="34"/>
  <c r="W18" i="34"/>
  <c r="Y18" i="34" s="1"/>
  <c r="V36" i="34"/>
  <c r="U40" i="34"/>
  <c r="Y22" i="34"/>
  <c r="W24" i="34"/>
  <c r="Y24" i="34" s="1"/>
  <c r="Z36" i="34" l="1"/>
  <c r="V40" i="34"/>
  <c r="Z40" i="34" s="1"/>
  <c r="Y7" i="34"/>
  <c r="W8" i="34"/>
  <c r="W36" i="34" l="1"/>
  <c r="Y8" i="34"/>
  <c r="W40" i="34" l="1"/>
  <c r="Y40" i="34" s="1"/>
  <c r="Y36" i="34"/>
</calcChain>
</file>

<file path=xl/sharedStrings.xml><?xml version="1.0" encoding="utf-8"?>
<sst xmlns="http://schemas.openxmlformats.org/spreadsheetml/2006/main" count="503" uniqueCount="338">
  <si>
    <t>Puget Sound Energy</t>
  </si>
  <si>
    <t>Proposed Schedule 194</t>
  </si>
  <si>
    <t>BPA Residential and Farm Energy Exchange Benefits</t>
  </si>
  <si>
    <t>Line No.</t>
  </si>
  <si>
    <t>Description</t>
  </si>
  <si>
    <t>Calculation</t>
  </si>
  <si>
    <t>Total amount to be credited before revenue related expense conversion</t>
  </si>
  <si>
    <t>Revenue Related Expense Conversion Factor</t>
  </si>
  <si>
    <t>Grossed up Total to be Credited</t>
  </si>
  <si>
    <t>Bill Impacts:</t>
  </si>
  <si>
    <t>Month</t>
  </si>
  <si>
    <t>Balance</t>
  </si>
  <si>
    <t>(A)</t>
  </si>
  <si>
    <t>(B)</t>
  </si>
  <si>
    <t>Total</t>
  </si>
  <si>
    <t>Residential Customer Impacts</t>
  </si>
  <si>
    <t>Customer Bill</t>
  </si>
  <si>
    <t>kWh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</si>
  <si>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</si>
  <si>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</si>
  <si>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</si>
  <si>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</si>
  <si>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</si>
  <si>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</si>
  <si>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</si>
  <si>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</si>
  <si>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</si>
  <si>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</si>
  <si>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</si>
  <si>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</si>
  <si>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</si>
  <si>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</si>
  <si>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</si>
  <si>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</si>
  <si>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</si>
  <si>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</si>
  <si>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</si>
  <si>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</si>
  <si>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</si>
  <si>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</si>
  <si>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95A - Wind Power Production Credit</t>
  </si>
  <si>
    <t>Schedule 120 - Conservation Rider</t>
  </si>
  <si>
    <t>Schedule 129 - Low Income</t>
  </si>
  <si>
    <t>Schedule 132 - Merger Credit</t>
  </si>
  <si>
    <t>Schedule 194 - BPA Exchange Credit</t>
  </si>
  <si>
    <t>Increase (Decrease) to average monthly bill</t>
  </si>
  <si>
    <t>Percentage Increase (Decrease) to average bill</t>
  </si>
  <si>
    <t>PUGET SOUND ENERGY-ELECTRIC</t>
  </si>
  <si>
    <t>LINE</t>
  </si>
  <si>
    <t>NO.</t>
  </si>
  <si>
    <t>DESCRIPTION</t>
  </si>
  <si>
    <t>RATE</t>
  </si>
  <si>
    <t>SUM OF TAXES OTHER</t>
  </si>
  <si>
    <t>Schedule 133 - Regulatory Asset Tracker</t>
  </si>
  <si>
    <t>(C)
= (I + N)</t>
  </si>
  <si>
    <t>Res Exch Sch</t>
  </si>
  <si>
    <t>Schedule 7</t>
  </si>
  <si>
    <t>Schedule 8</t>
  </si>
  <si>
    <t>Schedule 10</t>
  </si>
  <si>
    <t>Schedule 11</t>
  </si>
  <si>
    <t>Schedule 12</t>
  </si>
  <si>
    <t>Schedule 29</t>
  </si>
  <si>
    <t>Schedule 35</t>
  </si>
  <si>
    <t>Schedule 56</t>
  </si>
  <si>
    <t>Schedule 59</t>
  </si>
  <si>
    <t>Schedule 137 - Renewable Energy Credit</t>
  </si>
  <si>
    <t>Average</t>
  </si>
  <si>
    <t>Average Cents</t>
  </si>
  <si>
    <t>Schedule 140 - Property Tax Rider</t>
  </si>
  <si>
    <t>Schedule 142 - Decoupling Rider</t>
  </si>
  <si>
    <t>ANNUAL FILING FEE</t>
  </si>
  <si>
    <t>(After DSM Program Impacts)</t>
  </si>
  <si>
    <t>Year</t>
  </si>
  <si>
    <t>RC 05</t>
  </si>
  <si>
    <t>RC 07</t>
  </si>
  <si>
    <t>RC 7A</t>
  </si>
  <si>
    <t>RC 08</t>
  </si>
  <si>
    <t>RC 10</t>
  </si>
  <si>
    <t>RC 11</t>
  </si>
  <si>
    <t>RC 12</t>
  </si>
  <si>
    <t>RC 24C</t>
  </si>
  <si>
    <t>RC 24I</t>
  </si>
  <si>
    <t>RC 25C</t>
  </si>
  <si>
    <t>RC 25I</t>
  </si>
  <si>
    <t>RC 26C</t>
  </si>
  <si>
    <t>RC 26I</t>
  </si>
  <si>
    <t>RC 29</t>
  </si>
  <si>
    <t>RC 31C</t>
  </si>
  <si>
    <t>RC 31I</t>
  </si>
  <si>
    <t>RC 35</t>
  </si>
  <si>
    <t>RC 43</t>
  </si>
  <si>
    <t>RC 46C</t>
  </si>
  <si>
    <t>RC 46I</t>
  </si>
  <si>
    <t>RC 49C</t>
  </si>
  <si>
    <t>RC 49I</t>
  </si>
  <si>
    <t>RC 24L</t>
  </si>
  <si>
    <t>RC 25L</t>
  </si>
  <si>
    <t>Schedule 7A</t>
  </si>
  <si>
    <t>Subtotal Base Monthly Charge</t>
  </si>
  <si>
    <t>$ / kWh</t>
  </si>
  <si>
    <t>Subtotal Base First 600 kWh Charge</t>
  </si>
  <si>
    <t>Subtotal Base Over 600 kWh Charge</t>
  </si>
  <si>
    <t>RC 03</t>
  </si>
  <si>
    <t>RC 50</t>
  </si>
  <si>
    <t>RC 51</t>
  </si>
  <si>
    <t>RC 52</t>
  </si>
  <si>
    <t>RC 53</t>
  </si>
  <si>
    <t>RC 54</t>
  </si>
  <si>
    <t>RC 55</t>
  </si>
  <si>
    <t>RC 56</t>
  </si>
  <si>
    <t>RC 57</t>
  </si>
  <si>
    <t>RC 58</t>
  </si>
  <si>
    <t>RC 59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</si>
  <si>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</si>
  <si>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</si>
  <si>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</si>
  <si>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</si>
  <si>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</si>
  <si>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</si>
  <si>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</si>
  <si>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</si>
  <si>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142</t>
  </si>
  <si>
    <t>Sch 194</t>
  </si>
  <si>
    <t>Current Residential Bill</t>
  </si>
  <si>
    <t>Proposed Residential Bill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</si>
  <si>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</si>
  <si>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</si>
  <si>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</si>
  <si>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</si>
  <si>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</si>
  <si>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</si>
  <si>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</si>
  <si>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</si>
  <si>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</si>
  <si>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</si>
  <si>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Divide by 2 (number of years to recover in rates)</t>
  </si>
  <si>
    <t>Data 
(Delivered MWH)</t>
  </si>
  <si>
    <t>Remove:</t>
  </si>
  <si>
    <t>Add:</t>
  </si>
  <si>
    <t>Tariff</t>
  </si>
  <si>
    <t>Revenue Change</t>
  </si>
  <si>
    <t>% Change</t>
  </si>
  <si>
    <t>Residential</t>
  </si>
  <si>
    <t>7A</t>
  </si>
  <si>
    <t>Delivered (Calendarized) Monthly Sales &amp; Transportation by Rate Schedule (Including EV)</t>
  </si>
  <si>
    <t>Monthly kWh Sales History and Projections, 2019 - 2024</t>
  </si>
  <si>
    <t>Special Contracts</t>
  </si>
  <si>
    <t>Streetlight</t>
  </si>
  <si>
    <t>Resale</t>
  </si>
  <si>
    <t>Commercial</t>
  </si>
  <si>
    <t>Industrial</t>
  </si>
  <si>
    <t>Transport*</t>
  </si>
  <si>
    <t>RC 40C</t>
  </si>
  <si>
    <t>RC 40I</t>
  </si>
  <si>
    <t>Sales Total</t>
  </si>
  <si>
    <t>RC 449PV</t>
  </si>
  <si>
    <t>RC449HV</t>
  </si>
  <si>
    <t>RC 459HV</t>
  </si>
  <si>
    <t>Sales+Transport</t>
  </si>
  <si>
    <t>BAD DEBTS</t>
  </si>
  <si>
    <t>CONVERSION FACTOR</t>
  </si>
  <si>
    <t>ADJUSTED FOR FEDERAL TAX RATE CHANGE FROM 35% to 21%</t>
  </si>
  <si>
    <t>FOR THE TWELVE MONTHS ENDED SEPTEMBER 30, 2016</t>
  </si>
  <si>
    <t>GENERAL RATE CASE</t>
  </si>
  <si>
    <t xml:space="preserve">As Used in UE-180282 </t>
  </si>
  <si>
    <t>Rate Impact (All Schedules)</t>
  </si>
  <si>
    <t>Schedule 141 &amp; 141x - ERF Rider - First 600 kWh</t>
  </si>
  <si>
    <t>Schedule 141Y - Tax Over Collection Rider</t>
  </si>
  <si>
    <t>Sch 141Y</t>
  </si>
  <si>
    <t>Sch 141 + Sch 141X</t>
  </si>
  <si>
    <r>
      <t xml:space="preserve">Average Residential Usage YE </t>
    </r>
    <r>
      <rPr>
        <sz val="8"/>
        <color rgb="FF0000FF"/>
        <rFont val="Arial"/>
        <family val="2"/>
      </rPr>
      <t>September 2020</t>
    </r>
  </si>
  <si>
    <t>Total Secondary</t>
  </si>
  <si>
    <t>Total Primary</t>
  </si>
  <si>
    <t>Total High Voltage</t>
  </si>
  <si>
    <t>50-59</t>
  </si>
  <si>
    <t>Transportation 449-459</t>
  </si>
  <si>
    <t>Special Contract</t>
  </si>
  <si>
    <t>Retail Sales</t>
  </si>
  <si>
    <t>Total Sales</t>
  </si>
  <si>
    <t>(including Schedules 95, 95a, 120, 129, 132, 133, 137, 140, 141, 141x, 141y, 142 and 194)</t>
  </si>
  <si>
    <t>Account 18600321/(25300541)</t>
  </si>
  <si>
    <t>Calculation of Settlement Utility Specific PF Exchange Rates</t>
  </si>
  <si>
    <t>TOC</t>
  </si>
  <si>
    <t>RAMmodel_REP2020.xls</t>
  </si>
  <si>
    <t>é</t>
  </si>
  <si>
    <t>Initial Allocations</t>
  </si>
  <si>
    <t>Interim</t>
  </si>
  <si>
    <t>Refund</t>
  </si>
  <si>
    <t>Base</t>
  </si>
  <si>
    <t>Exchange</t>
  </si>
  <si>
    <t xml:space="preserve">Unconstrained </t>
  </si>
  <si>
    <t>Scheduled</t>
  </si>
  <si>
    <t>Protection</t>
  </si>
  <si>
    <t>Cost</t>
  </si>
  <si>
    <t>7(b)(3)</t>
  </si>
  <si>
    <t>Utility</t>
  </si>
  <si>
    <t>REP</t>
  </si>
  <si>
    <t>ASC</t>
  </si>
  <si>
    <t>PFx</t>
  </si>
  <si>
    <t>Load</t>
  </si>
  <si>
    <t>Benefits</t>
  </si>
  <si>
    <t>Amount</t>
  </si>
  <si>
    <t>Allocation</t>
  </si>
  <si>
    <t>Surcharge</t>
  </si>
  <si>
    <t>a</t>
  </si>
  <si>
    <t>b</t>
  </si>
  <si>
    <t>c</t>
  </si>
  <si>
    <t>d</t>
  </si>
  <si>
    <t>e=avg(c,d)</t>
  </si>
  <si>
    <t>f=(a-b)*e</t>
  </si>
  <si>
    <t>g=contract</t>
  </si>
  <si>
    <t>h=contract</t>
  </si>
  <si>
    <t>Σi=Σf - Σh</t>
  </si>
  <si>
    <t>Σj=h</t>
  </si>
  <si>
    <t>k=(i+j)/e</t>
  </si>
  <si>
    <t>l=b+k</t>
  </si>
  <si>
    <t>m=(a-l)*e</t>
  </si>
  <si>
    <t>Avista Corporation</t>
  </si>
  <si>
    <t>Idaho Power Company</t>
  </si>
  <si>
    <t>NorthWestern Energy, LLC</t>
  </si>
  <si>
    <t>PacifiCorp</t>
  </si>
  <si>
    <t>Portland General Electric Company</t>
  </si>
  <si>
    <t>Puget Sound Energy, Inc.</t>
  </si>
  <si>
    <t>Clark Public Utilities</t>
  </si>
  <si>
    <t>Franklin</t>
  </si>
  <si>
    <t>Snohomish PUD</t>
  </si>
  <si>
    <t>rounding to</t>
  </si>
  <si>
    <t xml:space="preserve">places = </t>
  </si>
  <si>
    <t>IOU Σ(g)</t>
  </si>
  <si>
    <t>IOU Σ(j)</t>
  </si>
  <si>
    <t>IOU REP</t>
  </si>
  <si>
    <t>COU Σ(g)</t>
  </si>
  <si>
    <t>COU Σ(j)</t>
  </si>
  <si>
    <t>COU REP</t>
  </si>
  <si>
    <t>IOU Reallocations</t>
  </si>
  <si>
    <t>Final</t>
  </si>
  <si>
    <t>Annual</t>
  </si>
  <si>
    <t>Reallocation</t>
  </si>
  <si>
    <t>Reallocated</t>
  </si>
  <si>
    <t>Adjustment</t>
  </si>
  <si>
    <t>n=m</t>
  </si>
  <si>
    <t>o=contract</t>
  </si>
  <si>
    <t>p=below</t>
  </si>
  <si>
    <t>q=n-o+p</t>
  </si>
  <si>
    <t>r=f-q</t>
  </si>
  <si>
    <t>s=r/e</t>
  </si>
  <si>
    <t>t=b+s</t>
  </si>
  <si>
    <t>u=(a-t)*e</t>
  </si>
  <si>
    <t>v=(a-t)*c</t>
  </si>
  <si>
    <t>w=(a-t)*d</t>
  </si>
  <si>
    <t>Avista</t>
  </si>
  <si>
    <t>Idaho Power</t>
  </si>
  <si>
    <t>NorthWestern</t>
  </si>
  <si>
    <t>Portland</t>
  </si>
  <si>
    <t>Puget Sound</t>
  </si>
  <si>
    <t>Clark</t>
  </si>
  <si>
    <t>IOU Reallocation Adjustments</t>
  </si>
  <si>
    <t>Snohomish</t>
  </si>
  <si>
    <t>Idaho</t>
  </si>
  <si>
    <t>Total REP</t>
  </si>
  <si>
    <t>p1=o1*(f/Σf)</t>
  </si>
  <si>
    <t>p2=o2*(f/Σf)</t>
  </si>
  <si>
    <t>p3=o3*(f/Σf)</t>
  </si>
  <si>
    <t>p4=o4*(f/Σf)</t>
  </si>
  <si>
    <t>p5=o5*(f/Σf)</t>
  </si>
  <si>
    <t>p6=o6*(f/Σf)</t>
  </si>
  <si>
    <t>p=Σ(p1…p6)</t>
  </si>
  <si>
    <t>Refund Amt</t>
  </si>
  <si>
    <t>REP Cost</t>
  </si>
  <si>
    <t>Determine Rounding Decimal Place</t>
  </si>
  <si>
    <t>BPA Report - RAM Module - REP 2020</t>
  </si>
  <si>
    <r>
      <rPr>
        <b/>
        <sz val="8"/>
        <color rgb="FF0000FF"/>
        <rFont val="Arial"/>
        <family val="2"/>
      </rPr>
      <t>F2019</t>
    </r>
    <r>
      <rPr>
        <b/>
        <sz val="8"/>
        <rFont val="Arial"/>
        <family val="2"/>
      </rPr>
      <t xml:space="preserve"> Monthly Load Forecast</t>
    </r>
  </si>
  <si>
    <r>
      <rPr>
        <b/>
        <sz val="8"/>
        <color rgb="FF0000FF"/>
        <rFont val="Arial"/>
        <family val="2"/>
      </rPr>
      <t>FY2019</t>
    </r>
    <r>
      <rPr>
        <b/>
        <sz val="8"/>
        <rFont val="Arial"/>
        <family val="2"/>
      </rPr>
      <t xml:space="preserve"> Delivered kWh Grand Total</t>
    </r>
  </si>
  <si>
    <r>
      <t xml:space="preserve">Sum of </t>
    </r>
    <r>
      <rPr>
        <sz val="8"/>
        <color rgb="FF0000FF"/>
        <rFont val="Arial"/>
        <family val="2"/>
      </rPr>
      <t>Nov 2019</t>
    </r>
  </si>
  <si>
    <r>
      <t xml:space="preserve">Sum of </t>
    </r>
    <r>
      <rPr>
        <sz val="8"/>
        <color rgb="FF0000FF"/>
        <rFont val="Arial"/>
        <family val="2"/>
      </rPr>
      <t>Dec 2019</t>
    </r>
  </si>
  <si>
    <r>
      <t xml:space="preserve">Sum of </t>
    </r>
    <r>
      <rPr>
        <sz val="8"/>
        <color rgb="FF0000FF"/>
        <rFont val="Arial"/>
        <family val="2"/>
      </rPr>
      <t>Jan 2020</t>
    </r>
  </si>
  <si>
    <r>
      <t xml:space="preserve">Sum of </t>
    </r>
    <r>
      <rPr>
        <sz val="8"/>
        <color rgb="FF0000FF"/>
        <rFont val="Arial"/>
        <family val="2"/>
      </rPr>
      <t>Feb 2020</t>
    </r>
  </si>
  <si>
    <r>
      <t xml:space="preserve">Sum of </t>
    </r>
    <r>
      <rPr>
        <sz val="8"/>
        <color rgb="FF0000FF"/>
        <rFont val="Arial"/>
        <family val="2"/>
      </rPr>
      <t>Mar 2020</t>
    </r>
  </si>
  <si>
    <r>
      <t xml:space="preserve">Sum of </t>
    </r>
    <r>
      <rPr>
        <sz val="8"/>
        <color rgb="FF0000FF"/>
        <rFont val="Arial"/>
        <family val="2"/>
      </rPr>
      <t>Apr 2020</t>
    </r>
  </si>
  <si>
    <r>
      <t xml:space="preserve">Sum of </t>
    </r>
    <r>
      <rPr>
        <sz val="8"/>
        <color rgb="FF0000FF"/>
        <rFont val="Arial"/>
        <family val="2"/>
      </rPr>
      <t>May 2020</t>
    </r>
  </si>
  <si>
    <r>
      <t xml:space="preserve">Sum of </t>
    </r>
    <r>
      <rPr>
        <sz val="8"/>
        <color rgb="FF0000FF"/>
        <rFont val="Arial"/>
        <family val="2"/>
      </rPr>
      <t>Jun 2020</t>
    </r>
  </si>
  <si>
    <r>
      <t xml:space="preserve">Sum of </t>
    </r>
    <r>
      <rPr>
        <sz val="8"/>
        <color rgb="FF0000FF"/>
        <rFont val="Arial"/>
        <family val="2"/>
      </rPr>
      <t>Jul 2020</t>
    </r>
  </si>
  <si>
    <r>
      <t xml:space="preserve">Sum of </t>
    </r>
    <r>
      <rPr>
        <sz val="8"/>
        <color rgb="FF0000FF"/>
        <rFont val="Arial"/>
        <family val="2"/>
      </rPr>
      <t>Aug 2020</t>
    </r>
  </si>
  <si>
    <r>
      <t xml:space="preserve">Sum of </t>
    </r>
    <r>
      <rPr>
        <sz val="8"/>
        <color rgb="FF0000FF"/>
        <rFont val="Arial"/>
        <family val="2"/>
      </rPr>
      <t>Sep 2020</t>
    </r>
  </si>
  <si>
    <r>
      <t xml:space="preserve">Sum of </t>
    </r>
    <r>
      <rPr>
        <sz val="8"/>
        <color rgb="FF0000FF"/>
        <rFont val="Arial"/>
        <family val="2"/>
      </rPr>
      <t>Oct 2020</t>
    </r>
  </si>
  <si>
    <r>
      <t xml:space="preserve">Sum of </t>
    </r>
    <r>
      <rPr>
        <sz val="8"/>
        <color rgb="FF0000FF"/>
        <rFont val="Arial"/>
        <family val="2"/>
      </rPr>
      <t>Nov 2020</t>
    </r>
  </si>
  <si>
    <r>
      <t xml:space="preserve">Sum of </t>
    </r>
    <r>
      <rPr>
        <sz val="8"/>
        <color rgb="FF0000FF"/>
        <rFont val="Arial"/>
        <family val="2"/>
      </rPr>
      <t>Dec 2020</t>
    </r>
  </si>
  <si>
    <r>
      <t xml:space="preserve">Sum of </t>
    </r>
    <r>
      <rPr>
        <sz val="8"/>
        <color rgb="FF0000FF"/>
        <rFont val="Arial"/>
        <family val="2"/>
      </rPr>
      <t>Jan 2021</t>
    </r>
  </si>
  <si>
    <r>
      <t xml:space="preserve">Sum of </t>
    </r>
    <r>
      <rPr>
        <sz val="8"/>
        <color rgb="FF0000FF"/>
        <rFont val="Arial"/>
        <family val="2"/>
      </rPr>
      <t>Feb 2021</t>
    </r>
  </si>
  <si>
    <r>
      <t xml:space="preserve">Sum of </t>
    </r>
    <r>
      <rPr>
        <sz val="8"/>
        <color rgb="FF0000FF"/>
        <rFont val="Arial"/>
        <family val="2"/>
      </rPr>
      <t>Mar 2021</t>
    </r>
  </si>
  <si>
    <r>
      <t xml:space="preserve">Sum of </t>
    </r>
    <r>
      <rPr>
        <sz val="8"/>
        <color rgb="FF0000FF"/>
        <rFont val="Arial"/>
        <family val="2"/>
      </rPr>
      <t>Apr 2021</t>
    </r>
  </si>
  <si>
    <r>
      <t xml:space="preserve">Sum of </t>
    </r>
    <r>
      <rPr>
        <sz val="8"/>
        <color rgb="FF0000FF"/>
        <rFont val="Arial"/>
        <family val="2"/>
      </rPr>
      <t>May 2021</t>
    </r>
  </si>
  <si>
    <r>
      <t xml:space="preserve">Sum of </t>
    </r>
    <r>
      <rPr>
        <sz val="8"/>
        <color rgb="FF0000FF"/>
        <rFont val="Arial"/>
        <family val="2"/>
      </rPr>
      <t>Jun 2021</t>
    </r>
  </si>
  <si>
    <r>
      <t xml:space="preserve">Sum of </t>
    </r>
    <r>
      <rPr>
        <sz val="8"/>
        <color rgb="FF0000FF"/>
        <rFont val="Arial"/>
        <family val="2"/>
      </rPr>
      <t>Jul 2021</t>
    </r>
  </si>
  <si>
    <r>
      <t>Sum of</t>
    </r>
    <r>
      <rPr>
        <sz val="8"/>
        <color rgb="FF0000FF"/>
        <rFont val="Arial"/>
        <family val="2"/>
      </rPr>
      <t xml:space="preserve"> Aug 2021</t>
    </r>
  </si>
  <si>
    <r>
      <t xml:space="preserve">Sum of </t>
    </r>
    <r>
      <rPr>
        <sz val="8"/>
        <color rgb="FF0000FF"/>
        <rFont val="Arial"/>
        <family val="2"/>
      </rPr>
      <t>Sep 2021</t>
    </r>
  </si>
  <si>
    <r>
      <t xml:space="preserve">12 Month kWH Load, </t>
    </r>
    <r>
      <rPr>
        <b/>
        <i/>
        <sz val="8"/>
        <color rgb="FF0000FF"/>
        <rFont val="Arial"/>
        <family val="2"/>
      </rPr>
      <t>October 2019 to September 2020</t>
    </r>
  </si>
  <si>
    <r>
      <t xml:space="preserve">12 Month kWH Load, </t>
    </r>
    <r>
      <rPr>
        <b/>
        <i/>
        <sz val="8"/>
        <color rgb="FF0000FF"/>
        <rFont val="Arial"/>
        <family val="2"/>
      </rPr>
      <t>October 2020 to September 2021</t>
    </r>
  </si>
  <si>
    <t>STATE UTILITY TAX ( 3.8734% - ( LINE 1 * 3.8734% )  )</t>
  </si>
  <si>
    <t xml:space="preserve">CONVERSION FACTOR INCL FEDERAL INCOME TAX ( LINE 7 - LINE 8 ) </t>
  </si>
  <si>
    <t>FEDERAL INCOME TAX ( LINE 7  * 21% )</t>
  </si>
  <si>
    <r>
      <t>BPA FY</t>
    </r>
    <r>
      <rPr>
        <b/>
        <sz val="8"/>
        <color rgb="FF0000FF"/>
        <rFont val="Arial"/>
        <family val="2"/>
      </rPr>
      <t xml:space="preserve"> 2020</t>
    </r>
  </si>
  <si>
    <r>
      <t>Forecast Net REP Benefits to be paid by BPA  (</t>
    </r>
    <r>
      <rPr>
        <b/>
        <sz val="8"/>
        <color rgb="FF0000FF"/>
        <rFont val="Arial"/>
        <family val="2"/>
      </rPr>
      <t>October 2019 to September 2020</t>
    </r>
    <r>
      <rPr>
        <b/>
        <sz val="8"/>
        <rFont val="Arial"/>
        <family val="2"/>
      </rPr>
      <t>)</t>
    </r>
  </si>
  <si>
    <r>
      <t xml:space="preserve">Residential Exchange Balance </t>
    </r>
    <r>
      <rPr>
        <sz val="8"/>
        <color rgb="FF0000FF"/>
        <rFont val="Arial"/>
        <family val="2"/>
      </rPr>
      <t>7-31-19</t>
    </r>
    <r>
      <rPr>
        <sz val="8"/>
        <rFont val="Arial"/>
        <family val="2"/>
      </rPr>
      <t xml:space="preserve"> to recover over 2 years</t>
    </r>
  </si>
  <si>
    <r>
      <t>Average monthly bill for Residential customer consuming</t>
    </r>
    <r>
      <rPr>
        <b/>
        <sz val="8"/>
        <rFont val="Arial"/>
        <family val="2"/>
      </rPr>
      <t xml:space="preserve"> 900 kWh per month</t>
    </r>
  </si>
  <si>
    <r>
      <t xml:space="preserve">Before proposed change in credit (Based on rates effective </t>
    </r>
    <r>
      <rPr>
        <sz val="8"/>
        <color rgb="FF0000FF"/>
        <rFont val="Arial"/>
        <family val="2"/>
      </rPr>
      <t>9-30-19</t>
    </r>
    <r>
      <rPr>
        <sz val="8"/>
        <rFont val="Arial"/>
        <family val="2"/>
      </rPr>
      <t>)</t>
    </r>
  </si>
  <si>
    <r>
      <t>Balance @</t>
    </r>
    <r>
      <rPr>
        <sz val="8"/>
        <color rgb="FF0000FF"/>
        <rFont val="Arial"/>
        <family val="2"/>
      </rPr>
      <t xml:space="preserve"> 7-31-19</t>
    </r>
  </si>
  <si>
    <t xml:space="preserve">Forecast Account 18600321 (25300541) Balance </t>
  </si>
  <si>
    <t>Electric 2018 Tax Reform</t>
  </si>
  <si>
    <t>CONVERSION FACTOR EXCLUDING FEDERAL INCOME TAX ( 1 - LINE  )</t>
  </si>
  <si>
    <t>Current  Average 
Rates per KWHs</t>
  </si>
  <si>
    <t>Proposed Average 
Rates per KWHs</t>
  </si>
  <si>
    <r>
      <t xml:space="preserve">Sum of </t>
    </r>
    <r>
      <rPr>
        <sz val="8"/>
        <color rgb="FF0000FF"/>
        <rFont val="Arial"/>
        <family val="2"/>
      </rPr>
      <t>Oct 2019*</t>
    </r>
  </si>
  <si>
    <t>October 12, 2019 through September 30, 2020</t>
  </si>
  <si>
    <r>
      <t>Forecast Exchange Delivered Sales (MWh 12 Months</t>
    </r>
    <r>
      <rPr>
        <b/>
        <sz val="8"/>
        <color rgb="FF0000FF"/>
        <rFont val="Arial"/>
        <family val="2"/>
      </rPr>
      <t xml:space="preserve"> October 12, 2019 to September 2020</t>
    </r>
    <r>
      <rPr>
        <b/>
        <sz val="8"/>
        <rFont val="Arial"/>
        <family val="2"/>
      </rPr>
      <t>)</t>
    </r>
  </si>
  <si>
    <r>
      <t xml:space="preserve">Proposed Residential and Farm Exchange Benefit Rate Effective </t>
    </r>
    <r>
      <rPr>
        <b/>
        <sz val="8"/>
        <color rgb="FF0000FF"/>
        <rFont val="Arial"/>
        <family val="2"/>
      </rPr>
      <t>10-12-19</t>
    </r>
    <r>
      <rPr>
        <b/>
        <sz val="8"/>
        <rFont val="Arial"/>
        <family val="2"/>
      </rPr>
      <t xml:space="preserve"> ($ / kWh)</t>
    </r>
  </si>
  <si>
    <r>
      <t xml:space="preserve">After proposed change in credit (Based on rates effective </t>
    </r>
    <r>
      <rPr>
        <sz val="8"/>
        <color rgb="FF0000FF"/>
        <rFont val="Arial"/>
        <family val="2"/>
      </rPr>
      <t>10-12-19</t>
    </r>
    <r>
      <rPr>
        <sz val="8"/>
        <rFont val="Arial"/>
        <family val="2"/>
      </rPr>
      <t>)</t>
    </r>
  </si>
  <si>
    <t>* Note: Loads are adjusted for October 12th, 2019  Effective Day for SCH194 filing</t>
  </si>
  <si>
    <t>October 12, 2019 through September 2021</t>
  </si>
  <si>
    <r>
      <t xml:space="preserve">Proposed Rates Effective 
</t>
    </r>
    <r>
      <rPr>
        <sz val="8"/>
        <color rgb="FF0000FF"/>
        <rFont val="Arial"/>
        <family val="2"/>
      </rPr>
      <t>10-12-19</t>
    </r>
  </si>
  <si>
    <r>
      <t xml:space="preserve">Present Rates Effective 
</t>
    </r>
    <r>
      <rPr>
        <sz val="8"/>
        <color rgb="FF0000FF"/>
        <rFont val="Arial"/>
        <family val="2"/>
      </rPr>
      <t>9-30-19</t>
    </r>
  </si>
  <si>
    <t>Annual kWh Delivered Sales 10/12/19 to 9/30/20 (F2019)</t>
  </si>
  <si>
    <t>Estimated Annual Base Revenue Effective
6-1-2018</t>
  </si>
  <si>
    <t>Schedule 95</t>
  </si>
  <si>
    <t>Schedule 95A
Federal Incentive Credit</t>
  </si>
  <si>
    <t>Schedule 120
Conservation</t>
  </si>
  <si>
    <t>Schedule 129
Low Income</t>
  </si>
  <si>
    <t>Schedule 132
Merger Credit</t>
  </si>
  <si>
    <t>Schedule 137 REC's</t>
  </si>
  <si>
    <t>Schedule 140
Property Tax</t>
  </si>
  <si>
    <t>Schedule 141
ERF</t>
  </si>
  <si>
    <t>Schedule 141X (Pass-back)
ERF</t>
  </si>
  <si>
    <t>Schedule 
141Y Tax Over Collection</t>
  </si>
  <si>
    <t>Schedule 142
 Deferral</t>
  </si>
  <si>
    <t>Schedule 194
BPA Res &amp; Farm Credit</t>
  </si>
  <si>
    <t>Subtotal
Rider
Rates</t>
  </si>
  <si>
    <t>Annual Estimated Revenue @ Rates Effective 9/30/2019</t>
  </si>
  <si>
    <r>
      <t>Annual Estimated Revenue @ Rates Effective</t>
    </r>
    <r>
      <rPr>
        <b/>
        <sz val="8"/>
        <color rgb="FF0033CC"/>
        <rFont val="Arial"/>
        <family val="2"/>
      </rPr>
      <t xml:space="preserve"> 10-12-2019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</si>
</sst>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0_);_(* \(#,##0.0000000\);_(* &quot;-&quot;??_);_(@_)"/>
    <numFmt numFmtId="168" formatCode="_(&quot;$&quot;* #,##0.000000_);_(&quot;$&quot;* \(#,##0.000000\);_(&quot;$&quot;* &quot;-&quot;??_);_(@_)"/>
    <numFmt numFmtId="169" formatCode="0.000000"/>
    <numFmt numFmtId="170" formatCode="0.00_)"/>
    <numFmt numFmtId="171" formatCode="_(* #,##0.0_);_(* \(#,##0.0\);_(* &quot;-&quot;_);_(@_)"/>
    <numFmt numFmtId="172" formatCode="_(* ###0_);_(* \(###0\);_(* &quot;-&quot;_);_(@_)"/>
    <numFmt numFmtId="173" formatCode="d\.mmm\.yy"/>
    <numFmt numFmtId="174" formatCode="0.0000000"/>
    <numFmt numFmtId="175" formatCode="[$-409]mmmm\ d\,\ yyyy;@"/>
    <numFmt numFmtId="176" formatCode="#,##0_);[Red]\(#,##0\);&quot; &quot;"/>
    <numFmt numFmtId="177" formatCode="&quot;$&quot;#,##0.00"/>
    <numFmt numFmtId="178" formatCode="#."/>
    <numFmt numFmtId="179" formatCode="&quot;$&quot;#,##0;\-&quot;$&quot;#,##0"/>
    <numFmt numFmtId="180" formatCode="_(&quot;$&quot;* #,##0.0000_);_(&quot;$&quot;* \(#,##0.0000\);_(&quot;$&quot;* &quot;-&quot;????_);_(@_)"/>
    <numFmt numFmtId="181" formatCode="0.0000%"/>
    <numFmt numFmtId="182" formatCode="&quot;FY&quot;\ ###"/>
    <numFmt numFmtId="183" formatCode="&quot;$&quot;#,##0"/>
    <numFmt numFmtId="184" formatCode="0.00000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b/>
      <sz val="8"/>
      <color indexed="8"/>
      <name val="Helv"/>
    </font>
    <font>
      <b/>
      <sz val="10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u/>
      <sz val="7.5"/>
      <color indexed="12"/>
      <name val="Arial"/>
      <family val="2"/>
    </font>
    <font>
      <sz val="8"/>
      <color theme="1"/>
      <name val="Arial"/>
      <family val="2"/>
    </font>
    <font>
      <b/>
      <i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theme="8" tint="0.79998168889431442"/>
      <name val="Arial"/>
      <family val="2"/>
    </font>
    <font>
      <sz val="8"/>
      <color indexed="9"/>
      <name val="Arial"/>
      <family val="2"/>
    </font>
    <font>
      <b/>
      <sz val="8"/>
      <color indexed="48"/>
      <name val="Arial"/>
      <family val="2"/>
    </font>
    <font>
      <b/>
      <u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color rgb="FF009999"/>
      <name val="Arial"/>
      <family val="2"/>
    </font>
    <font>
      <b/>
      <sz val="10"/>
      <color rgb="FF009999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color theme="0"/>
      <name val="Helv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7">
    <xf numFmtId="0" fontId="0" fillId="0" borderId="0"/>
    <xf numFmtId="169" fontId="3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4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9" fontId="3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6" fontId="3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9" fontId="3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1" fillId="0" borderId="0"/>
    <xf numFmtId="166" fontId="20" fillId="0" borderId="0">
      <alignment horizontal="left" wrapText="1"/>
    </xf>
    <xf numFmtId="169" fontId="3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4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3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9" fontId="3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6" fontId="3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1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173" fontId="4" fillId="0" borderId="0" applyFill="0" applyBorder="0" applyAlignment="0"/>
    <xf numFmtId="41" fontId="3" fillId="20" borderId="0"/>
    <xf numFmtId="0" fontId="25" fillId="21" borderId="1" applyNumberFormat="0" applyAlignment="0" applyProtection="0"/>
    <xf numFmtId="41" fontId="20" fillId="22" borderId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78" fontId="28" fillId="0" borderId="0">
      <protection locked="0"/>
    </xf>
    <xf numFmtId="0" fontId="26" fillId="0" borderId="0"/>
    <xf numFmtId="0" fontId="7" fillId="0" borderId="0" applyNumberFormat="0" applyAlignment="0">
      <alignment horizontal="left"/>
    </xf>
    <xf numFmtId="0" fontId="8" fillId="0" borderId="0" applyNumberFormat="0" applyAlignment="0"/>
    <xf numFmtId="0" fontId="6" fillId="0" borderId="0"/>
    <xf numFmtId="0" fontId="26" fillId="0" borderId="0"/>
    <xf numFmtId="0" fontId="6" fillId="0" borderId="0"/>
    <xf numFmtId="0" fontId="26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3" fillId="0" borderId="0"/>
    <xf numFmtId="0" fontId="3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6" fillId="0" borderId="0"/>
    <xf numFmtId="0" fontId="31" fillId="4" borderId="0" applyNumberFormat="0" applyBorder="0" applyAlignment="0" applyProtection="0"/>
    <xf numFmtId="38" fontId="9" fillId="22" borderId="0" applyNumberFormat="0" applyBorder="0" applyAlignment="0" applyProtection="0"/>
    <xf numFmtId="38" fontId="32" fillId="22" borderId="0" applyNumberFormat="0" applyBorder="0" applyAlignment="0" applyProtection="0"/>
    <xf numFmtId="38" fontId="32" fillId="22" borderId="0" applyNumberFormat="0" applyBorder="0" applyAlignment="0" applyProtection="0"/>
    <xf numFmtId="38" fontId="32" fillId="22" borderId="0" applyNumberFormat="0" applyBorder="0" applyAlignment="0" applyProtection="0"/>
    <xf numFmtId="38" fontId="32" fillId="22" borderId="0" applyNumberFormat="0" applyBorder="0" applyAlignment="0" applyProtection="0"/>
    <xf numFmtId="0" fontId="10" fillId="0" borderId="2" applyNumberFormat="0" applyAlignment="0" applyProtection="0">
      <alignment horizontal="left"/>
    </xf>
    <xf numFmtId="0" fontId="10" fillId="0" borderId="3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38" fontId="11" fillId="0" borderId="0"/>
    <xf numFmtId="40" fontId="11" fillId="0" borderId="0"/>
    <xf numFmtId="0" fontId="35" fillId="7" borderId="5" applyNumberFormat="0" applyAlignment="0" applyProtection="0"/>
    <xf numFmtId="10" fontId="9" fillId="20" borderId="6" applyNumberFormat="0" applyBorder="0" applyAlignment="0" applyProtection="0"/>
    <xf numFmtId="10" fontId="32" fillId="20" borderId="6" applyNumberFormat="0" applyBorder="0" applyAlignment="0" applyProtection="0"/>
    <xf numFmtId="10" fontId="32" fillId="20" borderId="6" applyNumberFormat="0" applyBorder="0" applyAlignment="0" applyProtection="0"/>
    <xf numFmtId="10" fontId="32" fillId="20" borderId="6" applyNumberFormat="0" applyBorder="0" applyAlignment="0" applyProtection="0"/>
    <xf numFmtId="10" fontId="32" fillId="20" borderId="6" applyNumberFormat="0" applyBorder="0" applyAlignment="0" applyProtection="0"/>
    <xf numFmtId="41" fontId="12" fillId="23" borderId="7">
      <alignment horizontal="left"/>
      <protection locked="0"/>
    </xf>
    <xf numFmtId="10" fontId="12" fillId="23" borderId="7">
      <alignment horizontal="right"/>
      <protection locked="0"/>
    </xf>
    <xf numFmtId="0" fontId="32" fillId="22" borderId="0"/>
    <xf numFmtId="3" fontId="36" fillId="0" borderId="0" applyFill="0" applyBorder="0" applyAlignment="0" applyProtection="0"/>
    <xf numFmtId="0" fontId="37" fillId="0" borderId="8" applyNumberFormat="0" applyFill="0" applyAlignment="0" applyProtection="0"/>
    <xf numFmtId="44" fontId="13" fillId="0" borderId="9" applyNumberFormat="0" applyFont="0" applyAlignment="0">
      <alignment horizontal="center"/>
    </xf>
    <xf numFmtId="44" fontId="18" fillId="0" borderId="9" applyNumberFormat="0" applyFont="0" applyAlignment="0">
      <alignment horizontal="center"/>
    </xf>
    <xf numFmtId="44" fontId="18" fillId="0" borderId="9" applyNumberFormat="0" applyFont="0" applyAlignment="0">
      <alignment horizontal="center"/>
    </xf>
    <xf numFmtId="44" fontId="18" fillId="0" borderId="9" applyNumberFormat="0" applyFont="0" applyAlignment="0">
      <alignment horizontal="center"/>
    </xf>
    <xf numFmtId="44" fontId="13" fillId="0" borderId="10" applyNumberFormat="0" applyFont="0" applyAlignment="0">
      <alignment horizontal="center"/>
    </xf>
    <xf numFmtId="44" fontId="18" fillId="0" borderId="10" applyNumberFormat="0" applyFont="0" applyAlignment="0">
      <alignment horizontal="center"/>
    </xf>
    <xf numFmtId="44" fontId="18" fillId="0" borderId="10" applyNumberFormat="0" applyFont="0" applyAlignment="0">
      <alignment horizontal="center"/>
    </xf>
    <xf numFmtId="44" fontId="18" fillId="0" borderId="10" applyNumberFormat="0" applyFont="0" applyAlignment="0">
      <alignment horizontal="center"/>
    </xf>
    <xf numFmtId="0" fontId="38" fillId="24" borderId="0" applyNumberFormat="0" applyBorder="0" applyAlignment="0" applyProtection="0"/>
    <xf numFmtId="37" fontId="14" fillId="0" borderId="0"/>
    <xf numFmtId="170" fontId="15" fillId="0" borderId="0"/>
    <xf numFmtId="179" fontId="20" fillId="0" borderId="0"/>
    <xf numFmtId="179" fontId="20" fillId="0" borderId="0"/>
    <xf numFmtId="179" fontId="20" fillId="0" borderId="0"/>
    <xf numFmtId="179" fontId="20" fillId="0" borderId="0"/>
    <xf numFmtId="169" fontId="20" fillId="0" borderId="0">
      <alignment horizontal="left" wrapText="1"/>
    </xf>
    <xf numFmtId="0" fontId="20" fillId="0" borderId="0"/>
    <xf numFmtId="0" fontId="20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22" fillId="25" borderId="11" applyNumberFormat="0" applyFont="0" applyAlignment="0" applyProtection="0"/>
    <xf numFmtId="0" fontId="40" fillId="26" borderId="12" applyNumberFormat="0" applyAlignment="0" applyProtection="0"/>
    <xf numFmtId="0" fontId="6" fillId="0" borderId="0"/>
    <xf numFmtId="0" fontId="6" fillId="0" borderId="0"/>
    <xf numFmtId="0" fontId="2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20" fillId="27" borderId="7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1" fillId="0" borderId="13">
      <alignment horizontal="center"/>
    </xf>
    <xf numFmtId="3" fontId="39" fillId="0" borderId="0" applyFont="0" applyFill="0" applyBorder="0" applyAlignment="0" applyProtection="0"/>
    <xf numFmtId="0" fontId="39" fillId="28" borderId="0" applyNumberFormat="0" applyFont="0" applyBorder="0" applyAlignment="0" applyProtection="0"/>
    <xf numFmtId="0" fontId="26" fillId="0" borderId="0"/>
    <xf numFmtId="3" fontId="42" fillId="0" borderId="0" applyFill="0" applyBorder="0" applyAlignment="0" applyProtection="0"/>
    <xf numFmtId="0" fontId="43" fillId="0" borderId="0"/>
    <xf numFmtId="3" fontId="42" fillId="0" borderId="0" applyFill="0" applyBorder="0" applyAlignment="0" applyProtection="0"/>
    <xf numFmtId="42" fontId="20" fillId="20" borderId="0"/>
    <xf numFmtId="0" fontId="44" fillId="29" borderId="0"/>
    <xf numFmtId="0" fontId="45" fillId="29" borderId="14"/>
    <xf numFmtId="0" fontId="46" fillId="30" borderId="15"/>
    <xf numFmtId="0" fontId="47" fillId="29" borderId="16"/>
    <xf numFmtId="42" fontId="20" fillId="20" borderId="17">
      <alignment vertical="center"/>
    </xf>
    <xf numFmtId="0" fontId="18" fillId="20" borderId="18" applyNumberFormat="0">
      <alignment horizontal="center" vertical="center" wrapText="1"/>
    </xf>
    <xf numFmtId="10" fontId="20" fillId="20" borderId="0"/>
    <xf numFmtId="180" fontId="20" fillId="20" borderId="0"/>
    <xf numFmtId="164" fontId="34" fillId="0" borderId="0" applyBorder="0" applyAlignment="0"/>
    <xf numFmtId="42" fontId="20" fillId="20" borderId="19">
      <alignment horizontal="left"/>
    </xf>
    <xf numFmtId="180" fontId="48" fillId="20" borderId="19">
      <alignment horizontal="left"/>
    </xf>
    <xf numFmtId="14" fontId="16" fillId="0" borderId="0" applyNumberFormat="0" applyFill="0" applyBorder="0" applyAlignment="0" applyProtection="0">
      <alignment horizontal="left"/>
    </xf>
    <xf numFmtId="171" fontId="3" fillId="0" borderId="0" applyFont="0" applyFill="0" applyAlignment="0">
      <alignment horizontal="right"/>
    </xf>
    <xf numFmtId="4" fontId="49" fillId="23" borderId="12" applyNumberFormat="0" applyProtection="0">
      <alignment vertical="center"/>
    </xf>
    <xf numFmtId="4" fontId="49" fillId="23" borderId="12" applyNumberFormat="0" applyProtection="0">
      <alignment horizontal="left" vertical="center" indent="1"/>
    </xf>
    <xf numFmtId="0" fontId="20" fillId="31" borderId="12" applyNumberFormat="0" applyProtection="0">
      <alignment horizontal="left" vertical="center" indent="1"/>
    </xf>
    <xf numFmtId="4" fontId="50" fillId="32" borderId="12" applyNumberFormat="0" applyProtection="0">
      <alignment horizontal="left" vertical="center" indent="1"/>
    </xf>
    <xf numFmtId="4" fontId="49" fillId="33" borderId="20" applyNumberFormat="0" applyProtection="0">
      <alignment horizontal="left" vertical="center" indent="1"/>
    </xf>
    <xf numFmtId="4" fontId="49" fillId="33" borderId="12" applyNumberFormat="0" applyProtection="0">
      <alignment horizontal="left" vertical="center" indent="1"/>
    </xf>
    <xf numFmtId="4" fontId="49" fillId="34" borderId="12" applyNumberFormat="0" applyProtection="0">
      <alignment horizontal="left" vertical="center" indent="1"/>
    </xf>
    <xf numFmtId="0" fontId="20" fillId="34" borderId="12" applyNumberFormat="0" applyProtection="0">
      <alignment horizontal="left" vertical="center" indent="1"/>
    </xf>
    <xf numFmtId="4" fontId="49" fillId="33" borderId="12" applyNumberFormat="0" applyProtection="0">
      <alignment horizontal="right" vertical="center"/>
    </xf>
    <xf numFmtId="0" fontId="20" fillId="31" borderId="12" applyNumberFormat="0" applyProtection="0">
      <alignment horizontal="left" vertical="center" indent="1"/>
    </xf>
    <xf numFmtId="0" fontId="20" fillId="31" borderId="12" applyNumberFormat="0" applyProtection="0">
      <alignment horizontal="left" vertical="center" indent="1"/>
    </xf>
    <xf numFmtId="0" fontId="51" fillId="0" borderId="0"/>
    <xf numFmtId="39" fontId="3" fillId="35" borderId="0"/>
    <xf numFmtId="38" fontId="9" fillId="0" borderId="21"/>
    <xf numFmtId="38" fontId="32" fillId="0" borderId="21"/>
    <xf numFmtId="38" fontId="32" fillId="0" borderId="21"/>
    <xf numFmtId="38" fontId="32" fillId="0" borderId="21"/>
    <xf numFmtId="38" fontId="32" fillId="0" borderId="21"/>
    <xf numFmtId="38" fontId="11" fillId="0" borderId="19"/>
    <xf numFmtId="39" fontId="16" fillId="36" borderId="0"/>
    <xf numFmtId="176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40" fontId="17" fillId="0" borderId="0" applyBorder="0">
      <alignment horizontal="right"/>
    </xf>
    <xf numFmtId="41" fontId="52" fillId="20" borderId="0">
      <alignment horizontal="left"/>
    </xf>
    <xf numFmtId="0" fontId="20" fillId="0" borderId="0" applyNumberFormat="0" applyBorder="0" applyAlignment="0"/>
    <xf numFmtId="0" fontId="53" fillId="0" borderId="0" applyNumberFormat="0" applyFill="0" applyBorder="0" applyAlignment="0" applyProtection="0"/>
    <xf numFmtId="0" fontId="44" fillId="0" borderId="0"/>
    <xf numFmtId="0" fontId="45" fillId="29" borderId="0"/>
    <xf numFmtId="177" fontId="54" fillId="20" borderId="0">
      <alignment horizontal="left" vertical="center"/>
    </xf>
    <xf numFmtId="0" fontId="18" fillId="20" borderId="0">
      <alignment horizontal="left" wrapText="1"/>
    </xf>
    <xf numFmtId="0" fontId="19" fillId="0" borderId="0">
      <alignment horizontal="left" vertical="center"/>
    </xf>
    <xf numFmtId="0" fontId="5" fillId="0" borderId="22" applyNumberFormat="0" applyFont="0" applyFill="0" applyAlignment="0" applyProtection="0"/>
    <xf numFmtId="0" fontId="26" fillId="0" borderId="23"/>
    <xf numFmtId="0" fontId="55" fillId="0" borderId="0" applyNumberForma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>
      <alignment vertical="top"/>
      <protection locked="0"/>
    </xf>
    <xf numFmtId="180" fontId="3" fillId="0" borderId="0">
      <alignment horizontal="left" wrapText="1"/>
    </xf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313">
    <xf numFmtId="0" fontId="0" fillId="0" borderId="0" xfId="0"/>
    <xf numFmtId="0" fontId="9" fillId="0" borderId="0" xfId="0" applyFont="1"/>
    <xf numFmtId="0" fontId="0" fillId="0" borderId="0" xfId="0" applyBorder="1"/>
    <xf numFmtId="0" fontId="9" fillId="0" borderId="0" xfId="0" applyNumberFormat="1" applyFont="1" applyAlignment="1"/>
    <xf numFmtId="0" fontId="58" fillId="0" borderId="0" xfId="0" applyFont="1"/>
    <xf numFmtId="0" fontId="60" fillId="0" borderId="0" xfId="0" quotePrefix="1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Continuous"/>
    </xf>
    <xf numFmtId="0" fontId="62" fillId="0" borderId="0" xfId="0" applyFont="1"/>
    <xf numFmtId="0" fontId="9" fillId="0" borderId="0" xfId="323" quotePrefix="1" applyFont="1" applyFill="1" applyAlignment="1">
      <alignment horizontal="center"/>
    </xf>
    <xf numFmtId="0" fontId="9" fillId="0" borderId="0" xfId="323" applyFont="1" applyFill="1" applyAlignment="1">
      <alignment horizontal="center"/>
    </xf>
    <xf numFmtId="14" fontId="9" fillId="0" borderId="0" xfId="323" applyNumberFormat="1" applyFont="1" applyFill="1"/>
    <xf numFmtId="14" fontId="9" fillId="0" borderId="0" xfId="323" applyNumberFormat="1" applyFont="1" applyFill="1" applyBorder="1"/>
    <xf numFmtId="0" fontId="9" fillId="0" borderId="0" xfId="323" applyFont="1" applyFill="1"/>
    <xf numFmtId="0" fontId="11" fillId="0" borderId="18" xfId="323" applyFont="1" applyFill="1" applyBorder="1" applyAlignment="1">
      <alignment horizontal="center" wrapText="1"/>
    </xf>
    <xf numFmtId="0" fontId="11" fillId="0" borderId="0" xfId="323" quotePrefix="1" applyFont="1" applyFill="1" applyBorder="1" applyAlignment="1">
      <alignment horizontal="center" wrapText="1"/>
    </xf>
    <xf numFmtId="0" fontId="11" fillId="0" borderId="0" xfId="0" applyFont="1"/>
    <xf numFmtId="10" fontId="9" fillId="0" borderId="0" xfId="357" applyNumberFormat="1" applyFont="1" applyFill="1" applyAlignment="1">
      <alignment horizontal="center"/>
    </xf>
    <xf numFmtId="165" fontId="9" fillId="0" borderId="0" xfId="262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Alignment="1">
      <alignment horizontal="center" wrapText="1"/>
    </xf>
    <xf numFmtId="164" fontId="9" fillId="0" borderId="0" xfId="0" applyNumberFormat="1" applyFont="1" applyFill="1"/>
    <xf numFmtId="164" fontId="9" fillId="0" borderId="0" xfId="0" applyNumberFormat="1" applyFont="1"/>
    <xf numFmtId="0" fontId="9" fillId="0" borderId="18" xfId="0" applyFont="1" applyBorder="1" applyAlignment="1">
      <alignment horizontal="center" wrapText="1"/>
    </xf>
    <xf numFmtId="0" fontId="9" fillId="0" borderId="18" xfId="0" quotePrefix="1" applyFont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quotePrefix="1" applyFont="1" applyAlignment="1">
      <alignment horizontal="left"/>
    </xf>
    <xf numFmtId="164" fontId="9" fillId="0" borderId="17" xfId="0" applyNumberFormat="1" applyFont="1" applyBorder="1"/>
    <xf numFmtId="0" fontId="9" fillId="0" borderId="0" xfId="0" applyFont="1" applyAlignment="1">
      <alignment horizontal="left"/>
    </xf>
    <xf numFmtId="0" fontId="9" fillId="0" borderId="18" xfId="0" quotePrefix="1" applyFont="1" applyBorder="1" applyAlignment="1">
      <alignment horizontal="left"/>
    </xf>
    <xf numFmtId="0" fontId="9" fillId="0" borderId="18" xfId="0" applyFont="1" applyBorder="1"/>
    <xf numFmtId="0" fontId="9" fillId="0" borderId="0" xfId="433" applyFont="1"/>
    <xf numFmtId="0" fontId="9" fillId="0" borderId="31" xfId="0" quotePrefix="1" applyFont="1" applyBorder="1" applyAlignment="1">
      <alignment horizontal="center" wrapText="1"/>
    </xf>
    <xf numFmtId="0" fontId="9" fillId="0" borderId="35" xfId="0" quotePrefix="1" applyFont="1" applyBorder="1" applyAlignment="1">
      <alignment horizontal="center" wrapText="1"/>
    </xf>
    <xf numFmtId="0" fontId="9" fillId="0" borderId="0" xfId="433" applyFont="1" applyFill="1"/>
    <xf numFmtId="0" fontId="9" fillId="0" borderId="0" xfId="0" quotePrefix="1" applyFont="1" applyAlignment="1">
      <alignment horizontal="left" indent="2"/>
    </xf>
    <xf numFmtId="0" fontId="9" fillId="39" borderId="6" xfId="0" quotePrefix="1" applyFont="1" applyFill="1" applyBorder="1" applyAlignment="1">
      <alignment horizontal="center" wrapText="1"/>
    </xf>
    <xf numFmtId="168" fontId="9" fillId="0" borderId="40" xfId="0" applyNumberFormat="1" applyFont="1" applyFill="1" applyBorder="1"/>
    <xf numFmtId="0" fontId="9" fillId="0" borderId="32" xfId="0" applyFont="1" applyFill="1" applyBorder="1"/>
    <xf numFmtId="168" fontId="9" fillId="0" borderId="32" xfId="0" quotePrefix="1" applyNumberFormat="1" applyFont="1" applyFill="1" applyBorder="1" applyAlignment="1"/>
    <xf numFmtId="168" fontId="9" fillId="0" borderId="33" xfId="0" quotePrefix="1" applyNumberFormat="1" applyFont="1" applyFill="1" applyBorder="1" applyAlignment="1"/>
    <xf numFmtId="168" fontId="9" fillId="0" borderId="32" xfId="0" applyNumberFormat="1" applyFont="1" applyFill="1" applyBorder="1"/>
    <xf numFmtId="168" fontId="9" fillId="0" borderId="33" xfId="0" applyNumberFormat="1" applyFont="1" applyFill="1" applyBorder="1"/>
    <xf numFmtId="0" fontId="9" fillId="0" borderId="18" xfId="0" quotePrefix="1" applyFont="1" applyFill="1" applyBorder="1" applyAlignment="1">
      <alignment horizontal="center" wrapText="1"/>
    </xf>
    <xf numFmtId="44" fontId="9" fillId="0" borderId="0" xfId="0" applyNumberFormat="1" applyFont="1" applyFill="1"/>
    <xf numFmtId="44" fontId="9" fillId="0" borderId="0" xfId="0" applyNumberFormat="1" applyFont="1"/>
    <xf numFmtId="44" fontId="9" fillId="0" borderId="17" xfId="0" applyNumberFormat="1" applyFont="1" applyBorder="1"/>
    <xf numFmtId="43" fontId="9" fillId="0" borderId="0" xfId="0" applyNumberFormat="1" applyFont="1" applyFill="1"/>
    <xf numFmtId="0" fontId="9" fillId="0" borderId="0" xfId="0" quotePrefix="1" applyFont="1" applyFill="1" applyAlignment="1">
      <alignment horizontal="left" indent="2"/>
    </xf>
    <xf numFmtId="0" fontId="9" fillId="0" borderId="39" xfId="0" applyFont="1" applyBorder="1" applyAlignment="1">
      <alignment horizontal="center" wrapText="1"/>
    </xf>
    <xf numFmtId="44" fontId="9" fillId="37" borderId="28" xfId="0" applyNumberFormat="1" applyFont="1" applyFill="1" applyBorder="1"/>
    <xf numFmtId="44" fontId="9" fillId="37" borderId="46" xfId="0" applyNumberFormat="1" applyFont="1" applyFill="1" applyBorder="1"/>
    <xf numFmtId="164" fontId="64" fillId="37" borderId="0" xfId="0" applyNumberFormat="1" applyFont="1" applyFill="1"/>
    <xf numFmtId="164" fontId="11" fillId="0" borderId="17" xfId="0" applyNumberFormat="1" applyFont="1" applyBorder="1"/>
    <xf numFmtId="168" fontId="64" fillId="0" borderId="31" xfId="0" applyNumberFormat="1" applyFont="1" applyFill="1" applyBorder="1"/>
    <xf numFmtId="168" fontId="9" fillId="0" borderId="47" xfId="0" quotePrefix="1" applyNumberFormat="1" applyFont="1" applyFill="1" applyBorder="1" applyAlignment="1"/>
    <xf numFmtId="168" fontId="9" fillId="0" borderId="29" xfId="0" quotePrefix="1" applyNumberFormat="1" applyFont="1" applyFill="1" applyBorder="1" applyAlignment="1"/>
    <xf numFmtId="168" fontId="9" fillId="0" borderId="35" xfId="0" applyNumberFormat="1" applyFont="1" applyFill="1" applyBorder="1"/>
    <xf numFmtId="168" fontId="9" fillId="0" borderId="41" xfId="0" applyNumberFormat="1" applyFont="1" applyFill="1" applyBorder="1"/>
    <xf numFmtId="0" fontId="9" fillId="0" borderId="35" xfId="0" applyFont="1" applyFill="1" applyBorder="1"/>
    <xf numFmtId="168" fontId="9" fillId="0" borderId="41" xfId="0" quotePrefix="1" applyNumberFormat="1" applyFont="1" applyFill="1" applyBorder="1" applyAlignment="1"/>
    <xf numFmtId="168" fontId="9" fillId="0" borderId="29" xfId="0" applyNumberFormat="1" applyFont="1" applyFill="1" applyBorder="1"/>
    <xf numFmtId="168" fontId="9" fillId="0" borderId="25" xfId="0" applyNumberFormat="1" applyFont="1" applyFill="1" applyBorder="1"/>
    <xf numFmtId="168" fontId="64" fillId="0" borderId="32" xfId="0" applyNumberFormat="1" applyFont="1" applyFill="1" applyBorder="1"/>
    <xf numFmtId="168" fontId="64" fillId="0" borderId="33" xfId="0" applyNumberFormat="1" applyFont="1" applyFill="1" applyBorder="1"/>
    <xf numFmtId="10" fontId="9" fillId="0" borderId="0" xfId="0" applyNumberFormat="1" applyFont="1"/>
    <xf numFmtId="10" fontId="9" fillId="0" borderId="17" xfId="0" applyNumberFormat="1" applyFont="1" applyBorder="1"/>
    <xf numFmtId="0" fontId="9" fillId="0" borderId="6" xfId="0" applyFont="1" applyBorder="1" applyAlignment="1">
      <alignment horizontal="center" wrapText="1"/>
    </xf>
    <xf numFmtId="0" fontId="9" fillId="37" borderId="39" xfId="0" quotePrefix="1" applyFont="1" applyFill="1" applyBorder="1" applyAlignment="1">
      <alignment horizontal="center" wrapText="1"/>
    </xf>
    <xf numFmtId="0" fontId="9" fillId="37" borderId="24" xfId="0" quotePrefix="1" applyFont="1" applyFill="1" applyBorder="1" applyAlignment="1">
      <alignment horizontal="center" wrapText="1"/>
    </xf>
    <xf numFmtId="44" fontId="9" fillId="37" borderId="32" xfId="0" applyNumberFormat="1" applyFont="1" applyFill="1" applyBorder="1"/>
    <xf numFmtId="44" fontId="9" fillId="37" borderId="40" xfId="0" applyNumberFormat="1" applyFont="1" applyFill="1" applyBorder="1"/>
    <xf numFmtId="44" fontId="9" fillId="37" borderId="30" xfId="0" applyNumberFormat="1" applyFont="1" applyFill="1" applyBorder="1"/>
    <xf numFmtId="44" fontId="9" fillId="37" borderId="33" xfId="0" applyNumberFormat="1" applyFont="1" applyFill="1" applyBorder="1"/>
    <xf numFmtId="0" fontId="11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62" fillId="0" borderId="18" xfId="323" quotePrefix="1" applyFont="1" applyFill="1" applyBorder="1" applyAlignment="1">
      <alignment horizontal="center" wrapText="1"/>
    </xf>
    <xf numFmtId="165" fontId="9" fillId="0" borderId="0" xfId="0" applyNumberFormat="1" applyFont="1" applyFill="1"/>
    <xf numFmtId="164" fontId="9" fillId="0" borderId="3" xfId="0" applyNumberFormat="1" applyFont="1" applyFill="1" applyBorder="1"/>
    <xf numFmtId="165" fontId="9" fillId="0" borderId="3" xfId="0" applyNumberFormat="1" applyFont="1" applyFill="1" applyBorder="1"/>
    <xf numFmtId="164" fontId="9" fillId="0" borderId="0" xfId="0" applyNumberFormat="1" applyFont="1" applyFill="1" applyBorder="1"/>
    <xf numFmtId="165" fontId="9" fillId="0" borderId="0" xfId="0" applyNumberFormat="1" applyFont="1" applyFill="1" applyBorder="1"/>
    <xf numFmtId="164" fontId="9" fillId="0" borderId="17" xfId="0" applyNumberFormat="1" applyFont="1" applyFill="1" applyBorder="1"/>
    <xf numFmtId="164" fontId="64" fillId="0" borderId="0" xfId="0" applyNumberFormat="1" applyFont="1" applyFill="1"/>
    <xf numFmtId="17" fontId="62" fillId="0" borderId="18" xfId="323" quotePrefix="1" applyNumberFormat="1" applyFont="1" applyFill="1" applyBorder="1" applyAlignment="1">
      <alignment horizontal="center" wrapText="1"/>
    </xf>
    <xf numFmtId="0" fontId="9" fillId="0" borderId="0" xfId="0" applyFont="1" applyBorder="1"/>
    <xf numFmtId="165" fontId="9" fillId="0" borderId="52" xfId="0" applyNumberFormat="1" applyFont="1" applyFill="1" applyBorder="1"/>
    <xf numFmtId="165" fontId="9" fillId="0" borderId="53" xfId="0" applyNumberFormat="1" applyFont="1" applyFill="1" applyBorder="1"/>
    <xf numFmtId="165" fontId="9" fillId="0" borderId="54" xfId="0" applyNumberFormat="1" applyFont="1" applyFill="1" applyBorder="1"/>
    <xf numFmtId="165" fontId="9" fillId="0" borderId="55" xfId="0" applyNumberFormat="1" applyFont="1" applyFill="1" applyBorder="1"/>
    <xf numFmtId="164" fontId="9" fillId="0" borderId="56" xfId="0" applyNumberFormat="1" applyFont="1" applyFill="1" applyBorder="1"/>
    <xf numFmtId="164" fontId="9" fillId="0" borderId="57" xfId="0" applyNumberFormat="1" applyFont="1" applyFill="1" applyBorder="1"/>
    <xf numFmtId="0" fontId="9" fillId="0" borderId="58" xfId="0" applyFont="1" applyBorder="1"/>
    <xf numFmtId="0" fontId="9" fillId="0" borderId="59" xfId="0" applyFont="1" applyBorder="1"/>
    <xf numFmtId="0" fontId="9" fillId="40" borderId="48" xfId="323" applyFont="1" applyFill="1" applyBorder="1" applyAlignment="1">
      <alignment horizontal="center"/>
    </xf>
    <xf numFmtId="0" fontId="9" fillId="40" borderId="49" xfId="323" applyFont="1" applyFill="1" applyBorder="1" applyAlignment="1">
      <alignment horizontal="center"/>
    </xf>
    <xf numFmtId="17" fontId="11" fillId="40" borderId="50" xfId="323" quotePrefix="1" applyNumberFormat="1" applyFont="1" applyFill="1" applyBorder="1" applyAlignment="1">
      <alignment horizontal="center" wrapText="1"/>
    </xf>
    <xf numFmtId="17" fontId="11" fillId="40" borderId="51" xfId="323" quotePrefix="1" applyNumberFormat="1" applyFont="1" applyFill="1" applyBorder="1" applyAlignment="1">
      <alignment horizontal="center" wrapText="1"/>
    </xf>
    <xf numFmtId="165" fontId="64" fillId="0" borderId="53" xfId="0" applyNumberFormat="1" applyFont="1" applyFill="1" applyBorder="1"/>
    <xf numFmtId="0" fontId="9" fillId="38" borderId="0" xfId="0" applyFont="1" applyFill="1"/>
    <xf numFmtId="0" fontId="9" fillId="38" borderId="31" xfId="0" applyFont="1" applyFill="1" applyBorder="1" applyAlignment="1">
      <alignment horizontal="center"/>
    </xf>
    <xf numFmtId="3" fontId="9" fillId="38" borderId="34" xfId="0" applyNumberFormat="1" applyFont="1" applyFill="1" applyBorder="1" applyAlignment="1">
      <alignment horizontal="right"/>
    </xf>
    <xf numFmtId="3" fontId="9" fillId="38" borderId="19" xfId="0" applyNumberFormat="1" applyFont="1" applyFill="1" applyBorder="1"/>
    <xf numFmtId="3" fontId="9" fillId="38" borderId="31" xfId="0" applyNumberFormat="1" applyFont="1" applyFill="1" applyBorder="1"/>
    <xf numFmtId="0" fontId="9" fillId="38" borderId="32" xfId="0" applyFont="1" applyFill="1" applyBorder="1" applyAlignment="1">
      <alignment horizontal="center"/>
    </xf>
    <xf numFmtId="3" fontId="9" fillId="38" borderId="28" xfId="0" applyNumberFormat="1" applyFont="1" applyFill="1" applyBorder="1" applyAlignment="1">
      <alignment horizontal="right"/>
    </xf>
    <xf numFmtId="3" fontId="9" fillId="38" borderId="0" xfId="0" applyNumberFormat="1" applyFont="1" applyFill="1" applyBorder="1"/>
    <xf numFmtId="3" fontId="9" fillId="38" borderId="32" xfId="0" applyNumberFormat="1" applyFont="1" applyFill="1" applyBorder="1"/>
    <xf numFmtId="0" fontId="9" fillId="38" borderId="33" xfId="0" applyFont="1" applyFill="1" applyBorder="1" applyAlignment="1">
      <alignment horizontal="center"/>
    </xf>
    <xf numFmtId="3" fontId="9" fillId="38" borderId="30" xfId="0" applyNumberFormat="1" applyFont="1" applyFill="1" applyBorder="1" applyAlignment="1">
      <alignment horizontal="right"/>
    </xf>
    <xf numFmtId="3" fontId="9" fillId="38" borderId="18" xfId="0" applyNumberFormat="1" applyFont="1" applyFill="1" applyBorder="1"/>
    <xf numFmtId="3" fontId="9" fillId="38" borderId="33" xfId="0" applyNumberFormat="1" applyFont="1" applyFill="1" applyBorder="1"/>
    <xf numFmtId="0" fontId="66" fillId="38" borderId="0" xfId="0" applyFont="1" applyFill="1"/>
    <xf numFmtId="0" fontId="59" fillId="38" borderId="0" xfId="0" applyFont="1" applyFill="1"/>
    <xf numFmtId="0" fontId="60" fillId="38" borderId="0" xfId="0" applyFont="1" applyFill="1"/>
    <xf numFmtId="0" fontId="66" fillId="38" borderId="0" xfId="0" applyFont="1" applyFill="1" applyAlignment="1">
      <alignment horizontal="center"/>
    </xf>
    <xf numFmtId="0" fontId="67" fillId="38" borderId="39" xfId="0" applyFont="1" applyFill="1" applyBorder="1" applyAlignment="1">
      <alignment horizontal="center"/>
    </xf>
    <xf numFmtId="0" fontId="67" fillId="38" borderId="3" xfId="0" applyFont="1" applyFill="1" applyBorder="1" applyAlignment="1">
      <alignment horizontal="center"/>
    </xf>
    <xf numFmtId="0" fontId="67" fillId="38" borderId="24" xfId="0" applyFont="1" applyFill="1" applyBorder="1" applyAlignment="1">
      <alignment horizontal="center"/>
    </xf>
    <xf numFmtId="0" fontId="67" fillId="38" borderId="6" xfId="0" applyFont="1" applyFill="1" applyBorder="1" applyAlignment="1">
      <alignment horizontal="center"/>
    </xf>
    <xf numFmtId="0" fontId="68" fillId="38" borderId="32" xfId="0" applyFont="1" applyFill="1" applyBorder="1"/>
    <xf numFmtId="0" fontId="68" fillId="38" borderId="33" xfId="0" applyFont="1" applyFill="1" applyBorder="1"/>
    <xf numFmtId="44" fontId="9" fillId="38" borderId="17" xfId="0" applyNumberFormat="1" applyFont="1" applyFill="1" applyBorder="1"/>
    <xf numFmtId="0" fontId="9" fillId="38" borderId="0" xfId="0" applyFont="1" applyFill="1" applyAlignment="1">
      <alignment horizontal="left"/>
    </xf>
    <xf numFmtId="164" fontId="9" fillId="38" borderId="17" xfId="0" applyNumberFormat="1" applyFont="1" applyFill="1" applyBorder="1"/>
    <xf numFmtId="168" fontId="64" fillId="38" borderId="32" xfId="0" applyNumberFormat="1" applyFont="1" applyFill="1" applyBorder="1"/>
    <xf numFmtId="168" fontId="64" fillId="38" borderId="29" xfId="0" quotePrefix="1" applyNumberFormat="1" applyFont="1" applyFill="1" applyBorder="1" applyAlignment="1"/>
    <xf numFmtId="0" fontId="9" fillId="20" borderId="0" xfId="434" applyFont="1" applyFill="1"/>
    <xf numFmtId="0" fontId="9" fillId="0" borderId="0" xfId="434" applyFont="1"/>
    <xf numFmtId="0" fontId="9" fillId="0" borderId="39" xfId="435" applyFont="1" applyBorder="1" applyAlignment="1">
      <alignment horizontal="right"/>
    </xf>
    <xf numFmtId="0" fontId="9" fillId="22" borderId="3" xfId="435" applyFont="1" applyFill="1" applyBorder="1" applyAlignment="1">
      <alignment horizontal="center"/>
    </xf>
    <xf numFmtId="0" fontId="9" fillId="0" borderId="3" xfId="435" applyFont="1" applyBorder="1" applyAlignment="1">
      <alignment horizontal="center"/>
    </xf>
    <xf numFmtId="183" fontId="9" fillId="0" borderId="24" xfId="435" applyNumberFormat="1" applyFont="1" applyBorder="1" applyAlignment="1">
      <alignment horizontal="left"/>
    </xf>
    <xf numFmtId="0" fontId="9" fillId="22" borderId="34" xfId="434" applyFont="1" applyFill="1" applyBorder="1"/>
    <xf numFmtId="0" fontId="9" fillId="22" borderId="19" xfId="434" applyFont="1" applyFill="1" applyBorder="1"/>
    <xf numFmtId="0" fontId="9" fillId="22" borderId="35" xfId="434" applyFont="1" applyFill="1" applyBorder="1"/>
    <xf numFmtId="0" fontId="9" fillId="22" borderId="28" xfId="434" applyFont="1" applyFill="1" applyBorder="1"/>
    <xf numFmtId="0" fontId="9" fillId="22" borderId="0" xfId="434" applyFont="1" applyFill="1" applyBorder="1"/>
    <xf numFmtId="165" fontId="9" fillId="22" borderId="0" xfId="434" applyNumberFormat="1" applyFont="1" applyFill="1" applyBorder="1"/>
    <xf numFmtId="165" fontId="9" fillId="22" borderId="29" xfId="434" applyNumberFormat="1" applyFont="1" applyFill="1" applyBorder="1"/>
    <xf numFmtId="0" fontId="9" fillId="22" borderId="29" xfId="434" applyFont="1" applyFill="1" applyBorder="1"/>
    <xf numFmtId="6" fontId="9" fillId="22" borderId="0" xfId="434" applyNumberFormat="1" applyFont="1" applyFill="1" applyBorder="1"/>
    <xf numFmtId="6" fontId="9" fillId="22" borderId="29" xfId="434" applyNumberFormat="1" applyFont="1" applyFill="1" applyBorder="1"/>
    <xf numFmtId="0" fontId="9" fillId="22" borderId="30" xfId="434" applyFont="1" applyFill="1" applyBorder="1"/>
    <xf numFmtId="0" fontId="11" fillId="22" borderId="6" xfId="434" applyFont="1" applyFill="1" applyBorder="1"/>
    <xf numFmtId="0" fontId="9" fillId="22" borderId="18" xfId="434" applyFont="1" applyFill="1" applyBorder="1"/>
    <xf numFmtId="0" fontId="9" fillId="22" borderId="25" xfId="434" applyFont="1" applyFill="1" applyBorder="1"/>
    <xf numFmtId="0" fontId="69" fillId="20" borderId="0" xfId="0" applyFont="1" applyFill="1"/>
    <xf numFmtId="0" fontId="70" fillId="20" borderId="0" xfId="0" applyFont="1" applyFill="1"/>
    <xf numFmtId="0" fontId="9" fillId="20" borderId="0" xfId="0" applyFont="1" applyFill="1"/>
    <xf numFmtId="0" fontId="71" fillId="20" borderId="0" xfId="428" applyFont="1" applyFill="1" applyAlignment="1" applyProtection="1"/>
    <xf numFmtId="0" fontId="9" fillId="41" borderId="0" xfId="0" applyFont="1" applyFill="1" applyAlignment="1"/>
    <xf numFmtId="0" fontId="11" fillId="20" borderId="0" xfId="0" applyFont="1" applyFill="1" applyAlignment="1"/>
    <xf numFmtId="0" fontId="71" fillId="20" borderId="0" xfId="428" applyFont="1" applyFill="1" applyBorder="1" applyAlignment="1" applyProtection="1"/>
    <xf numFmtId="0" fontId="72" fillId="20" borderId="0" xfId="0" applyFont="1" applyFill="1"/>
    <xf numFmtId="0" fontId="11" fillId="0" borderId="0" xfId="434" applyFont="1"/>
    <xf numFmtId="0" fontId="11" fillId="0" borderId="0" xfId="434" applyFont="1" applyAlignment="1">
      <alignment horizontal="center"/>
    </xf>
    <xf numFmtId="18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435" applyFont="1" applyAlignment="1">
      <alignment horizontal="center"/>
    </xf>
    <xf numFmtId="0" fontId="9" fillId="0" borderId="60" xfId="434" applyFont="1" applyBorder="1"/>
    <xf numFmtId="0" fontId="9" fillId="0" borderId="60" xfId="434" applyFont="1" applyBorder="1" applyAlignment="1">
      <alignment horizontal="center"/>
    </xf>
    <xf numFmtId="2" fontId="9" fillId="0" borderId="0" xfId="434" applyNumberFormat="1" applyFont="1"/>
    <xf numFmtId="3" fontId="9" fillId="0" borderId="0" xfId="434" applyNumberFormat="1" applyFont="1"/>
    <xf numFmtId="165" fontId="9" fillId="0" borderId="0" xfId="0" applyNumberFormat="1" applyFont="1" applyBorder="1"/>
    <xf numFmtId="0" fontId="9" fillId="0" borderId="61" xfId="434" applyFont="1" applyBorder="1"/>
    <xf numFmtId="2" fontId="9" fillId="0" borderId="61" xfId="434" applyNumberFormat="1" applyFont="1" applyBorder="1"/>
    <xf numFmtId="3" fontId="9" fillId="0" borderId="61" xfId="434" applyNumberFormat="1" applyFont="1" applyBorder="1"/>
    <xf numFmtId="165" fontId="9" fillId="0" borderId="61" xfId="0" applyNumberFormat="1" applyFont="1" applyBorder="1"/>
    <xf numFmtId="0" fontId="9" fillId="0" borderId="19" xfId="434" applyFont="1" applyBorder="1"/>
    <xf numFmtId="165" fontId="9" fillId="0" borderId="19" xfId="434" applyNumberFormat="1" applyFont="1" applyBorder="1"/>
    <xf numFmtId="6" fontId="9" fillId="0" borderId="19" xfId="434" applyNumberFormat="1" applyFont="1" applyBorder="1"/>
    <xf numFmtId="0" fontId="9" fillId="0" borderId="0" xfId="434" applyFont="1" applyAlignment="1">
      <alignment horizontal="right"/>
    </xf>
    <xf numFmtId="165" fontId="9" fillId="0" borderId="34" xfId="434" applyNumberFormat="1" applyFont="1" applyBorder="1"/>
    <xf numFmtId="165" fontId="9" fillId="0" borderId="35" xfId="434" applyNumberFormat="1" applyFont="1" applyBorder="1"/>
    <xf numFmtId="165" fontId="9" fillId="0" borderId="0" xfId="434" applyNumberFormat="1" applyFont="1"/>
    <xf numFmtId="165" fontId="9" fillId="0" borderId="30" xfId="434" applyNumberFormat="1" applyFont="1" applyBorder="1"/>
    <xf numFmtId="0" fontId="9" fillId="0" borderId="18" xfId="434" applyFont="1" applyBorder="1"/>
    <xf numFmtId="6" fontId="9" fillId="0" borderId="18" xfId="434" applyNumberFormat="1" applyFont="1" applyBorder="1"/>
    <xf numFmtId="165" fontId="9" fillId="0" borderId="25" xfId="434" applyNumberFormat="1" applyFont="1" applyBorder="1"/>
    <xf numFmtId="0" fontId="9" fillId="0" borderId="0" xfId="435" applyFont="1"/>
    <xf numFmtId="0" fontId="9" fillId="0" borderId="60" xfId="435" applyFont="1" applyBorder="1" applyAlignment="1">
      <alignment horizontal="center"/>
    </xf>
    <xf numFmtId="165" fontId="73" fillId="0" borderId="0" xfId="0" applyNumberFormat="1" applyFont="1" applyBorder="1"/>
    <xf numFmtId="184" fontId="9" fillId="0" borderId="0" xfId="434" applyNumberFormat="1" applyFont="1"/>
    <xf numFmtId="0" fontId="9" fillId="0" borderId="0" xfId="434" applyFont="1" applyAlignment="1">
      <alignment horizontal="left"/>
    </xf>
    <xf numFmtId="0" fontId="9" fillId="0" borderId="0" xfId="434" applyFont="1" applyAlignment="1">
      <alignment horizontal="center"/>
    </xf>
    <xf numFmtId="165" fontId="9" fillId="0" borderId="18" xfId="0" applyNumberFormat="1" applyFont="1" applyBorder="1"/>
    <xf numFmtId="165" fontId="9" fillId="22" borderId="18" xfId="434" applyNumberFormat="1" applyFont="1" applyFill="1" applyBorder="1"/>
    <xf numFmtId="165" fontId="9" fillId="22" borderId="25" xfId="434" applyNumberFormat="1" applyFont="1" applyFill="1" applyBorder="1"/>
    <xf numFmtId="0" fontId="9" fillId="38" borderId="0" xfId="434" applyFont="1" applyFill="1"/>
    <xf numFmtId="165" fontId="9" fillId="38" borderId="0" xfId="434" applyNumberFormat="1" applyFont="1" applyFill="1"/>
    <xf numFmtId="0" fontId="9" fillId="0" borderId="36" xfId="0" applyFont="1" applyFill="1" applyBorder="1"/>
    <xf numFmtId="0" fontId="9" fillId="0" borderId="16" xfId="0" applyFont="1" applyFill="1" applyBorder="1"/>
    <xf numFmtId="0" fontId="9" fillId="0" borderId="37" xfId="0" applyFont="1" applyFill="1" applyBorder="1"/>
    <xf numFmtId="0" fontId="9" fillId="0" borderId="38" xfId="0" applyFont="1" applyFill="1" applyBorder="1"/>
    <xf numFmtId="0" fontId="11" fillId="0" borderId="39" xfId="0" quotePrefix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3" xfId="0" quotePrefix="1" applyFont="1" applyFill="1" applyBorder="1" applyAlignment="1">
      <alignment horizontal="center" wrapText="1"/>
    </xf>
    <xf numFmtId="0" fontId="11" fillId="0" borderId="24" xfId="0" quotePrefix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0" fontId="9" fillId="0" borderId="28" xfId="0" quotePrefix="1" applyFont="1" applyFill="1" applyBorder="1" applyAlignment="1">
      <alignment horizontal="left"/>
    </xf>
    <xf numFmtId="164" fontId="64" fillId="0" borderId="0" xfId="0" applyNumberFormat="1" applyFont="1" applyFill="1" applyBorder="1"/>
    <xf numFmtId="164" fontId="9" fillId="0" borderId="42" xfId="0" applyNumberFormat="1" applyFont="1" applyFill="1" applyBorder="1"/>
    <xf numFmtId="0" fontId="9" fillId="0" borderId="30" xfId="0" quotePrefix="1" applyFont="1" applyFill="1" applyBorder="1" applyAlignment="1">
      <alignment horizontal="left"/>
    </xf>
    <xf numFmtId="164" fontId="64" fillId="0" borderId="18" xfId="0" applyNumberFormat="1" applyFont="1" applyFill="1" applyBorder="1"/>
    <xf numFmtId="164" fontId="64" fillId="0" borderId="44" xfId="0" applyNumberFormat="1" applyFont="1" applyFill="1" applyBorder="1"/>
    <xf numFmtId="164" fontId="9" fillId="0" borderId="43" xfId="0" applyNumberFormat="1" applyFont="1" applyFill="1" applyBorder="1"/>
    <xf numFmtId="164" fontId="64" fillId="0" borderId="45" xfId="0" applyNumberFormat="1" applyFont="1" applyFill="1" applyBorder="1"/>
    <xf numFmtId="0" fontId="76" fillId="0" borderId="26" xfId="0" quotePrefix="1" applyFont="1" applyFill="1" applyBorder="1" applyAlignment="1"/>
    <xf numFmtId="0" fontId="76" fillId="0" borderId="2" xfId="0" quotePrefix="1" applyFont="1" applyFill="1" applyBorder="1" applyAlignment="1"/>
    <xf numFmtId="164" fontId="76" fillId="0" borderId="27" xfId="0" applyNumberFormat="1" applyFont="1" applyFill="1" applyBorder="1"/>
    <xf numFmtId="0" fontId="76" fillId="0" borderId="26" xfId="0" quotePrefix="1" applyFont="1" applyFill="1" applyBorder="1" applyAlignment="1">
      <alignment horizontal="left"/>
    </xf>
    <xf numFmtId="164" fontId="76" fillId="0" borderId="2" xfId="0" quotePrefix="1" applyNumberFormat="1" applyFont="1" applyFill="1" applyBorder="1" applyAlignment="1"/>
    <xf numFmtId="0" fontId="9" fillId="0" borderId="0" xfId="0" quotePrefix="1" applyFont="1" applyFill="1" applyBorder="1" applyAlignment="1">
      <alignment horizontal="left"/>
    </xf>
    <xf numFmtId="0" fontId="9" fillId="0" borderId="18" xfId="0" applyFont="1" applyFill="1" applyBorder="1"/>
    <xf numFmtId="0" fontId="9" fillId="0" borderId="18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left"/>
    </xf>
    <xf numFmtId="164" fontId="62" fillId="0" borderId="0" xfId="236" applyNumberFormat="1" applyFont="1" applyFill="1" applyBorder="1"/>
    <xf numFmtId="0" fontId="9" fillId="0" borderId="0" xfId="0" applyFont="1" applyFill="1" applyBorder="1" applyAlignment="1">
      <alignment horizontal="left"/>
    </xf>
    <xf numFmtId="164" fontId="9" fillId="0" borderId="0" xfId="236" applyNumberFormat="1" applyFont="1" applyFill="1" applyBorder="1"/>
    <xf numFmtId="165" fontId="11" fillId="0" borderId="3" xfId="262" applyNumberFormat="1" applyFont="1" applyFill="1" applyBorder="1"/>
    <xf numFmtId="0" fontId="9" fillId="0" borderId="0" xfId="0" quotePrefix="1" applyFont="1" applyFill="1" applyBorder="1" applyAlignment="1">
      <alignment horizontal="left" indent="1"/>
    </xf>
    <xf numFmtId="165" fontId="64" fillId="0" borderId="0" xfId="262" applyNumberFormat="1" applyFont="1" applyFill="1" applyBorder="1"/>
    <xf numFmtId="0" fontId="9" fillId="0" borderId="0" xfId="0" applyFont="1" applyFill="1" applyBorder="1" applyAlignment="1">
      <alignment horizontal="left" indent="2"/>
    </xf>
    <xf numFmtId="165" fontId="9" fillId="0" borderId="3" xfId="262" applyNumberFormat="1" applyFont="1" applyFill="1" applyBorder="1"/>
    <xf numFmtId="0" fontId="9" fillId="0" borderId="0" xfId="0" quotePrefix="1" applyFont="1" applyFill="1" applyBorder="1" applyAlignment="1">
      <alignment horizontal="left" indent="3"/>
    </xf>
    <xf numFmtId="167" fontId="64" fillId="0" borderId="0" xfId="236" applyNumberFormat="1" applyFont="1" applyFill="1" applyBorder="1"/>
    <xf numFmtId="0" fontId="11" fillId="0" borderId="0" xfId="0" quotePrefix="1" applyFont="1" applyFill="1" applyBorder="1" applyAlignment="1">
      <alignment horizontal="left" indent="4"/>
    </xf>
    <xf numFmtId="165" fontId="11" fillId="0" borderId="17" xfId="262" applyNumberFormat="1" applyFont="1" applyFill="1" applyBorder="1"/>
    <xf numFmtId="168" fontId="11" fillId="0" borderId="17" xfId="262" applyNumberFormat="1" applyFont="1" applyFill="1" applyBorder="1"/>
    <xf numFmtId="0" fontId="77" fillId="0" borderId="0" xfId="0" applyFont="1" applyFill="1" applyBorder="1"/>
    <xf numFmtId="44" fontId="9" fillId="0" borderId="3" xfId="0" applyNumberFormat="1" applyFont="1" applyFill="1" applyBorder="1"/>
    <xf numFmtId="0" fontId="11" fillId="0" borderId="0" xfId="0" quotePrefix="1" applyFont="1" applyFill="1" applyBorder="1" applyAlignment="1">
      <alignment horizontal="left" indent="1"/>
    </xf>
    <xf numFmtId="10" fontId="11" fillId="0" borderId="17" xfId="357" applyNumberFormat="1" applyFont="1" applyFill="1" applyBorder="1"/>
    <xf numFmtId="44" fontId="64" fillId="0" borderId="0" xfId="0" applyNumberFormat="1" applyFont="1" applyFill="1" applyBorder="1"/>
    <xf numFmtId="0" fontId="11" fillId="0" borderId="6" xfId="0" quotePrefix="1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9" fillId="0" borderId="34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34" xfId="0" quotePrefix="1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28" xfId="0" applyFont="1" applyFill="1" applyBorder="1"/>
    <xf numFmtId="165" fontId="9" fillId="0" borderId="0" xfId="263" applyNumberFormat="1" applyFont="1" applyFill="1"/>
    <xf numFmtId="165" fontId="9" fillId="0" borderId="0" xfId="262" applyNumberFormat="1" applyFont="1" applyFill="1"/>
    <xf numFmtId="0" fontId="78" fillId="0" borderId="0" xfId="0" applyNumberFormat="1" applyFont="1" applyFill="1" applyAlignment="1"/>
    <xf numFmtId="0" fontId="78" fillId="0" borderId="0" xfId="0" applyNumberFormat="1" applyFont="1" applyAlignment="1">
      <alignment horizontal="right"/>
    </xf>
    <xf numFmtId="0" fontId="78" fillId="0" borderId="0" xfId="0" applyNumberFormat="1" applyFont="1" applyFill="1" applyBorder="1" applyAlignment="1"/>
    <xf numFmtId="0" fontId="11" fillId="0" borderId="52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11" fillId="42" borderId="26" xfId="0" applyNumberFormat="1" applyFont="1" applyFill="1" applyBorder="1" applyAlignment="1"/>
    <xf numFmtId="0" fontId="11" fillId="42" borderId="62" xfId="0" applyNumberFormat="1" applyFont="1" applyFill="1" applyBorder="1" applyAlignment="1">
      <alignment horizontal="right"/>
    </xf>
    <xf numFmtId="0" fontId="11" fillId="0" borderId="52" xfId="436" applyNumberFormat="1" applyFont="1" applyFill="1" applyBorder="1" applyAlignment="1" applyProtection="1">
      <alignment horizontal="centerContinuous"/>
      <protection locked="0"/>
    </xf>
    <xf numFmtId="0" fontId="11" fillId="0" borderId="0" xfId="436" applyNumberFormat="1" applyFont="1" applyFill="1" applyBorder="1" applyAlignment="1">
      <alignment horizontal="centerContinuous"/>
    </xf>
    <xf numFmtId="0" fontId="61" fillId="0" borderId="52" xfId="436" applyNumberFormat="1" applyFont="1" applyFill="1" applyBorder="1" applyAlignment="1">
      <alignment horizontal="centerContinuous"/>
    </xf>
    <xf numFmtId="0" fontId="61" fillId="0" borderId="0" xfId="436" applyNumberFormat="1" applyFont="1" applyFill="1" applyBorder="1" applyAlignment="1">
      <alignment horizontal="centerContinuous"/>
    </xf>
    <xf numFmtId="0" fontId="60" fillId="0" borderId="52" xfId="0" applyNumberFormat="1" applyFont="1" applyFill="1" applyBorder="1" applyAlignment="1">
      <alignment horizontal="centerContinuous"/>
    </xf>
    <xf numFmtId="0" fontId="58" fillId="0" borderId="0" xfId="0" applyFont="1" applyFill="1" applyBorder="1" applyAlignment="1">
      <alignment horizontal="centerContinuous" wrapText="1"/>
    </xf>
    <xf numFmtId="0" fontId="11" fillId="0" borderId="52" xfId="436" applyNumberFormat="1" applyFont="1" applyFill="1" applyBorder="1" applyAlignment="1">
      <alignment horizontal="centerContinuous"/>
    </xf>
    <xf numFmtId="0" fontId="78" fillId="0" borderId="0" xfId="0" applyNumberFormat="1" applyFont="1" applyFill="1" applyAlignment="1">
      <alignment horizontal="center"/>
    </xf>
    <xf numFmtId="0" fontId="78" fillId="0" borderId="18" xfId="0" applyNumberFormat="1" applyFont="1" applyFill="1" applyBorder="1" applyAlignment="1">
      <alignment horizontal="center"/>
    </xf>
    <xf numFmtId="0" fontId="78" fillId="0" borderId="18" xfId="0" applyNumberFormat="1" applyFont="1" applyFill="1" applyBorder="1" applyAlignment="1" applyProtection="1">
      <protection locked="0"/>
    </xf>
    <xf numFmtId="0" fontId="78" fillId="0" borderId="18" xfId="0" applyNumberFormat="1" applyFont="1" applyFill="1" applyBorder="1" applyAlignment="1"/>
    <xf numFmtId="0" fontId="78" fillId="0" borderId="18" xfId="0" applyNumberFormat="1" applyFont="1" applyFill="1" applyBorder="1" applyAlignment="1">
      <alignment horizontal="right"/>
    </xf>
    <xf numFmtId="0" fontId="79" fillId="0" borderId="0" xfId="0" applyNumberFormat="1" applyFont="1" applyFill="1" applyAlignment="1"/>
    <xf numFmtId="0" fontId="79" fillId="0" borderId="0" xfId="0" quotePrefix="1" applyNumberFormat="1" applyFont="1" applyFill="1" applyAlignment="1">
      <alignment horizontal="center"/>
    </xf>
    <xf numFmtId="0" fontId="79" fillId="0" borderId="0" xfId="0" applyNumberFormat="1" applyFont="1" applyFill="1" applyAlignment="1">
      <alignment horizontal="center"/>
    </xf>
    <xf numFmtId="0" fontId="79" fillId="0" borderId="0" xfId="0" applyNumberFormat="1" applyFont="1" applyFill="1" applyAlignment="1">
      <alignment horizontal="left"/>
    </xf>
    <xf numFmtId="169" fontId="79" fillId="0" borderId="0" xfId="0" applyNumberFormat="1" applyFont="1" applyFill="1" applyAlignment="1"/>
    <xf numFmtId="0" fontId="80" fillId="0" borderId="0" xfId="0" applyNumberFormat="1" applyFont="1" applyFill="1" applyAlignment="1"/>
    <xf numFmtId="181" fontId="79" fillId="0" borderId="0" xfId="0" applyNumberFormat="1" applyFont="1" applyFill="1" applyAlignment="1"/>
    <xf numFmtId="169" fontId="79" fillId="0" borderId="18" xfId="0" applyNumberFormat="1" applyFont="1" applyFill="1" applyBorder="1" applyAlignment="1"/>
    <xf numFmtId="169" fontId="79" fillId="0" borderId="0" xfId="0" applyNumberFormat="1" applyFont="1" applyFill="1" applyBorder="1" applyAlignment="1"/>
    <xf numFmtId="169" fontId="78" fillId="0" borderId="0" xfId="0" applyNumberFormat="1" applyFont="1" applyFill="1" applyAlignment="1"/>
    <xf numFmtId="9" fontId="79" fillId="0" borderId="0" xfId="0" applyNumberFormat="1" applyFont="1" applyFill="1" applyAlignment="1"/>
    <xf numFmtId="169" fontId="79" fillId="0" borderId="17" xfId="0" applyNumberFormat="1" applyFont="1" applyFill="1" applyBorder="1" applyAlignment="1" applyProtection="1">
      <protection locked="0"/>
    </xf>
    <xf numFmtId="10" fontId="9" fillId="0" borderId="0" xfId="0" applyNumberFormat="1" applyFont="1" applyFill="1"/>
    <xf numFmtId="17" fontId="11" fillId="43" borderId="26" xfId="0" quotePrefix="1" applyNumberFormat="1" applyFont="1" applyFill="1" applyBorder="1" applyAlignment="1">
      <alignment horizontal="center" wrapText="1"/>
    </xf>
    <xf numFmtId="17" fontId="11" fillId="43" borderId="27" xfId="0" quotePrefix="1" applyNumberFormat="1" applyFont="1" applyFill="1" applyBorder="1" applyAlignment="1">
      <alignment horizontal="center" wrapText="1"/>
    </xf>
    <xf numFmtId="168" fontId="9" fillId="0" borderId="0" xfId="0" applyNumberFormat="1" applyFont="1" applyFill="1"/>
    <xf numFmtId="168" fontId="9" fillId="0" borderId="3" xfId="0" applyNumberFormat="1" applyFont="1" applyFill="1" applyBorder="1"/>
    <xf numFmtId="168" fontId="9" fillId="0" borderId="0" xfId="0" applyNumberFormat="1" applyFont="1" applyFill="1" applyBorder="1"/>
    <xf numFmtId="168" fontId="9" fillId="0" borderId="17" xfId="0" applyNumberFormat="1" applyFont="1" applyFill="1" applyBorder="1"/>
    <xf numFmtId="0" fontId="61" fillId="0" borderId="0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62" fillId="0" borderId="0" xfId="323" applyFont="1" applyFill="1" applyAlignment="1">
      <alignment horizontal="center"/>
    </xf>
    <xf numFmtId="0" fontId="11" fillId="0" borderId="0" xfId="323" applyFont="1" applyFill="1" applyAlignment="1">
      <alignment horizontal="center"/>
    </xf>
    <xf numFmtId="0" fontId="9" fillId="37" borderId="0" xfId="0" quotePrefix="1" applyFont="1" applyFill="1" applyAlignment="1">
      <alignment horizontal="center"/>
    </xf>
    <xf numFmtId="0" fontId="9" fillId="0" borderId="0" xfId="0" quotePrefix="1" applyFont="1" applyAlignment="1">
      <alignment horizontal="left" indent="3"/>
    </xf>
    <xf numFmtId="0" fontId="9" fillId="0" borderId="0" xfId="0" quotePrefix="1" applyFont="1" applyFill="1" applyAlignment="1">
      <alignment horizontal="left" indent="3"/>
    </xf>
    <xf numFmtId="0" fontId="9" fillId="0" borderId="0" xfId="0" quotePrefix="1" applyFont="1" applyAlignment="1">
      <alignment horizontal="left" indent="1"/>
    </xf>
    <xf numFmtId="0" fontId="9" fillId="0" borderId="0" xfId="0" quotePrefix="1" applyFont="1" applyFill="1" applyAlignment="1">
      <alignment horizontal="left" indent="1"/>
    </xf>
    <xf numFmtId="0" fontId="9" fillId="0" borderId="0" xfId="0" quotePrefix="1" applyFont="1" applyFill="1" applyAlignment="1">
      <alignment horizontal="left" indent="2"/>
    </xf>
    <xf numFmtId="0" fontId="9" fillId="38" borderId="0" xfId="0" quotePrefix="1" applyFont="1" applyFill="1" applyAlignment="1">
      <alignment horizontal="left" indent="3"/>
    </xf>
    <xf numFmtId="0" fontId="9" fillId="0" borderId="0" xfId="0" quotePrefix="1" applyFont="1" applyAlignment="1">
      <alignment horizontal="left" indent="2"/>
    </xf>
    <xf numFmtId="0" fontId="6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74" fillId="0" borderId="0" xfId="434" applyFont="1" applyAlignment="1">
      <alignment horizontal="center" wrapText="1"/>
    </xf>
    <xf numFmtId="0" fontId="75" fillId="0" borderId="0" xfId="0" applyFont="1" applyAlignment="1">
      <alignment horizontal="center" wrapText="1"/>
    </xf>
    <xf numFmtId="0" fontId="11" fillId="0" borderId="0" xfId="434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62" fillId="0" borderId="0" xfId="0" applyFont="1" applyFill="1" applyAlignment="1">
      <alignment horizontal="center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75" fontId="61" fillId="0" borderId="0" xfId="0" applyNumberFormat="1" applyFont="1" applyFill="1" applyAlignment="1">
      <alignment horizontal="center"/>
    </xf>
    <xf numFmtId="0" fontId="61" fillId="0" borderId="0" xfId="0" quotePrefix="1" applyFont="1" applyFill="1" applyAlignment="1">
      <alignment horizontal="center"/>
    </xf>
    <xf numFmtId="0" fontId="61" fillId="0" borderId="0" xfId="0" applyFont="1" applyFill="1" applyAlignment="1">
      <alignment horizontal="center"/>
    </xf>
  </cellXfs>
  <cellStyles count="437">
    <cellStyle name="_x0013_" xfId="2"/>
    <cellStyle name="_4.06E Pass Throughs" xfId="3"/>
    <cellStyle name="_4.06E Pass Throughs_04 07E Wild Horse Wind Expansion (C) (2)" xfId="4"/>
    <cellStyle name="_4.06E Pass Throughs_INPUTS" xfId="5"/>
    <cellStyle name="_4.06E Pass Throughs_Production Adj 4.37" xfId="6"/>
    <cellStyle name="_4.06E Pass Throughs_Purchased Power Adj 4.03" xfId="7"/>
    <cellStyle name="_4.06E Pass Throughs_ROR &amp; CONV FACTOR" xfId="8"/>
    <cellStyle name="_4.06E Pass Throughs_ROR 5.02" xfId="9"/>
    <cellStyle name="_4.13E Montana Energy Tax" xfId="10"/>
    <cellStyle name="_4.13E Montana Energy Tax_04 07E Wild Horse Wind Expansion (C) (2)" xfId="11"/>
    <cellStyle name="_4.13E Montana Energy Tax_INPUTS" xfId="12"/>
    <cellStyle name="_4.13E Montana Energy Tax_Production Adj 4.37" xfId="13"/>
    <cellStyle name="_4.13E Montana Energy Tax_Purchased Power Adj 4.03" xfId="14"/>
    <cellStyle name="_4.13E Montana Energy Tax_ROR &amp; CONV FACTOR" xfId="15"/>
    <cellStyle name="_4.13E Montana Energy Tax_ROR 5.02" xfId="16"/>
    <cellStyle name="_Book1" xfId="17"/>
    <cellStyle name="_Book1 (2)" xfId="18"/>
    <cellStyle name="_Book1 (2)_04 07E Wild Horse Wind Expansion (C) (2)" xfId="19"/>
    <cellStyle name="_Book1 (2)_INPUTS" xfId="20"/>
    <cellStyle name="_Book1 (2)_Production Adj 4.37" xfId="21"/>
    <cellStyle name="_Book1 (2)_Purchased Power Adj 4.03" xfId="22"/>
    <cellStyle name="_Book1 (2)_ROR &amp; CONV FACTOR" xfId="23"/>
    <cellStyle name="_Book1 (2)_ROR 5.02" xfId="24"/>
    <cellStyle name="_Book1_Electric COS Inputs" xfId="25"/>
    <cellStyle name="_Book1_Production Adj 4.37" xfId="26"/>
    <cellStyle name="_Book1_Purchased Power Adj 4.03" xfId="27"/>
    <cellStyle name="_Book1_ROR 5.02" xfId="28"/>
    <cellStyle name="_Book2" xfId="29"/>
    <cellStyle name="_Book2_04 07E Wild Horse Wind Expansion (C) (2)" xfId="30"/>
    <cellStyle name="_Book2_INPUTS" xfId="31"/>
    <cellStyle name="_Book2_Production Adj 4.37" xfId="32"/>
    <cellStyle name="_Book2_Purchased Power Adj 4.03" xfId="33"/>
    <cellStyle name="_Book2_ROR &amp; CONV FACTOR" xfId="34"/>
    <cellStyle name="_Book2_ROR 5.02" xfId="35"/>
    <cellStyle name="_Chelan Debt Forecast 12.19.05" xfId="36"/>
    <cellStyle name="_Chelan Debt Forecast 12.19.05_INPUTS" xfId="37"/>
    <cellStyle name="_Chelan Debt Forecast 12.19.05_Low Income 2010 RevRequirement (2)" xfId="38"/>
    <cellStyle name="_Chelan Debt Forecast 12.19.05_Production Adj 4.37" xfId="39"/>
    <cellStyle name="_Chelan Debt Forecast 12.19.05_Purchased Power Adj 4.03" xfId="40"/>
    <cellStyle name="_Chelan Debt Forecast 12.19.05_ROR &amp; CONV FACTOR" xfId="41"/>
    <cellStyle name="_Chelan Debt Forecast 12.19.05_ROR 5.02" xfId="42"/>
    <cellStyle name="_Costs not in AURORA 06GRC" xfId="43"/>
    <cellStyle name="_Costs not in AURORA 06GRC_04 07E Wild Horse Wind Expansion (C) (2)" xfId="44"/>
    <cellStyle name="_Costs not in AURORA 06GRC_INPUTS" xfId="45"/>
    <cellStyle name="_Costs not in AURORA 06GRC_Low Income 2010 RevRequirement (2)" xfId="46"/>
    <cellStyle name="_Costs not in AURORA 06GRC_Production Adj 4.37" xfId="47"/>
    <cellStyle name="_Costs not in AURORA 06GRC_Purchased Power Adj 4.03" xfId="48"/>
    <cellStyle name="_Costs not in AURORA 06GRC_ROR &amp; CONV FACTOR" xfId="49"/>
    <cellStyle name="_Costs not in AURORA 06GRC_ROR 5.02" xfId="50"/>
    <cellStyle name="_Costs not in AURORA 2006GRC 6.15.06" xfId="51"/>
    <cellStyle name="_Costs not in AURORA 2006GRC 6.15.06_04 07E Wild Horse Wind Expansion (C) (2)" xfId="52"/>
    <cellStyle name="_Costs not in AURORA 2006GRC 6.15.06_INPUTS" xfId="53"/>
    <cellStyle name="_Costs not in AURORA 2006GRC 6.15.06_Production Adj 4.37" xfId="54"/>
    <cellStyle name="_Costs not in AURORA 2006GRC 6.15.06_Purchased Power Adj 4.03" xfId="55"/>
    <cellStyle name="_Costs not in AURORA 2006GRC 6.15.06_ROR &amp; CONV FACTOR" xfId="56"/>
    <cellStyle name="_Costs not in AURORA 2006GRC 6.15.06_ROR 5.02" xfId="57"/>
    <cellStyle name="_Costs not in AURORA 2006GRC w gas price updated" xfId="58"/>
    <cellStyle name="_Costs not in AURORA 2007 Rate Case" xfId="59"/>
    <cellStyle name="_Costs not in AURORA 2007 Rate Case_Electric COS Inputs" xfId="60"/>
    <cellStyle name="_Costs not in AURORA 2007 Rate Case_Production Adj 4.37" xfId="61"/>
    <cellStyle name="_Costs not in AURORA 2007 Rate Case_Purchased Power Adj 4.03" xfId="62"/>
    <cellStyle name="_Costs not in AURORA 2007 Rate Case_ROR 5.02" xfId="63"/>
    <cellStyle name="_Costs not in KWI3000 '06Budget" xfId="64"/>
    <cellStyle name="_Costs not in KWI3000 '06Budget_INPUTS" xfId="65"/>
    <cellStyle name="_Costs not in KWI3000 '06Budget_Low Income 2010 RevRequirement (2)" xfId="66"/>
    <cellStyle name="_Costs not in KWI3000 '06Budget_Production Adj 4.37" xfId="67"/>
    <cellStyle name="_Costs not in KWI3000 '06Budget_Purchased Power Adj 4.03" xfId="68"/>
    <cellStyle name="_Costs not in KWI3000 '06Budget_ROR &amp; CONV FACTOR" xfId="69"/>
    <cellStyle name="_Costs not in KWI3000 '06Budget_ROR 5.02" xfId="70"/>
    <cellStyle name="_DEM-WP (C) Power Cost 2006GRC Order" xfId="71"/>
    <cellStyle name="_DEM-WP (C) Power Cost 2006GRC Order_04 07E Wild Horse Wind Expansion (C) (2)" xfId="72"/>
    <cellStyle name="_DEM-WP (C) Power Cost 2006GRC Order_Electric COS Inputs" xfId="73"/>
    <cellStyle name="_DEM-WP (C) Power Cost 2006GRC Order_Production Adj 4.37" xfId="74"/>
    <cellStyle name="_DEM-WP (C) Power Cost 2006GRC Order_Purchased Power Adj 4.03" xfId="75"/>
    <cellStyle name="_DEM-WP (C) Power Cost 2006GRC Order_ROR 5.02" xfId="76"/>
    <cellStyle name="_DEM-WP Revised (HC) Wild Horse 2006GRC" xfId="77"/>
    <cellStyle name="_DEM-WP(C) Costs not in AURORA 2006GRC" xfId="78"/>
    <cellStyle name="_DEM-WP(C) Costs not in AURORA 2006GRC_Electric COS Inputs" xfId="79"/>
    <cellStyle name="_DEM-WP(C) Costs not in AURORA 2006GRC_Production Adj 4.37" xfId="80"/>
    <cellStyle name="_DEM-WP(C) Costs not in AURORA 2006GRC_Purchased Power Adj 4.03" xfId="81"/>
    <cellStyle name="_DEM-WP(C) Costs not in AURORA 2006GRC_ROR 5.02" xfId="82"/>
    <cellStyle name="_DEM-WP(C) Costs not in AURORA 2007GRC" xfId="83"/>
    <cellStyle name="_DEM-WP(C) Costs not in AURORA 2007PCORC-5.07Update" xfId="84"/>
    <cellStyle name="_DEM-WP(C) Sumas Proforma 11.5.07" xfId="85"/>
    <cellStyle name="_DEM-WP(C) Westside Hydro Data_051007" xfId="86"/>
    <cellStyle name="_Fuel Prices 4-14" xfId="87"/>
    <cellStyle name="_Fuel Prices 4-14_04 07E Wild Horse Wind Expansion (C) (2)" xfId="88"/>
    <cellStyle name="_Fuel Prices 4-14_Direct Assignment Distribution Plant 2008" xfId="89"/>
    <cellStyle name="_Fuel Prices 4-14_Electric COS Inputs" xfId="90"/>
    <cellStyle name="_Fuel Prices 4-14_Electric Rate Spread and Rate Design 3.23.09" xfId="91"/>
    <cellStyle name="_Fuel Prices 4-14_INPUTS" xfId="92"/>
    <cellStyle name="_Fuel Prices 4-14_Leased Transformer &amp; Substation Plant &amp; Rev 12-2009" xfId="93"/>
    <cellStyle name="_Fuel Prices 4-14_Low Income 2010 RevRequirement (2)" xfId="94"/>
    <cellStyle name="_Fuel Prices 4-14_Peak Credit Exhibits for 2009 GRC" xfId="95"/>
    <cellStyle name="_Fuel Prices 4-14_Production Adj 4.37" xfId="96"/>
    <cellStyle name="_Fuel Prices 4-14_Purchased Power Adj 4.03" xfId="97"/>
    <cellStyle name="_Fuel Prices 4-14_Rate Design Sch 24" xfId="98"/>
    <cellStyle name="_Fuel Prices 4-14_Rate Design Sch 25" xfId="99"/>
    <cellStyle name="_Fuel Prices 4-14_Rate Design Sch 26" xfId="100"/>
    <cellStyle name="_Fuel Prices 4-14_Rate Design Sch 31" xfId="101"/>
    <cellStyle name="_Fuel Prices 4-14_Rate Design Sch 43" xfId="102"/>
    <cellStyle name="_Fuel Prices 4-14_Rate Design Sch 448-449" xfId="103"/>
    <cellStyle name="_Fuel Prices 4-14_Rate Design Sch 46" xfId="104"/>
    <cellStyle name="_Fuel Prices 4-14_Rate Spread" xfId="105"/>
    <cellStyle name="_Fuel Prices 4-14_ROR 5.02" xfId="106"/>
    <cellStyle name="_NIM 06 Base Case Current Trends" xfId="107"/>
    <cellStyle name="_Portfolio SPlan Base Case.xls Chart 1" xfId="108"/>
    <cellStyle name="_Portfolio SPlan Base Case.xls Chart 2" xfId="109"/>
    <cellStyle name="_Portfolio SPlan Base Case.xls Chart 3" xfId="110"/>
    <cellStyle name="_Power Cost Value Copy 11.30.05 gas 1.09.06 AURORA at 1.10.06" xfId="111"/>
    <cellStyle name="_Power Cost Value Copy 11.30.05 gas 1.09.06 AURORA at 1.10.06_04 07E Wild Horse Wind Expansion (C) (2)" xfId="112"/>
    <cellStyle name="_Power Cost Value Copy 11.30.05 gas 1.09.06 AURORA at 1.10.06_Direct Assignment Distribution Plant 2008" xfId="113"/>
    <cellStyle name="_Power Cost Value Copy 11.30.05 gas 1.09.06 AURORA at 1.10.06_Electric COS Inputs" xfId="114"/>
    <cellStyle name="_Power Cost Value Copy 11.30.05 gas 1.09.06 AURORA at 1.10.06_Electric Rate Spread and Rate Design 3.23.09" xfId="115"/>
    <cellStyle name="_Power Cost Value Copy 11.30.05 gas 1.09.06 AURORA at 1.10.06_INPUTS" xfId="116"/>
    <cellStyle name="_Power Cost Value Copy 11.30.05 gas 1.09.06 AURORA at 1.10.06_Leased Transformer &amp; Substation Plant &amp; Rev 12-2009" xfId="117"/>
    <cellStyle name="_Power Cost Value Copy 11.30.05 gas 1.09.06 AURORA at 1.10.06_Low Income 2010 RevRequirement (2)" xfId="118"/>
    <cellStyle name="_Power Cost Value Copy 11.30.05 gas 1.09.06 AURORA at 1.10.06_Production Adj 4.37" xfId="119"/>
    <cellStyle name="_Power Cost Value Copy 11.30.05 gas 1.09.06 AURORA at 1.10.06_Purchased Power Adj 4.03" xfId="120"/>
    <cellStyle name="_Power Cost Value Copy 11.30.05 gas 1.09.06 AURORA at 1.10.06_Rate Design Sch 24" xfId="121"/>
    <cellStyle name="_Power Cost Value Copy 11.30.05 gas 1.09.06 AURORA at 1.10.06_Rate Design Sch 25" xfId="122"/>
    <cellStyle name="_Power Cost Value Copy 11.30.05 gas 1.09.06 AURORA at 1.10.06_Rate Design Sch 26" xfId="123"/>
    <cellStyle name="_Power Cost Value Copy 11.30.05 gas 1.09.06 AURORA at 1.10.06_Rate Design Sch 31" xfId="124"/>
    <cellStyle name="_Power Cost Value Copy 11.30.05 gas 1.09.06 AURORA at 1.10.06_Rate Design Sch 43" xfId="125"/>
    <cellStyle name="_Power Cost Value Copy 11.30.05 gas 1.09.06 AURORA at 1.10.06_Rate Design Sch 448-449" xfId="126"/>
    <cellStyle name="_Power Cost Value Copy 11.30.05 gas 1.09.06 AURORA at 1.10.06_Rate Design Sch 46" xfId="127"/>
    <cellStyle name="_Power Cost Value Copy 11.30.05 gas 1.09.06 AURORA at 1.10.06_Rate Spread" xfId="128"/>
    <cellStyle name="_Power Cost Value Copy 11.30.05 gas 1.09.06 AURORA at 1.10.06_ROR 5.02" xfId="129"/>
    <cellStyle name="_Recon to Darrin's 5.11.05 proforma" xfId="130"/>
    <cellStyle name="_Recon to Darrin's 5.11.05 proforma_INPUTS" xfId="131"/>
    <cellStyle name="_Recon to Darrin's 5.11.05 proforma_Low Income 2010 RevRequirement (2)" xfId="132"/>
    <cellStyle name="_Recon to Darrin's 5.11.05 proforma_Production Adj 4.37" xfId="133"/>
    <cellStyle name="_Recon to Darrin's 5.11.05 proforma_Purchased Power Adj 4.03" xfId="134"/>
    <cellStyle name="_Recon to Darrin's 5.11.05 proforma_ROR &amp; CONV FACTOR" xfId="135"/>
    <cellStyle name="_Recon to Darrin's 5.11.05 proforma_ROR 5.02" xfId="136"/>
    <cellStyle name="_Tenaska Comparison" xfId="137"/>
    <cellStyle name="_Tenaska Comparison_Electric COS Inputs" xfId="138"/>
    <cellStyle name="_Tenaska Comparison_Production Adj 4.37" xfId="139"/>
    <cellStyle name="_Tenaska Comparison_Purchased Power Adj 4.03" xfId="140"/>
    <cellStyle name="_Tenaska Comparison_ROR 5.02" xfId="141"/>
    <cellStyle name="_Value Copy 11 30 05 gas 12 09 05 AURORA at 12 14 05" xfId="142"/>
    <cellStyle name="_Value Copy 11 30 05 gas 12 09 05 AURORA at 12 14 05_04 07E Wild Horse Wind Expansion (C) (2)" xfId="143"/>
    <cellStyle name="_Value Copy 11 30 05 gas 12 09 05 AURORA at 12 14 05_Direct Assignment Distribution Plant 2008" xfId="144"/>
    <cellStyle name="_Value Copy 11 30 05 gas 12 09 05 AURORA at 12 14 05_Electric COS Inputs" xfId="145"/>
    <cellStyle name="_Value Copy 11 30 05 gas 12 09 05 AURORA at 12 14 05_Electric Rate Spread and Rate Design 3.23.09" xfId="146"/>
    <cellStyle name="_Value Copy 11 30 05 gas 12 09 05 AURORA at 12 14 05_INPUTS" xfId="147"/>
    <cellStyle name="_Value Copy 11 30 05 gas 12 09 05 AURORA at 12 14 05_Leased Transformer &amp; Substation Plant &amp; Rev 12-2009" xfId="148"/>
    <cellStyle name="_Value Copy 11 30 05 gas 12 09 05 AURORA at 12 14 05_Low Income 2010 RevRequirement (2)" xfId="149"/>
    <cellStyle name="_Value Copy 11 30 05 gas 12 09 05 AURORA at 12 14 05_Production Adj 4.37" xfId="150"/>
    <cellStyle name="_Value Copy 11 30 05 gas 12 09 05 AURORA at 12 14 05_Purchased Power Adj 4.03" xfId="151"/>
    <cellStyle name="_Value Copy 11 30 05 gas 12 09 05 AURORA at 12 14 05_Rate Design Sch 24" xfId="152"/>
    <cellStyle name="_Value Copy 11 30 05 gas 12 09 05 AURORA at 12 14 05_Rate Design Sch 25" xfId="153"/>
    <cellStyle name="_Value Copy 11 30 05 gas 12 09 05 AURORA at 12 14 05_Rate Design Sch 26" xfId="154"/>
    <cellStyle name="_Value Copy 11 30 05 gas 12 09 05 AURORA at 12 14 05_Rate Design Sch 31" xfId="155"/>
    <cellStyle name="_Value Copy 11 30 05 gas 12 09 05 AURORA at 12 14 05_Rate Design Sch 43" xfId="156"/>
    <cellStyle name="_Value Copy 11 30 05 gas 12 09 05 AURORA at 12 14 05_Rate Design Sch 448-449" xfId="157"/>
    <cellStyle name="_Value Copy 11 30 05 gas 12 09 05 AURORA at 12 14 05_Rate Design Sch 46" xfId="158"/>
    <cellStyle name="_Value Copy 11 30 05 gas 12 09 05 AURORA at 12 14 05_Rate Spread" xfId="159"/>
    <cellStyle name="_Value Copy 11 30 05 gas 12 09 05 AURORA at 12 14 05_ROR 5.02" xfId="160"/>
    <cellStyle name="_VC 6.15.06 update on 06GRC power costs.xls Chart 1" xfId="161"/>
    <cellStyle name="_VC 6.15.06 update on 06GRC power costs.xls Chart 1_04 07E Wild Horse Wind Expansion (C) (2)" xfId="162"/>
    <cellStyle name="_VC 6.15.06 update on 06GRC power costs.xls Chart 1_INPUTS" xfId="163"/>
    <cellStyle name="_VC 6.15.06 update on 06GRC power costs.xls Chart 1_Production Adj 4.37" xfId="164"/>
    <cellStyle name="_VC 6.15.06 update on 06GRC power costs.xls Chart 1_Purchased Power Adj 4.03" xfId="165"/>
    <cellStyle name="_VC 6.15.06 update on 06GRC power costs.xls Chart 1_ROR &amp; CONV FACTOR" xfId="166"/>
    <cellStyle name="_VC 6.15.06 update on 06GRC power costs.xls Chart 1_ROR 5.02" xfId="167"/>
    <cellStyle name="_VC 6.15.06 update on 06GRC power costs.xls Chart 2" xfId="168"/>
    <cellStyle name="_VC 6.15.06 update on 06GRC power costs.xls Chart 2_04 07E Wild Horse Wind Expansion (C) (2)" xfId="169"/>
    <cellStyle name="_VC 6.15.06 update on 06GRC power costs.xls Chart 2_INPUTS" xfId="170"/>
    <cellStyle name="_VC 6.15.06 update on 06GRC power costs.xls Chart 2_Production Adj 4.37" xfId="171"/>
    <cellStyle name="_VC 6.15.06 update on 06GRC power costs.xls Chart 2_Purchased Power Adj 4.03" xfId="172"/>
    <cellStyle name="_VC 6.15.06 update on 06GRC power costs.xls Chart 2_ROR &amp; CONV FACTOR" xfId="173"/>
    <cellStyle name="_VC 6.15.06 update on 06GRC power costs.xls Chart 2_ROR 5.02" xfId="174"/>
    <cellStyle name="_VC 6.15.06 update on 06GRC power costs.xls Chart 3" xfId="175"/>
    <cellStyle name="_VC 6.15.06 update on 06GRC power costs.xls Chart 3_04 07E Wild Horse Wind Expansion (C) (2)" xfId="176"/>
    <cellStyle name="_VC 6.15.06 update on 06GRC power costs.xls Chart 3_INPUTS" xfId="177"/>
    <cellStyle name="_VC 6.15.06 update on 06GRC power costs.xls Chart 3_Production Adj 4.37" xfId="178"/>
    <cellStyle name="_VC 6.15.06 update on 06GRC power costs.xls Chart 3_Purchased Power Adj 4.03" xfId="179"/>
    <cellStyle name="_VC 6.15.06 update on 06GRC power costs.xls Chart 3_ROR &amp; CONV FACTOR" xfId="180"/>
    <cellStyle name="_VC 6.15.06 update on 06GRC power costs.xls Chart 3_ROR 5.02" xfId="181"/>
    <cellStyle name="0,0_x000d__x000a_NA_x000d__x000a_" xfId="182"/>
    <cellStyle name="20% - Accent1" xfId="183" builtinId="30" customBuiltin="1"/>
    <cellStyle name="20% - Accent1 2" xfId="184"/>
    <cellStyle name="20% - Accent1 3" xfId="185"/>
    <cellStyle name="20% - Accent2" xfId="186" builtinId="34" customBuiltin="1"/>
    <cellStyle name="20% - Accent2 2" xfId="187"/>
    <cellStyle name="20% - Accent2 3" xfId="188"/>
    <cellStyle name="20% - Accent3" xfId="189" builtinId="38" customBuiltin="1"/>
    <cellStyle name="20% - Accent3 2" xfId="190"/>
    <cellStyle name="20% - Accent3 3" xfId="191"/>
    <cellStyle name="20% - Accent4" xfId="192" builtinId="42" customBuiltin="1"/>
    <cellStyle name="20% - Accent4 2" xfId="193"/>
    <cellStyle name="20% - Accent4 3" xfId="194"/>
    <cellStyle name="20% - Accent5" xfId="195" builtinId="46" customBuiltin="1"/>
    <cellStyle name="20% - Accent5 2" xfId="196"/>
    <cellStyle name="20% - Accent5 3" xfId="197"/>
    <cellStyle name="20% - Accent6" xfId="198" builtinId="50" customBuiltin="1"/>
    <cellStyle name="20% - Accent6 2" xfId="199"/>
    <cellStyle name="20% - Accent6 3" xfId="200"/>
    <cellStyle name="40% - Accent1" xfId="201" builtinId="31" customBuiltin="1"/>
    <cellStyle name="40% - Accent1 2" xfId="202"/>
    <cellStyle name="40% - Accent1 3" xfId="203"/>
    <cellStyle name="40% - Accent2" xfId="204" builtinId="35" customBuiltin="1"/>
    <cellStyle name="40% - Accent2 2" xfId="205"/>
    <cellStyle name="40% - Accent2 3" xfId="206"/>
    <cellStyle name="40% - Accent3" xfId="207" builtinId="39" customBuiltin="1"/>
    <cellStyle name="40% - Accent3 2" xfId="208"/>
    <cellStyle name="40% - Accent3 3" xfId="209"/>
    <cellStyle name="40% - Accent4" xfId="210" builtinId="43" customBuiltin="1"/>
    <cellStyle name="40% - Accent4 2" xfId="211"/>
    <cellStyle name="40% - Accent4 3" xfId="212"/>
    <cellStyle name="40% - Accent5" xfId="213" builtinId="47" customBuiltin="1"/>
    <cellStyle name="40% - Accent5 2" xfId="214"/>
    <cellStyle name="40% - Accent5 3" xfId="215"/>
    <cellStyle name="40% - Accent6" xfId="216" builtinId="51" customBuiltin="1"/>
    <cellStyle name="40% - Accent6 2" xfId="217"/>
    <cellStyle name="40% - Accent6 3" xfId="218"/>
    <cellStyle name="60% - Accent1" xfId="219" builtinId="32" customBuiltin="1"/>
    <cellStyle name="60% - Accent2" xfId="220" builtinId="36" customBuiltin="1"/>
    <cellStyle name="60% - Accent3" xfId="221" builtinId="40" customBuiltin="1"/>
    <cellStyle name="60% - Accent4" xfId="222" builtinId="44" customBuiltin="1"/>
    <cellStyle name="60% - Accent5" xfId="223" builtinId="48" customBuiltin="1"/>
    <cellStyle name="60% - Accent6" xfId="224" builtinId="52" customBuiltin="1"/>
    <cellStyle name="Accent1" xfId="225" builtinId="29" customBuiltin="1"/>
    <cellStyle name="Accent2" xfId="226" builtinId="33" customBuiltin="1"/>
    <cellStyle name="Accent3" xfId="227" builtinId="37" customBuiltin="1"/>
    <cellStyle name="Accent4" xfId="228" builtinId="41" customBuiltin="1"/>
    <cellStyle name="Accent5" xfId="229" builtinId="45" customBuiltin="1"/>
    <cellStyle name="Accent6" xfId="230" builtinId="49" customBuiltin="1"/>
    <cellStyle name="Bad" xfId="231" builtinId="27" customBuiltin="1"/>
    <cellStyle name="Calc Currency (0)" xfId="232"/>
    <cellStyle name="Calculation" xfId="233" builtinId="22" customBuiltin="1"/>
    <cellStyle name="Check Cell" xfId="234" builtinId="23" customBuiltin="1"/>
    <cellStyle name="CheckCell" xfId="235"/>
    <cellStyle name="Comma" xfId="236" builtinId="3"/>
    <cellStyle name="Comma 2" xfId="237"/>
    <cellStyle name="Comma 2 2" xfId="238"/>
    <cellStyle name="Comma 2 3" xfId="431"/>
    <cellStyle name="Comma 3" xfId="239"/>
    <cellStyle name="Comma 3 2" xfId="240"/>
    <cellStyle name="Comma 4" xfId="241"/>
    <cellStyle name="Comma 5" xfId="242"/>
    <cellStyle name="Comma 6" xfId="243"/>
    <cellStyle name="Comma 7" xfId="244"/>
    <cellStyle name="Comma 8" xfId="245"/>
    <cellStyle name="Comma 9" xfId="246"/>
    <cellStyle name="Comma0" xfId="247"/>
    <cellStyle name="Comma0 - Style2" xfId="248"/>
    <cellStyle name="Comma0 - Style4" xfId="249"/>
    <cellStyle name="Comma0 - Style5" xfId="250"/>
    <cellStyle name="Comma0 2" xfId="251"/>
    <cellStyle name="Comma0 3" xfId="252"/>
    <cellStyle name="Comma0 4" xfId="253"/>
    <cellStyle name="Comma0_00COS Ind Allocators" xfId="254"/>
    <cellStyle name="Comma1 - Style1" xfId="255"/>
    <cellStyle name="Copied" xfId="256"/>
    <cellStyle name="COST1" xfId="257"/>
    <cellStyle name="Curren - Style1" xfId="258"/>
    <cellStyle name="Curren - Style2" xfId="259"/>
    <cellStyle name="Curren - Style5" xfId="260"/>
    <cellStyle name="Curren - Style6" xfId="261"/>
    <cellStyle name="Currency" xfId="262" builtinId="4"/>
    <cellStyle name="Currency 2" xfId="263"/>
    <cellStyle name="Currency 3" xfId="264"/>
    <cellStyle name="Currency 3 2" xfId="265"/>
    <cellStyle name="Currency 4" xfId="266"/>
    <cellStyle name="Currency 5" xfId="267"/>
    <cellStyle name="Currency 6" xfId="268"/>
    <cellStyle name="Currency 7" xfId="269"/>
    <cellStyle name="Currency 8" xfId="270"/>
    <cellStyle name="Currency 9" xfId="271"/>
    <cellStyle name="Currency0" xfId="272"/>
    <cellStyle name="Date" xfId="273"/>
    <cellStyle name="Date 2" xfId="274"/>
    <cellStyle name="Date 3" xfId="275"/>
    <cellStyle name="Date 4" xfId="276"/>
    <cellStyle name="Date_903 SAP 2-6-09" xfId="277"/>
    <cellStyle name="Entered" xfId="278"/>
    <cellStyle name="Explanatory Text" xfId="279" builtinId="53" customBuiltin="1"/>
    <cellStyle name="Fixed" xfId="280"/>
    <cellStyle name="Fixed3 - Style3" xfId="281"/>
    <cellStyle name="Good" xfId="282" builtinId="26" customBuiltin="1"/>
    <cellStyle name="Grey" xfId="283"/>
    <cellStyle name="Grey 2" xfId="284"/>
    <cellStyle name="Grey 3" xfId="285"/>
    <cellStyle name="Grey 4" xfId="286"/>
    <cellStyle name="Grey_Direct Assignment Distribution Plant 2008" xfId="287"/>
    <cellStyle name="Header1" xfId="288"/>
    <cellStyle name="Header2" xfId="289"/>
    <cellStyle name="Heading 1" xfId="290" builtinId="16" customBuiltin="1"/>
    <cellStyle name="Heading 2" xfId="291" builtinId="17" customBuiltin="1"/>
    <cellStyle name="Heading 3" xfId="292" builtinId="18" customBuiltin="1"/>
    <cellStyle name="Heading 4" xfId="293" builtinId="19" customBuiltin="1"/>
    <cellStyle name="Heading1" xfId="294"/>
    <cellStyle name="Heading2" xfId="295"/>
    <cellStyle name="Hyperlink 2" xfId="428"/>
    <cellStyle name="Input" xfId="296" builtinId="20" customBuiltin="1"/>
    <cellStyle name="Input [yellow]" xfId="297"/>
    <cellStyle name="Input [yellow] 2" xfId="298"/>
    <cellStyle name="Input [yellow] 3" xfId="299"/>
    <cellStyle name="Input [yellow] 4" xfId="300"/>
    <cellStyle name="Input [yellow]_Direct Assignment Distribution Plant 2008" xfId="301"/>
    <cellStyle name="Input Cells" xfId="302"/>
    <cellStyle name="Input Cells Percent" xfId="303"/>
    <cellStyle name="Lines" xfId="304"/>
    <cellStyle name="LINKED" xfId="305"/>
    <cellStyle name="Linked Cell" xfId="306" builtinId="24" customBuiltin="1"/>
    <cellStyle name="modified border" xfId="307"/>
    <cellStyle name="modified border 2" xfId="308"/>
    <cellStyle name="modified border 3" xfId="309"/>
    <cellStyle name="modified border 4" xfId="310"/>
    <cellStyle name="modified border1" xfId="311"/>
    <cellStyle name="modified border1 2" xfId="312"/>
    <cellStyle name="modified border1 3" xfId="313"/>
    <cellStyle name="modified border1 4" xfId="314"/>
    <cellStyle name="Neutral" xfId="315" builtinId="28" customBuiltin="1"/>
    <cellStyle name="no dec" xfId="316"/>
    <cellStyle name="Normal" xfId="0" builtinId="0"/>
    <cellStyle name="Normal - Style1" xfId="317"/>
    <cellStyle name="Normal - Style1 2" xfId="318"/>
    <cellStyle name="Normal - Style1 3" xfId="319"/>
    <cellStyle name="Normal - Style1 4" xfId="320"/>
    <cellStyle name="Normal - Style1_903 SAP 2-6-09" xfId="321"/>
    <cellStyle name="Normal 10" xfId="322"/>
    <cellStyle name="Normal 11" xfId="427"/>
    <cellStyle name="Normal 12" xfId="430"/>
    <cellStyle name="Normal 2" xfId="323"/>
    <cellStyle name="Normal 2 10 2 2" xfId="436"/>
    <cellStyle name="Normal 2 2" xfId="324"/>
    <cellStyle name="Normal 2 2 2" xfId="325"/>
    <cellStyle name="Normal 2 2 3" xfId="326"/>
    <cellStyle name="Normal 2 2_4.14E Miscellaneous Operating Expense working file" xfId="327"/>
    <cellStyle name="Normal 2 3" xfId="328"/>
    <cellStyle name="Normal 2 4" xfId="329"/>
    <cellStyle name="Normal 2 5" xfId="330"/>
    <cellStyle name="Normal 2 6" xfId="331"/>
    <cellStyle name="Normal 2_GRC 2009 Load Research Rate Schedule Statistics - v2 2-26-2009" xfId="332"/>
    <cellStyle name="Normal 22 6 2" xfId="433"/>
    <cellStyle name="Normal 3" xfId="333"/>
    <cellStyle name="Normal 3 2" xfId="334"/>
    <cellStyle name="Normal 3 3" xfId="335"/>
    <cellStyle name="Normal 4" xfId="336"/>
    <cellStyle name="Normal 5" xfId="337"/>
    <cellStyle name="Normal 6" xfId="338"/>
    <cellStyle name="Normal 7" xfId="339"/>
    <cellStyle name="Normal 8" xfId="340"/>
    <cellStyle name="Normal 8 2" xfId="429"/>
    <cellStyle name="Normal 9" xfId="341"/>
    <cellStyle name="Normal__REP settlement benefits (2)" xfId="435"/>
    <cellStyle name="Normal_ActiveExchange3" xfId="434"/>
    <cellStyle name="Note" xfId="342" builtinId="10" customBuiltin="1"/>
    <cellStyle name="Note 10" xfId="343"/>
    <cellStyle name="Note 11" xfId="344"/>
    <cellStyle name="Note 2" xfId="345"/>
    <cellStyle name="Note 3" xfId="346"/>
    <cellStyle name="Note 4" xfId="347"/>
    <cellStyle name="Note 5" xfId="348"/>
    <cellStyle name="Note 6" xfId="349"/>
    <cellStyle name="Note 7" xfId="350"/>
    <cellStyle name="Note 8" xfId="351"/>
    <cellStyle name="Note 9" xfId="352"/>
    <cellStyle name="Output" xfId="353" builtinId="21" customBuiltin="1"/>
    <cellStyle name="Percen - Style1" xfId="354"/>
    <cellStyle name="Percen - Style2" xfId="355"/>
    <cellStyle name="Percen - Style3" xfId="356"/>
    <cellStyle name="Percent" xfId="357" builtinId="5"/>
    <cellStyle name="Percent [2]" xfId="358"/>
    <cellStyle name="Percent 2" xfId="359"/>
    <cellStyle name="Percent 2 3 3" xfId="432"/>
    <cellStyle name="Percent 3" xfId="360"/>
    <cellStyle name="Percent 4" xfId="361"/>
    <cellStyle name="Percent 5" xfId="362"/>
    <cellStyle name="Percent 6" xfId="363"/>
    <cellStyle name="Percent 7" xfId="364"/>
    <cellStyle name="Percent 8" xfId="365"/>
    <cellStyle name="Processing" xfId="366"/>
    <cellStyle name="PSChar" xfId="367"/>
    <cellStyle name="PSDate" xfId="368"/>
    <cellStyle name="PSDec" xfId="369"/>
    <cellStyle name="PSHeading" xfId="370"/>
    <cellStyle name="PSInt" xfId="371"/>
    <cellStyle name="PSSpacer" xfId="372"/>
    <cellStyle name="purple - Style8" xfId="373"/>
    <cellStyle name="RED" xfId="374"/>
    <cellStyle name="Red - Style7" xfId="375"/>
    <cellStyle name="RED_04 07E Wild Horse Wind Expansion (C) (2)" xfId="376"/>
    <cellStyle name="Report" xfId="377"/>
    <cellStyle name="Report - Style5" xfId="378"/>
    <cellStyle name="Report - Style6" xfId="379"/>
    <cellStyle name="Report - Style7" xfId="380"/>
    <cellStyle name="Report - Style8" xfId="381"/>
    <cellStyle name="Report Bar" xfId="382"/>
    <cellStyle name="Report Heading" xfId="383"/>
    <cellStyle name="Report Percent" xfId="384"/>
    <cellStyle name="Report Unit Cost" xfId="385"/>
    <cellStyle name="Reports" xfId="386"/>
    <cellStyle name="Reports Total" xfId="387"/>
    <cellStyle name="Reports Unit Cost Total" xfId="388"/>
    <cellStyle name="RevList" xfId="389"/>
    <cellStyle name="round100" xfId="390"/>
    <cellStyle name="SAPBEXaggData" xfId="391"/>
    <cellStyle name="SAPBEXaggItem" xfId="392"/>
    <cellStyle name="SAPBEXchaText" xfId="393"/>
    <cellStyle name="SAPBEXfilterDrill" xfId="394"/>
    <cellStyle name="SAPBEXfilterItem" xfId="395"/>
    <cellStyle name="SAPBEXheaderItem" xfId="396"/>
    <cellStyle name="SAPBEXheaderText" xfId="397"/>
    <cellStyle name="SAPBEXHLevel0X" xfId="398"/>
    <cellStyle name="SAPBEXstdData" xfId="399"/>
    <cellStyle name="SAPBEXstdItem" xfId="400"/>
    <cellStyle name="SAPBEXstdItemX" xfId="401"/>
    <cellStyle name="SAPBEXtitle" xfId="402"/>
    <cellStyle name="shade" xfId="403"/>
    <cellStyle name="StmtTtl1" xfId="404"/>
    <cellStyle name="StmtTtl1 2" xfId="405"/>
    <cellStyle name="StmtTtl1 3" xfId="406"/>
    <cellStyle name="StmtTtl1 4" xfId="407"/>
    <cellStyle name="StmtTtl1_Direct Assignment Distribution Plant 2008" xfId="408"/>
    <cellStyle name="StmtTtl2" xfId="409"/>
    <cellStyle name="STYL1 - Style1" xfId="410"/>
    <cellStyle name="Style 1" xfId="1"/>
    <cellStyle name="Style 1 2" xfId="411"/>
    <cellStyle name="Style 1 3" xfId="412"/>
    <cellStyle name="Style 1 4" xfId="413"/>
    <cellStyle name="Style 1_4.14E Miscellaneous Operating Expense working file" xfId="414"/>
    <cellStyle name="Subtotal" xfId="415"/>
    <cellStyle name="Sub-total" xfId="416"/>
    <cellStyle name="Test" xfId="417"/>
    <cellStyle name="Title" xfId="418" builtinId="15" customBuiltin="1"/>
    <cellStyle name="Title: - Style3" xfId="419"/>
    <cellStyle name="Title: - Style4" xfId="420"/>
    <cellStyle name="Title: Major" xfId="421"/>
    <cellStyle name="Title: Minor" xfId="422"/>
    <cellStyle name="Title: Worksheet" xfId="423"/>
    <cellStyle name="Total" xfId="424" builtinId="25" customBuiltin="1"/>
    <cellStyle name="Total4 - Style4" xfId="425"/>
    <cellStyle name="Warning Text" xfId="426" builtinId="11" customBuiltin="1"/>
  </cellStyles>
  <dxfs count="2"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14</xdr:row>
      <xdr:rowOff>9525</xdr:rowOff>
    </xdr:from>
    <xdr:to>
      <xdr:col>2</xdr:col>
      <xdr:colOff>1208907</xdr:colOff>
      <xdr:row>44</xdr:row>
      <xdr:rowOff>132644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600325"/>
          <a:ext cx="4104506" cy="4409369"/>
        </a:xfrm>
        <a:prstGeom prst="rect">
          <a:avLst/>
        </a:prstGeom>
      </xdr:spPr>
    </xdr:pic>
    <xdr:clientData/>
  </xdr:twoCellAnchor>
  <xdr:twoCellAnchor editAs="oneCell">
    <xdr:from>
      <xdr:col>2</xdr:col>
      <xdr:colOff>1314450</xdr:colOff>
      <xdr:row>13</xdr:row>
      <xdr:rowOff>161924</xdr:rowOff>
    </xdr:from>
    <xdr:to>
      <xdr:col>8</xdr:col>
      <xdr:colOff>550215</xdr:colOff>
      <xdr:row>45</xdr:row>
      <xdr:rowOff>27873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4350" y="2590799"/>
          <a:ext cx="4131615" cy="4456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M_MarketStrategy_Assmt\PM\Manary\FY04%20Analysis\October%20FY04\October%20Financial%20Upd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9%20rate%20case\1-Initial%20Rate%20Case%20Working\Studies\Cashflow\February%202002\Base\working%20cap_aud_2_cashflow_crac1_mod_continuous_C_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$TieredRAM\RAM2012\RAMdata_WP2012ipP_working_201001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ALD%20DOSKELAND\Albion%20Monthly-Hourly%20Outp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ernal.bpa.gov/orgs/power/policy-rates/pfr/_vti_history/526/TeamDocuments/REPSettlementLF_20_BP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je0024\Local%20Settings\Temporary%20Internet%20Files\OLKA1\WIND%201Foote%20Creek%201\FC1%20True-up\FooteCreekI-99Trueup-R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$TieredRAM\RAM2012\$newR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ernal.bpa.gov/Documents%20and%20Settings/mlm2595/Local%20Settings/Temporary%20Internet%20Files/OLK4ED/TK_193_Run-4a(Oct%2028)_No-Settle_28-Oct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M_MarketStrategy_Assmt\PM\Manary\FY02%20Analysis\Dec%2015%202001\FBCRAC%20Calculation_capp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mlm2595\Local%20Settings\Temporary%20Internet%20Files\OLK4ED\FY%202003%20%20PBL%20Rolling%20%20Monthly%201st%20Quarter%20Revi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usiness%20Decisions%20Group\SIM%20PBL%20Only\Aud's%20working%20area\SIM_Version_Master_No_TX(PBL%20only%20reserves)%20updated%20expenses%20with%20challeng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M_MarketStrategy_Assmt\PM\Manary\FY02%20Analysis\April%2002\R.C.%20Crosswalk%2002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ernal.bpa.gov/Documents%20and%20Settings/sdz3366/Local%20Settings/Temporary%20Internet%20Files/OLK49/Cong04templatePB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UDREY\TENSDS\DISPLACE\FINAL\old\TENSS4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4 Reserves"/>
      <sheetName val="Crosswalk FY05-06"/>
      <sheetName val="Crosswalk FY04"/>
      <sheetName val="Crosswalk FY03"/>
      <sheetName val="FY04 Resv crosswalk"/>
      <sheetName val="Det. rates"/>
      <sheetName val="TK Main"/>
      <sheetName val="NR Variation"/>
      <sheetName val="Base Summary wo Settle"/>
      <sheetName val="FY03-06 Pro Forma"/>
      <sheetName val="Master Summary"/>
      <sheetName val="Standardized Master"/>
      <sheetName val="FY03 Oct Update"/>
      <sheetName val="Aug 28 to Oct FY04"/>
      <sheetName val="Aug to Oct 05-06"/>
      <sheetName val="Net Surplus Sales Summary"/>
      <sheetName val="$Oct15FY03 0506 LB only"/>
      <sheetName val="$Oct15F Toolkit 0506"/>
      <sheetName val="$Oct15F updated"/>
      <sheetName val="Expense Internal FY03"/>
      <sheetName val="Sheet1"/>
      <sheetName val="Standardized FY05-6 Delta"/>
      <sheetName val="Standardized FY04 Delta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t Revenue"/>
      <sheetName val="Cumulative Net Revenue"/>
      <sheetName val="Net Cash Flow"/>
      <sheetName val="Excess Fish Credit"/>
      <sheetName val="Treasury Payment"/>
      <sheetName val="Reserve Fund Balance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I_T2Elec"/>
      <sheetName val="I_CHWM"/>
      <sheetName val="I_Mrkt"/>
      <sheetName val="I_Exch"/>
      <sheetName val="I_Slice"/>
      <sheetName val="I_TRL"/>
      <sheetName val="I_CSP"/>
      <sheetName val="I_Load"/>
      <sheetName val="I_Res"/>
      <sheetName val="I_Cost"/>
      <sheetName val="I_Secondary"/>
      <sheetName val="I_Credits"/>
      <sheetName val="I_BulkHub"/>
      <sheetName val="LU_L"/>
      <sheetName val="LU_R"/>
      <sheetName val="LU_C"/>
      <sheetName val="Map_L"/>
      <sheetName val="Map_R"/>
      <sheetName val="Map_C"/>
      <sheetName val="Class_L"/>
      <sheetName val="Class_R"/>
      <sheetName val="Class_C"/>
      <sheetName val="Load"/>
      <sheetName val="Res"/>
      <sheetName val="T1SC"/>
      <sheetName val="Cost"/>
      <sheetName val="CostAgg"/>
      <sheetName val="TRL"/>
      <sheetName val="CSP"/>
      <sheetName val="ER"/>
      <sheetName val="RSP"/>
      <sheetName val="CDQ"/>
      <sheetName val="SuperPeak"/>
      <sheetName val="RSSRateInputs"/>
      <sheetName val="RSSResourceInputs"/>
      <sheetName val="O_RSS"/>
    </sheetNames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usted"/>
    </sheetNames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s"/>
      <sheetName val="Scenario"/>
      <sheetName val="Rates"/>
      <sheetName val="Rates (2)"/>
      <sheetName val="Benefits"/>
      <sheetName val="Post_to_Pre_Benefits"/>
      <sheetName val="ProgCOSA"/>
      <sheetName val="Credits"/>
      <sheetName val="LR_Balance"/>
      <sheetName val="LR_Adjust"/>
      <sheetName val="ProgAlloc"/>
      <sheetName val="AllocCredits"/>
      <sheetName val="AllocCost"/>
      <sheetName val="InitialRates"/>
      <sheetName val="7b2COSA"/>
      <sheetName val="7b2Loads"/>
      <sheetName val="7b2Stack"/>
      <sheetName val="7b2Costs"/>
      <sheetName val="7b2Test"/>
      <sheetName val="7b3Rates"/>
      <sheetName val="Exchange"/>
      <sheetName val="ASCs"/>
      <sheetName val="Ledger"/>
      <sheetName val="LF-ASCs"/>
      <sheetName val="I_Market"/>
      <sheetName val="I_Exchange"/>
      <sheetName val="I_TRL"/>
      <sheetName val="I_NLSL"/>
      <sheetName val="I_ER"/>
      <sheetName val="T1SC"/>
      <sheetName val="TRMBD_RAM"/>
      <sheetName val="Preference Load"/>
      <sheetName val="I_Loads"/>
      <sheetName val="I_Resources"/>
      <sheetName val="Cost"/>
      <sheetName val="LDD_IRD"/>
      <sheetName val="NetMargin"/>
      <sheetName val="RiskModInputs"/>
      <sheetName val="Init"/>
    </sheetNames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Init99"/>
      <sheetName val="Sub2000"/>
      <sheetName val="Sub2001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ora"/>
      <sheetName val="TRM Load Import"/>
      <sheetName val="TRM Resource Import"/>
      <sheetName val="INPUTS"/>
      <sheetName val="Load_Resource"/>
      <sheetName val="Exchange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Main"/>
      <sheetName val="Cell_Notes"/>
      <sheetName val="SN CRAC Dox"/>
      <sheetName val="RsrvsGrph"/>
      <sheetName val="RsrvsData"/>
      <sheetName val="Revisions"/>
      <sheetName val="CRAC_Data"/>
      <sheetName val="Debugging"/>
      <sheetName val="Notes, Dox"/>
      <sheetName val="To Do"/>
      <sheetName val="MiscResources"/>
      <sheetName val="FCCF&amp;4h10C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rget Summary"/>
      <sheetName val="FY 2002"/>
      <sheetName val="(61) NR Data"/>
      <sheetName val="Cum NR Dist"/>
      <sheetName val="Ten Period Macro"/>
      <sheetName val="Summary (2)"/>
      <sheetName val="(106) NR Data"/>
      <sheetName val="FBCRAC Summary"/>
      <sheetName val="FB Calc"/>
      <sheetName val="Case 2 FBCRAC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L Monthly Forecast"/>
      <sheetName val="Data"/>
      <sheetName val="Edit Data Macro"/>
      <sheetName val="Create Data Macro"/>
      <sheetName val="Check File"/>
      <sheetName val="Buttons Macros"/>
      <sheetName val="Module1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&amp; Strategy Data"/>
      <sheetName val="Decision Tree Analysis"/>
      <sheetName val="DTA Results--Tier 1"/>
      <sheetName val="Secondary Revenue Results"/>
      <sheetName val="Augment Power Purchase Results"/>
      <sheetName val="4h10c Credit Results"/>
      <sheetName val="Uncertainty Variables"/>
      <sheetName val="DTA Random Numbers"/>
      <sheetName val="PBL Income &amp; Reserves"/>
      <sheetName val="Alternative Income Statement"/>
      <sheetName val="PBL Income Statement--No Tiers"/>
      <sheetName val="PBL ASC Calc--No Tiers"/>
      <sheetName val="PBL Capital Calc"/>
      <sheetName val="Capital, etc. inputs"/>
      <sheetName val="Expenses"/>
      <sheetName val="fed load-resource data"/>
      <sheetName val="Energy_Sum"/>
      <sheetName val="long term committment data"/>
      <sheetName val="SNCRAC Hydro"/>
      <sheetName val="Monthly Prices"/>
      <sheetName val="Monthly Prices by water year"/>
      <sheetName val="Weighted Surplus Sales Factors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2 Analyst"/>
      <sheetName val="FY2002"/>
      <sheetName val="FY03 Analyst"/>
      <sheetName val="Steele FY03"/>
      <sheetName val="FY03 Mgr"/>
      <sheetName val="FY04 Analyst"/>
      <sheetName val="FY04 Steele"/>
      <sheetName val="FY04 Mgr"/>
      <sheetName val="FY05 Analyst"/>
      <sheetName val="Steele FY05"/>
      <sheetName val="FY05 Mgr"/>
      <sheetName val="FY06 Analyst"/>
      <sheetName val="Steele FY06"/>
      <sheetName val="FY06 Mgr"/>
      <sheetName val="FY02 Rev"/>
      <sheetName val="FY02 Costs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Edit Data Macro"/>
      <sheetName val="Create Data Macro"/>
      <sheetName val="Check File"/>
      <sheetName val="Buttons Macros"/>
      <sheetName val="Module1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WHydro"/>
      <sheetName val="NWHydro--96 HLH"/>
      <sheetName val="NWHydro--20 HLH"/>
      <sheetName val="NWThermal"/>
      <sheetName val="NWLoads"/>
      <sheetName val="Load-Gen Shapes"/>
      <sheetName val="Total Cost"/>
      <sheetName val="LRBalance"/>
      <sheetName val="Prices"/>
      <sheetName val="SalesPurchases"/>
      <sheetName val="MarginalCost"/>
      <sheetName val="CALIF MODEL"/>
      <sheetName val="Module1"/>
      <sheetName val="Macro1"/>
      <sheetName val="Dialog1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7"/>
  <sheetViews>
    <sheetView tabSelected="1" zoomScaleNormal="100" workbookViewId="0">
      <selection activeCell="C11" sqref="C11:C12"/>
    </sheetView>
  </sheetViews>
  <sheetFormatPr defaultColWidth="9.140625" defaultRowHeight="11.25" x14ac:dyDescent="0.2"/>
  <cols>
    <col min="1" max="1" width="7.85546875" style="19" bestFit="1" customWidth="1"/>
    <col min="2" max="2" width="8.42578125" style="19" bestFit="1" customWidth="1"/>
    <col min="3" max="3" width="78.42578125" style="19" bestFit="1" customWidth="1"/>
    <col min="4" max="4" width="12.28515625" style="19" bestFit="1" customWidth="1"/>
    <col min="5" max="5" width="17.7109375" style="19" bestFit="1" customWidth="1"/>
    <col min="6" max="15" width="14.5703125" style="19" customWidth="1"/>
    <col min="16" max="16" width="10.5703125" style="19" bestFit="1" customWidth="1"/>
    <col min="17" max="16384" width="9.140625" style="19"/>
  </cols>
  <sheetData>
    <row r="1" spans="1:4" x14ac:dyDescent="0.2">
      <c r="A1" s="288" t="s">
        <v>0</v>
      </c>
      <c r="B1" s="288"/>
      <c r="C1" s="288"/>
      <c r="D1" s="288"/>
    </row>
    <row r="2" spans="1:4" x14ac:dyDescent="0.2">
      <c r="A2" s="288" t="s">
        <v>1</v>
      </c>
      <c r="B2" s="288"/>
      <c r="C2" s="288"/>
      <c r="D2" s="288"/>
    </row>
    <row r="3" spans="1:4" x14ac:dyDescent="0.2">
      <c r="A3" s="288" t="s">
        <v>2</v>
      </c>
      <c r="B3" s="288"/>
      <c r="C3" s="288"/>
      <c r="D3" s="288"/>
    </row>
    <row r="4" spans="1:4" x14ac:dyDescent="0.2">
      <c r="A4" s="289" t="s">
        <v>301</v>
      </c>
      <c r="B4" s="288"/>
      <c r="C4" s="288"/>
      <c r="D4" s="288"/>
    </row>
    <row r="5" spans="1:4" x14ac:dyDescent="0.2">
      <c r="A5" s="287" t="s">
        <v>313</v>
      </c>
      <c r="B5" s="288"/>
      <c r="C5" s="288"/>
      <c r="D5" s="288"/>
    </row>
    <row r="6" spans="1:4" x14ac:dyDescent="0.2">
      <c r="A6" s="214"/>
      <c r="B6" s="214"/>
    </row>
    <row r="7" spans="1:4" x14ac:dyDescent="0.2">
      <c r="A7" s="215" t="s">
        <v>3</v>
      </c>
      <c r="B7" s="215"/>
      <c r="C7" s="215" t="s">
        <v>4</v>
      </c>
      <c r="D7" s="216" t="s">
        <v>5</v>
      </c>
    </row>
    <row r="8" spans="1:4" x14ac:dyDescent="0.2">
      <c r="A8" s="217">
        <f t="shared" ref="A8:A26" si="0">ROW()-7</f>
        <v>1</v>
      </c>
      <c r="B8" s="214"/>
      <c r="C8" s="218" t="s">
        <v>314</v>
      </c>
      <c r="D8" s="219">
        <f>+'F2019 Res Exch Load'!M33/1000</f>
        <v>11071286</v>
      </c>
    </row>
    <row r="9" spans="1:4" x14ac:dyDescent="0.2">
      <c r="A9" s="217">
        <f t="shared" si="0"/>
        <v>2</v>
      </c>
      <c r="B9" s="220"/>
      <c r="C9" s="214"/>
      <c r="D9" s="221"/>
    </row>
    <row r="10" spans="1:4" x14ac:dyDescent="0.2">
      <c r="A10" s="217">
        <f t="shared" si="0"/>
        <v>3</v>
      </c>
      <c r="B10" s="218"/>
      <c r="C10" s="218" t="s">
        <v>302</v>
      </c>
      <c r="D10" s="222">
        <f>+'Utility Spec PFx RAM 2020'!O37*1000</f>
        <v>79551488.485123247</v>
      </c>
    </row>
    <row r="11" spans="1:4" x14ac:dyDescent="0.2">
      <c r="A11" s="217">
        <f t="shared" si="0"/>
        <v>4</v>
      </c>
      <c r="B11" s="220"/>
      <c r="C11" s="214"/>
      <c r="D11" s="17"/>
    </row>
    <row r="12" spans="1:4" x14ac:dyDescent="0.2">
      <c r="A12" s="217">
        <f t="shared" si="0"/>
        <v>5</v>
      </c>
      <c r="B12" s="220"/>
      <c r="C12" s="223" t="s">
        <v>303</v>
      </c>
      <c r="D12" s="224">
        <f>-'186 - 253 Balance'!C12</f>
        <v>-1671151.5</v>
      </c>
    </row>
    <row r="13" spans="1:4" x14ac:dyDescent="0.2">
      <c r="A13" s="217">
        <f t="shared" si="0"/>
        <v>6</v>
      </c>
      <c r="B13" s="214" t="str">
        <f>"= "&amp;A10&amp;" + "&amp;A12</f>
        <v>= 3 + 5</v>
      </c>
      <c r="C13" s="225" t="s">
        <v>6</v>
      </c>
      <c r="D13" s="226">
        <f>SUM(D10:D12)</f>
        <v>77880336.985123247</v>
      </c>
    </row>
    <row r="14" spans="1:4" x14ac:dyDescent="0.2">
      <c r="A14" s="217">
        <f t="shared" si="0"/>
        <v>7</v>
      </c>
      <c r="B14" s="214"/>
      <c r="C14" s="225"/>
      <c r="D14" s="17"/>
    </row>
    <row r="15" spans="1:4" x14ac:dyDescent="0.2">
      <c r="A15" s="217">
        <f t="shared" si="0"/>
        <v>8</v>
      </c>
      <c r="B15" s="220"/>
      <c r="C15" s="227" t="s">
        <v>7</v>
      </c>
      <c r="D15" s="228">
        <f>'Conversion Factor '!E20</f>
        <v>0.95238599999999995</v>
      </c>
    </row>
    <row r="16" spans="1:4" ht="12" thickBot="1" x14ac:dyDescent="0.25">
      <c r="A16" s="217">
        <f t="shared" si="0"/>
        <v>9</v>
      </c>
      <c r="B16" s="214" t="str">
        <f>"= "&amp;A13&amp;" / "&amp;A15</f>
        <v>= 6 / 8</v>
      </c>
      <c r="C16" s="229" t="s">
        <v>8</v>
      </c>
      <c r="D16" s="230">
        <f>+D13/D15</f>
        <v>81773920.432601124</v>
      </c>
    </row>
    <row r="17" spans="1:7" ht="12" thickTop="1" x14ac:dyDescent="0.2">
      <c r="A17" s="217">
        <f t="shared" si="0"/>
        <v>10</v>
      </c>
      <c r="B17" s="220"/>
    </row>
    <row r="18" spans="1:7" ht="12" thickBot="1" x14ac:dyDescent="0.25">
      <c r="A18" s="217">
        <f t="shared" si="0"/>
        <v>11</v>
      </c>
      <c r="B18" s="214" t="str">
        <f>"= "&amp;A16&amp;" / "&amp;A8</f>
        <v>= 9 / 1</v>
      </c>
      <c r="C18" s="218" t="s">
        <v>315</v>
      </c>
      <c r="D18" s="231">
        <f>ROUND(D16/D8,6)/1000</f>
        <v>7.3861270000000001E-3</v>
      </c>
      <c r="F18" s="17"/>
      <c r="G18" s="17"/>
    </row>
    <row r="19" spans="1:7" ht="12" thickTop="1" x14ac:dyDescent="0.2">
      <c r="A19" s="217">
        <f t="shared" si="0"/>
        <v>12</v>
      </c>
      <c r="B19" s="220"/>
    </row>
    <row r="20" spans="1:7" x14ac:dyDescent="0.2">
      <c r="A20" s="217">
        <f t="shared" si="0"/>
        <v>13</v>
      </c>
      <c r="B20" s="220"/>
      <c r="C20" s="232" t="s">
        <v>9</v>
      </c>
    </row>
    <row r="21" spans="1:7" x14ac:dyDescent="0.2">
      <c r="A21" s="217">
        <f t="shared" si="0"/>
        <v>14</v>
      </c>
      <c r="B21" s="220"/>
      <c r="C21" s="214" t="s">
        <v>304</v>
      </c>
    </row>
    <row r="22" spans="1:7" x14ac:dyDescent="0.2">
      <c r="A22" s="217">
        <f t="shared" si="0"/>
        <v>15</v>
      </c>
      <c r="B22" s="220"/>
      <c r="C22" s="214" t="s">
        <v>179</v>
      </c>
    </row>
    <row r="23" spans="1:7" x14ac:dyDescent="0.2">
      <c r="A23" s="217">
        <f t="shared" si="0"/>
        <v>16</v>
      </c>
      <c r="B23" s="220"/>
      <c r="C23" s="223" t="s">
        <v>305</v>
      </c>
      <c r="D23" s="236">
        <f>'Typ Res (Eff 10-12-19)'!O28</f>
        <v>88.980000000000018</v>
      </c>
    </row>
    <row r="24" spans="1:7" x14ac:dyDescent="0.2">
      <c r="A24" s="217">
        <f t="shared" si="0"/>
        <v>17</v>
      </c>
      <c r="B24" s="220"/>
      <c r="C24" s="223" t="s">
        <v>316</v>
      </c>
      <c r="D24" s="236">
        <f>'Typ Res (Eff 10-12-19)'!S28</f>
        <v>89.000000000000014</v>
      </c>
    </row>
    <row r="25" spans="1:7" x14ac:dyDescent="0.2">
      <c r="A25" s="217">
        <f t="shared" si="0"/>
        <v>18</v>
      </c>
      <c r="B25" s="214" t="str">
        <f>"= "&amp;A24&amp;" - "&amp;A23</f>
        <v>= 17 - 16</v>
      </c>
      <c r="C25" s="223" t="s">
        <v>45</v>
      </c>
      <c r="D25" s="233">
        <f>+D24-D23</f>
        <v>1.9999999999996021E-2</v>
      </c>
    </row>
    <row r="26" spans="1:7" ht="12" thickBot="1" x14ac:dyDescent="0.25">
      <c r="A26" s="217">
        <f t="shared" si="0"/>
        <v>19</v>
      </c>
      <c r="B26" s="214" t="str">
        <f>"= "&amp;A25&amp;" / "&amp;A23</f>
        <v>= 18 / 16</v>
      </c>
      <c r="C26" s="234" t="s">
        <v>46</v>
      </c>
      <c r="D26" s="235">
        <f>+D25/D23</f>
        <v>2.2476961114852796E-4</v>
      </c>
    </row>
    <row r="27" spans="1:7" ht="12" thickTop="1" x14ac:dyDescent="0.2">
      <c r="B27" s="220"/>
    </row>
  </sheetData>
  <mergeCells count="5">
    <mergeCell ref="A5:D5"/>
    <mergeCell ref="A1:D1"/>
    <mergeCell ref="A2:D2"/>
    <mergeCell ref="A3:D3"/>
    <mergeCell ref="A4:D4"/>
  </mergeCells>
  <phoneticPr fontId="9" type="noConversion"/>
  <printOptions horizontalCentered="1"/>
  <pageMargins left="0.75" right="0.75" top="1" bottom="1" header="0.5" footer="0.5"/>
  <pageSetup orientation="landscape" cellComments="asDisplayed" horizontalDpi="300" verticalDpi="300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zoomScaleNormal="100" workbookViewId="0">
      <pane xSplit="2" ySplit="6" topLeftCell="C7" activePane="bottomRight" state="frozen"/>
      <selection activeCell="F69" sqref="F69"/>
      <selection pane="topRight" activeCell="F69" sqref="F69"/>
      <selection pane="bottomLeft" activeCell="F69" sqref="F69"/>
      <selection pane="bottomRight" activeCell="W6" sqref="W6"/>
    </sheetView>
  </sheetViews>
  <sheetFormatPr defaultColWidth="4.7109375" defaultRowHeight="11.25" x14ac:dyDescent="0.2"/>
  <cols>
    <col min="1" max="1" width="4.42578125" style="1" bestFit="1" customWidth="1"/>
    <col min="2" max="2" width="17.42578125" style="1" bestFit="1" customWidth="1"/>
    <col min="3" max="3" width="13.28515625" style="1" bestFit="1" customWidth="1"/>
    <col min="4" max="4" width="12.85546875" style="1" bestFit="1" customWidth="1"/>
    <col min="5" max="5" width="11.28515625" style="1" bestFit="1" customWidth="1"/>
    <col min="6" max="6" width="11.5703125" style="1" bestFit="1" customWidth="1"/>
    <col min="7" max="8" width="10.7109375" style="1" bestFit="1" customWidth="1"/>
    <col min="9" max="9" width="8.28515625" style="1" bestFit="1" customWidth="1"/>
    <col min="10" max="10" width="10.42578125" style="1" bestFit="1" customWidth="1"/>
    <col min="11" max="12" width="10.7109375" style="1" bestFit="1" customWidth="1"/>
    <col min="13" max="13" width="12.28515625" style="1" bestFit="1" customWidth="1"/>
    <col min="14" max="14" width="11.28515625" style="1" bestFit="1" customWidth="1"/>
    <col min="15" max="15" width="10.7109375" style="1" bestFit="1" customWidth="1"/>
    <col min="16" max="16" width="13.7109375" style="1" bestFit="1" customWidth="1"/>
    <col min="17" max="17" width="11.28515625" style="1" bestFit="1" customWidth="1"/>
    <col min="18" max="18" width="12.85546875" style="1" bestFit="1" customWidth="1"/>
    <col min="19" max="19" width="1.140625" style="86" customWidth="1"/>
    <col min="20" max="21" width="11.28515625" style="1" bestFit="1" customWidth="1"/>
    <col min="22" max="22" width="9.85546875" style="1" bestFit="1" customWidth="1"/>
    <col min="23" max="23" width="13.28515625" style="1" customWidth="1"/>
    <col min="24" max="24" width="11.28515625" style="1" customWidth="1"/>
    <col min="25" max="25" width="9.42578125" style="1" customWidth="1"/>
    <col min="26" max="26" width="7" style="1" bestFit="1" customWidth="1"/>
    <col min="27" max="16384" width="4.7109375" style="1"/>
  </cols>
  <sheetData>
    <row r="1" spans="1:26" s="7" customFormat="1" x14ac:dyDescent="0.2">
      <c r="A1" s="290" t="str">
        <f>'FY2020 Sch 194 Summary'!A1:D1</f>
        <v>Puget Sound Energy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</row>
    <row r="2" spans="1:26" s="7" customFormat="1" x14ac:dyDescent="0.2">
      <c r="A2" s="291" t="s">
        <v>165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26" s="7" customFormat="1" x14ac:dyDescent="0.2">
      <c r="A3" s="290" t="str">
        <f>'FY2020 Sch 194 Summary'!A2:D2</f>
        <v>Proposed Schedule 194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s="7" customFormat="1" ht="12" thickBot="1" x14ac:dyDescent="0.25">
      <c r="A4" s="290" t="str">
        <f>'FY2020 Sch 194 Summary'!A3:D3</f>
        <v>BPA Residential and Farm Energy Exchange Benefits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26" ht="12" thickBo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0"/>
      <c r="S5" s="11"/>
      <c r="T5" s="95" t="s">
        <v>137</v>
      </c>
      <c r="U5" s="96" t="s">
        <v>138</v>
      </c>
      <c r="V5" s="12"/>
      <c r="W5" s="12"/>
      <c r="X5" s="12"/>
      <c r="Y5" s="12"/>
      <c r="Z5" s="12"/>
    </row>
    <row r="6" spans="1:26" s="15" customFormat="1" ht="57" thickBot="1" x14ac:dyDescent="0.25">
      <c r="A6" s="13" t="s">
        <v>3</v>
      </c>
      <c r="B6" s="13" t="s">
        <v>139</v>
      </c>
      <c r="C6" s="77" t="s">
        <v>321</v>
      </c>
      <c r="D6" s="85" t="s">
        <v>322</v>
      </c>
      <c r="E6" s="85" t="s">
        <v>323</v>
      </c>
      <c r="F6" s="85" t="s">
        <v>324</v>
      </c>
      <c r="G6" s="85" t="s">
        <v>325</v>
      </c>
      <c r="H6" s="85" t="s">
        <v>326</v>
      </c>
      <c r="I6" s="85" t="s">
        <v>327</v>
      </c>
      <c r="J6" s="85" t="s">
        <v>328</v>
      </c>
      <c r="K6" s="85" t="s">
        <v>329</v>
      </c>
      <c r="L6" s="85" t="s">
        <v>330</v>
      </c>
      <c r="M6" s="85" t="s">
        <v>331</v>
      </c>
      <c r="N6" s="85" t="s">
        <v>332</v>
      </c>
      <c r="O6" s="85" t="s">
        <v>333</v>
      </c>
      <c r="P6" s="85" t="s">
        <v>334</v>
      </c>
      <c r="Q6" s="85" t="s">
        <v>335</v>
      </c>
      <c r="R6" s="85" t="s">
        <v>336</v>
      </c>
      <c r="S6" s="14"/>
      <c r="T6" s="97" t="str">
        <f>+P6</f>
        <v>Schedule 194
BPA Res &amp; Farm Credit</v>
      </c>
      <c r="U6" s="98" t="str">
        <f>+T6</f>
        <v>Schedule 194
BPA Res &amp; Farm Credit</v>
      </c>
      <c r="V6" s="281" t="s">
        <v>140</v>
      </c>
      <c r="W6" s="281" t="s">
        <v>337</v>
      </c>
      <c r="X6" s="281" t="s">
        <v>310</v>
      </c>
      <c r="Y6" s="282" t="s">
        <v>311</v>
      </c>
      <c r="Z6" s="282" t="s">
        <v>141</v>
      </c>
    </row>
    <row r="7" spans="1:26" x14ac:dyDescent="0.2">
      <c r="A7" s="75">
        <v>1</v>
      </c>
      <c r="B7" s="75">
        <v>7</v>
      </c>
      <c r="C7" s="84">
        <v>10602809000</v>
      </c>
      <c r="D7" s="84">
        <v>1103358000</v>
      </c>
      <c r="E7" s="84">
        <v>-11642000</v>
      </c>
      <c r="F7" s="84">
        <v>-20283000</v>
      </c>
      <c r="G7" s="84">
        <v>41404000</v>
      </c>
      <c r="H7" s="84">
        <v>9494000</v>
      </c>
      <c r="I7" s="84">
        <v>0</v>
      </c>
      <c r="J7" s="84">
        <v>-774000</v>
      </c>
      <c r="K7" s="84">
        <v>34226000</v>
      </c>
      <c r="L7" s="84">
        <v>16502000</v>
      </c>
      <c r="M7" s="84">
        <v>-16502000</v>
      </c>
      <c r="N7" s="84">
        <v>-13476000</v>
      </c>
      <c r="O7" s="84">
        <v>6584000</v>
      </c>
      <c r="P7" s="84">
        <v>-78523000</v>
      </c>
      <c r="Q7" s="78">
        <f>SUM(E7:P7)</f>
        <v>-32990000</v>
      </c>
      <c r="R7" s="78">
        <f>SUM(Q7,D7)</f>
        <v>1070368000</v>
      </c>
      <c r="S7" s="82"/>
      <c r="T7" s="87">
        <f>-P7</f>
        <v>78523000</v>
      </c>
      <c r="U7" s="99">
        <v>-78314000</v>
      </c>
      <c r="V7" s="78">
        <f>SUM(T7:U7)</f>
        <v>209000</v>
      </c>
      <c r="W7" s="78">
        <f>R7+V7</f>
        <v>1070577000</v>
      </c>
      <c r="X7" s="283">
        <f>R7/C7</f>
        <v>0.1009513610968565</v>
      </c>
      <c r="Y7" s="283">
        <f>W7/C7</f>
        <v>0.10097107285437283</v>
      </c>
      <c r="Z7" s="16">
        <f>+V7/R7</f>
        <v>1.9525994798050763E-4</v>
      </c>
    </row>
    <row r="8" spans="1:26" x14ac:dyDescent="0.2">
      <c r="A8" s="75">
        <f>+A7+1</f>
        <v>2</v>
      </c>
      <c r="B8" s="75" t="s">
        <v>142</v>
      </c>
      <c r="C8" s="79">
        <f t="shared" ref="C8:R8" si="0">SUM(C7:C7)</f>
        <v>10602809000</v>
      </c>
      <c r="D8" s="80">
        <f t="shared" ref="D8" si="1">SUM(D7:D7)</f>
        <v>1103358000</v>
      </c>
      <c r="E8" s="80">
        <f t="shared" si="0"/>
        <v>-11642000</v>
      </c>
      <c r="F8" s="80">
        <f t="shared" si="0"/>
        <v>-20283000</v>
      </c>
      <c r="G8" s="80">
        <f t="shared" si="0"/>
        <v>41404000</v>
      </c>
      <c r="H8" s="80">
        <f t="shared" si="0"/>
        <v>9494000</v>
      </c>
      <c r="I8" s="80">
        <f t="shared" si="0"/>
        <v>0</v>
      </c>
      <c r="J8" s="80">
        <f t="shared" ref="J8" si="2">SUM(J7:J7)</f>
        <v>-774000</v>
      </c>
      <c r="K8" s="80">
        <f t="shared" si="0"/>
        <v>34226000</v>
      </c>
      <c r="L8" s="80">
        <f t="shared" si="0"/>
        <v>16502000</v>
      </c>
      <c r="M8" s="80">
        <f t="shared" si="0"/>
        <v>-16502000</v>
      </c>
      <c r="N8" s="80">
        <f>SUM(N7:N7)</f>
        <v>-13476000</v>
      </c>
      <c r="O8" s="80">
        <f t="shared" si="0"/>
        <v>6584000</v>
      </c>
      <c r="P8" s="80">
        <f t="shared" si="0"/>
        <v>-78523000</v>
      </c>
      <c r="Q8" s="80">
        <f t="shared" si="0"/>
        <v>-32990000</v>
      </c>
      <c r="R8" s="80">
        <f t="shared" si="0"/>
        <v>1070368000</v>
      </c>
      <c r="S8" s="82"/>
      <c r="T8" s="89">
        <f t="shared" ref="T8:U8" si="3">SUM(T7:T7)</f>
        <v>78523000</v>
      </c>
      <c r="U8" s="90">
        <f t="shared" si="3"/>
        <v>-78314000</v>
      </c>
      <c r="V8" s="80">
        <f>SUM(V7)</f>
        <v>209000</v>
      </c>
      <c r="W8" s="80">
        <f t="shared" ref="W8" si="4">SUM(W7:W7)</f>
        <v>1070577000</v>
      </c>
      <c r="X8" s="284">
        <f>R8/C8</f>
        <v>0.1009513610968565</v>
      </c>
      <c r="Y8" s="284">
        <f>W8/C8</f>
        <v>0.10097107285437283</v>
      </c>
      <c r="Z8" s="16">
        <f>+V8/R8</f>
        <v>1.9525994798050763E-4</v>
      </c>
    </row>
    <row r="9" spans="1:26" x14ac:dyDescent="0.2">
      <c r="A9" s="75">
        <f t="shared" ref="A9:A40" si="5">+A8+1</f>
        <v>3</v>
      </c>
      <c r="B9" s="75"/>
      <c r="C9" s="21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82"/>
      <c r="T9" s="87"/>
      <c r="U9" s="88"/>
      <c r="V9" s="78"/>
      <c r="W9" s="78"/>
      <c r="X9" s="283"/>
      <c r="Y9" s="283"/>
      <c r="Z9" s="16"/>
    </row>
    <row r="10" spans="1:26" x14ac:dyDescent="0.2">
      <c r="A10" s="75">
        <f t="shared" si="5"/>
        <v>4</v>
      </c>
      <c r="B10" s="76">
        <v>8</v>
      </c>
      <c r="C10" s="84">
        <v>247247000</v>
      </c>
      <c r="D10" s="84">
        <v>24061000</v>
      </c>
      <c r="E10" s="84">
        <v>-228000</v>
      </c>
      <c r="F10" s="84">
        <v>-406000</v>
      </c>
      <c r="G10" s="84">
        <v>823000</v>
      </c>
      <c r="H10" s="84">
        <v>212000</v>
      </c>
      <c r="I10" s="84">
        <v>0</v>
      </c>
      <c r="J10" s="84">
        <v>-16000</v>
      </c>
      <c r="K10" s="84">
        <v>605000</v>
      </c>
      <c r="L10" s="84">
        <v>270000</v>
      </c>
      <c r="M10" s="84">
        <v>-270000</v>
      </c>
      <c r="N10" s="84">
        <v>-233000</v>
      </c>
      <c r="O10" s="84">
        <v>696000</v>
      </c>
      <c r="P10" s="84">
        <v>-1831000</v>
      </c>
      <c r="Q10" s="78">
        <f t="shared" ref="Q10:Q17" si="6">SUM(E10:P10)</f>
        <v>-378000</v>
      </c>
      <c r="R10" s="78">
        <f t="shared" ref="R10:R17" si="7">SUM(Q10,D10)</f>
        <v>23683000</v>
      </c>
      <c r="S10" s="82"/>
      <c r="T10" s="87">
        <f>-P10</f>
        <v>1831000</v>
      </c>
      <c r="U10" s="99">
        <v>-1826000</v>
      </c>
      <c r="V10" s="78">
        <f t="shared" ref="V10:V17" si="8">SUM(T10:U10)</f>
        <v>5000</v>
      </c>
      <c r="W10" s="78">
        <f t="shared" ref="W10:W17" si="9">R10+V10</f>
        <v>23688000</v>
      </c>
      <c r="X10" s="283">
        <f t="shared" ref="X10:X18" si="10">R10/C10</f>
        <v>9.5786804288828575E-2</v>
      </c>
      <c r="Y10" s="283">
        <f t="shared" ref="Y10:Y18" si="11">W10/C10</f>
        <v>9.5807026981116053E-2</v>
      </c>
      <c r="Z10" s="16">
        <f t="shared" ref="Z10:Z18" si="12">+V10/R10</f>
        <v>2.1112190178609129E-4</v>
      </c>
    </row>
    <row r="11" spans="1:26" x14ac:dyDescent="0.2">
      <c r="A11" s="75">
        <f t="shared" si="5"/>
        <v>5</v>
      </c>
      <c r="B11" s="76">
        <v>24</v>
      </c>
      <c r="C11" s="84">
        <v>2564810000</v>
      </c>
      <c r="D11" s="84">
        <v>249593000</v>
      </c>
      <c r="E11" s="84">
        <v>-2367000</v>
      </c>
      <c r="F11" s="84">
        <v>-4209000</v>
      </c>
      <c r="G11" s="84">
        <v>8536000</v>
      </c>
      <c r="H11" s="84">
        <v>2197000</v>
      </c>
      <c r="I11" s="84">
        <v>0</v>
      </c>
      <c r="J11" s="84">
        <v>-162000</v>
      </c>
      <c r="K11" s="84">
        <v>6271000</v>
      </c>
      <c r="L11" s="84">
        <v>2799000</v>
      </c>
      <c r="M11" s="84">
        <v>-2799000</v>
      </c>
      <c r="N11" s="84">
        <v>-2419000</v>
      </c>
      <c r="O11" s="84">
        <v>7225000</v>
      </c>
      <c r="P11" s="84">
        <v>0</v>
      </c>
      <c r="Q11" s="78">
        <f t="shared" si="6"/>
        <v>15072000</v>
      </c>
      <c r="R11" s="78">
        <f t="shared" si="7"/>
        <v>264665000</v>
      </c>
      <c r="S11" s="82"/>
      <c r="T11" s="87">
        <f t="shared" ref="T11:T17" si="13">-P11</f>
        <v>0</v>
      </c>
      <c r="U11" s="99">
        <v>0</v>
      </c>
      <c r="V11" s="78">
        <f t="shared" si="8"/>
        <v>0</v>
      </c>
      <c r="W11" s="78">
        <f t="shared" si="9"/>
        <v>264665000</v>
      </c>
      <c r="X11" s="283">
        <f t="shared" si="10"/>
        <v>0.10319087963630834</v>
      </c>
      <c r="Y11" s="283">
        <f t="shared" si="11"/>
        <v>0.10319087963630834</v>
      </c>
      <c r="Z11" s="16">
        <f t="shared" si="12"/>
        <v>0</v>
      </c>
    </row>
    <row r="12" spans="1:26" x14ac:dyDescent="0.2">
      <c r="A12" s="75">
        <f t="shared" si="5"/>
        <v>6</v>
      </c>
      <c r="B12" s="76">
        <v>11</v>
      </c>
      <c r="C12" s="84">
        <v>146948000</v>
      </c>
      <c r="D12" s="84">
        <v>13255000</v>
      </c>
      <c r="E12" s="84">
        <v>-129000</v>
      </c>
      <c r="F12" s="84">
        <v>-230000</v>
      </c>
      <c r="G12" s="84">
        <v>467000</v>
      </c>
      <c r="H12" s="84">
        <v>117000</v>
      </c>
      <c r="I12" s="84">
        <v>0</v>
      </c>
      <c r="J12" s="84">
        <v>-9000</v>
      </c>
      <c r="K12" s="84">
        <v>314000</v>
      </c>
      <c r="L12" s="84">
        <v>129000</v>
      </c>
      <c r="M12" s="84">
        <v>-129000</v>
      </c>
      <c r="N12" s="84">
        <v>-127000</v>
      </c>
      <c r="O12" s="84">
        <v>-97000</v>
      </c>
      <c r="P12" s="84">
        <v>-1088000</v>
      </c>
      <c r="Q12" s="78">
        <f t="shared" si="6"/>
        <v>-782000</v>
      </c>
      <c r="R12" s="78">
        <f t="shared" si="7"/>
        <v>12473000</v>
      </c>
      <c r="S12" s="82"/>
      <c r="T12" s="87">
        <f t="shared" si="13"/>
        <v>1088000</v>
      </c>
      <c r="U12" s="99">
        <v>-1085000</v>
      </c>
      <c r="V12" s="78">
        <f t="shared" si="8"/>
        <v>3000</v>
      </c>
      <c r="W12" s="78">
        <f t="shared" si="9"/>
        <v>12476000</v>
      </c>
      <c r="X12" s="283">
        <f t="shared" si="10"/>
        <v>8.4880365843699818E-2</v>
      </c>
      <c r="Y12" s="283">
        <f t="shared" si="11"/>
        <v>8.4900781228733971E-2</v>
      </c>
      <c r="Z12" s="16">
        <f t="shared" si="12"/>
        <v>2.4051952216788263E-4</v>
      </c>
    </row>
    <row r="13" spans="1:26" x14ac:dyDescent="0.2">
      <c r="A13" s="75">
        <f t="shared" si="5"/>
        <v>7</v>
      </c>
      <c r="B13" s="76" t="s">
        <v>143</v>
      </c>
      <c r="C13" s="84">
        <v>2529000</v>
      </c>
      <c r="D13" s="84">
        <v>228000</v>
      </c>
      <c r="E13" s="84">
        <v>-2000</v>
      </c>
      <c r="F13" s="84">
        <v>-4000</v>
      </c>
      <c r="G13" s="84">
        <v>8000</v>
      </c>
      <c r="H13" s="84">
        <v>2000</v>
      </c>
      <c r="I13" s="84">
        <v>0</v>
      </c>
      <c r="J13" s="84">
        <v>0</v>
      </c>
      <c r="K13" s="84">
        <v>5000</v>
      </c>
      <c r="L13" s="84">
        <v>2000</v>
      </c>
      <c r="M13" s="84">
        <v>-2000</v>
      </c>
      <c r="N13" s="84">
        <v>-2000</v>
      </c>
      <c r="O13" s="84">
        <v>-2000</v>
      </c>
      <c r="P13" s="84">
        <v>-19000</v>
      </c>
      <c r="Q13" s="78">
        <f t="shared" si="6"/>
        <v>-14000</v>
      </c>
      <c r="R13" s="78">
        <f t="shared" si="7"/>
        <v>214000</v>
      </c>
      <c r="S13" s="82"/>
      <c r="T13" s="87">
        <f t="shared" si="13"/>
        <v>19000</v>
      </c>
      <c r="U13" s="99">
        <v>-19000</v>
      </c>
      <c r="V13" s="78">
        <f t="shared" si="8"/>
        <v>0</v>
      </c>
      <c r="W13" s="78">
        <f t="shared" si="9"/>
        <v>214000</v>
      </c>
      <c r="X13" s="283">
        <f t="shared" si="10"/>
        <v>8.4618426255436932E-2</v>
      </c>
      <c r="Y13" s="283">
        <f t="shared" si="11"/>
        <v>8.4618426255436932E-2</v>
      </c>
      <c r="Z13" s="16">
        <f t="shared" si="12"/>
        <v>0</v>
      </c>
    </row>
    <row r="14" spans="1:26" x14ac:dyDescent="0.2">
      <c r="A14" s="75">
        <f t="shared" si="5"/>
        <v>8</v>
      </c>
      <c r="B14" s="76">
        <v>25</v>
      </c>
      <c r="C14" s="84">
        <v>2815310000</v>
      </c>
      <c r="D14" s="84">
        <v>253955000</v>
      </c>
      <c r="E14" s="84">
        <v>-2466000</v>
      </c>
      <c r="F14" s="84">
        <v>-4414000</v>
      </c>
      <c r="G14" s="84">
        <v>8950000</v>
      </c>
      <c r="H14" s="84">
        <v>2242000</v>
      </c>
      <c r="I14" s="84">
        <v>0</v>
      </c>
      <c r="J14" s="84">
        <v>-169000</v>
      </c>
      <c r="K14" s="84">
        <v>6014000</v>
      </c>
      <c r="L14" s="84">
        <v>2469000</v>
      </c>
      <c r="M14" s="84">
        <v>-2469000</v>
      </c>
      <c r="N14" s="84">
        <v>-2441000</v>
      </c>
      <c r="O14" s="84">
        <v>-1850000</v>
      </c>
      <c r="P14" s="84">
        <v>0</v>
      </c>
      <c r="Q14" s="78">
        <f t="shared" si="6"/>
        <v>5866000</v>
      </c>
      <c r="R14" s="78">
        <f t="shared" si="7"/>
        <v>259821000</v>
      </c>
      <c r="S14" s="82"/>
      <c r="T14" s="87">
        <f t="shared" si="13"/>
        <v>0</v>
      </c>
      <c r="U14" s="99">
        <v>0</v>
      </c>
      <c r="V14" s="78">
        <f t="shared" si="8"/>
        <v>0</v>
      </c>
      <c r="W14" s="78">
        <f t="shared" si="9"/>
        <v>259821000</v>
      </c>
      <c r="X14" s="283">
        <f t="shared" si="10"/>
        <v>9.2288593440864417E-2</v>
      </c>
      <c r="Y14" s="283">
        <f t="shared" si="11"/>
        <v>9.2288593440864417E-2</v>
      </c>
      <c r="Z14" s="16">
        <f t="shared" si="12"/>
        <v>0</v>
      </c>
    </row>
    <row r="15" spans="1:26" x14ac:dyDescent="0.2">
      <c r="A15" s="75">
        <f t="shared" si="5"/>
        <v>9</v>
      </c>
      <c r="B15" s="76">
        <v>12</v>
      </c>
      <c r="C15" s="84">
        <v>17736000</v>
      </c>
      <c r="D15" s="84">
        <v>1470000</v>
      </c>
      <c r="E15" s="84">
        <v>-17000</v>
      </c>
      <c r="F15" s="84">
        <v>-30000</v>
      </c>
      <c r="G15" s="84">
        <v>62000</v>
      </c>
      <c r="H15" s="84">
        <v>13000</v>
      </c>
      <c r="I15" s="84">
        <v>0</v>
      </c>
      <c r="J15" s="84">
        <v>-1000</v>
      </c>
      <c r="K15" s="84">
        <v>37000</v>
      </c>
      <c r="L15" s="84">
        <v>14000</v>
      </c>
      <c r="M15" s="84">
        <v>-14000</v>
      </c>
      <c r="N15" s="84">
        <v>-15000</v>
      </c>
      <c r="O15" s="84">
        <v>15000</v>
      </c>
      <c r="P15" s="84">
        <v>-131000</v>
      </c>
      <c r="Q15" s="78">
        <f t="shared" si="6"/>
        <v>-67000</v>
      </c>
      <c r="R15" s="78">
        <f t="shared" si="7"/>
        <v>1403000</v>
      </c>
      <c r="S15" s="82"/>
      <c r="T15" s="87">
        <f t="shared" si="13"/>
        <v>131000</v>
      </c>
      <c r="U15" s="99">
        <v>-131000</v>
      </c>
      <c r="V15" s="78">
        <f t="shared" si="8"/>
        <v>0</v>
      </c>
      <c r="W15" s="78">
        <f t="shared" si="9"/>
        <v>1403000</v>
      </c>
      <c r="X15" s="283">
        <f t="shared" si="10"/>
        <v>7.9104645917907085E-2</v>
      </c>
      <c r="Y15" s="283">
        <f t="shared" si="11"/>
        <v>7.9104645917907085E-2</v>
      </c>
      <c r="Z15" s="16">
        <f t="shared" si="12"/>
        <v>0</v>
      </c>
    </row>
    <row r="16" spans="1:26" x14ac:dyDescent="0.2">
      <c r="A16" s="75">
        <f t="shared" si="5"/>
        <v>10</v>
      </c>
      <c r="B16" s="76">
        <v>26</v>
      </c>
      <c r="C16" s="84">
        <v>1737498000</v>
      </c>
      <c r="D16" s="84">
        <v>143962000</v>
      </c>
      <c r="E16" s="84">
        <v>-1708000</v>
      </c>
      <c r="F16" s="84">
        <v>-2971000</v>
      </c>
      <c r="G16" s="84">
        <v>6062000</v>
      </c>
      <c r="H16" s="84">
        <v>1246000</v>
      </c>
      <c r="I16" s="84">
        <v>0</v>
      </c>
      <c r="J16" s="84">
        <v>-113000</v>
      </c>
      <c r="K16" s="84">
        <v>3642000</v>
      </c>
      <c r="L16" s="84">
        <v>1399000</v>
      </c>
      <c r="M16" s="84">
        <v>-1399000</v>
      </c>
      <c r="N16" s="84">
        <v>-1489000</v>
      </c>
      <c r="O16" s="84">
        <v>1396000</v>
      </c>
      <c r="P16" s="84">
        <v>0</v>
      </c>
      <c r="Q16" s="78">
        <f t="shared" si="6"/>
        <v>6065000</v>
      </c>
      <c r="R16" s="78">
        <f t="shared" si="7"/>
        <v>150027000</v>
      </c>
      <c r="S16" s="82"/>
      <c r="T16" s="87">
        <f t="shared" si="13"/>
        <v>0</v>
      </c>
      <c r="U16" s="99">
        <v>0</v>
      </c>
      <c r="V16" s="78">
        <f t="shared" si="8"/>
        <v>0</v>
      </c>
      <c r="W16" s="78">
        <f t="shared" si="9"/>
        <v>150027000</v>
      </c>
      <c r="X16" s="283">
        <f t="shared" si="10"/>
        <v>8.6346574211883978E-2</v>
      </c>
      <c r="Y16" s="283">
        <f t="shared" si="11"/>
        <v>8.6346574211883978E-2</v>
      </c>
      <c r="Z16" s="16">
        <f t="shared" si="12"/>
        <v>0</v>
      </c>
    </row>
    <row r="17" spans="1:26" x14ac:dyDescent="0.2">
      <c r="A17" s="75">
        <f t="shared" si="5"/>
        <v>11</v>
      </c>
      <c r="B17" s="75">
        <v>29</v>
      </c>
      <c r="C17" s="84">
        <v>14656000</v>
      </c>
      <c r="D17" s="84">
        <v>1165000</v>
      </c>
      <c r="E17" s="84">
        <v>-10000</v>
      </c>
      <c r="F17" s="84">
        <v>-19000</v>
      </c>
      <c r="G17" s="84">
        <v>38000</v>
      </c>
      <c r="H17" s="84">
        <v>10000</v>
      </c>
      <c r="I17" s="84">
        <v>0</v>
      </c>
      <c r="J17" s="84">
        <v>-1000</v>
      </c>
      <c r="K17" s="84">
        <v>31000</v>
      </c>
      <c r="L17" s="84">
        <v>11000</v>
      </c>
      <c r="M17" s="84">
        <v>-11000</v>
      </c>
      <c r="N17" s="84">
        <v>-13000</v>
      </c>
      <c r="O17" s="84">
        <v>-10000</v>
      </c>
      <c r="P17" s="84">
        <v>-109000</v>
      </c>
      <c r="Q17" s="78">
        <f t="shared" si="6"/>
        <v>-83000</v>
      </c>
      <c r="R17" s="78">
        <f t="shared" si="7"/>
        <v>1082000</v>
      </c>
      <c r="S17" s="82"/>
      <c r="T17" s="87">
        <f t="shared" si="13"/>
        <v>109000</v>
      </c>
      <c r="U17" s="99">
        <v>-108000</v>
      </c>
      <c r="V17" s="78">
        <f t="shared" si="8"/>
        <v>1000</v>
      </c>
      <c r="W17" s="78">
        <f t="shared" si="9"/>
        <v>1083000</v>
      </c>
      <c r="X17" s="283">
        <f t="shared" si="10"/>
        <v>7.3826419213973801E-2</v>
      </c>
      <c r="Y17" s="283">
        <f t="shared" si="11"/>
        <v>7.3894650655021835E-2</v>
      </c>
      <c r="Z17" s="16">
        <f t="shared" si="12"/>
        <v>9.2421441774491681E-4</v>
      </c>
    </row>
    <row r="18" spans="1:26" x14ac:dyDescent="0.2">
      <c r="A18" s="75">
        <f t="shared" si="5"/>
        <v>12</v>
      </c>
      <c r="B18" s="76" t="s">
        <v>171</v>
      </c>
      <c r="C18" s="79">
        <f t="shared" ref="C18:R18" si="14">SUM(C10:C17)</f>
        <v>7546734000</v>
      </c>
      <c r="D18" s="80">
        <f t="shared" si="14"/>
        <v>687689000</v>
      </c>
      <c r="E18" s="80">
        <f t="shared" si="14"/>
        <v>-6927000</v>
      </c>
      <c r="F18" s="80">
        <f t="shared" si="14"/>
        <v>-12283000</v>
      </c>
      <c r="G18" s="80">
        <f t="shared" si="14"/>
        <v>24946000</v>
      </c>
      <c r="H18" s="80">
        <f t="shared" si="14"/>
        <v>6039000</v>
      </c>
      <c r="I18" s="80">
        <f t="shared" si="14"/>
        <v>0</v>
      </c>
      <c r="J18" s="80">
        <f t="shared" si="14"/>
        <v>-471000</v>
      </c>
      <c r="K18" s="80">
        <f t="shared" si="14"/>
        <v>16919000</v>
      </c>
      <c r="L18" s="80">
        <f t="shared" si="14"/>
        <v>7093000</v>
      </c>
      <c r="M18" s="80">
        <f t="shared" si="14"/>
        <v>-7093000</v>
      </c>
      <c r="N18" s="80">
        <f>SUM(N10:N17)</f>
        <v>-6739000</v>
      </c>
      <c r="O18" s="80">
        <f t="shared" si="14"/>
        <v>7373000</v>
      </c>
      <c r="P18" s="80">
        <f t="shared" si="14"/>
        <v>-3178000</v>
      </c>
      <c r="Q18" s="80">
        <f t="shared" si="14"/>
        <v>25679000</v>
      </c>
      <c r="R18" s="80">
        <f t="shared" si="14"/>
        <v>713368000</v>
      </c>
      <c r="S18" s="82"/>
      <c r="T18" s="89">
        <f t="shared" ref="T18:U18" si="15">SUM(T10:T17)</f>
        <v>3178000</v>
      </c>
      <c r="U18" s="90">
        <f t="shared" si="15"/>
        <v>-3169000</v>
      </c>
      <c r="V18" s="80">
        <f>SUM(V10:V17)</f>
        <v>9000</v>
      </c>
      <c r="W18" s="80">
        <f t="shared" ref="W18" si="16">SUM(W10:W17)</f>
        <v>713377000</v>
      </c>
      <c r="X18" s="284">
        <f t="shared" si="10"/>
        <v>9.4526718445356622E-2</v>
      </c>
      <c r="Y18" s="284">
        <f t="shared" si="11"/>
        <v>9.4527911014221519E-2</v>
      </c>
      <c r="Z18" s="16">
        <f t="shared" si="12"/>
        <v>1.2616209305715984E-5</v>
      </c>
    </row>
    <row r="19" spans="1:26" x14ac:dyDescent="0.2">
      <c r="A19" s="75">
        <f t="shared" si="5"/>
        <v>13</v>
      </c>
      <c r="B19" s="75"/>
      <c r="C19" s="21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82"/>
      <c r="T19" s="87"/>
      <c r="U19" s="88"/>
      <c r="V19" s="78"/>
      <c r="W19" s="78"/>
      <c r="X19" s="283"/>
      <c r="Y19" s="283"/>
      <c r="Z19" s="16"/>
    </row>
    <row r="20" spans="1:26" x14ac:dyDescent="0.2">
      <c r="A20" s="75">
        <f t="shared" si="5"/>
        <v>14</v>
      </c>
      <c r="B20" s="75">
        <v>10</v>
      </c>
      <c r="C20" s="84">
        <v>33276000</v>
      </c>
      <c r="D20" s="84">
        <v>2699000</v>
      </c>
      <c r="E20" s="84">
        <v>-29000</v>
      </c>
      <c r="F20" s="84">
        <v>-51000</v>
      </c>
      <c r="G20" s="84">
        <v>105000</v>
      </c>
      <c r="H20" s="84">
        <v>23000</v>
      </c>
      <c r="I20" s="84">
        <v>0</v>
      </c>
      <c r="J20" s="84">
        <v>-2000</v>
      </c>
      <c r="K20" s="84">
        <v>66000</v>
      </c>
      <c r="L20" s="84">
        <v>26000</v>
      </c>
      <c r="M20" s="84">
        <v>-26000</v>
      </c>
      <c r="N20" s="84">
        <v>-27000</v>
      </c>
      <c r="O20" s="84">
        <v>4000</v>
      </c>
      <c r="P20" s="84">
        <v>-246000</v>
      </c>
      <c r="Q20" s="78">
        <f>SUM(E20:P20)</f>
        <v>-157000</v>
      </c>
      <c r="R20" s="78">
        <f>SUM(Q20,D20)</f>
        <v>2542000</v>
      </c>
      <c r="S20" s="82"/>
      <c r="T20" s="87">
        <f>-P20</f>
        <v>246000</v>
      </c>
      <c r="U20" s="99">
        <v>-246000</v>
      </c>
      <c r="V20" s="78">
        <f>SUM(T20:U20)</f>
        <v>0</v>
      </c>
      <c r="W20" s="78">
        <f>R20+V20</f>
        <v>2542000</v>
      </c>
      <c r="X20" s="283">
        <f>R20/C20</f>
        <v>7.6391393196297633E-2</v>
      </c>
      <c r="Y20" s="283">
        <f>W20/C20</f>
        <v>7.6391393196297633E-2</v>
      </c>
      <c r="Z20" s="16">
        <f>+V20/R20</f>
        <v>0</v>
      </c>
    </row>
    <row r="21" spans="1:26" x14ac:dyDescent="0.2">
      <c r="A21" s="75">
        <f t="shared" si="5"/>
        <v>15</v>
      </c>
      <c r="B21" s="75">
        <v>31</v>
      </c>
      <c r="C21" s="84">
        <v>1259942000</v>
      </c>
      <c r="D21" s="84">
        <v>102185000</v>
      </c>
      <c r="E21" s="84">
        <v>-1107000</v>
      </c>
      <c r="F21" s="84">
        <v>-1944000</v>
      </c>
      <c r="G21" s="84">
        <v>3971000</v>
      </c>
      <c r="H21" s="84">
        <v>887000</v>
      </c>
      <c r="I21" s="84">
        <v>0</v>
      </c>
      <c r="J21" s="84">
        <v>-74000</v>
      </c>
      <c r="K21" s="84">
        <v>2492000</v>
      </c>
      <c r="L21" s="84">
        <v>993000</v>
      </c>
      <c r="M21" s="84">
        <v>-993000</v>
      </c>
      <c r="N21" s="84">
        <v>-1023000</v>
      </c>
      <c r="O21" s="84">
        <v>203000</v>
      </c>
      <c r="P21" s="84">
        <v>0</v>
      </c>
      <c r="Q21" s="78">
        <f>SUM(E21:P21)</f>
        <v>3405000</v>
      </c>
      <c r="R21" s="78">
        <f>SUM(Q21,D21)</f>
        <v>105590000</v>
      </c>
      <c r="S21" s="82"/>
      <c r="T21" s="87">
        <f>-P21</f>
        <v>0</v>
      </c>
      <c r="U21" s="99">
        <v>0</v>
      </c>
      <c r="V21" s="78">
        <f>SUM(T21:U21)</f>
        <v>0</v>
      </c>
      <c r="W21" s="78">
        <f>R21+V21</f>
        <v>105590000</v>
      </c>
      <c r="X21" s="283">
        <f>R21/C21</f>
        <v>8.3805445012548191E-2</v>
      </c>
      <c r="Y21" s="283">
        <f>W21/C21</f>
        <v>8.3805445012548191E-2</v>
      </c>
      <c r="Z21" s="16">
        <f>+V21/R21</f>
        <v>0</v>
      </c>
    </row>
    <row r="22" spans="1:26" x14ac:dyDescent="0.2">
      <c r="A22" s="75">
        <f t="shared" si="5"/>
        <v>16</v>
      </c>
      <c r="B22" s="75">
        <v>35</v>
      </c>
      <c r="C22" s="84">
        <v>4316000</v>
      </c>
      <c r="D22" s="84">
        <v>257000</v>
      </c>
      <c r="E22" s="84">
        <v>-3000</v>
      </c>
      <c r="F22" s="84">
        <v>-5000</v>
      </c>
      <c r="G22" s="84">
        <v>10000</v>
      </c>
      <c r="H22" s="84">
        <v>2000</v>
      </c>
      <c r="I22" s="84">
        <v>0</v>
      </c>
      <c r="J22" s="84">
        <v>0</v>
      </c>
      <c r="K22" s="84">
        <v>9000</v>
      </c>
      <c r="L22" s="84">
        <v>6000</v>
      </c>
      <c r="M22" s="84">
        <v>-6000</v>
      </c>
      <c r="N22" s="84">
        <v>-4000</v>
      </c>
      <c r="O22" s="84">
        <v>-3000</v>
      </c>
      <c r="P22" s="84">
        <v>-32000</v>
      </c>
      <c r="Q22" s="78">
        <f>SUM(E22:P22)</f>
        <v>-26000</v>
      </c>
      <c r="R22" s="78">
        <f>SUM(Q22,D22)</f>
        <v>231000</v>
      </c>
      <c r="S22" s="82"/>
      <c r="T22" s="87">
        <f>-P22</f>
        <v>32000</v>
      </c>
      <c r="U22" s="99">
        <v>-32000</v>
      </c>
      <c r="V22" s="78">
        <f>SUM(T22:U22)</f>
        <v>0</v>
      </c>
      <c r="W22" s="78">
        <f>R22+V22</f>
        <v>231000</v>
      </c>
      <c r="X22" s="283">
        <f>R22/C22</f>
        <v>5.3521779425393885E-2</v>
      </c>
      <c r="Y22" s="283">
        <f>W22/C22</f>
        <v>5.3521779425393885E-2</v>
      </c>
      <c r="Z22" s="16">
        <f>+V22/R22</f>
        <v>0</v>
      </c>
    </row>
    <row r="23" spans="1:26" x14ac:dyDescent="0.2">
      <c r="A23" s="75">
        <f t="shared" si="5"/>
        <v>17</v>
      </c>
      <c r="B23" s="75">
        <v>43</v>
      </c>
      <c r="C23" s="84">
        <v>116239000</v>
      </c>
      <c r="D23" s="84">
        <v>10197000</v>
      </c>
      <c r="E23" s="84">
        <v>-85000</v>
      </c>
      <c r="F23" s="84">
        <v>-150000</v>
      </c>
      <c r="G23" s="84">
        <v>304000</v>
      </c>
      <c r="H23" s="84">
        <v>91000</v>
      </c>
      <c r="I23" s="84">
        <v>0</v>
      </c>
      <c r="J23" s="84">
        <v>-6000</v>
      </c>
      <c r="K23" s="84">
        <v>327000</v>
      </c>
      <c r="L23" s="84">
        <v>153000</v>
      </c>
      <c r="M23" s="84">
        <v>-153000</v>
      </c>
      <c r="N23" s="84">
        <v>-133000</v>
      </c>
      <c r="O23" s="84">
        <v>-76000</v>
      </c>
      <c r="P23" s="84">
        <v>0</v>
      </c>
      <c r="Q23" s="78">
        <f>SUM(E23:P23)</f>
        <v>272000</v>
      </c>
      <c r="R23" s="78">
        <f>SUM(Q23,D23)</f>
        <v>10469000</v>
      </c>
      <c r="S23" s="82"/>
      <c r="T23" s="87">
        <f>-P23</f>
        <v>0</v>
      </c>
      <c r="U23" s="99">
        <v>0</v>
      </c>
      <c r="V23" s="78">
        <f>SUM(T23:U23)</f>
        <v>0</v>
      </c>
      <c r="W23" s="78">
        <f>R23+V23</f>
        <v>10469000</v>
      </c>
      <c r="X23" s="283">
        <f>R23/C23</f>
        <v>9.0064436204716145E-2</v>
      </c>
      <c r="Y23" s="283">
        <f>W23/C23</f>
        <v>9.0064436204716145E-2</v>
      </c>
      <c r="Z23" s="16">
        <f>+V23/R23</f>
        <v>0</v>
      </c>
    </row>
    <row r="24" spans="1:26" x14ac:dyDescent="0.2">
      <c r="A24" s="75">
        <f t="shared" si="5"/>
        <v>18</v>
      </c>
      <c r="B24" s="76" t="s">
        <v>172</v>
      </c>
      <c r="C24" s="79">
        <f t="shared" ref="C24:R24" si="17">SUM(C20:C23)</f>
        <v>1413773000</v>
      </c>
      <c r="D24" s="80">
        <f t="shared" ref="D24" si="18">SUM(D20:D23)</f>
        <v>115338000</v>
      </c>
      <c r="E24" s="80">
        <f t="shared" si="17"/>
        <v>-1224000</v>
      </c>
      <c r="F24" s="80">
        <f t="shared" si="17"/>
        <v>-2150000</v>
      </c>
      <c r="G24" s="80">
        <f t="shared" si="17"/>
        <v>4390000</v>
      </c>
      <c r="H24" s="80">
        <f t="shared" si="17"/>
        <v>1003000</v>
      </c>
      <c r="I24" s="80">
        <f t="shared" si="17"/>
        <v>0</v>
      </c>
      <c r="J24" s="80">
        <f t="shared" ref="J24" si="19">SUM(J20:J23)</f>
        <v>-82000</v>
      </c>
      <c r="K24" s="80">
        <f t="shared" si="17"/>
        <v>2894000</v>
      </c>
      <c r="L24" s="80">
        <f t="shared" si="17"/>
        <v>1178000</v>
      </c>
      <c r="M24" s="80">
        <f t="shared" si="17"/>
        <v>-1178000</v>
      </c>
      <c r="N24" s="80">
        <f>SUM(N20:N23)</f>
        <v>-1187000</v>
      </c>
      <c r="O24" s="80">
        <f t="shared" si="17"/>
        <v>128000</v>
      </c>
      <c r="P24" s="80">
        <f t="shared" si="17"/>
        <v>-278000</v>
      </c>
      <c r="Q24" s="80">
        <f t="shared" si="17"/>
        <v>3494000</v>
      </c>
      <c r="R24" s="80">
        <f t="shared" si="17"/>
        <v>118832000</v>
      </c>
      <c r="S24" s="82"/>
      <c r="T24" s="89">
        <f t="shared" ref="T24:U24" si="20">SUM(T20:T23)</f>
        <v>278000</v>
      </c>
      <c r="U24" s="90">
        <f t="shared" si="20"/>
        <v>-278000</v>
      </c>
      <c r="V24" s="80">
        <f>SUM(V20:V23)</f>
        <v>0</v>
      </c>
      <c r="W24" s="80">
        <f t="shared" ref="W24" si="21">SUM(W20:W23)</f>
        <v>118832000</v>
      </c>
      <c r="X24" s="284">
        <f>R24/C24</f>
        <v>8.4053097633071228E-2</v>
      </c>
      <c r="Y24" s="284">
        <f>W24/C24</f>
        <v>8.4053097633071228E-2</v>
      </c>
      <c r="Z24" s="16">
        <f>+V24/R24</f>
        <v>0</v>
      </c>
    </row>
    <row r="25" spans="1:26" x14ac:dyDescent="0.2">
      <c r="A25" s="75">
        <f t="shared" si="5"/>
        <v>19</v>
      </c>
      <c r="B25" s="75"/>
      <c r="C25" s="21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82"/>
      <c r="T25" s="87"/>
      <c r="U25" s="88"/>
      <c r="V25" s="78"/>
      <c r="W25" s="78"/>
      <c r="X25" s="283"/>
      <c r="Y25" s="283"/>
      <c r="Z25" s="16"/>
    </row>
    <row r="26" spans="1:26" x14ac:dyDescent="0.2">
      <c r="A26" s="75">
        <f t="shared" si="5"/>
        <v>20</v>
      </c>
      <c r="B26" s="75">
        <v>40</v>
      </c>
      <c r="C26" s="84">
        <v>122776000</v>
      </c>
      <c r="D26" s="84">
        <v>8273000</v>
      </c>
      <c r="E26" s="84">
        <v>-164000</v>
      </c>
      <c r="F26" s="84">
        <v>-215000</v>
      </c>
      <c r="G26" s="84">
        <v>441000</v>
      </c>
      <c r="H26" s="84">
        <v>80000</v>
      </c>
      <c r="I26" s="84">
        <v>0</v>
      </c>
      <c r="J26" s="84">
        <v>-8000</v>
      </c>
      <c r="K26" s="84">
        <v>268000</v>
      </c>
      <c r="L26" s="84">
        <v>74000</v>
      </c>
      <c r="M26" s="84">
        <v>-74000</v>
      </c>
      <c r="N26" s="84">
        <v>-105000</v>
      </c>
      <c r="O26" s="84">
        <v>513000</v>
      </c>
      <c r="P26" s="84">
        <v>0</v>
      </c>
      <c r="Q26" s="82">
        <f>SUM(E26:P26)</f>
        <v>810000</v>
      </c>
      <c r="R26" s="82">
        <f>SUM(Q26,D26)</f>
        <v>9083000</v>
      </c>
      <c r="S26" s="82"/>
      <c r="T26" s="87">
        <f>-P26</f>
        <v>0</v>
      </c>
      <c r="U26" s="99">
        <v>0</v>
      </c>
      <c r="V26" s="82">
        <f>SUM(T26:U26)</f>
        <v>0</v>
      </c>
      <c r="W26" s="78">
        <f>R26+V26</f>
        <v>9083000</v>
      </c>
      <c r="X26" s="283">
        <f>R26/C26</f>
        <v>7.3980256727699228E-2</v>
      </c>
      <c r="Y26" s="283">
        <f>W26/C26</f>
        <v>7.3980256727699228E-2</v>
      </c>
      <c r="Z26" s="16">
        <f>+V26/R26</f>
        <v>0</v>
      </c>
    </row>
    <row r="27" spans="1:26" x14ac:dyDescent="0.2">
      <c r="A27" s="75">
        <f t="shared" si="5"/>
        <v>21</v>
      </c>
      <c r="B27" s="75"/>
      <c r="C27" s="21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82"/>
      <c r="T27" s="87"/>
      <c r="U27" s="88"/>
      <c r="V27" s="78"/>
      <c r="W27" s="78"/>
      <c r="X27" s="283"/>
      <c r="Y27" s="283"/>
      <c r="Z27" s="16"/>
    </row>
    <row r="28" spans="1:26" x14ac:dyDescent="0.2">
      <c r="A28" s="75">
        <f t="shared" si="5"/>
        <v>22</v>
      </c>
      <c r="B28" s="75">
        <v>46</v>
      </c>
      <c r="C28" s="84">
        <v>71567000</v>
      </c>
      <c r="D28" s="84">
        <v>4764000</v>
      </c>
      <c r="E28" s="84">
        <v>-9000</v>
      </c>
      <c r="F28" s="84">
        <v>-71000</v>
      </c>
      <c r="G28" s="84">
        <v>147000</v>
      </c>
      <c r="H28" s="84">
        <v>42000</v>
      </c>
      <c r="I28" s="84">
        <v>0</v>
      </c>
      <c r="J28" s="84">
        <v>-3000</v>
      </c>
      <c r="K28" s="84">
        <v>112000</v>
      </c>
      <c r="L28" s="84">
        <v>47000</v>
      </c>
      <c r="M28" s="84">
        <v>-47000</v>
      </c>
      <c r="N28" s="84">
        <v>-47000</v>
      </c>
      <c r="O28" s="84">
        <v>13000</v>
      </c>
      <c r="P28" s="84">
        <v>0</v>
      </c>
      <c r="Q28" s="78">
        <f>SUM(E28:P28)</f>
        <v>184000</v>
      </c>
      <c r="R28" s="78">
        <f>SUM(Q28,D28)</f>
        <v>4948000</v>
      </c>
      <c r="S28" s="82"/>
      <c r="T28" s="87">
        <f>-P28</f>
        <v>0</v>
      </c>
      <c r="U28" s="99">
        <v>0</v>
      </c>
      <c r="V28" s="78">
        <f>SUM(T28:U28)</f>
        <v>0</v>
      </c>
      <c r="W28" s="78">
        <f>R28+V28</f>
        <v>4948000</v>
      </c>
      <c r="X28" s="283">
        <f>R28/C28</f>
        <v>6.9138010535582037E-2</v>
      </c>
      <c r="Y28" s="283">
        <f>W28/C28</f>
        <v>6.9138010535582037E-2</v>
      </c>
      <c r="Z28" s="16">
        <f>+V28/R28</f>
        <v>0</v>
      </c>
    </row>
    <row r="29" spans="1:26" x14ac:dyDescent="0.2">
      <c r="A29" s="75">
        <f t="shared" si="5"/>
        <v>23</v>
      </c>
      <c r="B29" s="75">
        <v>49</v>
      </c>
      <c r="C29" s="84">
        <v>543143000</v>
      </c>
      <c r="D29" s="84">
        <v>35378000</v>
      </c>
      <c r="E29" s="84">
        <v>-229000</v>
      </c>
      <c r="F29" s="84">
        <v>-821000</v>
      </c>
      <c r="G29" s="84">
        <v>1673000</v>
      </c>
      <c r="H29" s="84">
        <v>311000</v>
      </c>
      <c r="I29" s="84">
        <v>0</v>
      </c>
      <c r="J29" s="84">
        <v>-32000</v>
      </c>
      <c r="K29" s="84">
        <v>846000</v>
      </c>
      <c r="L29" s="84">
        <v>343000</v>
      </c>
      <c r="M29" s="84">
        <v>-343000</v>
      </c>
      <c r="N29" s="84">
        <v>-355000</v>
      </c>
      <c r="O29" s="84">
        <v>100000</v>
      </c>
      <c r="P29" s="84">
        <v>0</v>
      </c>
      <c r="Q29" s="78">
        <f>SUM(E29:P29)</f>
        <v>1493000</v>
      </c>
      <c r="R29" s="78">
        <f>SUM(Q29,D29)</f>
        <v>36871000</v>
      </c>
      <c r="S29" s="82"/>
      <c r="T29" s="87">
        <f>-P29</f>
        <v>0</v>
      </c>
      <c r="U29" s="99">
        <v>0</v>
      </c>
      <c r="V29" s="78">
        <f>SUM(T29:U29)</f>
        <v>0</v>
      </c>
      <c r="W29" s="78">
        <f>R29+V29</f>
        <v>36871000</v>
      </c>
      <c r="X29" s="283">
        <f>R29/C29</f>
        <v>6.7884516600600575E-2</v>
      </c>
      <c r="Y29" s="283">
        <f>W29/C29</f>
        <v>6.7884516600600575E-2</v>
      </c>
      <c r="Z29" s="16">
        <f>+V29/R29</f>
        <v>0</v>
      </c>
    </row>
    <row r="30" spans="1:26" x14ac:dyDescent="0.2">
      <c r="A30" s="75">
        <f t="shared" si="5"/>
        <v>24</v>
      </c>
      <c r="B30" s="75" t="s">
        <v>173</v>
      </c>
      <c r="C30" s="79">
        <f>SUM(C28:C29)</f>
        <v>614710000</v>
      </c>
      <c r="D30" s="80">
        <f>SUM(D28:D29)</f>
        <v>40142000</v>
      </c>
      <c r="E30" s="80">
        <f t="shared" ref="E30:J30" si="22">SUM(E28:E29)</f>
        <v>-238000</v>
      </c>
      <c r="F30" s="80">
        <f t="shared" si="22"/>
        <v>-892000</v>
      </c>
      <c r="G30" s="80">
        <f>SUM(G28:G29)</f>
        <v>1820000</v>
      </c>
      <c r="H30" s="80">
        <f t="shared" si="22"/>
        <v>353000</v>
      </c>
      <c r="I30" s="80">
        <f t="shared" si="22"/>
        <v>0</v>
      </c>
      <c r="J30" s="80">
        <f t="shared" si="22"/>
        <v>-35000</v>
      </c>
      <c r="K30" s="80">
        <f>SUM(K28:K29)</f>
        <v>958000</v>
      </c>
      <c r="L30" s="80">
        <f t="shared" ref="L30:R30" si="23">SUM(L28:L29)</f>
        <v>390000</v>
      </c>
      <c r="M30" s="80">
        <f t="shared" si="23"/>
        <v>-390000</v>
      </c>
      <c r="N30" s="80">
        <f>SUM(N28:N29)</f>
        <v>-402000</v>
      </c>
      <c r="O30" s="80">
        <f t="shared" si="23"/>
        <v>113000</v>
      </c>
      <c r="P30" s="80">
        <f t="shared" si="23"/>
        <v>0</v>
      </c>
      <c r="Q30" s="80">
        <f t="shared" si="23"/>
        <v>1677000</v>
      </c>
      <c r="R30" s="80">
        <f t="shared" si="23"/>
        <v>41819000</v>
      </c>
      <c r="S30" s="82"/>
      <c r="T30" s="89">
        <f t="shared" ref="T30:U30" si="24">SUM(T28:T29)</f>
        <v>0</v>
      </c>
      <c r="U30" s="90">
        <f t="shared" si="24"/>
        <v>0</v>
      </c>
      <c r="V30" s="80">
        <f>SUM(V28:V29)</f>
        <v>0</v>
      </c>
      <c r="W30" s="80">
        <f t="shared" ref="W30" si="25">SUM(W28:W29)</f>
        <v>41819000</v>
      </c>
      <c r="X30" s="284">
        <f>R30/C30</f>
        <v>6.8030453384522779E-2</v>
      </c>
      <c r="Y30" s="284">
        <f>W30/C30</f>
        <v>6.8030453384522779E-2</v>
      </c>
      <c r="Z30" s="16">
        <f>+V30/R30</f>
        <v>0</v>
      </c>
    </row>
    <row r="31" spans="1:26" x14ac:dyDescent="0.2">
      <c r="A31" s="75">
        <f t="shared" si="5"/>
        <v>25</v>
      </c>
      <c r="B31" s="75"/>
      <c r="C31" s="21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82"/>
      <c r="T31" s="87"/>
      <c r="U31" s="88"/>
      <c r="V31" s="78"/>
      <c r="W31" s="78"/>
      <c r="X31" s="283"/>
      <c r="Y31" s="283"/>
      <c r="Z31" s="16"/>
    </row>
    <row r="32" spans="1:26" x14ac:dyDescent="0.2">
      <c r="A32" s="75">
        <f t="shared" si="5"/>
        <v>26</v>
      </c>
      <c r="B32" s="75" t="s">
        <v>174</v>
      </c>
      <c r="C32" s="84">
        <v>66443000</v>
      </c>
      <c r="D32" s="84">
        <v>15545000</v>
      </c>
      <c r="E32" s="84">
        <v>-40000</v>
      </c>
      <c r="F32" s="84">
        <v>-131000</v>
      </c>
      <c r="G32" s="84">
        <v>266000</v>
      </c>
      <c r="H32" s="84">
        <v>130000</v>
      </c>
      <c r="I32" s="84">
        <v>0</v>
      </c>
      <c r="J32" s="84">
        <v>-5000</v>
      </c>
      <c r="K32" s="84">
        <v>608000</v>
      </c>
      <c r="L32" s="84">
        <v>233000</v>
      </c>
      <c r="M32" s="84">
        <v>-233000</v>
      </c>
      <c r="N32" s="84">
        <v>-238000</v>
      </c>
      <c r="O32" s="84">
        <v>0</v>
      </c>
      <c r="P32" s="84">
        <v>-13000</v>
      </c>
      <c r="Q32" s="78">
        <f>SUM(E32:P32)</f>
        <v>577000</v>
      </c>
      <c r="R32" s="78">
        <f>SUM(Q32,D32)</f>
        <v>16122000</v>
      </c>
      <c r="S32" s="82"/>
      <c r="T32" s="87">
        <f>-P32</f>
        <v>13000</v>
      </c>
      <c r="U32" s="99">
        <v>-13000</v>
      </c>
      <c r="V32" s="78">
        <f>SUM(T32:U32)</f>
        <v>0</v>
      </c>
      <c r="W32" s="78">
        <f>R32+V32</f>
        <v>16122000</v>
      </c>
      <c r="X32" s="283">
        <f>R32/C32</f>
        <v>0.24264407085772768</v>
      </c>
      <c r="Y32" s="283">
        <f>W32/C32</f>
        <v>0.24264407085772768</v>
      </c>
      <c r="Z32" s="16">
        <f>+V32/R32</f>
        <v>0</v>
      </c>
    </row>
    <row r="33" spans="1:26" x14ac:dyDescent="0.2">
      <c r="A33" s="75">
        <f t="shared" si="5"/>
        <v>27</v>
      </c>
      <c r="B33" s="75" t="s">
        <v>175</v>
      </c>
      <c r="C33" s="84">
        <v>1971862000</v>
      </c>
      <c r="D33" s="84">
        <v>8285000</v>
      </c>
      <c r="E33" s="84">
        <v>0</v>
      </c>
      <c r="F33" s="84">
        <v>0</v>
      </c>
      <c r="G33" s="84">
        <v>1573000</v>
      </c>
      <c r="H33" s="84">
        <v>65000</v>
      </c>
      <c r="I33" s="84">
        <v>0</v>
      </c>
      <c r="J33" s="84">
        <v>0</v>
      </c>
      <c r="K33" s="84">
        <v>38000</v>
      </c>
      <c r="L33" s="84">
        <v>5000</v>
      </c>
      <c r="M33" s="84">
        <v>-5000</v>
      </c>
      <c r="N33" s="84">
        <v>-219000</v>
      </c>
      <c r="O33" s="84">
        <v>0</v>
      </c>
      <c r="P33" s="84">
        <v>0</v>
      </c>
      <c r="Q33" s="78">
        <f t="shared" ref="Q33:Q34" si="26">SUM(E33:P33)</f>
        <v>1457000</v>
      </c>
      <c r="R33" s="78">
        <f t="shared" ref="R33:R34" si="27">SUM(Q33,D33)</f>
        <v>9742000</v>
      </c>
      <c r="S33" s="82"/>
      <c r="T33" s="87">
        <f>-P33</f>
        <v>0</v>
      </c>
      <c r="U33" s="99">
        <v>0</v>
      </c>
      <c r="V33" s="78">
        <f>SUM(T33:U33)</f>
        <v>0</v>
      </c>
      <c r="W33" s="78">
        <f>R33+V33</f>
        <v>9742000</v>
      </c>
      <c r="X33" s="283">
        <f>R33/C33</f>
        <v>4.9405080071526306E-3</v>
      </c>
      <c r="Y33" s="283">
        <f>W33/C33</f>
        <v>4.9405080071526306E-3</v>
      </c>
      <c r="Z33" s="16">
        <f>+V33/R33</f>
        <v>0</v>
      </c>
    </row>
    <row r="34" spans="1:26" x14ac:dyDescent="0.2">
      <c r="A34" s="75">
        <f t="shared" si="5"/>
        <v>28</v>
      </c>
      <c r="B34" s="76" t="s">
        <v>176</v>
      </c>
      <c r="C34" s="84">
        <v>469522000</v>
      </c>
      <c r="D34" s="84">
        <v>3753000</v>
      </c>
      <c r="E34" s="84">
        <v>0</v>
      </c>
      <c r="F34" s="84">
        <v>0</v>
      </c>
      <c r="G34" s="84">
        <v>1687000</v>
      </c>
      <c r="H34" s="84">
        <v>288000</v>
      </c>
      <c r="I34" s="84">
        <v>0</v>
      </c>
      <c r="J34" s="84">
        <v>0</v>
      </c>
      <c r="K34" s="84">
        <v>1026000</v>
      </c>
      <c r="L34" s="84">
        <v>285000</v>
      </c>
      <c r="M34" s="84">
        <v>-285000</v>
      </c>
      <c r="N34" s="84">
        <v>-402000</v>
      </c>
      <c r="O34" s="84">
        <v>0</v>
      </c>
      <c r="P34" s="84">
        <v>0</v>
      </c>
      <c r="Q34" s="78">
        <f t="shared" si="26"/>
        <v>2599000</v>
      </c>
      <c r="R34" s="78">
        <f t="shared" si="27"/>
        <v>6352000</v>
      </c>
      <c r="S34" s="82"/>
      <c r="T34" s="87">
        <f>-P34</f>
        <v>0</v>
      </c>
      <c r="U34" s="99">
        <v>0</v>
      </c>
      <c r="V34" s="78">
        <f>SUM(T34:U34)</f>
        <v>0</v>
      </c>
      <c r="W34" s="78">
        <f>R34+V34</f>
        <v>6352000</v>
      </c>
      <c r="X34" s="283">
        <f>R34/C34</f>
        <v>1.3528652544502707E-2</v>
      </c>
      <c r="Y34" s="283">
        <f>W34/C34</f>
        <v>1.3528652544502707E-2</v>
      </c>
      <c r="Z34" s="16">
        <f>+V34/R34</f>
        <v>0</v>
      </c>
    </row>
    <row r="35" spans="1:26" x14ac:dyDescent="0.2">
      <c r="A35" s="75">
        <f t="shared" si="5"/>
        <v>29</v>
      </c>
      <c r="B35" s="75"/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2"/>
      <c r="R35" s="82"/>
      <c r="S35" s="82"/>
      <c r="T35" s="87"/>
      <c r="U35" s="88"/>
      <c r="V35" s="82"/>
      <c r="W35" s="82"/>
      <c r="X35" s="285"/>
      <c r="Y35" s="285"/>
      <c r="Z35" s="16"/>
    </row>
    <row r="36" spans="1:26" x14ac:dyDescent="0.2">
      <c r="A36" s="75">
        <f t="shared" si="5"/>
        <v>30</v>
      </c>
      <c r="B36" s="75" t="s">
        <v>177</v>
      </c>
      <c r="C36" s="79">
        <f>SUM(C8,C18,C24,C26,C30,C32:C34)</f>
        <v>22808629000</v>
      </c>
      <c r="D36" s="80">
        <f>SUM(D8,D18,D24,D26,D30,D32:D34)</f>
        <v>1982383000</v>
      </c>
      <c r="E36" s="80">
        <f t="shared" ref="E36:S36" si="28">SUM(E8,E18,E24,E26,E30,E32:E34)</f>
        <v>-20235000</v>
      </c>
      <c r="F36" s="80">
        <f t="shared" si="28"/>
        <v>-35954000</v>
      </c>
      <c r="G36" s="80">
        <f t="shared" si="28"/>
        <v>76527000</v>
      </c>
      <c r="H36" s="80">
        <f t="shared" si="28"/>
        <v>17452000</v>
      </c>
      <c r="I36" s="80">
        <f t="shared" si="28"/>
        <v>0</v>
      </c>
      <c r="J36" s="80">
        <f t="shared" si="28"/>
        <v>-1375000</v>
      </c>
      <c r="K36" s="80">
        <f t="shared" si="28"/>
        <v>56937000</v>
      </c>
      <c r="L36" s="80">
        <f>SUM(L8,L18,L24,L26,L30,L32:L34)</f>
        <v>25760000</v>
      </c>
      <c r="M36" s="80">
        <f t="shared" si="28"/>
        <v>-25760000</v>
      </c>
      <c r="N36" s="80">
        <f t="shared" si="28"/>
        <v>-22768000</v>
      </c>
      <c r="O36" s="80">
        <f t="shared" si="28"/>
        <v>14711000</v>
      </c>
      <c r="P36" s="80">
        <f t="shared" si="28"/>
        <v>-81992000</v>
      </c>
      <c r="Q36" s="80">
        <f t="shared" si="28"/>
        <v>3303000</v>
      </c>
      <c r="R36" s="80">
        <f t="shared" si="28"/>
        <v>1985686000</v>
      </c>
      <c r="S36" s="82">
        <f t="shared" si="28"/>
        <v>0</v>
      </c>
      <c r="T36" s="89">
        <f t="shared" ref="T36:U36" si="29">SUM(T8,T18,T24,T26,T30,T32:T34)</f>
        <v>81992000</v>
      </c>
      <c r="U36" s="90">
        <f t="shared" si="29"/>
        <v>-81774000</v>
      </c>
      <c r="V36" s="80">
        <f>SUM(T36:U36)</f>
        <v>218000</v>
      </c>
      <c r="W36" s="80">
        <f t="shared" ref="W36" si="30">SUM(W8,W18,W24,W26,W30,W32:W34)</f>
        <v>1985904000</v>
      </c>
      <c r="X36" s="284">
        <f>R36/C36</f>
        <v>8.7058542624372556E-2</v>
      </c>
      <c r="Y36" s="284">
        <f>W36/C36</f>
        <v>8.7068100410594609E-2</v>
      </c>
      <c r="Z36" s="16">
        <f>+V36/R36</f>
        <v>1.0978573651624677E-4</v>
      </c>
    </row>
    <row r="37" spans="1:26" x14ac:dyDescent="0.2">
      <c r="A37" s="75">
        <f t="shared" si="5"/>
        <v>31</v>
      </c>
      <c r="B37" s="75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7"/>
      <c r="U37" s="88"/>
      <c r="V37" s="82"/>
      <c r="W37" s="82"/>
      <c r="X37" s="285"/>
      <c r="Y37" s="285"/>
      <c r="Z37" s="16"/>
    </row>
    <row r="38" spans="1:26" x14ac:dyDescent="0.2">
      <c r="A38" s="75">
        <f t="shared" si="5"/>
        <v>32</v>
      </c>
      <c r="B38" s="75">
        <v>5</v>
      </c>
      <c r="C38" s="84">
        <v>7247000</v>
      </c>
      <c r="D38" s="84">
        <v>330000</v>
      </c>
      <c r="E38" s="84">
        <v>-4000</v>
      </c>
      <c r="F38" s="84">
        <v>0</v>
      </c>
      <c r="G38" s="84">
        <v>0</v>
      </c>
      <c r="H38" s="84">
        <v>0</v>
      </c>
      <c r="I38" s="84">
        <v>0</v>
      </c>
      <c r="J38" s="84">
        <v>-1000</v>
      </c>
      <c r="K38" s="84">
        <v>0</v>
      </c>
      <c r="L38" s="84">
        <v>4000</v>
      </c>
      <c r="M38" s="84">
        <v>-4000</v>
      </c>
      <c r="N38" s="84">
        <v>0</v>
      </c>
      <c r="O38" s="84">
        <v>0</v>
      </c>
      <c r="P38" s="84">
        <v>0</v>
      </c>
      <c r="Q38" s="78">
        <f>SUM(E38:P38)</f>
        <v>-5000</v>
      </c>
      <c r="R38" s="78">
        <f>SUM(Q38,D38)</f>
        <v>325000</v>
      </c>
      <c r="S38" s="82"/>
      <c r="T38" s="87">
        <f>-P38</f>
        <v>0</v>
      </c>
      <c r="U38" s="99">
        <v>0</v>
      </c>
      <c r="V38" s="78">
        <f>SUM(T38:U38)</f>
        <v>0</v>
      </c>
      <c r="W38" s="78">
        <f>R38+V38</f>
        <v>325000</v>
      </c>
      <c r="X38" s="283">
        <f>R38/C38</f>
        <v>4.4846143231682074E-2</v>
      </c>
      <c r="Y38" s="283">
        <f>W38/C38</f>
        <v>4.4846143231682074E-2</v>
      </c>
      <c r="Z38" s="16">
        <f>+V38/R38</f>
        <v>0</v>
      </c>
    </row>
    <row r="39" spans="1:26" x14ac:dyDescent="0.2">
      <c r="A39" s="75">
        <f t="shared" si="5"/>
        <v>33</v>
      </c>
      <c r="B39" s="75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7"/>
      <c r="U39" s="88"/>
      <c r="V39" s="82"/>
      <c r="W39" s="82"/>
      <c r="X39" s="285"/>
      <c r="Y39" s="285"/>
      <c r="Z39" s="16"/>
    </row>
    <row r="40" spans="1:26" ht="12" thickBot="1" x14ac:dyDescent="0.25">
      <c r="A40" s="75">
        <f t="shared" si="5"/>
        <v>34</v>
      </c>
      <c r="B40" s="75" t="s">
        <v>178</v>
      </c>
      <c r="C40" s="83">
        <f>SUM(C36:C38)</f>
        <v>22815876000</v>
      </c>
      <c r="D40" s="83">
        <f t="shared" ref="D40:S40" si="31">SUM(D36:D38)</f>
        <v>1982713000</v>
      </c>
      <c r="E40" s="83">
        <f t="shared" si="31"/>
        <v>-20239000</v>
      </c>
      <c r="F40" s="83">
        <f t="shared" si="31"/>
        <v>-35954000</v>
      </c>
      <c r="G40" s="83">
        <f t="shared" si="31"/>
        <v>76527000</v>
      </c>
      <c r="H40" s="83">
        <f t="shared" si="31"/>
        <v>17452000</v>
      </c>
      <c r="I40" s="83">
        <f t="shared" si="31"/>
        <v>0</v>
      </c>
      <c r="J40" s="83">
        <f t="shared" si="31"/>
        <v>-1376000</v>
      </c>
      <c r="K40" s="83">
        <f t="shared" si="31"/>
        <v>56937000</v>
      </c>
      <c r="L40" s="83">
        <f t="shared" si="31"/>
        <v>25764000</v>
      </c>
      <c r="M40" s="83">
        <f t="shared" si="31"/>
        <v>-25764000</v>
      </c>
      <c r="N40" s="83">
        <f t="shared" si="31"/>
        <v>-22768000</v>
      </c>
      <c r="O40" s="83">
        <f t="shared" si="31"/>
        <v>14711000</v>
      </c>
      <c r="P40" s="83">
        <f t="shared" si="31"/>
        <v>-81992000</v>
      </c>
      <c r="Q40" s="83">
        <f t="shared" si="31"/>
        <v>3298000</v>
      </c>
      <c r="R40" s="83">
        <f t="shared" si="31"/>
        <v>1986011000</v>
      </c>
      <c r="S40" s="81">
        <f t="shared" si="31"/>
        <v>0</v>
      </c>
      <c r="T40" s="91">
        <f t="shared" ref="T40:V40" si="32">SUM(T36:T38)</f>
        <v>81992000</v>
      </c>
      <c r="U40" s="92">
        <f t="shared" si="32"/>
        <v>-81774000</v>
      </c>
      <c r="V40" s="83">
        <f t="shared" si="32"/>
        <v>218000</v>
      </c>
      <c r="W40" s="83">
        <f t="shared" ref="W40" si="33">SUM(W36:W38)</f>
        <v>1986229000</v>
      </c>
      <c r="X40" s="286">
        <f>R40/C40</f>
        <v>8.7045134712338018E-2</v>
      </c>
      <c r="Y40" s="286">
        <f>W40/C40</f>
        <v>8.7054689462723239E-2</v>
      </c>
      <c r="Z40" s="16">
        <f>+V40/R40</f>
        <v>1.0976777067196505E-4</v>
      </c>
    </row>
    <row r="41" spans="1:26" ht="12.75" thickTop="1" thickBot="1" x14ac:dyDescent="0.25">
      <c r="A41" s="75"/>
      <c r="B41" s="18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81"/>
      <c r="T41" s="93"/>
      <c r="U41" s="94"/>
    </row>
  </sheetData>
  <mergeCells count="4">
    <mergeCell ref="A1:Z1"/>
    <mergeCell ref="A3:Z3"/>
    <mergeCell ref="A4:Z4"/>
    <mergeCell ref="A2:Z2"/>
  </mergeCells>
  <printOptions horizontalCentered="1"/>
  <pageMargins left="0.75" right="0.75" top="1" bottom="1" header="0.5" footer="0.5"/>
  <pageSetup scale="47" orientation="landscape" cellComments="asDisplayed" horizontalDpi="300" verticalDpi="300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Normal="100" workbookViewId="0">
      <pane ySplit="8" topLeftCell="A39" activePane="bottomLeft" state="frozen"/>
      <selection pane="bottomLeft" activeCell="F53" sqref="F53"/>
    </sheetView>
  </sheetViews>
  <sheetFormatPr defaultColWidth="11.5703125" defaultRowHeight="11.25" x14ac:dyDescent="0.2"/>
  <cols>
    <col min="1" max="1" width="15.28515625" style="18" customWidth="1"/>
    <col min="2" max="2" width="12.85546875" style="18" bestFit="1" customWidth="1"/>
    <col min="3" max="3" width="11.28515625" style="18" bestFit="1" customWidth="1"/>
    <col min="4" max="4" width="10.28515625" style="18" bestFit="1" customWidth="1"/>
    <col min="5" max="6" width="10" style="18" bestFit="1" customWidth="1"/>
    <col min="7" max="7" width="9.5703125" style="18" bestFit="1" customWidth="1"/>
    <col min="8" max="8" width="7.28515625" style="18" bestFit="1" customWidth="1"/>
    <col min="9" max="9" width="6.42578125" style="18" bestFit="1" customWidth="1"/>
    <col min="10" max="10" width="9.5703125" style="18" bestFit="1" customWidth="1"/>
    <col min="11" max="11" width="8" style="18" bestFit="1" customWidth="1"/>
    <col min="12" max="12" width="10.42578125" style="18" bestFit="1" customWidth="1"/>
    <col min="13" max="13" width="6.140625" style="18" bestFit="1" customWidth="1"/>
    <col min="14" max="14" width="7.42578125" style="18" bestFit="1" customWidth="1"/>
    <col min="15" max="15" width="10.28515625" style="18" bestFit="1" customWidth="1"/>
    <col min="16" max="16" width="10" style="18" bestFit="1" customWidth="1"/>
    <col min="17" max="18" width="9.5703125" style="18" bestFit="1" customWidth="1"/>
    <col min="19" max="19" width="10.28515625" style="18" bestFit="1" customWidth="1"/>
    <col min="20" max="20" width="10" style="18" bestFit="1" customWidth="1"/>
    <col min="21" max="16384" width="11.5703125" style="18"/>
  </cols>
  <sheetData>
    <row r="1" spans="1:22" x14ac:dyDescent="0.2">
      <c r="A1" s="300" t="str">
        <f>'FY2020 Sch 194 Summary'!A1:D1</f>
        <v>Puget Sound Energy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2" x14ac:dyDescent="0.2">
      <c r="A2" s="301" t="s">
        <v>15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2" x14ac:dyDescent="0.2">
      <c r="A3" s="300" t="str">
        <f>'FY2020 Sch 194 Summary'!A3:D3</f>
        <v>BPA Residential and Farm Energy Exchange Benefits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</row>
    <row r="4" spans="1:22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2" ht="10.1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x14ac:dyDescent="0.2">
      <c r="A7" s="1"/>
      <c r="B7" s="1"/>
      <c r="C7" s="302" t="s">
        <v>16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49" t="s">
        <v>137</v>
      </c>
      <c r="Q7" s="67" t="s">
        <v>138</v>
      </c>
      <c r="R7" s="1"/>
      <c r="S7" s="1"/>
      <c r="T7" s="1"/>
    </row>
    <row r="8" spans="1:22" ht="33.75" x14ac:dyDescent="0.2">
      <c r="A8" s="23" t="s">
        <v>10</v>
      </c>
      <c r="B8" s="23" t="s">
        <v>17</v>
      </c>
      <c r="C8" s="43" t="s">
        <v>113</v>
      </c>
      <c r="D8" s="43" t="s">
        <v>114</v>
      </c>
      <c r="E8" s="43" t="s">
        <v>115</v>
      </c>
      <c r="F8" s="43" t="s">
        <v>116</v>
      </c>
      <c r="G8" s="43" t="s">
        <v>117</v>
      </c>
      <c r="H8" s="43" t="s">
        <v>118</v>
      </c>
      <c r="I8" s="43" t="s">
        <v>119</v>
      </c>
      <c r="J8" s="43" t="s">
        <v>120</v>
      </c>
      <c r="K8" s="43" t="s">
        <v>168</v>
      </c>
      <c r="L8" s="43" t="s">
        <v>169</v>
      </c>
      <c r="M8" s="43" t="s">
        <v>121</v>
      </c>
      <c r="N8" s="24" t="s">
        <v>122</v>
      </c>
      <c r="O8" s="24" t="s">
        <v>123</v>
      </c>
      <c r="P8" s="68" t="str">
        <f>+N8</f>
        <v>Sch 194</v>
      </c>
      <c r="Q8" s="69" t="str">
        <f>+P8</f>
        <v>Sch 194</v>
      </c>
      <c r="R8" s="24" t="s">
        <v>18</v>
      </c>
      <c r="S8" s="24" t="s">
        <v>124</v>
      </c>
      <c r="T8" s="23" t="s">
        <v>19</v>
      </c>
    </row>
    <row r="9" spans="1:22" x14ac:dyDescent="0.2">
      <c r="A9" s="1" t="s">
        <v>20</v>
      </c>
      <c r="B9" s="22">
        <f>ROUND(+D69,0)</f>
        <v>1214</v>
      </c>
      <c r="C9" s="44">
        <f t="shared" ref="C9:C20" si="0">ROUND($E$34+IF($B9&gt;600,(600*$E$37+(($B9-600)*$E$45)),$B9*$E$37),2)</f>
        <v>125.16</v>
      </c>
      <c r="D9" s="44">
        <f t="shared" ref="D9:D20" si="1">ROUND($B9*$E$57,2)</f>
        <v>-1.33</v>
      </c>
      <c r="E9" s="44">
        <f t="shared" ref="E9:E20" si="2">ROUND($B9*$E$58,2)</f>
        <v>-2.3199999999999998</v>
      </c>
      <c r="F9" s="44">
        <f t="shared" ref="F9:F20" si="3">ROUND($B9*$E$59,2)</f>
        <v>4.74</v>
      </c>
      <c r="G9" s="44">
        <f t="shared" ref="G9:G20" si="4">ROUND($B9*$E$38,2)</f>
        <v>1.0900000000000001</v>
      </c>
      <c r="H9" s="44">
        <f t="shared" ref="H9:H20" si="5">ROUND($B9*$E$60,2)</f>
        <v>0</v>
      </c>
      <c r="I9" s="44">
        <f t="shared" ref="I9:I20" si="6">ROUND($B9*$E$61,2)</f>
        <v>-0.09</v>
      </c>
      <c r="J9" s="44">
        <f t="shared" ref="J9:J20" si="7">ROUND($B9*$E$39,2)</f>
        <v>3.92</v>
      </c>
      <c r="K9" s="44">
        <f t="shared" ref="K9:K20" si="8">ROUND($B9*$E$41,2)</f>
        <v>-1.54</v>
      </c>
      <c r="L9" s="44">
        <f t="shared" ref="L9:L20" si="9">ROUND($B9*$E$40,2)</f>
        <v>0</v>
      </c>
      <c r="M9" s="44">
        <f t="shared" ref="M9:M20" si="10">ROUND($B9*$E$42,2)</f>
        <v>0.75</v>
      </c>
      <c r="N9" s="44">
        <f t="shared" ref="N9:N20" si="11">ROUND($B9*$E$53,2)</f>
        <v>-8.99</v>
      </c>
      <c r="O9" s="45">
        <f>SUM(C9:N9)</f>
        <v>121.39</v>
      </c>
      <c r="P9" s="50">
        <f>-N9</f>
        <v>8.99</v>
      </c>
      <c r="Q9" s="70">
        <f>ROUND($B9*$F$53,2)</f>
        <v>-8.9700000000000006</v>
      </c>
      <c r="R9" s="45">
        <f>SUM(P9:Q9)</f>
        <v>1.9999999999999574E-2</v>
      </c>
      <c r="S9" s="45">
        <f t="shared" ref="S9:S20" si="12">+O9+R9</f>
        <v>121.41</v>
      </c>
      <c r="T9" s="65">
        <f t="shared" ref="T9:T20" si="13">+R9/O9</f>
        <v>1.6475821731608511E-4</v>
      </c>
      <c r="U9" s="65"/>
      <c r="V9" s="280"/>
    </row>
    <row r="10" spans="1:22" s="25" customFormat="1" x14ac:dyDescent="0.2">
      <c r="A10" s="1" t="s">
        <v>21</v>
      </c>
      <c r="B10" s="22">
        <f t="shared" ref="B10:B20" si="14">ROUND(+D70,0)</f>
        <v>1053</v>
      </c>
      <c r="C10" s="44">
        <f t="shared" si="0"/>
        <v>108.04</v>
      </c>
      <c r="D10" s="44">
        <f t="shared" si="1"/>
        <v>-1.1599999999999999</v>
      </c>
      <c r="E10" s="44">
        <f t="shared" si="2"/>
        <v>-2.0099999999999998</v>
      </c>
      <c r="F10" s="44">
        <f t="shared" si="3"/>
        <v>4.1100000000000003</v>
      </c>
      <c r="G10" s="44">
        <f t="shared" si="4"/>
        <v>0.94</v>
      </c>
      <c r="H10" s="44">
        <f t="shared" si="5"/>
        <v>0</v>
      </c>
      <c r="I10" s="44">
        <f t="shared" si="6"/>
        <v>-0.08</v>
      </c>
      <c r="J10" s="44">
        <f t="shared" si="7"/>
        <v>3.4</v>
      </c>
      <c r="K10" s="44">
        <f t="shared" si="8"/>
        <v>-1.34</v>
      </c>
      <c r="L10" s="44">
        <f t="shared" si="9"/>
        <v>0</v>
      </c>
      <c r="M10" s="44">
        <f t="shared" si="10"/>
        <v>0.65</v>
      </c>
      <c r="N10" s="44">
        <f t="shared" si="11"/>
        <v>-7.8</v>
      </c>
      <c r="O10" s="45">
        <f t="shared" ref="O10:O20" si="15">SUM(C10:N10)</f>
        <v>104.75000000000001</v>
      </c>
      <c r="P10" s="50">
        <f t="shared" ref="P10:P20" si="16">-N10</f>
        <v>7.8</v>
      </c>
      <c r="Q10" s="70">
        <f t="shared" ref="Q10:Q20" si="17">ROUND($B10*$F$53,2)</f>
        <v>-7.78</v>
      </c>
      <c r="R10" s="45">
        <f t="shared" ref="R10:R19" si="18">SUM(P10:Q10)</f>
        <v>1.9999999999999574E-2</v>
      </c>
      <c r="S10" s="45">
        <f t="shared" si="12"/>
        <v>104.77000000000001</v>
      </c>
      <c r="T10" s="65">
        <f t="shared" si="13"/>
        <v>1.9093078758949472E-4</v>
      </c>
      <c r="U10" s="65"/>
      <c r="V10" s="280"/>
    </row>
    <row r="11" spans="1:22" x14ac:dyDescent="0.2">
      <c r="A11" s="1" t="s">
        <v>22</v>
      </c>
      <c r="B11" s="22">
        <f t="shared" si="14"/>
        <v>1014</v>
      </c>
      <c r="C11" s="44">
        <f t="shared" si="0"/>
        <v>103.9</v>
      </c>
      <c r="D11" s="44">
        <f t="shared" si="1"/>
        <v>-1.1100000000000001</v>
      </c>
      <c r="E11" s="44">
        <f t="shared" si="2"/>
        <v>-1.94</v>
      </c>
      <c r="F11" s="44">
        <f t="shared" si="3"/>
        <v>3.96</v>
      </c>
      <c r="G11" s="44">
        <f t="shared" si="4"/>
        <v>0.91</v>
      </c>
      <c r="H11" s="44">
        <f t="shared" si="5"/>
        <v>0</v>
      </c>
      <c r="I11" s="44">
        <f t="shared" si="6"/>
        <v>-7.0000000000000007E-2</v>
      </c>
      <c r="J11" s="44">
        <f t="shared" si="7"/>
        <v>3.27</v>
      </c>
      <c r="K11" s="44">
        <f t="shared" si="8"/>
        <v>-1.29</v>
      </c>
      <c r="L11" s="44">
        <f t="shared" si="9"/>
        <v>0</v>
      </c>
      <c r="M11" s="44">
        <f t="shared" si="10"/>
        <v>0.63</v>
      </c>
      <c r="N11" s="44">
        <f t="shared" si="11"/>
        <v>-7.51</v>
      </c>
      <c r="O11" s="45">
        <f t="shared" si="15"/>
        <v>100.74999999999999</v>
      </c>
      <c r="P11" s="50">
        <f t="shared" si="16"/>
        <v>7.51</v>
      </c>
      <c r="Q11" s="70">
        <f t="shared" si="17"/>
        <v>-7.49</v>
      </c>
      <c r="R11" s="45">
        <f t="shared" si="18"/>
        <v>1.9999999999999574E-2</v>
      </c>
      <c r="S11" s="45">
        <f t="shared" si="12"/>
        <v>100.76999999999998</v>
      </c>
      <c r="T11" s="65">
        <f t="shared" si="13"/>
        <v>1.9851116625309754E-4</v>
      </c>
      <c r="U11" s="65"/>
      <c r="V11" s="280"/>
    </row>
    <row r="12" spans="1:22" x14ac:dyDescent="0.2">
      <c r="A12" s="1" t="s">
        <v>23</v>
      </c>
      <c r="B12" s="22">
        <f t="shared" si="14"/>
        <v>835</v>
      </c>
      <c r="C12" s="44">
        <f t="shared" si="0"/>
        <v>84.87</v>
      </c>
      <c r="D12" s="44">
        <f t="shared" si="1"/>
        <v>-0.92</v>
      </c>
      <c r="E12" s="44">
        <f t="shared" si="2"/>
        <v>-1.6</v>
      </c>
      <c r="F12" s="44">
        <f t="shared" si="3"/>
        <v>3.26</v>
      </c>
      <c r="G12" s="44">
        <f t="shared" si="4"/>
        <v>0.75</v>
      </c>
      <c r="H12" s="44">
        <f t="shared" si="5"/>
        <v>0</v>
      </c>
      <c r="I12" s="44">
        <f t="shared" si="6"/>
        <v>-0.06</v>
      </c>
      <c r="J12" s="44">
        <f t="shared" si="7"/>
        <v>2.7</v>
      </c>
      <c r="K12" s="44">
        <f t="shared" si="8"/>
        <v>-1.06</v>
      </c>
      <c r="L12" s="44">
        <f t="shared" si="9"/>
        <v>0</v>
      </c>
      <c r="M12" s="44">
        <f t="shared" si="10"/>
        <v>0.52</v>
      </c>
      <c r="N12" s="44">
        <f t="shared" si="11"/>
        <v>-6.18</v>
      </c>
      <c r="O12" s="45">
        <f t="shared" si="15"/>
        <v>82.28</v>
      </c>
      <c r="P12" s="50">
        <f t="shared" si="16"/>
        <v>6.18</v>
      </c>
      <c r="Q12" s="70">
        <f t="shared" si="17"/>
        <v>-6.17</v>
      </c>
      <c r="R12" s="45">
        <f t="shared" si="18"/>
        <v>9.9999999999997868E-3</v>
      </c>
      <c r="S12" s="45">
        <f t="shared" si="12"/>
        <v>82.29</v>
      </c>
      <c r="T12" s="65">
        <f t="shared" si="13"/>
        <v>1.2153621779289969E-4</v>
      </c>
      <c r="U12" s="65"/>
      <c r="V12" s="280"/>
    </row>
    <row r="13" spans="1:22" x14ac:dyDescent="0.2">
      <c r="A13" s="1" t="s">
        <v>24</v>
      </c>
      <c r="B13" s="22">
        <f t="shared" si="14"/>
        <v>712</v>
      </c>
      <c r="C13" s="44">
        <f t="shared" si="0"/>
        <v>71.8</v>
      </c>
      <c r="D13" s="44">
        <f t="shared" si="1"/>
        <v>-0.78</v>
      </c>
      <c r="E13" s="44">
        <f t="shared" si="2"/>
        <v>-1.36</v>
      </c>
      <c r="F13" s="44">
        <f t="shared" si="3"/>
        <v>2.78</v>
      </c>
      <c r="G13" s="44">
        <f t="shared" si="4"/>
        <v>0.64</v>
      </c>
      <c r="H13" s="44">
        <f t="shared" si="5"/>
        <v>0</v>
      </c>
      <c r="I13" s="44">
        <f t="shared" si="6"/>
        <v>-0.05</v>
      </c>
      <c r="J13" s="44">
        <f t="shared" si="7"/>
        <v>2.2999999999999998</v>
      </c>
      <c r="K13" s="44">
        <f t="shared" si="8"/>
        <v>-0.9</v>
      </c>
      <c r="L13" s="44">
        <f t="shared" si="9"/>
        <v>0</v>
      </c>
      <c r="M13" s="44">
        <f t="shared" si="10"/>
        <v>0.44</v>
      </c>
      <c r="N13" s="44">
        <f t="shared" si="11"/>
        <v>-5.27</v>
      </c>
      <c r="O13" s="45">
        <f t="shared" si="15"/>
        <v>69.599999999999994</v>
      </c>
      <c r="P13" s="50">
        <f t="shared" si="16"/>
        <v>5.27</v>
      </c>
      <c r="Q13" s="70">
        <f t="shared" si="17"/>
        <v>-5.26</v>
      </c>
      <c r="R13" s="45">
        <f t="shared" si="18"/>
        <v>9.9999999999997868E-3</v>
      </c>
      <c r="S13" s="45">
        <f t="shared" si="12"/>
        <v>69.61</v>
      </c>
      <c r="T13" s="65">
        <f t="shared" si="13"/>
        <v>1.4367816091953719E-4</v>
      </c>
      <c r="U13" s="65"/>
      <c r="V13" s="280"/>
    </row>
    <row r="14" spans="1:22" x14ac:dyDescent="0.2">
      <c r="A14" s="1" t="s">
        <v>25</v>
      </c>
      <c r="B14" s="22">
        <f t="shared" si="14"/>
        <v>656</v>
      </c>
      <c r="C14" s="44">
        <f t="shared" si="0"/>
        <v>65.84</v>
      </c>
      <c r="D14" s="44">
        <f t="shared" si="1"/>
        <v>-0.72</v>
      </c>
      <c r="E14" s="44">
        <f t="shared" si="2"/>
        <v>-1.25</v>
      </c>
      <c r="F14" s="44">
        <f t="shared" si="3"/>
        <v>2.56</v>
      </c>
      <c r="G14" s="44">
        <f t="shared" si="4"/>
        <v>0.59</v>
      </c>
      <c r="H14" s="44">
        <f t="shared" si="5"/>
        <v>0</v>
      </c>
      <c r="I14" s="44">
        <f t="shared" si="6"/>
        <v>-0.05</v>
      </c>
      <c r="J14" s="44">
        <f t="shared" si="7"/>
        <v>2.12</v>
      </c>
      <c r="K14" s="44">
        <f t="shared" si="8"/>
        <v>-0.83</v>
      </c>
      <c r="L14" s="44">
        <f t="shared" si="9"/>
        <v>0</v>
      </c>
      <c r="M14" s="44">
        <f t="shared" si="10"/>
        <v>0.41</v>
      </c>
      <c r="N14" s="44">
        <f t="shared" si="11"/>
        <v>-4.8600000000000003</v>
      </c>
      <c r="O14" s="45">
        <f t="shared" si="15"/>
        <v>63.810000000000016</v>
      </c>
      <c r="P14" s="50">
        <f t="shared" si="16"/>
        <v>4.8600000000000003</v>
      </c>
      <c r="Q14" s="70">
        <f t="shared" si="17"/>
        <v>-4.8499999999999996</v>
      </c>
      <c r="R14" s="45">
        <f t="shared" si="18"/>
        <v>1.0000000000000675E-2</v>
      </c>
      <c r="S14" s="45">
        <f t="shared" si="12"/>
        <v>63.820000000000014</v>
      </c>
      <c r="T14" s="65">
        <f t="shared" si="13"/>
        <v>1.5671524839367925E-4</v>
      </c>
      <c r="U14" s="65"/>
      <c r="V14" s="280"/>
    </row>
    <row r="15" spans="1:22" x14ac:dyDescent="0.2">
      <c r="A15" s="1" t="s">
        <v>26</v>
      </c>
      <c r="B15" s="22">
        <f t="shared" si="14"/>
        <v>672</v>
      </c>
      <c r="C15" s="44">
        <f t="shared" si="0"/>
        <v>67.540000000000006</v>
      </c>
      <c r="D15" s="44">
        <f t="shared" si="1"/>
        <v>-0.74</v>
      </c>
      <c r="E15" s="44">
        <f t="shared" si="2"/>
        <v>-1.29</v>
      </c>
      <c r="F15" s="44">
        <f t="shared" si="3"/>
        <v>2.62</v>
      </c>
      <c r="G15" s="44">
        <f t="shared" si="4"/>
        <v>0.6</v>
      </c>
      <c r="H15" s="44">
        <f t="shared" si="5"/>
        <v>0</v>
      </c>
      <c r="I15" s="44">
        <f t="shared" si="6"/>
        <v>-0.05</v>
      </c>
      <c r="J15" s="44">
        <f t="shared" si="7"/>
        <v>2.17</v>
      </c>
      <c r="K15" s="44">
        <f t="shared" si="8"/>
        <v>-0.85</v>
      </c>
      <c r="L15" s="44">
        <f t="shared" si="9"/>
        <v>0</v>
      </c>
      <c r="M15" s="44">
        <f t="shared" si="10"/>
        <v>0.42</v>
      </c>
      <c r="N15" s="44">
        <f t="shared" si="11"/>
        <v>-4.9800000000000004</v>
      </c>
      <c r="O15" s="45">
        <f t="shared" si="15"/>
        <v>65.440000000000012</v>
      </c>
      <c r="P15" s="50">
        <f t="shared" si="16"/>
        <v>4.9800000000000004</v>
      </c>
      <c r="Q15" s="70">
        <f t="shared" si="17"/>
        <v>-4.96</v>
      </c>
      <c r="R15" s="45">
        <f t="shared" si="18"/>
        <v>2.0000000000000462E-2</v>
      </c>
      <c r="S15" s="45">
        <f t="shared" si="12"/>
        <v>65.460000000000008</v>
      </c>
      <c r="T15" s="65">
        <f t="shared" si="13"/>
        <v>3.0562347188264758E-4</v>
      </c>
      <c r="U15" s="65"/>
      <c r="V15" s="280"/>
    </row>
    <row r="16" spans="1:22" x14ac:dyDescent="0.2">
      <c r="A16" s="1" t="s">
        <v>27</v>
      </c>
      <c r="B16" s="22">
        <f t="shared" si="14"/>
        <v>658</v>
      </c>
      <c r="C16" s="44">
        <f t="shared" si="0"/>
        <v>66.06</v>
      </c>
      <c r="D16" s="44">
        <f t="shared" si="1"/>
        <v>-0.72</v>
      </c>
      <c r="E16" s="44">
        <f t="shared" si="2"/>
        <v>-1.26</v>
      </c>
      <c r="F16" s="44">
        <f t="shared" si="3"/>
        <v>2.57</v>
      </c>
      <c r="G16" s="44">
        <f t="shared" si="4"/>
        <v>0.59</v>
      </c>
      <c r="H16" s="44">
        <f t="shared" si="5"/>
        <v>0</v>
      </c>
      <c r="I16" s="44">
        <f t="shared" si="6"/>
        <v>-0.05</v>
      </c>
      <c r="J16" s="44">
        <f t="shared" si="7"/>
        <v>2.12</v>
      </c>
      <c r="K16" s="44">
        <f t="shared" si="8"/>
        <v>-0.84</v>
      </c>
      <c r="L16" s="44">
        <f t="shared" si="9"/>
        <v>0</v>
      </c>
      <c r="M16" s="44">
        <f t="shared" si="10"/>
        <v>0.41</v>
      </c>
      <c r="N16" s="44">
        <f t="shared" si="11"/>
        <v>-4.87</v>
      </c>
      <c r="O16" s="45">
        <f t="shared" si="15"/>
        <v>64.009999999999991</v>
      </c>
      <c r="P16" s="50">
        <f t="shared" si="16"/>
        <v>4.87</v>
      </c>
      <c r="Q16" s="70">
        <f t="shared" si="17"/>
        <v>-4.8600000000000003</v>
      </c>
      <c r="R16" s="45">
        <f t="shared" si="18"/>
        <v>9.9999999999997868E-3</v>
      </c>
      <c r="S16" s="45">
        <f t="shared" si="12"/>
        <v>64.02</v>
      </c>
      <c r="T16" s="65">
        <f t="shared" si="13"/>
        <v>1.56225589751598E-4</v>
      </c>
      <c r="U16" s="65"/>
      <c r="V16" s="280"/>
    </row>
    <row r="17" spans="1:22" x14ac:dyDescent="0.2">
      <c r="A17" s="1" t="s">
        <v>28</v>
      </c>
      <c r="B17" s="22">
        <f t="shared" si="14"/>
        <v>647</v>
      </c>
      <c r="C17" s="44">
        <f t="shared" si="0"/>
        <v>64.89</v>
      </c>
      <c r="D17" s="44">
        <f t="shared" si="1"/>
        <v>-0.71</v>
      </c>
      <c r="E17" s="44">
        <f t="shared" si="2"/>
        <v>-1.24</v>
      </c>
      <c r="F17" s="44">
        <f t="shared" si="3"/>
        <v>2.5299999999999998</v>
      </c>
      <c r="G17" s="44">
        <f t="shared" si="4"/>
        <v>0.57999999999999996</v>
      </c>
      <c r="H17" s="44">
        <f t="shared" si="5"/>
        <v>0</v>
      </c>
      <c r="I17" s="44">
        <f t="shared" si="6"/>
        <v>-0.05</v>
      </c>
      <c r="J17" s="44">
        <f t="shared" si="7"/>
        <v>2.09</v>
      </c>
      <c r="K17" s="44">
        <f t="shared" si="8"/>
        <v>-0.82</v>
      </c>
      <c r="L17" s="44">
        <f t="shared" si="9"/>
        <v>0</v>
      </c>
      <c r="M17" s="44">
        <f t="shared" si="10"/>
        <v>0.4</v>
      </c>
      <c r="N17" s="44">
        <f t="shared" si="11"/>
        <v>-4.79</v>
      </c>
      <c r="O17" s="45">
        <f t="shared" si="15"/>
        <v>62.880000000000017</v>
      </c>
      <c r="P17" s="50">
        <f t="shared" si="16"/>
        <v>4.79</v>
      </c>
      <c r="Q17" s="70">
        <f t="shared" si="17"/>
        <v>-4.78</v>
      </c>
      <c r="R17" s="45">
        <f t="shared" si="18"/>
        <v>9.9999999999997868E-3</v>
      </c>
      <c r="S17" s="45">
        <f t="shared" si="12"/>
        <v>62.890000000000015</v>
      </c>
      <c r="T17" s="65">
        <f t="shared" si="13"/>
        <v>1.5903307888040369E-4</v>
      </c>
      <c r="U17" s="65"/>
      <c r="V17" s="280"/>
    </row>
    <row r="18" spans="1:22" x14ac:dyDescent="0.2">
      <c r="A18" s="1" t="s">
        <v>29</v>
      </c>
      <c r="B18" s="22">
        <f t="shared" si="14"/>
        <v>818</v>
      </c>
      <c r="C18" s="44">
        <f t="shared" si="0"/>
        <v>83.06</v>
      </c>
      <c r="D18" s="44">
        <f t="shared" si="1"/>
        <v>-0.9</v>
      </c>
      <c r="E18" s="44">
        <f t="shared" si="2"/>
        <v>-1.56</v>
      </c>
      <c r="F18" s="44">
        <f t="shared" si="3"/>
        <v>3.19</v>
      </c>
      <c r="G18" s="44">
        <f t="shared" si="4"/>
        <v>0.73</v>
      </c>
      <c r="H18" s="44">
        <f t="shared" si="5"/>
        <v>0</v>
      </c>
      <c r="I18" s="44">
        <f t="shared" si="6"/>
        <v>-0.06</v>
      </c>
      <c r="J18" s="44">
        <f t="shared" si="7"/>
        <v>2.64</v>
      </c>
      <c r="K18" s="44">
        <f t="shared" si="8"/>
        <v>-1.04</v>
      </c>
      <c r="L18" s="44">
        <f t="shared" si="9"/>
        <v>0</v>
      </c>
      <c r="M18" s="44">
        <f t="shared" si="10"/>
        <v>0.51</v>
      </c>
      <c r="N18" s="44">
        <f t="shared" si="11"/>
        <v>-6.06</v>
      </c>
      <c r="O18" s="45">
        <f t="shared" si="15"/>
        <v>80.509999999999991</v>
      </c>
      <c r="P18" s="50">
        <f t="shared" si="16"/>
        <v>6.06</v>
      </c>
      <c r="Q18" s="70">
        <f t="shared" si="17"/>
        <v>-6.04</v>
      </c>
      <c r="R18" s="45">
        <f t="shared" si="18"/>
        <v>1.9999999999999574E-2</v>
      </c>
      <c r="S18" s="45">
        <f t="shared" si="12"/>
        <v>80.529999999999987</v>
      </c>
      <c r="T18" s="65">
        <f t="shared" si="13"/>
        <v>2.4841634579554807E-4</v>
      </c>
      <c r="U18" s="65"/>
      <c r="V18" s="280"/>
    </row>
    <row r="19" spans="1:22" x14ac:dyDescent="0.2">
      <c r="A19" s="1" t="s">
        <v>30</v>
      </c>
      <c r="B19" s="22">
        <f t="shared" si="14"/>
        <v>1005</v>
      </c>
      <c r="C19" s="44">
        <f t="shared" si="0"/>
        <v>102.94</v>
      </c>
      <c r="D19" s="44">
        <f t="shared" si="1"/>
        <v>-1.1000000000000001</v>
      </c>
      <c r="E19" s="44">
        <f t="shared" si="2"/>
        <v>-1.92</v>
      </c>
      <c r="F19" s="44">
        <f t="shared" si="3"/>
        <v>3.92</v>
      </c>
      <c r="G19" s="44">
        <f t="shared" si="4"/>
        <v>0.9</v>
      </c>
      <c r="H19" s="44">
        <f t="shared" si="5"/>
        <v>0</v>
      </c>
      <c r="I19" s="44">
        <f t="shared" si="6"/>
        <v>-7.0000000000000007E-2</v>
      </c>
      <c r="J19" s="44">
        <f t="shared" si="7"/>
        <v>3.24</v>
      </c>
      <c r="K19" s="44">
        <f t="shared" si="8"/>
        <v>-1.28</v>
      </c>
      <c r="L19" s="44">
        <f t="shared" si="9"/>
        <v>0</v>
      </c>
      <c r="M19" s="44">
        <f t="shared" si="10"/>
        <v>0.62</v>
      </c>
      <c r="N19" s="44">
        <f t="shared" si="11"/>
        <v>-7.44</v>
      </c>
      <c r="O19" s="45">
        <f t="shared" si="15"/>
        <v>99.810000000000016</v>
      </c>
      <c r="P19" s="50">
        <f t="shared" si="16"/>
        <v>7.44</v>
      </c>
      <c r="Q19" s="70">
        <f t="shared" si="17"/>
        <v>-7.42</v>
      </c>
      <c r="R19" s="45">
        <f t="shared" si="18"/>
        <v>2.0000000000000462E-2</v>
      </c>
      <c r="S19" s="45">
        <f t="shared" si="12"/>
        <v>99.830000000000013</v>
      </c>
      <c r="T19" s="65">
        <f t="shared" si="13"/>
        <v>2.0038072337441598E-4</v>
      </c>
      <c r="U19" s="65"/>
      <c r="V19" s="280"/>
    </row>
    <row r="20" spans="1:22" x14ac:dyDescent="0.2">
      <c r="A20" s="1" t="s">
        <v>31</v>
      </c>
      <c r="B20" s="22">
        <f t="shared" si="14"/>
        <v>1265</v>
      </c>
      <c r="C20" s="44">
        <f t="shared" si="0"/>
        <v>130.58000000000001</v>
      </c>
      <c r="D20" s="44">
        <f t="shared" si="1"/>
        <v>-1.39</v>
      </c>
      <c r="E20" s="44">
        <f t="shared" si="2"/>
        <v>-2.42</v>
      </c>
      <c r="F20" s="44">
        <f t="shared" si="3"/>
        <v>4.9400000000000004</v>
      </c>
      <c r="G20" s="44">
        <f t="shared" si="4"/>
        <v>1.1299999999999999</v>
      </c>
      <c r="H20" s="44">
        <f t="shared" si="5"/>
        <v>0</v>
      </c>
      <c r="I20" s="44">
        <f t="shared" si="6"/>
        <v>-0.09</v>
      </c>
      <c r="J20" s="44">
        <f t="shared" si="7"/>
        <v>4.08</v>
      </c>
      <c r="K20" s="44">
        <f t="shared" si="8"/>
        <v>-1.61</v>
      </c>
      <c r="L20" s="44">
        <f t="shared" si="9"/>
        <v>0</v>
      </c>
      <c r="M20" s="44">
        <f t="shared" si="10"/>
        <v>0.79</v>
      </c>
      <c r="N20" s="44">
        <f t="shared" si="11"/>
        <v>-9.3699999999999992</v>
      </c>
      <c r="O20" s="45">
        <f t="shared" si="15"/>
        <v>126.64000000000001</v>
      </c>
      <c r="P20" s="50">
        <f t="shared" si="16"/>
        <v>9.3699999999999992</v>
      </c>
      <c r="Q20" s="70">
        <f t="shared" si="17"/>
        <v>-9.34</v>
      </c>
      <c r="R20" s="45">
        <f>SUM(P20:Q20)</f>
        <v>2.9999999999999361E-2</v>
      </c>
      <c r="S20" s="45">
        <f t="shared" si="12"/>
        <v>126.67000000000002</v>
      </c>
      <c r="T20" s="65">
        <f t="shared" si="13"/>
        <v>2.3689197725836511E-4</v>
      </c>
      <c r="U20" s="65"/>
      <c r="V20" s="280"/>
    </row>
    <row r="21" spans="1:22" x14ac:dyDescent="0.2">
      <c r="A21" s="1"/>
      <c r="B21" s="1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50"/>
      <c r="Q21" s="70"/>
      <c r="R21" s="45"/>
      <c r="S21" s="45"/>
      <c r="T21" s="65"/>
    </row>
    <row r="22" spans="1:22" ht="12" thickBot="1" x14ac:dyDescent="0.25">
      <c r="A22" s="26" t="s">
        <v>32</v>
      </c>
      <c r="B22" s="27">
        <f>SUM(B9:B21)</f>
        <v>10549</v>
      </c>
      <c r="C22" s="46">
        <f>SUM(C9:C21)</f>
        <v>1074.68</v>
      </c>
      <c r="D22" s="46">
        <f t="shared" ref="D22:S22" si="19">SUM(D9:D21)</f>
        <v>-11.580000000000002</v>
      </c>
      <c r="E22" s="46">
        <f t="shared" si="19"/>
        <v>-20.170000000000002</v>
      </c>
      <c r="F22" s="46">
        <f t="shared" si="19"/>
        <v>41.18</v>
      </c>
      <c r="G22" s="46">
        <f t="shared" si="19"/>
        <v>9.4499999999999993</v>
      </c>
      <c r="H22" s="46">
        <f t="shared" si="19"/>
        <v>0</v>
      </c>
      <c r="I22" s="46">
        <f t="shared" si="19"/>
        <v>-0.76999999999999991</v>
      </c>
      <c r="J22" s="46">
        <f t="shared" si="19"/>
        <v>34.050000000000004</v>
      </c>
      <c r="K22" s="46">
        <f t="shared" si="19"/>
        <v>-13.4</v>
      </c>
      <c r="L22" s="46">
        <f t="shared" si="19"/>
        <v>0</v>
      </c>
      <c r="M22" s="46">
        <f t="shared" si="19"/>
        <v>6.55</v>
      </c>
      <c r="N22" s="46">
        <f t="shared" si="19"/>
        <v>-78.12</v>
      </c>
      <c r="O22" s="46">
        <f t="shared" si="19"/>
        <v>1041.8700000000001</v>
      </c>
      <c r="P22" s="51">
        <f t="shared" si="19"/>
        <v>78.12</v>
      </c>
      <c r="Q22" s="71">
        <f>SUM(Q9:Q21)</f>
        <v>-77.92</v>
      </c>
      <c r="R22" s="46">
        <f t="shared" si="19"/>
        <v>0.1999999999999984</v>
      </c>
      <c r="S22" s="46">
        <f t="shared" si="19"/>
        <v>1042.0700000000002</v>
      </c>
      <c r="T22" s="66">
        <f>+R22/O22</f>
        <v>1.9196252891435437E-4</v>
      </c>
    </row>
    <row r="23" spans="1:22" ht="12" thickTop="1" x14ac:dyDescent="0.2">
      <c r="A23" s="26"/>
      <c r="B23" s="1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50"/>
      <c r="Q23" s="70"/>
      <c r="R23" s="45"/>
      <c r="S23" s="45"/>
      <c r="T23" s="65"/>
    </row>
    <row r="24" spans="1:22" ht="12" thickBot="1" x14ac:dyDescent="0.25">
      <c r="A24" s="28" t="s">
        <v>33</v>
      </c>
      <c r="B24" s="27">
        <f>ROUND(+B22/12,0)</f>
        <v>879</v>
      </c>
      <c r="C24" s="46">
        <f>+C22/12</f>
        <v>89.556666666666672</v>
      </c>
      <c r="D24" s="46">
        <f t="shared" ref="D24:S24" si="20">+D22/12</f>
        <v>-0.96500000000000019</v>
      </c>
      <c r="E24" s="46">
        <f t="shared" si="20"/>
        <v>-1.6808333333333334</v>
      </c>
      <c r="F24" s="46">
        <f t="shared" si="20"/>
        <v>3.4316666666666666</v>
      </c>
      <c r="G24" s="46">
        <f t="shared" si="20"/>
        <v>0.78749999999999998</v>
      </c>
      <c r="H24" s="46">
        <f t="shared" si="20"/>
        <v>0</v>
      </c>
      <c r="I24" s="46">
        <f t="shared" si="20"/>
        <v>-6.4166666666666664E-2</v>
      </c>
      <c r="J24" s="46">
        <f t="shared" si="20"/>
        <v>2.8375000000000004</v>
      </c>
      <c r="K24" s="46">
        <f t="shared" si="20"/>
        <v>-1.1166666666666667</v>
      </c>
      <c r="L24" s="46">
        <f t="shared" si="20"/>
        <v>0</v>
      </c>
      <c r="M24" s="46">
        <f t="shared" si="20"/>
        <v>0.54583333333333328</v>
      </c>
      <c r="N24" s="46">
        <f t="shared" si="20"/>
        <v>-6.5100000000000007</v>
      </c>
      <c r="O24" s="46">
        <f t="shared" si="20"/>
        <v>86.822500000000005</v>
      </c>
      <c r="P24" s="51">
        <f t="shared" si="20"/>
        <v>6.5100000000000007</v>
      </c>
      <c r="Q24" s="71">
        <f>+Q22/12</f>
        <v>-6.4933333333333332</v>
      </c>
      <c r="R24" s="46">
        <f t="shared" si="20"/>
        <v>1.6666666666666535E-2</v>
      </c>
      <c r="S24" s="46">
        <f t="shared" si="20"/>
        <v>86.839166666666685</v>
      </c>
      <c r="T24" s="66">
        <f>+R24/O24</f>
        <v>1.9196252891435437E-4</v>
      </c>
    </row>
    <row r="25" spans="1:22" ht="12" thickTop="1" x14ac:dyDescent="0.2">
      <c r="A25" s="1"/>
      <c r="B25" s="1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50"/>
      <c r="Q25" s="70"/>
      <c r="R25" s="45"/>
      <c r="S25" s="45"/>
      <c r="T25" s="1"/>
    </row>
    <row r="26" spans="1:22" x14ac:dyDescent="0.2">
      <c r="A26" s="18" t="s">
        <v>67</v>
      </c>
      <c r="C26" s="47">
        <f>+C22/$B$22*100</f>
        <v>10.187505924732204</v>
      </c>
      <c r="D26" s="47">
        <f t="shared" ref="D26:S26" si="21">+D22/$B$22*100</f>
        <v>-0.10977343824059155</v>
      </c>
      <c r="E26" s="47">
        <f t="shared" si="21"/>
        <v>-0.19120295762631531</v>
      </c>
      <c r="F26" s="47">
        <f t="shared" si="21"/>
        <v>0.39036875533225901</v>
      </c>
      <c r="G26" s="47">
        <f t="shared" si="21"/>
        <v>8.9581950895819495E-2</v>
      </c>
      <c r="H26" s="47">
        <f t="shared" si="21"/>
        <v>0</v>
      </c>
      <c r="I26" s="47">
        <f t="shared" si="21"/>
        <v>-7.2992700729926996E-3</v>
      </c>
      <c r="J26" s="47">
        <f t="shared" si="21"/>
        <v>0.32277941037065128</v>
      </c>
      <c r="K26" s="47">
        <f t="shared" si="21"/>
        <v>-0.12702625841311974</v>
      </c>
      <c r="L26" s="47">
        <f t="shared" si="21"/>
        <v>0</v>
      </c>
      <c r="M26" s="47">
        <f t="shared" si="21"/>
        <v>6.2091193478054793E-2</v>
      </c>
      <c r="N26" s="47">
        <f t="shared" si="21"/>
        <v>-0.74054412740544129</v>
      </c>
      <c r="O26" s="47">
        <f t="shared" si="21"/>
        <v>9.8764811830505277</v>
      </c>
      <c r="P26" s="50">
        <f>+P22/$B$22*100</f>
        <v>0.74054412740544129</v>
      </c>
      <c r="Q26" s="70">
        <f>+Q22/$B$22*100</f>
        <v>-0.73864821310076789</v>
      </c>
      <c r="R26" s="47">
        <f t="shared" si="21"/>
        <v>1.8959143046734135E-3</v>
      </c>
      <c r="S26" s="47">
        <f t="shared" si="21"/>
        <v>9.8783770973552016</v>
      </c>
      <c r="T26" s="1"/>
    </row>
    <row r="27" spans="1:22" x14ac:dyDescent="0.2">
      <c r="A27" s="1"/>
      <c r="B27" s="1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72"/>
      <c r="Q27" s="73"/>
      <c r="R27" s="45"/>
      <c r="S27" s="45"/>
      <c r="T27" s="1"/>
    </row>
    <row r="28" spans="1:22" ht="12" thickBot="1" x14ac:dyDescent="0.25">
      <c r="A28" s="124" t="s">
        <v>125</v>
      </c>
      <c r="B28" s="125">
        <f>ROUND(B24,-2)</f>
        <v>900</v>
      </c>
      <c r="C28" s="46">
        <f>ROUND($E$34+IF($B28&gt;600,(600*$E$37+(($B28-600)*$E$45)),$B28*$E$37),2)</f>
        <v>91.78</v>
      </c>
      <c r="D28" s="46">
        <f>ROUND($B28*$E$57,2)</f>
        <v>-0.99</v>
      </c>
      <c r="E28" s="46">
        <f>ROUND($B28*$E$58,2)</f>
        <v>-1.72</v>
      </c>
      <c r="F28" s="46">
        <f>ROUND($B28*$E$59,2)</f>
        <v>3.51</v>
      </c>
      <c r="G28" s="46">
        <f>ROUND($B28*$E$38,2)</f>
        <v>0.81</v>
      </c>
      <c r="H28" s="46">
        <f>ROUND($B28*$E$60,2)</f>
        <v>0</v>
      </c>
      <c r="I28" s="46">
        <f>ROUND($B28*$E$61,2)</f>
        <v>-7.0000000000000007E-2</v>
      </c>
      <c r="J28" s="46">
        <f>ROUND($B28*$E$39,2)</f>
        <v>2.91</v>
      </c>
      <c r="K28" s="46">
        <f>ROUND($B28*$E$41,2)</f>
        <v>-1.1399999999999999</v>
      </c>
      <c r="L28" s="46">
        <f>ROUND($B28*$E$40,2)</f>
        <v>0</v>
      </c>
      <c r="M28" s="46">
        <f>ROUND($B28*$E$42,2)</f>
        <v>0.56000000000000005</v>
      </c>
      <c r="N28" s="46">
        <f>ROUND($B28*$E$53,2)</f>
        <v>-6.67</v>
      </c>
      <c r="O28" s="123">
        <f>SUM(C28:N28)</f>
        <v>88.980000000000018</v>
      </c>
      <c r="P28" s="46">
        <f>-N28</f>
        <v>6.67</v>
      </c>
      <c r="Q28" s="46">
        <f>ROUND($B28*$F$53,2)</f>
        <v>-6.65</v>
      </c>
      <c r="R28" s="123">
        <f>SUM(P28:Q28)</f>
        <v>1.9999999999999574E-2</v>
      </c>
      <c r="S28" s="123">
        <f>+O28+R28</f>
        <v>89.000000000000014</v>
      </c>
      <c r="T28" s="66">
        <f>+R28/O28</f>
        <v>2.2476961114856789E-4</v>
      </c>
    </row>
    <row r="29" spans="1:22" ht="12.75" thickTop="1" thickBot="1" x14ac:dyDescent="0.25">
      <c r="A29" s="28" t="s">
        <v>125</v>
      </c>
      <c r="B29" s="27">
        <v>1000</v>
      </c>
      <c r="C29" s="46">
        <f>ROUND($E$34+IF($B29&gt;600,(600*$E$37+(($B29-600)*$E$45)),$B29*$E$37),2)</f>
        <v>102.41</v>
      </c>
      <c r="D29" s="46">
        <f>ROUND($B29*$E$57,2)</f>
        <v>-1.1000000000000001</v>
      </c>
      <c r="E29" s="46">
        <f>ROUND($B29*$E$58,2)</f>
        <v>-1.91</v>
      </c>
      <c r="F29" s="46">
        <f>ROUND($B29*$E$59,2)</f>
        <v>3.91</v>
      </c>
      <c r="G29" s="46">
        <f>ROUND($B29*$E$38,2)</f>
        <v>0.9</v>
      </c>
      <c r="H29" s="46">
        <f>ROUND($B29*$E$60,2)</f>
        <v>0</v>
      </c>
      <c r="I29" s="46">
        <f>ROUND($B29*$E$61,2)</f>
        <v>-7.0000000000000007E-2</v>
      </c>
      <c r="J29" s="46">
        <f>ROUND($B29*$E$39,2)</f>
        <v>3.23</v>
      </c>
      <c r="K29" s="46">
        <f>ROUND($B29*$E$41,2)</f>
        <v>-1.27</v>
      </c>
      <c r="L29" s="46">
        <f>ROUND($B29*$E$40,2)</f>
        <v>0</v>
      </c>
      <c r="M29" s="46">
        <f>ROUND($B29*$E$42,2)</f>
        <v>0.62</v>
      </c>
      <c r="N29" s="46">
        <f>ROUND($B29*$E$53,2)</f>
        <v>-7.41</v>
      </c>
      <c r="O29" s="46">
        <f>SUM(C29:N29)</f>
        <v>99.310000000000031</v>
      </c>
      <c r="P29" s="46">
        <f>-N29</f>
        <v>7.41</v>
      </c>
      <c r="Q29" s="46">
        <f>ROUND($B29*$F$53,2)</f>
        <v>-7.39</v>
      </c>
      <c r="R29" s="46">
        <f>SUM(P29:Q29)</f>
        <v>2.0000000000000462E-2</v>
      </c>
      <c r="S29" s="46">
        <f>+O29+R29</f>
        <v>99.330000000000027</v>
      </c>
      <c r="T29" s="66">
        <f>+R29/O29</f>
        <v>2.0138958815829681E-4</v>
      </c>
    </row>
    <row r="30" spans="1:22" ht="12" thickTop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ht="45" x14ac:dyDescent="0.2">
      <c r="A32" s="29" t="s">
        <v>126</v>
      </c>
      <c r="B32" s="30"/>
      <c r="C32" s="30"/>
      <c r="D32" s="30"/>
      <c r="E32" s="36" t="s">
        <v>320</v>
      </c>
      <c r="F32" s="36" t="s">
        <v>319</v>
      </c>
      <c r="G32" s="1"/>
      <c r="H32" s="31"/>
      <c r="I32" s="31"/>
      <c r="J32" s="31"/>
      <c r="K32" s="31"/>
      <c r="L32" s="31"/>
      <c r="M32" s="31"/>
      <c r="N32" s="1"/>
      <c r="O32" s="1"/>
      <c r="P32" s="1"/>
      <c r="Q32" s="1"/>
      <c r="R32" s="1"/>
      <c r="S32" s="1"/>
      <c r="T32" s="1"/>
    </row>
    <row r="33" spans="1:20" x14ac:dyDescent="0.2">
      <c r="A33" s="295" t="s">
        <v>34</v>
      </c>
      <c r="B33" s="295"/>
      <c r="C33" s="295"/>
      <c r="D33" s="295"/>
      <c r="E33" s="32"/>
      <c r="F33" s="33"/>
      <c r="G33" s="1"/>
      <c r="H33" s="31"/>
      <c r="I33" s="31"/>
      <c r="J33" s="31"/>
      <c r="K33" s="31"/>
      <c r="L33" s="31"/>
      <c r="M33" s="31"/>
      <c r="N33" s="1"/>
      <c r="O33" s="1"/>
      <c r="P33" s="1"/>
      <c r="Q33" s="1"/>
      <c r="R33" s="1"/>
      <c r="S33" s="1"/>
      <c r="T33" s="1"/>
    </row>
    <row r="34" spans="1:20" x14ac:dyDescent="0.2">
      <c r="A34" s="299" t="s">
        <v>127</v>
      </c>
      <c r="B34" s="299"/>
      <c r="C34" s="299"/>
      <c r="D34" s="299"/>
      <c r="E34" s="54">
        <v>7.49</v>
      </c>
      <c r="F34" s="57">
        <f>+E34</f>
        <v>7.49</v>
      </c>
      <c r="G34" s="1" t="s">
        <v>35</v>
      </c>
      <c r="H34" s="31" t="s">
        <v>35</v>
      </c>
      <c r="I34" s="31"/>
      <c r="J34" s="31"/>
      <c r="K34" s="31"/>
      <c r="L34" s="31"/>
      <c r="M34" s="31"/>
      <c r="N34" s="1"/>
      <c r="O34" s="1"/>
      <c r="P34" s="1"/>
      <c r="Q34" s="1"/>
      <c r="R34" s="1"/>
      <c r="S34" s="1"/>
      <c r="T34" s="1"/>
    </row>
    <row r="35" spans="1:20" ht="12" thickBot="1" x14ac:dyDescent="0.25">
      <c r="A35" s="293" t="s">
        <v>98</v>
      </c>
      <c r="B35" s="293"/>
      <c r="C35" s="293"/>
      <c r="D35" s="293"/>
      <c r="E35" s="37">
        <f>SUM(E34)</f>
        <v>7.49</v>
      </c>
      <c r="F35" s="58">
        <f>SUM(F34:F34)</f>
        <v>7.49</v>
      </c>
      <c r="G35" s="1"/>
      <c r="H35" s="31" t="s">
        <v>35</v>
      </c>
      <c r="I35" s="31"/>
      <c r="J35" s="31"/>
      <c r="K35" s="31"/>
      <c r="L35" s="31"/>
      <c r="M35" s="31"/>
      <c r="N35" s="1"/>
      <c r="O35" s="1"/>
      <c r="P35" s="1"/>
      <c r="Q35" s="1"/>
      <c r="R35" s="1"/>
      <c r="S35" s="1"/>
      <c r="T35" s="1"/>
    </row>
    <row r="36" spans="1:20" ht="12" thickTop="1" x14ac:dyDescent="0.2">
      <c r="A36" s="295" t="s">
        <v>36</v>
      </c>
      <c r="B36" s="295"/>
      <c r="C36" s="295"/>
      <c r="D36" s="295"/>
      <c r="E36" s="38"/>
      <c r="F36" s="59"/>
      <c r="G36" s="1"/>
      <c r="H36" s="31"/>
      <c r="I36" s="31"/>
      <c r="J36" s="31"/>
      <c r="K36" s="31"/>
      <c r="L36" s="31"/>
      <c r="M36" s="31"/>
      <c r="N36" s="1"/>
      <c r="O36" s="1"/>
      <c r="P36" s="1"/>
      <c r="Q36" s="1"/>
      <c r="R36" s="1"/>
      <c r="S36" s="1"/>
      <c r="T36" s="1"/>
    </row>
    <row r="37" spans="1:20" x14ac:dyDescent="0.2">
      <c r="A37" s="297" t="s">
        <v>37</v>
      </c>
      <c r="B37" s="297"/>
      <c r="C37" s="297"/>
      <c r="D37" s="297"/>
      <c r="E37" s="63">
        <v>8.7335999999999997E-2</v>
      </c>
      <c r="F37" s="39">
        <f>+E37</f>
        <v>8.7335999999999997E-2</v>
      </c>
      <c r="G37" s="1" t="s">
        <v>99</v>
      </c>
      <c r="H37" s="31"/>
      <c r="I37" s="31"/>
      <c r="J37" s="31"/>
      <c r="K37" s="31"/>
      <c r="L37" s="31"/>
      <c r="M37" s="31"/>
      <c r="N37" s="1"/>
      <c r="O37" s="1"/>
      <c r="P37" s="1"/>
      <c r="Q37" s="1"/>
      <c r="R37" s="1"/>
      <c r="S37" s="1"/>
      <c r="T37" s="1"/>
    </row>
    <row r="38" spans="1:20" x14ac:dyDescent="0.2">
      <c r="A38" s="297" t="s">
        <v>42</v>
      </c>
      <c r="B38" s="297"/>
      <c r="C38" s="297"/>
      <c r="D38" s="297"/>
      <c r="E38" s="63">
        <v>8.9499999999999996E-4</v>
      </c>
      <c r="F38" s="39">
        <f>+E38</f>
        <v>8.9499999999999996E-4</v>
      </c>
      <c r="G38" s="1" t="s">
        <v>99</v>
      </c>
      <c r="H38" s="31" t="s">
        <v>99</v>
      </c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</row>
    <row r="39" spans="1:20" x14ac:dyDescent="0.2">
      <c r="A39" s="48" t="s">
        <v>68</v>
      </c>
      <c r="B39" s="48"/>
      <c r="C39" s="48"/>
      <c r="D39" s="48"/>
      <c r="E39" s="63">
        <v>3.228E-3</v>
      </c>
      <c r="F39" s="39">
        <f t="shared" ref="F39:F42" si="22">+E39</f>
        <v>3.228E-3</v>
      </c>
      <c r="G39" s="18" t="s">
        <v>99</v>
      </c>
      <c r="H39" s="31" t="s">
        <v>99</v>
      </c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</row>
    <row r="40" spans="1:20" x14ac:dyDescent="0.2">
      <c r="A40" s="48" t="s">
        <v>166</v>
      </c>
      <c r="B40" s="48"/>
      <c r="C40" s="48"/>
      <c r="D40" s="48"/>
      <c r="E40" s="63">
        <v>0</v>
      </c>
      <c r="F40" s="39">
        <f t="shared" si="22"/>
        <v>0</v>
      </c>
      <c r="G40" s="18" t="s">
        <v>99</v>
      </c>
      <c r="H40" s="34" t="s">
        <v>99</v>
      </c>
      <c r="I40" s="34"/>
      <c r="J40" s="34"/>
      <c r="K40" s="31"/>
      <c r="L40" s="31"/>
      <c r="M40" s="31"/>
      <c r="N40" s="1"/>
      <c r="O40" s="1"/>
      <c r="P40" s="1"/>
      <c r="Q40" s="1"/>
      <c r="R40" s="1"/>
      <c r="S40" s="1"/>
      <c r="T40" s="1"/>
    </row>
    <row r="41" spans="1:20" x14ac:dyDescent="0.2">
      <c r="A41" s="48" t="s">
        <v>167</v>
      </c>
      <c r="B41" s="48"/>
      <c r="C41" s="48"/>
      <c r="D41" s="48"/>
      <c r="E41" s="63">
        <v>-1.271E-3</v>
      </c>
      <c r="F41" s="39">
        <f t="shared" si="22"/>
        <v>-1.271E-3</v>
      </c>
      <c r="G41" s="18" t="s">
        <v>99</v>
      </c>
      <c r="H41" s="34" t="s">
        <v>99</v>
      </c>
      <c r="I41" s="34"/>
      <c r="J41" s="34"/>
      <c r="K41" s="31"/>
      <c r="L41" s="31"/>
      <c r="M41" s="31"/>
      <c r="N41" s="1"/>
      <c r="O41" s="1"/>
      <c r="P41" s="1"/>
      <c r="Q41" s="1"/>
      <c r="R41" s="1"/>
      <c r="S41" s="1"/>
      <c r="T41" s="1"/>
    </row>
    <row r="42" spans="1:20" x14ac:dyDescent="0.2">
      <c r="A42" s="48" t="s">
        <v>69</v>
      </c>
      <c r="B42" s="48"/>
      <c r="C42" s="48"/>
      <c r="D42" s="48"/>
      <c r="E42" s="64">
        <v>6.2100000000000002E-4</v>
      </c>
      <c r="F42" s="40">
        <f t="shared" si="22"/>
        <v>6.2100000000000002E-4</v>
      </c>
      <c r="G42" s="18" t="s">
        <v>99</v>
      </c>
      <c r="H42" s="34" t="s">
        <v>99</v>
      </c>
      <c r="I42" s="34"/>
      <c r="J42" s="34"/>
      <c r="K42" s="31"/>
      <c r="L42" s="31"/>
      <c r="M42" s="31"/>
      <c r="N42" s="1"/>
      <c r="O42" s="1"/>
      <c r="P42" s="1"/>
      <c r="Q42" s="1"/>
      <c r="R42" s="1"/>
      <c r="S42" s="1"/>
      <c r="T42" s="1"/>
    </row>
    <row r="43" spans="1:20" ht="12" thickBot="1" x14ac:dyDescent="0.25">
      <c r="A43" s="294" t="s">
        <v>100</v>
      </c>
      <c r="B43" s="294"/>
      <c r="C43" s="294"/>
      <c r="D43" s="294"/>
      <c r="E43" s="55">
        <f>SUM(E37:E42)</f>
        <v>9.0809000000000001E-2</v>
      </c>
      <c r="F43" s="60">
        <f>SUM(F37:F42)</f>
        <v>9.0809000000000001E-2</v>
      </c>
      <c r="G43" s="18" t="s">
        <v>99</v>
      </c>
      <c r="H43" s="34" t="s">
        <v>99</v>
      </c>
      <c r="I43" s="34"/>
      <c r="J43" s="34"/>
      <c r="K43" s="31"/>
      <c r="L43" s="31"/>
      <c r="M43" s="31"/>
      <c r="N43" s="1"/>
      <c r="O43" s="1"/>
      <c r="P43" s="1"/>
      <c r="Q43" s="1"/>
      <c r="R43" s="1"/>
      <c r="S43" s="1"/>
      <c r="T43" s="1"/>
    </row>
    <row r="44" spans="1:20" ht="12" thickTop="1" x14ac:dyDescent="0.2">
      <c r="A44" s="296"/>
      <c r="B44" s="296"/>
      <c r="C44" s="296"/>
      <c r="D44" s="296"/>
      <c r="E44" s="39"/>
      <c r="F44" s="56"/>
      <c r="G44" s="1"/>
      <c r="H44" s="31"/>
      <c r="I44" s="31"/>
      <c r="J44" s="31"/>
      <c r="K44" s="31"/>
      <c r="L44" s="31"/>
      <c r="M44" s="31"/>
      <c r="N44" s="1"/>
      <c r="O44" s="1"/>
      <c r="P44" s="1"/>
      <c r="Q44" s="1"/>
      <c r="R44" s="1"/>
      <c r="S44" s="1"/>
      <c r="T44" s="1"/>
    </row>
    <row r="45" spans="1:20" x14ac:dyDescent="0.2">
      <c r="A45" s="296" t="s">
        <v>38</v>
      </c>
      <c r="B45" s="296"/>
      <c r="C45" s="296"/>
      <c r="D45" s="296"/>
      <c r="E45" s="63">
        <v>0.106297</v>
      </c>
      <c r="F45" s="39">
        <f>+E45</f>
        <v>0.106297</v>
      </c>
      <c r="G45" s="1" t="s">
        <v>99</v>
      </c>
      <c r="H45" s="31" t="s">
        <v>99</v>
      </c>
      <c r="I45" s="31"/>
      <c r="J45" s="31"/>
      <c r="K45" s="31"/>
      <c r="L45" s="31"/>
      <c r="M45" s="31"/>
      <c r="N45" s="1"/>
      <c r="O45" s="1"/>
      <c r="P45" s="1"/>
      <c r="Q45" s="1"/>
      <c r="R45" s="1"/>
      <c r="S45" s="1"/>
      <c r="T45" s="1"/>
    </row>
    <row r="46" spans="1:20" x14ac:dyDescent="0.2">
      <c r="A46" s="297" t="s">
        <v>42</v>
      </c>
      <c r="B46" s="297"/>
      <c r="C46" s="297"/>
      <c r="D46" s="297"/>
      <c r="E46" s="63">
        <v>8.9499999999999996E-4</v>
      </c>
      <c r="F46" s="39">
        <f>+E46</f>
        <v>8.9499999999999996E-4</v>
      </c>
      <c r="G46" s="1" t="s">
        <v>99</v>
      </c>
      <c r="H46" s="31" t="s">
        <v>99</v>
      </c>
      <c r="I46" s="31"/>
      <c r="J46" s="31"/>
      <c r="K46" s="31"/>
      <c r="L46" s="31"/>
      <c r="M46" s="31"/>
      <c r="N46" s="1"/>
      <c r="O46" s="1"/>
      <c r="P46" s="1"/>
      <c r="Q46" s="1"/>
      <c r="R46" s="1"/>
      <c r="S46" s="1"/>
      <c r="T46" s="1"/>
    </row>
    <row r="47" spans="1:20" x14ac:dyDescent="0.2">
      <c r="A47" s="48" t="s">
        <v>68</v>
      </c>
      <c r="B47" s="48"/>
      <c r="C47" s="48"/>
      <c r="D47" s="48"/>
      <c r="E47" s="63">
        <v>3.228E-3</v>
      </c>
      <c r="F47" s="39">
        <f t="shared" ref="F47:F50" si="23">+E47</f>
        <v>3.228E-3</v>
      </c>
      <c r="G47" s="1" t="s">
        <v>99</v>
      </c>
      <c r="H47" s="31" t="s">
        <v>99</v>
      </c>
      <c r="I47" s="31"/>
      <c r="J47" s="31"/>
      <c r="K47" s="31"/>
      <c r="L47" s="31"/>
      <c r="M47" s="31"/>
      <c r="N47" s="1"/>
      <c r="O47" s="1"/>
      <c r="P47" s="1"/>
      <c r="Q47" s="1"/>
      <c r="R47" s="1"/>
      <c r="S47" s="1"/>
      <c r="T47" s="1"/>
    </row>
    <row r="48" spans="1:20" x14ac:dyDescent="0.2">
      <c r="A48" s="48" t="s">
        <v>166</v>
      </c>
      <c r="B48" s="48"/>
      <c r="C48" s="48"/>
      <c r="D48" s="48"/>
      <c r="E48" s="63">
        <v>0</v>
      </c>
      <c r="F48" s="39">
        <f t="shared" si="23"/>
        <v>0</v>
      </c>
      <c r="G48" s="18" t="s">
        <v>99</v>
      </c>
      <c r="H48" s="34" t="s">
        <v>99</v>
      </c>
      <c r="I48" s="34"/>
      <c r="J48" s="34"/>
      <c r="K48" s="31"/>
      <c r="L48" s="31"/>
      <c r="M48" s="31"/>
      <c r="N48" s="1"/>
      <c r="O48" s="1"/>
      <c r="P48" s="1"/>
      <c r="Q48" s="1"/>
      <c r="R48" s="1"/>
      <c r="S48" s="1"/>
      <c r="T48" s="1"/>
    </row>
    <row r="49" spans="1:20" x14ac:dyDescent="0.2">
      <c r="A49" s="48" t="s">
        <v>167</v>
      </c>
      <c r="B49" s="48"/>
      <c r="C49" s="48"/>
      <c r="D49" s="48"/>
      <c r="E49" s="63">
        <v>-1.271E-3</v>
      </c>
      <c r="F49" s="39">
        <f t="shared" si="23"/>
        <v>-1.271E-3</v>
      </c>
      <c r="G49" s="18" t="s">
        <v>99</v>
      </c>
      <c r="H49" s="34" t="s">
        <v>99</v>
      </c>
      <c r="I49" s="34"/>
      <c r="J49" s="34"/>
      <c r="K49" s="31"/>
      <c r="L49" s="31"/>
      <c r="M49" s="31"/>
      <c r="N49" s="1"/>
      <c r="O49" s="1"/>
      <c r="P49" s="1"/>
      <c r="Q49" s="1"/>
      <c r="R49" s="1"/>
      <c r="S49" s="1"/>
      <c r="T49" s="1"/>
    </row>
    <row r="50" spans="1:20" x14ac:dyDescent="0.2">
      <c r="A50" s="35" t="s">
        <v>69</v>
      </c>
      <c r="B50" s="35"/>
      <c r="C50" s="35"/>
      <c r="D50" s="35"/>
      <c r="E50" s="64">
        <v>6.2100000000000002E-4</v>
      </c>
      <c r="F50" s="40">
        <f t="shared" si="23"/>
        <v>6.2100000000000002E-4</v>
      </c>
      <c r="G50" s="18" t="s">
        <v>99</v>
      </c>
      <c r="H50" s="34" t="s">
        <v>99</v>
      </c>
      <c r="I50" s="34"/>
      <c r="J50" s="34"/>
      <c r="K50" s="31"/>
      <c r="L50" s="31"/>
      <c r="M50" s="31"/>
      <c r="N50" s="1"/>
      <c r="O50" s="1"/>
      <c r="P50" s="1"/>
      <c r="Q50" s="1"/>
      <c r="R50" s="1"/>
      <c r="S50" s="1"/>
      <c r="T50" s="1"/>
    </row>
    <row r="51" spans="1:20" ht="12" thickBot="1" x14ac:dyDescent="0.25">
      <c r="A51" s="293" t="s">
        <v>101</v>
      </c>
      <c r="B51" s="293"/>
      <c r="C51" s="293"/>
      <c r="D51" s="293"/>
      <c r="E51" s="55">
        <f>SUM(E45:E50)</f>
        <v>0.10977000000000001</v>
      </c>
      <c r="F51" s="60">
        <f>SUM(F45:F50)</f>
        <v>0.10977000000000001</v>
      </c>
      <c r="G51" s="18" t="s">
        <v>99</v>
      </c>
      <c r="H51" s="34"/>
      <c r="I51" s="34"/>
      <c r="J51" s="34"/>
      <c r="K51" s="31"/>
      <c r="L51" s="31"/>
      <c r="M51" s="31"/>
      <c r="N51" s="1"/>
      <c r="O51" s="1"/>
      <c r="P51" s="1"/>
      <c r="Q51" s="1"/>
      <c r="R51" s="1"/>
      <c r="S51" s="1"/>
      <c r="T51" s="1"/>
    </row>
    <row r="52" spans="1:20" ht="12" thickTop="1" x14ac:dyDescent="0.2">
      <c r="A52" s="295"/>
      <c r="B52" s="295"/>
      <c r="C52" s="295"/>
      <c r="D52" s="295"/>
      <c r="E52" s="63"/>
      <c r="F52" s="56"/>
      <c r="H52" s="34" t="s">
        <v>99</v>
      </c>
      <c r="I52" s="34"/>
      <c r="J52" s="34"/>
      <c r="K52" s="31"/>
      <c r="L52" s="31"/>
      <c r="M52" s="31"/>
      <c r="N52" s="1"/>
      <c r="O52" s="1"/>
      <c r="P52" s="1"/>
      <c r="Q52" s="1"/>
      <c r="R52" s="1"/>
      <c r="S52" s="1"/>
      <c r="T52" s="1"/>
    </row>
    <row r="53" spans="1:20" x14ac:dyDescent="0.2">
      <c r="A53" s="298" t="s">
        <v>44</v>
      </c>
      <c r="B53" s="298"/>
      <c r="C53" s="298"/>
      <c r="D53" s="298"/>
      <c r="E53" s="126">
        <v>-7.4058380000000005E-3</v>
      </c>
      <c r="F53" s="127">
        <f>-'FY2020 Sch 194 Summary'!D18</f>
        <v>-7.3861270000000001E-3</v>
      </c>
      <c r="G53" s="18" t="s">
        <v>99</v>
      </c>
      <c r="H53" s="34" t="s">
        <v>99</v>
      </c>
      <c r="I53" s="1"/>
      <c r="J53" s="1"/>
      <c r="K53" s="31"/>
      <c r="L53" s="31"/>
      <c r="M53" s="31"/>
      <c r="N53" s="1"/>
      <c r="O53" s="1"/>
      <c r="P53" s="1"/>
      <c r="Q53" s="1"/>
      <c r="R53" s="1"/>
      <c r="S53" s="1"/>
      <c r="T53" s="1"/>
    </row>
    <row r="54" spans="1:20" x14ac:dyDescent="0.2">
      <c r="A54" s="293" t="s">
        <v>53</v>
      </c>
      <c r="B54" s="293"/>
      <c r="C54" s="293"/>
      <c r="D54" s="293"/>
      <c r="E54" s="63">
        <v>0</v>
      </c>
      <c r="F54" s="56">
        <f>+E54</f>
        <v>0</v>
      </c>
      <c r="G54" s="18" t="s">
        <v>99</v>
      </c>
      <c r="H54" s="1"/>
      <c r="I54" s="31"/>
      <c r="J54" s="31"/>
      <c r="K54" s="31"/>
      <c r="L54" s="31"/>
      <c r="M54" s="31"/>
      <c r="N54" s="1"/>
      <c r="O54" s="1"/>
      <c r="P54" s="1"/>
      <c r="Q54" s="1"/>
      <c r="R54" s="1"/>
      <c r="S54" s="1"/>
      <c r="T54" s="1"/>
    </row>
    <row r="55" spans="1:20" x14ac:dyDescent="0.2">
      <c r="A55" s="295"/>
      <c r="B55" s="295"/>
      <c r="C55" s="295"/>
      <c r="D55" s="295"/>
      <c r="E55" s="63"/>
      <c r="F55" s="56"/>
      <c r="G55" s="1"/>
      <c r="H55" s="31" t="s">
        <v>99</v>
      </c>
      <c r="I55" s="31"/>
      <c r="J55" s="31"/>
      <c r="K55" s="31"/>
      <c r="L55" s="31"/>
      <c r="M55" s="31"/>
      <c r="N55" s="1"/>
      <c r="O55" s="1"/>
      <c r="P55" s="1"/>
      <c r="Q55" s="1"/>
      <c r="R55" s="1"/>
      <c r="S55" s="1"/>
      <c r="T55" s="1"/>
    </row>
    <row r="56" spans="1:20" x14ac:dyDescent="0.2">
      <c r="A56" s="295" t="s">
        <v>128</v>
      </c>
      <c r="B56" s="295"/>
      <c r="C56" s="295"/>
      <c r="D56" s="295"/>
      <c r="E56" s="63"/>
      <c r="F56" s="56"/>
      <c r="G56" s="1" t="s">
        <v>99</v>
      </c>
      <c r="H56" s="31" t="s">
        <v>99</v>
      </c>
      <c r="I56" s="34"/>
      <c r="J56" s="34"/>
      <c r="K56" s="34"/>
      <c r="L56" s="34"/>
      <c r="M56" s="34"/>
    </row>
    <row r="57" spans="1:20" x14ac:dyDescent="0.2">
      <c r="A57" s="35" t="s">
        <v>39</v>
      </c>
      <c r="B57" s="35"/>
      <c r="C57" s="35"/>
      <c r="D57" s="35"/>
      <c r="E57" s="63">
        <v>-1.098E-3</v>
      </c>
      <c r="F57" s="56">
        <f>+E57</f>
        <v>-1.098E-3</v>
      </c>
      <c r="G57" s="1" t="s">
        <v>99</v>
      </c>
      <c r="H57" s="34" t="s">
        <v>99</v>
      </c>
      <c r="I57" s="34"/>
      <c r="J57" s="34"/>
      <c r="K57" s="31"/>
      <c r="L57" s="31"/>
      <c r="M57" s="31"/>
      <c r="N57" s="1"/>
      <c r="O57" s="1"/>
      <c r="P57" s="1"/>
      <c r="Q57" s="1"/>
      <c r="R57" s="1"/>
      <c r="S57" s="1"/>
      <c r="T57" s="1"/>
    </row>
    <row r="58" spans="1:20" x14ac:dyDescent="0.2">
      <c r="A58" s="35" t="s">
        <v>40</v>
      </c>
      <c r="B58" s="35"/>
      <c r="C58" s="35"/>
      <c r="D58" s="35"/>
      <c r="E58" s="63">
        <v>-1.913E-3</v>
      </c>
      <c r="F58" s="56">
        <f t="shared" ref="F58:F61" si="24">+E58</f>
        <v>-1.913E-3</v>
      </c>
      <c r="G58" s="18" t="s">
        <v>99</v>
      </c>
      <c r="H58" s="34" t="s">
        <v>99</v>
      </c>
      <c r="I58" s="34"/>
      <c r="J58" s="34"/>
      <c r="K58" s="31"/>
      <c r="L58" s="31"/>
      <c r="M58" s="31"/>
      <c r="N58" s="1"/>
      <c r="O58" s="1"/>
      <c r="P58" s="1"/>
      <c r="Q58" s="1"/>
      <c r="R58" s="1"/>
      <c r="S58" s="1"/>
      <c r="T58" s="1"/>
    </row>
    <row r="59" spans="1:20" x14ac:dyDescent="0.2">
      <c r="A59" s="35" t="s">
        <v>41</v>
      </c>
      <c r="B59" s="35"/>
      <c r="C59" s="35"/>
      <c r="D59" s="35"/>
      <c r="E59" s="63">
        <v>3.9050000000000001E-3</v>
      </c>
      <c r="F59" s="56">
        <f t="shared" si="24"/>
        <v>3.9050000000000001E-3</v>
      </c>
      <c r="G59" s="18" t="s">
        <v>99</v>
      </c>
      <c r="H59" s="34" t="s">
        <v>99</v>
      </c>
      <c r="I59" s="34"/>
      <c r="J59" s="34"/>
      <c r="K59" s="31"/>
      <c r="L59" s="31"/>
      <c r="M59" s="31"/>
      <c r="N59" s="1"/>
      <c r="O59" s="1"/>
      <c r="P59" s="1"/>
      <c r="Q59" s="1"/>
      <c r="R59" s="1"/>
      <c r="S59" s="1"/>
      <c r="T59" s="1"/>
    </row>
    <row r="60" spans="1:20" x14ac:dyDescent="0.2">
      <c r="A60" s="299" t="s">
        <v>43</v>
      </c>
      <c r="B60" s="299"/>
      <c r="C60" s="299"/>
      <c r="D60" s="299"/>
      <c r="E60" s="63">
        <v>0</v>
      </c>
      <c r="F60" s="56">
        <f t="shared" si="24"/>
        <v>0</v>
      </c>
      <c r="G60" s="18" t="s">
        <v>99</v>
      </c>
      <c r="H60" s="34" t="s">
        <v>99</v>
      </c>
      <c r="I60" s="34"/>
      <c r="J60" s="34"/>
      <c r="K60" s="31"/>
      <c r="L60" s="31"/>
      <c r="M60" s="31"/>
      <c r="N60" s="1"/>
      <c r="O60" s="1"/>
      <c r="P60" s="1"/>
      <c r="Q60" s="1"/>
      <c r="R60" s="1"/>
      <c r="S60" s="1"/>
      <c r="T60" s="1"/>
    </row>
    <row r="61" spans="1:20" x14ac:dyDescent="0.2">
      <c r="A61" s="299" t="s">
        <v>65</v>
      </c>
      <c r="B61" s="299"/>
      <c r="C61" s="299"/>
      <c r="D61" s="299"/>
      <c r="E61" s="64">
        <v>-7.2999999999999999E-5</v>
      </c>
      <c r="F61" s="56">
        <f t="shared" si="24"/>
        <v>-7.2999999999999999E-5</v>
      </c>
      <c r="G61" s="18" t="s">
        <v>99</v>
      </c>
      <c r="H61" s="34" t="s">
        <v>99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" thickBot="1" x14ac:dyDescent="0.25">
      <c r="A62" s="293" t="s">
        <v>129</v>
      </c>
      <c r="B62" s="293"/>
      <c r="C62" s="293"/>
      <c r="D62" s="293"/>
      <c r="E62" s="55">
        <f>SUM(E57:E61)</f>
        <v>8.2100000000000022E-4</v>
      </c>
      <c r="F62" s="60">
        <f>SUM(F57:F61)</f>
        <v>8.2100000000000022E-4</v>
      </c>
      <c r="G62" s="18" t="s">
        <v>99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2" thickTop="1" x14ac:dyDescent="0.2">
      <c r="A63" s="295"/>
      <c r="B63" s="295"/>
      <c r="C63" s="295"/>
      <c r="D63" s="295"/>
      <c r="E63" s="41"/>
      <c r="F63" s="61"/>
      <c r="G63" s="1"/>
      <c r="H63" s="34" t="s">
        <v>99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293" t="s">
        <v>130</v>
      </c>
      <c r="B64" s="293"/>
      <c r="C64" s="293"/>
      <c r="D64" s="293"/>
      <c r="E64" s="41">
        <f>SUM(E43,E53:E54,E62)</f>
        <v>8.4224162000000005E-2</v>
      </c>
      <c r="F64" s="61">
        <f>SUM(F43,F53:F54,F62)</f>
        <v>8.4243872999999997E-2</v>
      </c>
      <c r="G64" s="18" t="s">
        <v>99</v>
      </c>
      <c r="H64" s="34" t="s">
        <v>99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293" t="s">
        <v>131</v>
      </c>
      <c r="B65" s="293"/>
      <c r="C65" s="293"/>
      <c r="D65" s="293"/>
      <c r="E65" s="42">
        <f>SUM(E51,E53:E54,E62)</f>
        <v>0.10318516200000001</v>
      </c>
      <c r="F65" s="62">
        <f>SUM(F51,F53:F54,F62)</f>
        <v>0.103204873</v>
      </c>
      <c r="G65" s="18" t="s">
        <v>99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292" t="s">
        <v>170</v>
      </c>
      <c r="B67" s="292"/>
      <c r="C67" s="292"/>
      <c r="D67" s="29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3.75" x14ac:dyDescent="0.2">
      <c r="A68" s="20"/>
      <c r="B68" s="20" t="s">
        <v>132</v>
      </c>
      <c r="C68" s="20" t="s">
        <v>133</v>
      </c>
      <c r="D68" s="20" t="s">
        <v>134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0" x14ac:dyDescent="0.2">
      <c r="A69" s="1" t="str">
        <f>+A9</f>
        <v>January</v>
      </c>
      <c r="B69" s="52">
        <v>1252326999.9999998</v>
      </c>
      <c r="C69" s="52">
        <v>1031989</v>
      </c>
      <c r="D69" s="21">
        <f>ROUND(+B69/C69,0)</f>
        <v>1214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 t="str">
        <f t="shared" ref="A70:A80" si="25">+A10</f>
        <v>February</v>
      </c>
      <c r="B70" s="52">
        <v>1088361000</v>
      </c>
      <c r="C70" s="52">
        <v>1033260</v>
      </c>
      <c r="D70" s="21">
        <f t="shared" ref="D70:D80" si="26">ROUND(+B70/C70,0)</f>
        <v>1053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 t="str">
        <f t="shared" si="25"/>
        <v>March</v>
      </c>
      <c r="B71" s="52">
        <v>1049153000.0000002</v>
      </c>
      <c r="C71" s="52">
        <v>1034261</v>
      </c>
      <c r="D71" s="21">
        <f t="shared" si="26"/>
        <v>1014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 t="str">
        <f t="shared" si="25"/>
        <v>April</v>
      </c>
      <c r="B72" s="52">
        <v>864607000</v>
      </c>
      <c r="C72" s="52">
        <v>1035099</v>
      </c>
      <c r="D72" s="21">
        <f t="shared" si="26"/>
        <v>835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 t="str">
        <f t="shared" si="25"/>
        <v>May</v>
      </c>
      <c r="B73" s="52">
        <v>737952000.00000012</v>
      </c>
      <c r="C73" s="52">
        <v>1035847</v>
      </c>
      <c r="D73" s="21">
        <f t="shared" si="26"/>
        <v>712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 t="str">
        <f t="shared" si="25"/>
        <v>June</v>
      </c>
      <c r="B74" s="52">
        <v>680005999.99999988</v>
      </c>
      <c r="C74" s="52">
        <v>1036691</v>
      </c>
      <c r="D74" s="21">
        <f t="shared" si="26"/>
        <v>656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 t="str">
        <f t="shared" si="25"/>
        <v>July</v>
      </c>
      <c r="B75" s="52">
        <v>696924000.00000012</v>
      </c>
      <c r="C75" s="52">
        <v>1037136</v>
      </c>
      <c r="D75" s="21">
        <f t="shared" si="26"/>
        <v>672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 t="str">
        <f t="shared" si="25"/>
        <v>August</v>
      </c>
      <c r="B76" s="52">
        <v>682561999.99999988</v>
      </c>
      <c r="C76" s="52">
        <v>1037921</v>
      </c>
      <c r="D76" s="21">
        <f t="shared" si="26"/>
        <v>658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 t="str">
        <f t="shared" si="25"/>
        <v>September</v>
      </c>
      <c r="B77" s="52">
        <v>672653999.99999988</v>
      </c>
      <c r="C77" s="52">
        <v>1039166</v>
      </c>
      <c r="D77" s="21">
        <f t="shared" si="26"/>
        <v>647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 t="str">
        <f t="shared" si="25"/>
        <v>October</v>
      </c>
      <c r="B78" s="52">
        <v>840345000</v>
      </c>
      <c r="C78" s="52">
        <v>1027933</v>
      </c>
      <c r="D78" s="21">
        <f t="shared" si="26"/>
        <v>818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 t="str">
        <f t="shared" si="25"/>
        <v>November</v>
      </c>
      <c r="B79" s="52">
        <v>1034560000.0000001</v>
      </c>
      <c r="C79" s="52">
        <v>1029469</v>
      </c>
      <c r="D79" s="21">
        <f t="shared" si="26"/>
        <v>1005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 t="str">
        <f t="shared" si="25"/>
        <v>December</v>
      </c>
      <c r="B80" s="52">
        <v>1304073999.9999998</v>
      </c>
      <c r="C80" s="52">
        <v>1030732</v>
      </c>
      <c r="D80" s="21">
        <f t="shared" si="26"/>
        <v>1265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" thickBot="1" x14ac:dyDescent="0.25">
      <c r="A81" s="1" t="s">
        <v>14</v>
      </c>
      <c r="B81" s="53">
        <f>SUM(B69:B80)</f>
        <v>10903525000</v>
      </c>
      <c r="C81" s="53">
        <f>SUM(C69:C80)</f>
        <v>12409504</v>
      </c>
      <c r="D81" s="53">
        <f>SUM(D69:D80)</f>
        <v>10549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" thickTop="1" x14ac:dyDescent="0.2">
      <c r="A82" s="1"/>
      <c r="B82" s="1"/>
      <c r="C82" s="1"/>
      <c r="D82" s="2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 t="s">
        <v>66</v>
      </c>
      <c r="B83" s="22"/>
      <c r="C83" s="22"/>
      <c r="D83" s="21">
        <f>ROUND(AVERAGE(D69:D80),0)</f>
        <v>879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</sheetData>
  <mergeCells count="27">
    <mergeCell ref="A1:T1"/>
    <mergeCell ref="A2:T2"/>
    <mergeCell ref="A3:T3"/>
    <mergeCell ref="A44:D44"/>
    <mergeCell ref="A33:D33"/>
    <mergeCell ref="A34:D34"/>
    <mergeCell ref="A35:D35"/>
    <mergeCell ref="A36:D36"/>
    <mergeCell ref="A37:D37"/>
    <mergeCell ref="A38:D38"/>
    <mergeCell ref="C7:O7"/>
    <mergeCell ref="A67:D67"/>
    <mergeCell ref="A65:D65"/>
    <mergeCell ref="A43:D43"/>
    <mergeCell ref="A56:D56"/>
    <mergeCell ref="A45:D45"/>
    <mergeCell ref="A46:D46"/>
    <mergeCell ref="A51:D51"/>
    <mergeCell ref="A52:D52"/>
    <mergeCell ref="A53:D53"/>
    <mergeCell ref="A54:D54"/>
    <mergeCell ref="A55:D55"/>
    <mergeCell ref="A63:D63"/>
    <mergeCell ref="A64:D64"/>
    <mergeCell ref="A60:D60"/>
    <mergeCell ref="A61:D61"/>
    <mergeCell ref="A62:D62"/>
  </mergeCells>
  <printOptions horizontalCentered="1"/>
  <pageMargins left="0.75" right="0.75" top="1" bottom="1" header="0.5" footer="0.5"/>
  <pageSetup scale="46" orientation="landscape" cellComments="asDisplayed" horizontalDpi="300" verticalDpi="300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>
      <selection activeCell="I33" sqref="I33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workbookViewId="0">
      <pane ySplit="4" topLeftCell="A5" activePane="bottomLeft" state="frozen"/>
      <selection pane="bottomLeft" sqref="A1:P1"/>
    </sheetView>
  </sheetViews>
  <sheetFormatPr defaultColWidth="9.140625" defaultRowHeight="11.25" x14ac:dyDescent="0.2"/>
  <cols>
    <col min="1" max="1" width="5.28515625" style="129" bestFit="1" customWidth="1"/>
    <col min="2" max="2" width="35.7109375" style="129" customWidth="1"/>
    <col min="3" max="3" width="2.85546875" style="129" hidden="1" customWidth="1"/>
    <col min="4" max="4" width="13.7109375" style="129" customWidth="1"/>
    <col min="5" max="5" width="13.42578125" style="129" customWidth="1"/>
    <col min="6" max="6" width="14.85546875" style="129" customWidth="1"/>
    <col min="7" max="8" width="12.85546875" style="129" customWidth="1"/>
    <col min="9" max="9" width="16" style="129" customWidth="1"/>
    <col min="10" max="10" width="12.42578125" style="129" customWidth="1"/>
    <col min="11" max="11" width="11.7109375" style="129" customWidth="1"/>
    <col min="12" max="12" width="13.7109375" style="129" customWidth="1"/>
    <col min="13" max="13" width="12.42578125" style="129" customWidth="1"/>
    <col min="14" max="14" width="14.28515625" style="129" customWidth="1"/>
    <col min="15" max="16" width="13.85546875" style="129" customWidth="1"/>
    <col min="17" max="16384" width="9.140625" style="129"/>
  </cols>
  <sheetData>
    <row r="1" spans="1:16" ht="12.75" x14ac:dyDescent="0.2">
      <c r="A1" s="303" t="str">
        <f>'FY2020 Sch 194 Summary'!A1:D1</f>
        <v>Puget Sound Energy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1:16" ht="12.75" x14ac:dyDescent="0.2">
      <c r="A2" s="303" t="str">
        <f>'FY2020 Sch 194 Summary'!A2:D2</f>
        <v>Proposed Schedule 194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1:16" ht="12.75" x14ac:dyDescent="0.2">
      <c r="A3" s="305" t="s">
        <v>270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</row>
    <row r="4" spans="1:16" ht="12.75" x14ac:dyDescent="0.2">
      <c r="A4" s="303" t="str">
        <f>'FY2020 Sch 194 Summary'!A3:D3</f>
        <v>BPA Residential and Farm Energy Exchange Benefits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</row>
    <row r="6" spans="1:16" x14ac:dyDescent="0.2">
      <c r="A6" s="148"/>
      <c r="B6" s="149" t="s">
        <v>181</v>
      </c>
      <c r="C6" s="149"/>
      <c r="D6" s="150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6" x14ac:dyDescent="0.2">
      <c r="A7" s="151" t="s">
        <v>182</v>
      </c>
      <c r="B7" s="152" t="s">
        <v>183</v>
      </c>
      <c r="C7" s="153"/>
      <c r="D7" s="150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x14ac:dyDescent="0.2">
      <c r="A8" s="154" t="s">
        <v>184</v>
      </c>
      <c r="C8" s="155"/>
      <c r="D8" s="149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6" x14ac:dyDescent="0.2">
      <c r="B9" s="156" t="s">
        <v>185</v>
      </c>
      <c r="C9" s="156"/>
      <c r="D9" s="157"/>
      <c r="E9" s="157"/>
      <c r="F9" s="158">
        <v>2020</v>
      </c>
      <c r="G9" s="158">
        <v>2021</v>
      </c>
      <c r="H9" s="157" t="s">
        <v>66</v>
      </c>
      <c r="I9" s="157"/>
      <c r="J9" s="157"/>
      <c r="K9" s="157"/>
      <c r="L9" s="157" t="s">
        <v>186</v>
      </c>
      <c r="M9" s="157" t="s">
        <v>187</v>
      </c>
      <c r="N9" s="157" t="s">
        <v>186</v>
      </c>
      <c r="O9" s="157" t="s">
        <v>186</v>
      </c>
      <c r="P9" s="157" t="s">
        <v>186</v>
      </c>
    </row>
    <row r="10" spans="1:16" x14ac:dyDescent="0.2">
      <c r="D10" s="157"/>
      <c r="E10" s="157" t="s">
        <v>188</v>
      </c>
      <c r="F10" s="157" t="s">
        <v>189</v>
      </c>
      <c r="G10" s="157" t="s">
        <v>189</v>
      </c>
      <c r="H10" s="157" t="s">
        <v>189</v>
      </c>
      <c r="I10" s="157" t="s">
        <v>190</v>
      </c>
      <c r="J10" s="157" t="s">
        <v>191</v>
      </c>
      <c r="K10" s="157" t="s">
        <v>187</v>
      </c>
      <c r="L10" s="157" t="s">
        <v>192</v>
      </c>
      <c r="M10" s="157" t="s">
        <v>193</v>
      </c>
      <c r="N10" s="159" t="s">
        <v>194</v>
      </c>
      <c r="O10" s="157" t="s">
        <v>195</v>
      </c>
      <c r="P10" s="157" t="s">
        <v>196</v>
      </c>
    </row>
    <row r="11" spans="1:16" x14ac:dyDescent="0.2">
      <c r="D11" s="157" t="s">
        <v>197</v>
      </c>
      <c r="E11" s="157" t="s">
        <v>198</v>
      </c>
      <c r="F11" s="157" t="s">
        <v>199</v>
      </c>
      <c r="G11" s="157" t="s">
        <v>199</v>
      </c>
      <c r="H11" s="157" t="s">
        <v>199</v>
      </c>
      <c r="I11" s="157" t="s">
        <v>200</v>
      </c>
      <c r="J11" s="157" t="s">
        <v>201</v>
      </c>
      <c r="K11" s="157" t="s">
        <v>201</v>
      </c>
      <c r="L11" s="157" t="s">
        <v>202</v>
      </c>
      <c r="M11" s="157" t="s">
        <v>202</v>
      </c>
      <c r="N11" s="157" t="s">
        <v>203</v>
      </c>
      <c r="O11" s="157" t="s">
        <v>198</v>
      </c>
      <c r="P11" s="157" t="s">
        <v>200</v>
      </c>
    </row>
    <row r="12" spans="1:16" x14ac:dyDescent="0.2">
      <c r="B12" s="160"/>
      <c r="C12" s="160"/>
      <c r="D12" s="161" t="s">
        <v>204</v>
      </c>
      <c r="E12" s="161" t="s">
        <v>205</v>
      </c>
      <c r="F12" s="161" t="s">
        <v>206</v>
      </c>
      <c r="G12" s="161" t="s">
        <v>207</v>
      </c>
      <c r="H12" s="161" t="s">
        <v>208</v>
      </c>
      <c r="I12" s="161" t="s">
        <v>209</v>
      </c>
      <c r="J12" s="161" t="s">
        <v>210</v>
      </c>
      <c r="K12" s="161" t="s">
        <v>211</v>
      </c>
      <c r="L12" s="161" t="s">
        <v>212</v>
      </c>
      <c r="M12" s="161" t="s">
        <v>213</v>
      </c>
      <c r="N12" s="161" t="s">
        <v>214</v>
      </c>
      <c r="O12" s="161" t="s">
        <v>215</v>
      </c>
      <c r="P12" s="161" t="s">
        <v>216</v>
      </c>
    </row>
    <row r="13" spans="1:16" x14ac:dyDescent="0.2">
      <c r="B13" s="129" t="s">
        <v>217</v>
      </c>
      <c r="C13" s="129">
        <v>1</v>
      </c>
      <c r="D13" s="129">
        <v>67.599999999999994</v>
      </c>
      <c r="E13" s="162">
        <v>52.027382000000003</v>
      </c>
      <c r="F13" s="163">
        <v>3935.6360639999998</v>
      </c>
      <c r="G13" s="163">
        <v>3935.6402400000002</v>
      </c>
      <c r="H13" s="163">
        <v>3935.638152</v>
      </c>
      <c r="I13" s="164">
        <v>61288.189527321905</v>
      </c>
      <c r="L13" s="164">
        <v>44729.354442807351</v>
      </c>
      <c r="M13" s="164">
        <v>0</v>
      </c>
      <c r="N13" s="162">
        <v>11.365210091806059</v>
      </c>
      <c r="O13" s="162">
        <v>63.392592091806065</v>
      </c>
      <c r="P13" s="164">
        <v>16558.83508451454</v>
      </c>
    </row>
    <row r="14" spans="1:16" x14ac:dyDescent="0.2">
      <c r="B14" s="129" t="s">
        <v>218</v>
      </c>
      <c r="C14" s="129">
        <v>1</v>
      </c>
      <c r="D14" s="129">
        <v>64.41</v>
      </c>
      <c r="E14" s="162">
        <v>52.027382000000003</v>
      </c>
      <c r="F14" s="163">
        <v>6760.1049119999998</v>
      </c>
      <c r="G14" s="163">
        <v>6760.10952</v>
      </c>
      <c r="H14" s="163">
        <v>6760.1072160000003</v>
      </c>
      <c r="I14" s="164">
        <v>83707.82529477145</v>
      </c>
      <c r="L14" s="164">
        <v>61091.655931152702</v>
      </c>
      <c r="M14" s="164">
        <v>0</v>
      </c>
      <c r="N14" s="162">
        <v>9.0370838773916713</v>
      </c>
      <c r="O14" s="162">
        <v>61.064465877391676</v>
      </c>
      <c r="P14" s="164">
        <v>22616.169363618737</v>
      </c>
    </row>
    <row r="15" spans="1:16" x14ac:dyDescent="0.2">
      <c r="B15" s="129" t="s">
        <v>219</v>
      </c>
      <c r="C15" s="129">
        <v>1</v>
      </c>
      <c r="D15" s="129">
        <v>82.91</v>
      </c>
      <c r="E15" s="162">
        <v>52.027382000000003</v>
      </c>
      <c r="F15" s="163">
        <v>702.17539199999999</v>
      </c>
      <c r="G15" s="163">
        <v>702.17531999999994</v>
      </c>
      <c r="H15" s="163">
        <v>702.17535599999997</v>
      </c>
      <c r="I15" s="164">
        <v>21685.013288362003</v>
      </c>
      <c r="L15" s="164">
        <v>15826.159215222542</v>
      </c>
      <c r="M15" s="164">
        <v>0</v>
      </c>
      <c r="N15" s="162">
        <v>22.538756280735296</v>
      </c>
      <c r="O15" s="162">
        <v>74.566138280735302</v>
      </c>
      <c r="P15" s="164">
        <v>5858.8540731394587</v>
      </c>
    </row>
    <row r="16" spans="1:16" x14ac:dyDescent="0.2">
      <c r="B16" s="129" t="s">
        <v>220</v>
      </c>
      <c r="C16" s="129">
        <v>1</v>
      </c>
      <c r="D16" s="129">
        <v>79.430000000000007</v>
      </c>
      <c r="E16" s="162">
        <v>52.027382000000003</v>
      </c>
      <c r="F16" s="163">
        <v>9171.9804960000019</v>
      </c>
      <c r="G16" s="163">
        <v>9171.9827999999998</v>
      </c>
      <c r="H16" s="163">
        <v>9171.9816480000009</v>
      </c>
      <c r="I16" s="164">
        <v>251336.30940315453</v>
      </c>
      <c r="L16" s="164">
        <v>183430.29797982736</v>
      </c>
      <c r="M16" s="164">
        <v>0</v>
      </c>
      <c r="N16" s="162">
        <v>19.998982228646881</v>
      </c>
      <c r="O16" s="162">
        <v>72.026364228646884</v>
      </c>
      <c r="P16" s="164">
        <v>67906.011423327174</v>
      </c>
    </row>
    <row r="17" spans="2:16" x14ac:dyDescent="0.2">
      <c r="B17" s="129" t="s">
        <v>221</v>
      </c>
      <c r="C17" s="129">
        <v>1</v>
      </c>
      <c r="D17" s="129">
        <v>77.53</v>
      </c>
      <c r="E17" s="162">
        <v>52.027382000000003</v>
      </c>
      <c r="F17" s="163">
        <v>8168.0922719999999</v>
      </c>
      <c r="G17" s="163">
        <v>8168.0868</v>
      </c>
      <c r="H17" s="163">
        <v>8168.0895359999995</v>
      </c>
      <c r="I17" s="164">
        <v>208307.66722640523</v>
      </c>
      <c r="L17" s="164">
        <v>152027.12875652121</v>
      </c>
      <c r="M17" s="164">
        <v>0</v>
      </c>
      <c r="N17" s="162">
        <v>18.612323981816992</v>
      </c>
      <c r="O17" s="162">
        <v>70.639705981817002</v>
      </c>
      <c r="P17" s="164">
        <v>56280.538469883948</v>
      </c>
    </row>
    <row r="18" spans="2:16" x14ac:dyDescent="0.2">
      <c r="B18" s="129" t="s">
        <v>222</v>
      </c>
      <c r="C18" s="129">
        <v>1</v>
      </c>
      <c r="D18" s="129">
        <v>75.72</v>
      </c>
      <c r="E18" s="162">
        <v>52.027382000000003</v>
      </c>
      <c r="F18" s="163">
        <v>11869.459056</v>
      </c>
      <c r="G18" s="163">
        <v>11869.458359999999</v>
      </c>
      <c r="H18" s="163">
        <v>11869.458707999998</v>
      </c>
      <c r="I18" s="164">
        <v>281218.55103541748</v>
      </c>
      <c r="L18" s="164">
        <v>205238.95944990145</v>
      </c>
      <c r="M18" s="164">
        <v>0</v>
      </c>
      <c r="N18" s="162">
        <v>17.291349546679047</v>
      </c>
      <c r="O18" s="162">
        <v>69.318731546679047</v>
      </c>
      <c r="P18" s="164">
        <v>75979.591585516057</v>
      </c>
    </row>
    <row r="19" spans="2:16" x14ac:dyDescent="0.2">
      <c r="B19" s="165" t="s">
        <v>223</v>
      </c>
      <c r="C19" s="165">
        <v>1</v>
      </c>
      <c r="D19" s="165">
        <v>55.17</v>
      </c>
      <c r="E19" s="166">
        <v>52.130110999999999</v>
      </c>
      <c r="F19" s="167">
        <v>2540.5172640000001</v>
      </c>
      <c r="G19" s="167">
        <v>2543.13312</v>
      </c>
      <c r="H19" s="167">
        <v>2541.8251920000002</v>
      </c>
      <c r="I19" s="168">
        <v>7726.8664410836946</v>
      </c>
      <c r="J19" s="165"/>
      <c r="K19" s="165"/>
      <c r="L19" s="168">
        <v>5639.222669832523</v>
      </c>
      <c r="M19" s="165"/>
      <c r="N19" s="166">
        <v>2.2185721848933988</v>
      </c>
      <c r="O19" s="166">
        <v>54.348683184893396</v>
      </c>
      <c r="P19" s="168">
        <v>2087.6437712511765</v>
      </c>
    </row>
    <row r="20" spans="2:16" x14ac:dyDescent="0.2">
      <c r="B20" s="129" t="s">
        <v>224</v>
      </c>
      <c r="C20" s="129">
        <v>0</v>
      </c>
      <c r="D20" s="129">
        <v>0</v>
      </c>
      <c r="E20" s="162">
        <v>0</v>
      </c>
      <c r="F20" s="163">
        <v>0</v>
      </c>
      <c r="G20" s="163">
        <v>0</v>
      </c>
      <c r="H20" s="163">
        <v>0</v>
      </c>
      <c r="I20" s="164">
        <v>0</v>
      </c>
      <c r="L20" s="164">
        <v>0</v>
      </c>
      <c r="N20" s="162">
        <v>0</v>
      </c>
      <c r="O20" s="162">
        <v>0</v>
      </c>
      <c r="P20" s="164">
        <v>0</v>
      </c>
    </row>
    <row r="21" spans="2:16" x14ac:dyDescent="0.2">
      <c r="B21" s="129" t="s">
        <v>225</v>
      </c>
      <c r="C21" s="129">
        <v>1</v>
      </c>
      <c r="D21" s="162">
        <v>54.68</v>
      </c>
      <c r="E21" s="162">
        <v>52.130110999999999</v>
      </c>
      <c r="F21" s="163">
        <v>3599.6832000000004</v>
      </c>
      <c r="G21" s="163">
        <v>3566.9843999999998</v>
      </c>
      <c r="H21" s="163">
        <v>3583.3338000000003</v>
      </c>
      <c r="I21" s="164">
        <v>9137.1034399482014</v>
      </c>
      <c r="L21" s="164">
        <v>6668.4420195483635</v>
      </c>
      <c r="N21" s="162">
        <v>1.8609603212372687</v>
      </c>
      <c r="O21" s="162">
        <v>53.991071321237271</v>
      </c>
      <c r="P21" s="164">
        <v>2468.6614203998274</v>
      </c>
    </row>
    <row r="22" spans="2:16" x14ac:dyDescent="0.2">
      <c r="B22" s="169" t="s">
        <v>14</v>
      </c>
      <c r="C22" s="169"/>
      <c r="D22" s="169"/>
      <c r="E22" s="169"/>
      <c r="F22" s="169"/>
      <c r="G22" s="169"/>
      <c r="H22" s="169"/>
      <c r="I22" s="170">
        <v>924407.52565646451</v>
      </c>
      <c r="J22" s="171">
        <v>245200</v>
      </c>
      <c r="K22" s="171">
        <v>0</v>
      </c>
      <c r="L22" s="170">
        <v>674651.22046481352</v>
      </c>
      <c r="M22" s="171">
        <v>0</v>
      </c>
      <c r="N22" s="169"/>
      <c r="O22" s="169"/>
      <c r="P22" s="170">
        <v>249756.3051916509</v>
      </c>
    </row>
    <row r="24" spans="2:16" x14ac:dyDescent="0.2">
      <c r="B24" s="130" t="s">
        <v>226</v>
      </c>
      <c r="C24" s="131">
        <v>4</v>
      </c>
      <c r="D24" s="132" t="s">
        <v>227</v>
      </c>
      <c r="E24" s="133">
        <v>453.56882957275957</v>
      </c>
      <c r="H24" s="172" t="s">
        <v>228</v>
      </c>
      <c r="I24" s="173">
        <v>907543.55577543261</v>
      </c>
      <c r="J24" s="171">
        <v>245200</v>
      </c>
      <c r="K24" s="171">
        <v>245200</v>
      </c>
      <c r="L24" s="174">
        <v>662343.55577543261</v>
      </c>
      <c r="M24" s="129" t="s">
        <v>229</v>
      </c>
      <c r="O24" s="129" t="s">
        <v>230</v>
      </c>
      <c r="P24" s="175">
        <v>245199.99999999991</v>
      </c>
    </row>
    <row r="25" spans="2:16" x14ac:dyDescent="0.2">
      <c r="H25" s="172" t="s">
        <v>231</v>
      </c>
      <c r="I25" s="176">
        <v>16863.969881031895</v>
      </c>
      <c r="J25" s="177"/>
      <c r="K25" s="178">
        <v>4556.3051916510094</v>
      </c>
      <c r="L25" s="179">
        <v>12307.664689380887</v>
      </c>
      <c r="M25" s="129" t="s">
        <v>232</v>
      </c>
      <c r="O25" s="129" t="s">
        <v>233</v>
      </c>
      <c r="P25" s="175">
        <v>4556.305191651004</v>
      </c>
    </row>
    <row r="27" spans="2:16" x14ac:dyDescent="0.2">
      <c r="B27" s="156" t="s">
        <v>234</v>
      </c>
      <c r="C27" s="156"/>
    </row>
    <row r="28" spans="2:16" x14ac:dyDescent="0.2">
      <c r="D28" s="159" t="s">
        <v>186</v>
      </c>
      <c r="E28" s="180"/>
      <c r="F28" s="180"/>
      <c r="G28" s="180"/>
      <c r="H28" s="159" t="s">
        <v>235</v>
      </c>
      <c r="I28" s="159" t="s">
        <v>235</v>
      </c>
      <c r="J28" s="159" t="s">
        <v>235</v>
      </c>
      <c r="K28" s="159"/>
      <c r="L28" s="159" t="s">
        <v>235</v>
      </c>
      <c r="M28" s="180"/>
      <c r="N28" s="180"/>
      <c r="O28" s="158">
        <v>2020</v>
      </c>
      <c r="P28" s="158">
        <v>2021</v>
      </c>
    </row>
    <row r="29" spans="2:16" x14ac:dyDescent="0.2">
      <c r="D29" s="159" t="s">
        <v>196</v>
      </c>
      <c r="E29" s="159" t="s">
        <v>236</v>
      </c>
      <c r="F29" s="159" t="s">
        <v>237</v>
      </c>
      <c r="G29" s="159" t="s">
        <v>238</v>
      </c>
      <c r="H29" s="159" t="s">
        <v>192</v>
      </c>
      <c r="I29" s="159" t="s">
        <v>194</v>
      </c>
      <c r="J29" s="159" t="s">
        <v>195</v>
      </c>
      <c r="K29" s="159"/>
      <c r="L29" s="159" t="s">
        <v>196</v>
      </c>
      <c r="M29" s="180"/>
      <c r="N29" s="180"/>
      <c r="O29" s="159" t="s">
        <v>196</v>
      </c>
      <c r="P29" s="159" t="s">
        <v>196</v>
      </c>
    </row>
    <row r="30" spans="2:16" x14ac:dyDescent="0.2">
      <c r="D30" s="159" t="s">
        <v>200</v>
      </c>
      <c r="E30" s="159" t="s">
        <v>239</v>
      </c>
      <c r="F30" s="159" t="s">
        <v>239</v>
      </c>
      <c r="G30" s="159" t="s">
        <v>200</v>
      </c>
      <c r="H30" s="159" t="s">
        <v>202</v>
      </c>
      <c r="I30" s="159" t="s">
        <v>203</v>
      </c>
      <c r="J30" s="159" t="s">
        <v>198</v>
      </c>
      <c r="K30" s="159"/>
      <c r="L30" s="159" t="s">
        <v>200</v>
      </c>
      <c r="M30" s="180"/>
      <c r="N30" s="180"/>
      <c r="O30" s="159" t="s">
        <v>200</v>
      </c>
      <c r="P30" s="159" t="s">
        <v>200</v>
      </c>
    </row>
    <row r="31" spans="2:16" x14ac:dyDescent="0.2">
      <c r="B31" s="160"/>
      <c r="C31" s="160"/>
      <c r="D31" s="181" t="s">
        <v>240</v>
      </c>
      <c r="E31" s="181" t="s">
        <v>241</v>
      </c>
      <c r="F31" s="181" t="s">
        <v>242</v>
      </c>
      <c r="G31" s="181" t="s">
        <v>243</v>
      </c>
      <c r="H31" s="181" t="s">
        <v>244</v>
      </c>
      <c r="I31" s="181" t="s">
        <v>245</v>
      </c>
      <c r="J31" s="181" t="s">
        <v>246</v>
      </c>
      <c r="K31" s="181"/>
      <c r="L31" s="181" t="s">
        <v>247</v>
      </c>
      <c r="M31" s="180"/>
      <c r="N31" s="180"/>
      <c r="O31" s="181" t="s">
        <v>248</v>
      </c>
      <c r="P31" s="181" t="s">
        <v>249</v>
      </c>
    </row>
    <row r="32" spans="2:16" x14ac:dyDescent="0.2">
      <c r="B32" s="129" t="s">
        <v>217</v>
      </c>
      <c r="D32" s="164">
        <v>16558.83508451454</v>
      </c>
      <c r="E32" s="182">
        <v>2004.778</v>
      </c>
      <c r="F32" s="175">
        <v>24.172094649755795</v>
      </c>
      <c r="G32" s="175">
        <v>14578.229179164295</v>
      </c>
      <c r="H32" s="175">
        <v>46709.960348157612</v>
      </c>
      <c r="I32" s="162">
        <v>11.868459076813425</v>
      </c>
      <c r="J32" s="183">
        <v>63.895800000000001</v>
      </c>
      <c r="L32" s="175">
        <v>14578.390842638373</v>
      </c>
      <c r="N32" s="129" t="s">
        <v>250</v>
      </c>
      <c r="O32" s="175">
        <v>14578.383108268772</v>
      </c>
      <c r="P32" s="175">
        <v>14578.398577007973</v>
      </c>
    </row>
    <row r="33" spans="2:16" x14ac:dyDescent="0.2">
      <c r="B33" s="129" t="s">
        <v>218</v>
      </c>
      <c r="D33" s="164">
        <v>22616.169363618737</v>
      </c>
      <c r="E33" s="164">
        <v>324.22006508289064</v>
      </c>
      <c r="F33" s="175">
        <v>0</v>
      </c>
      <c r="G33" s="175">
        <v>22291.949298535848</v>
      </c>
      <c r="H33" s="175">
        <v>61415.875996235598</v>
      </c>
      <c r="I33" s="162">
        <v>9.085044664805741</v>
      </c>
      <c r="J33" s="183">
        <v>61.112400000000001</v>
      </c>
      <c r="L33" s="175">
        <v>22292.129555481573</v>
      </c>
      <c r="N33" s="129" t="s">
        <v>251</v>
      </c>
      <c r="O33" s="175">
        <v>22292.12195781117</v>
      </c>
      <c r="P33" s="175">
        <v>22292.137153151969</v>
      </c>
    </row>
    <row r="34" spans="2:16" x14ac:dyDescent="0.2">
      <c r="B34" s="129" t="s">
        <v>219</v>
      </c>
      <c r="D34" s="164">
        <v>5858.8540731394587</v>
      </c>
      <c r="E34" s="182">
        <v>0</v>
      </c>
      <c r="F34" s="175">
        <v>274.76060394988463</v>
      </c>
      <c r="G34" s="175">
        <v>6133.6146770893429</v>
      </c>
      <c r="H34" s="175">
        <v>15551.39861127266</v>
      </c>
      <c r="I34" s="162">
        <v>22.147457153527132</v>
      </c>
      <c r="J34" s="183">
        <v>74.174800000000005</v>
      </c>
      <c r="L34" s="175">
        <v>6133.6421697311944</v>
      </c>
      <c r="N34" s="129" t="s">
        <v>252</v>
      </c>
      <c r="O34" s="175">
        <v>6133.6424841983944</v>
      </c>
      <c r="P34" s="175">
        <v>6133.6418552639934</v>
      </c>
    </row>
    <row r="35" spans="2:16" x14ac:dyDescent="0.2">
      <c r="B35" s="129" t="s">
        <v>220</v>
      </c>
      <c r="D35" s="164">
        <v>67906.011423327174</v>
      </c>
      <c r="E35" s="182">
        <v>4287.4471416329598</v>
      </c>
      <c r="F35" s="175">
        <v>99.127174528544629</v>
      </c>
      <c r="G35" s="175">
        <v>63717.691456222754</v>
      </c>
      <c r="H35" s="175">
        <v>187618.61794693177</v>
      </c>
      <c r="I35" s="162">
        <v>20.45562509251673</v>
      </c>
      <c r="J35" s="183">
        <v>72.483000000000004</v>
      </c>
      <c r="L35" s="175">
        <v>63717.756508656028</v>
      </c>
      <c r="N35" s="129" t="s">
        <v>220</v>
      </c>
      <c r="O35" s="175">
        <v>63717.748505712036</v>
      </c>
      <c r="P35" s="175">
        <v>63717.76451160002</v>
      </c>
    </row>
    <row r="36" spans="2:16" x14ac:dyDescent="0.2">
      <c r="B36" s="129" t="s">
        <v>221</v>
      </c>
      <c r="D36" s="164">
        <v>56280.538469883948</v>
      </c>
      <c r="E36" s="164">
        <v>0</v>
      </c>
      <c r="F36" s="175">
        <v>2646.1041195177172</v>
      </c>
      <c r="G36" s="175">
        <v>58926.642589401665</v>
      </c>
      <c r="H36" s="175">
        <v>149381.02463700357</v>
      </c>
      <c r="I36" s="162">
        <v>18.288367675038618</v>
      </c>
      <c r="J36" s="183">
        <v>70.315700000000007</v>
      </c>
      <c r="L36" s="175">
        <v>58927.048339564753</v>
      </c>
      <c r="N36" s="129" t="s">
        <v>253</v>
      </c>
      <c r="O36" s="175">
        <v>58927.068077889555</v>
      </c>
      <c r="P36" s="175">
        <v>58927.028601239952</v>
      </c>
    </row>
    <row r="37" spans="2:16" x14ac:dyDescent="0.2">
      <c r="B37" s="129" t="s">
        <v>222</v>
      </c>
      <c r="D37" s="164">
        <v>75979.591585516057</v>
      </c>
      <c r="E37" s="164">
        <v>0</v>
      </c>
      <c r="F37" s="175">
        <v>3572.281214069948</v>
      </c>
      <c r="G37" s="175">
        <v>79551.87279958601</v>
      </c>
      <c r="H37" s="175">
        <v>201666.67823583147</v>
      </c>
      <c r="I37" s="162">
        <v>16.990385425066471</v>
      </c>
      <c r="J37" s="183">
        <v>69.017799999999994</v>
      </c>
      <c r="L37" s="175">
        <v>79551.486152757643</v>
      </c>
      <c r="N37" s="189" t="s">
        <v>254</v>
      </c>
      <c r="O37" s="190">
        <v>79551.488485123249</v>
      </c>
      <c r="P37" s="190">
        <v>79551.483820392052</v>
      </c>
    </row>
    <row r="38" spans="2:16" x14ac:dyDescent="0.2">
      <c r="B38" s="129" t="s">
        <v>14</v>
      </c>
      <c r="D38" s="170">
        <v>245199.99999999991</v>
      </c>
      <c r="E38" s="170">
        <v>6616.4452067158509</v>
      </c>
      <c r="F38" s="170">
        <v>6616.4452067158509</v>
      </c>
      <c r="G38" s="170">
        <v>245199.99999999991</v>
      </c>
      <c r="H38" s="170">
        <v>662343.55577543261</v>
      </c>
      <c r="I38" s="170"/>
      <c r="J38" s="170"/>
      <c r="K38" s="170"/>
      <c r="L38" s="170">
        <v>245200.45356882957</v>
      </c>
      <c r="N38" s="129" t="s">
        <v>230</v>
      </c>
      <c r="O38" s="170">
        <v>245200.45261900319</v>
      </c>
      <c r="P38" s="170">
        <v>245200.45451865596</v>
      </c>
    </row>
    <row r="40" spans="2:16" x14ac:dyDescent="0.2">
      <c r="N40" s="129" t="s">
        <v>255</v>
      </c>
      <c r="O40" s="175">
        <v>2086.5695479918277</v>
      </c>
      <c r="P40" s="175">
        <v>2088.7179945105254</v>
      </c>
    </row>
    <row r="41" spans="2:16" x14ac:dyDescent="0.2">
      <c r="N41" s="129" t="s">
        <v>224</v>
      </c>
      <c r="O41" s="175">
        <v>0</v>
      </c>
      <c r="P41" s="175">
        <v>0</v>
      </c>
    </row>
    <row r="42" spans="2:16" x14ac:dyDescent="0.2">
      <c r="B42" s="156" t="s">
        <v>256</v>
      </c>
      <c r="C42" s="156"/>
      <c r="N42" s="129" t="s">
        <v>257</v>
      </c>
      <c r="O42" s="175">
        <v>2479.9249909403907</v>
      </c>
      <c r="P42" s="175">
        <v>2457.3978498592637</v>
      </c>
    </row>
    <row r="43" spans="2:16" x14ac:dyDescent="0.2">
      <c r="D43" s="184" t="s">
        <v>250</v>
      </c>
      <c r="E43" s="184" t="s">
        <v>258</v>
      </c>
      <c r="F43" s="184" t="s">
        <v>252</v>
      </c>
      <c r="G43" s="184" t="s">
        <v>220</v>
      </c>
      <c r="H43" s="184" t="s">
        <v>253</v>
      </c>
      <c r="I43" s="184" t="s">
        <v>254</v>
      </c>
      <c r="J43" s="185" t="s">
        <v>14</v>
      </c>
      <c r="N43" s="129" t="s">
        <v>233</v>
      </c>
      <c r="O43" s="170">
        <v>4566.4945389322183</v>
      </c>
      <c r="P43" s="170">
        <v>4546.1158443697896</v>
      </c>
    </row>
    <row r="44" spans="2:16" x14ac:dyDescent="0.2">
      <c r="D44" s="164">
        <v>2004.778</v>
      </c>
      <c r="E44" s="164">
        <v>324.22006508289064</v>
      </c>
      <c r="F44" s="164">
        <v>0</v>
      </c>
      <c r="G44" s="164">
        <v>4287.4471416329598</v>
      </c>
      <c r="H44" s="164">
        <v>0</v>
      </c>
      <c r="I44" s="164">
        <v>0</v>
      </c>
      <c r="J44" s="185"/>
      <c r="N44" s="129" t="s">
        <v>259</v>
      </c>
      <c r="O44" s="175">
        <v>249766.94715793541</v>
      </c>
      <c r="P44" s="175">
        <v>249746.57036302573</v>
      </c>
    </row>
    <row r="45" spans="2:16" x14ac:dyDescent="0.2">
      <c r="D45" s="185" t="s">
        <v>260</v>
      </c>
      <c r="E45" s="185" t="s">
        <v>261</v>
      </c>
      <c r="F45" s="185" t="s">
        <v>262</v>
      </c>
      <c r="G45" s="185" t="s">
        <v>263</v>
      </c>
      <c r="H45" s="185" t="s">
        <v>264</v>
      </c>
      <c r="I45" s="185" t="s">
        <v>265</v>
      </c>
      <c r="J45" s="185" t="s">
        <v>266</v>
      </c>
    </row>
    <row r="46" spans="2:16" x14ac:dyDescent="0.2">
      <c r="B46" s="129" t="s">
        <v>217</v>
      </c>
      <c r="D46" s="164"/>
      <c r="E46" s="164">
        <v>24.172094649755795</v>
      </c>
      <c r="F46" s="164">
        <v>0</v>
      </c>
      <c r="G46" s="164"/>
      <c r="H46" s="164"/>
      <c r="I46" s="164"/>
      <c r="J46" s="164">
        <v>24.172094649755795</v>
      </c>
      <c r="N46" s="129" t="s">
        <v>267</v>
      </c>
      <c r="O46" s="175">
        <v>0</v>
      </c>
      <c r="P46" s="175">
        <v>0</v>
      </c>
    </row>
    <row r="47" spans="2:16" x14ac:dyDescent="0.2">
      <c r="B47" s="129" t="s">
        <v>218</v>
      </c>
      <c r="D47" s="164"/>
      <c r="E47" s="164"/>
      <c r="F47" s="164"/>
      <c r="G47" s="164"/>
      <c r="H47" s="164"/>
      <c r="I47" s="164"/>
      <c r="J47" s="164">
        <v>0</v>
      </c>
      <c r="N47" s="129" t="s">
        <v>268</v>
      </c>
      <c r="O47" s="170">
        <v>249766.94715793541</v>
      </c>
      <c r="P47" s="170">
        <v>249746.57036302573</v>
      </c>
    </row>
    <row r="48" spans="2:16" x14ac:dyDescent="0.2">
      <c r="B48" s="129" t="s">
        <v>219</v>
      </c>
      <c r="D48" s="164">
        <v>85.04045859553473</v>
      </c>
      <c r="E48" s="164">
        <v>7.8513942364798028</v>
      </c>
      <c r="F48" s="164"/>
      <c r="G48" s="164">
        <v>181.86875111787012</v>
      </c>
      <c r="H48" s="164">
        <v>0</v>
      </c>
      <c r="I48" s="164">
        <v>0</v>
      </c>
      <c r="J48" s="164">
        <v>274.76060394988463</v>
      </c>
    </row>
    <row r="49" spans="2:11" x14ac:dyDescent="0.2">
      <c r="B49" s="129" t="s">
        <v>220</v>
      </c>
      <c r="D49" s="164"/>
      <c r="E49" s="164">
        <v>99.127174528544629</v>
      </c>
      <c r="F49" s="164">
        <v>0</v>
      </c>
      <c r="G49" s="164"/>
      <c r="H49" s="164"/>
      <c r="I49" s="164"/>
      <c r="J49" s="164">
        <v>99.127174528544629</v>
      </c>
    </row>
    <row r="50" spans="2:11" x14ac:dyDescent="0.2">
      <c r="B50" s="129" t="s">
        <v>221</v>
      </c>
      <c r="D50" s="164">
        <v>816.9042515370129</v>
      </c>
      <c r="E50" s="164">
        <v>82.156655096196374</v>
      </c>
      <c r="F50" s="164">
        <v>0</v>
      </c>
      <c r="G50" s="164">
        <v>1747.043212884508</v>
      </c>
      <c r="H50" s="164"/>
      <c r="I50" s="164"/>
      <c r="J50" s="164">
        <v>2646.1041195177172</v>
      </c>
    </row>
    <row r="51" spans="2:11" x14ac:dyDescent="0.2">
      <c r="B51" s="129" t="s">
        <v>222</v>
      </c>
      <c r="D51" s="186">
        <v>1102.8332898674525</v>
      </c>
      <c r="E51" s="186">
        <v>110.91274657191406</v>
      </c>
      <c r="F51" s="186">
        <v>0</v>
      </c>
      <c r="G51" s="186">
        <v>2358.5351776305815</v>
      </c>
      <c r="H51" s="186">
        <v>0</v>
      </c>
      <c r="I51" s="186"/>
      <c r="J51" s="186">
        <v>3572.281214069948</v>
      </c>
    </row>
    <row r="52" spans="2:11" x14ac:dyDescent="0.2">
      <c r="D52" s="175">
        <v>2004.7780000000002</v>
      </c>
      <c r="E52" s="175">
        <v>324.22006508289064</v>
      </c>
      <c r="F52" s="175">
        <v>0</v>
      </c>
      <c r="G52" s="175">
        <v>4287.4471416329598</v>
      </c>
      <c r="H52" s="175">
        <v>0</v>
      </c>
      <c r="I52" s="175">
        <v>0</v>
      </c>
      <c r="J52" s="175">
        <v>6616.4452067158509</v>
      </c>
    </row>
    <row r="59" spans="2:11" x14ac:dyDescent="0.2">
      <c r="D59" s="129" t="s">
        <v>269</v>
      </c>
    </row>
    <row r="60" spans="2:11" x14ac:dyDescent="0.2">
      <c r="B60" s="134"/>
      <c r="C60" s="135"/>
      <c r="D60" s="135">
        <v>1</v>
      </c>
      <c r="E60" s="135">
        <v>2</v>
      </c>
      <c r="F60" s="135">
        <v>3</v>
      </c>
      <c r="G60" s="135">
        <v>4</v>
      </c>
      <c r="H60" s="135">
        <v>5</v>
      </c>
      <c r="I60" s="135">
        <v>6</v>
      </c>
      <c r="J60" s="135">
        <v>7</v>
      </c>
      <c r="K60" s="136">
        <v>8</v>
      </c>
    </row>
    <row r="61" spans="2:11" x14ac:dyDescent="0.2">
      <c r="B61" s="137" t="s">
        <v>217</v>
      </c>
      <c r="C61" s="138"/>
      <c r="D61" s="139">
        <v>14561.861162399984</v>
      </c>
      <c r="E61" s="139">
        <v>14561.861162399984</v>
      </c>
      <c r="F61" s="139">
        <v>14577.603715007974</v>
      </c>
      <c r="G61" s="139">
        <v>14578.390842638373</v>
      </c>
      <c r="H61" s="139">
        <v>14578.233417112298</v>
      </c>
      <c r="I61" s="139">
        <v>14578.229481474156</v>
      </c>
      <c r="J61" s="139">
        <v>14578.229087910337</v>
      </c>
      <c r="K61" s="140">
        <v>14578.229166623107</v>
      </c>
    </row>
    <row r="62" spans="2:11" x14ac:dyDescent="0.2">
      <c r="B62" s="137" t="s">
        <v>218</v>
      </c>
      <c r="C62" s="138"/>
      <c r="D62" s="139">
        <v>22375.954884959967</v>
      </c>
      <c r="E62" s="139">
        <v>22308.353812799982</v>
      </c>
      <c r="F62" s="139">
        <v>22294.833598367964</v>
      </c>
      <c r="G62" s="139">
        <v>22292.129555481573</v>
      </c>
      <c r="H62" s="139">
        <v>22291.926752265077</v>
      </c>
      <c r="I62" s="139">
        <v>22291.94703258677</v>
      </c>
      <c r="J62" s="139">
        <v>22291.94906061891</v>
      </c>
      <c r="K62" s="140">
        <v>22291.949331023221</v>
      </c>
    </row>
    <row r="63" spans="2:11" x14ac:dyDescent="0.2">
      <c r="B63" s="137" t="s">
        <v>219</v>
      </c>
      <c r="C63" s="138"/>
      <c r="D63" s="139">
        <v>6115.9473507599951</v>
      </c>
      <c r="E63" s="139">
        <v>6137.0126114399964</v>
      </c>
      <c r="F63" s="139">
        <v>6133.5017346599989</v>
      </c>
      <c r="G63" s="139">
        <v>6133.6421697311944</v>
      </c>
      <c r="H63" s="139">
        <v>6133.6140827169547</v>
      </c>
      <c r="I63" s="139">
        <v>6133.6147848923092</v>
      </c>
      <c r="J63" s="139">
        <v>6133.614644457246</v>
      </c>
      <c r="K63" s="140">
        <v>6133.6146795660125</v>
      </c>
    </row>
    <row r="64" spans="2:11" x14ac:dyDescent="0.2">
      <c r="B64" s="137" t="s">
        <v>220</v>
      </c>
      <c r="C64" s="138"/>
      <c r="D64" s="139">
        <v>63561.832820640069</v>
      </c>
      <c r="E64" s="139">
        <v>63745.272453600031</v>
      </c>
      <c r="F64" s="139">
        <v>63717.756508656028</v>
      </c>
      <c r="G64" s="139">
        <v>63717.756508656028</v>
      </c>
      <c r="H64" s="139">
        <v>63717.664788839655</v>
      </c>
      <c r="I64" s="139">
        <v>63717.692304784527</v>
      </c>
      <c r="J64" s="139">
        <v>63717.691387586419</v>
      </c>
      <c r="K64" s="140">
        <v>63717.691479306173</v>
      </c>
    </row>
    <row r="65" spans="2:11" x14ac:dyDescent="0.2">
      <c r="B65" s="137" t="s">
        <v>221</v>
      </c>
      <c r="C65" s="138"/>
      <c r="D65" s="139">
        <v>59055.287345280027</v>
      </c>
      <c r="E65" s="139">
        <v>58891.925554560061</v>
      </c>
      <c r="F65" s="139">
        <v>58924.597912703983</v>
      </c>
      <c r="G65" s="139">
        <v>58927.048339564753</v>
      </c>
      <c r="H65" s="139">
        <v>58926.639935088053</v>
      </c>
      <c r="I65" s="139">
        <v>58926.639935088053</v>
      </c>
      <c r="J65" s="139">
        <v>58926.642385514882</v>
      </c>
      <c r="K65" s="140">
        <v>58926.642548876691</v>
      </c>
    </row>
    <row r="66" spans="2:11" x14ac:dyDescent="0.2">
      <c r="B66" s="137" t="s">
        <v>222</v>
      </c>
      <c r="C66" s="138"/>
      <c r="D66" s="187">
        <v>79762.762517759969</v>
      </c>
      <c r="E66" s="187">
        <v>79525.373343600018</v>
      </c>
      <c r="F66" s="187">
        <v>79549.112261015965</v>
      </c>
      <c r="G66" s="187">
        <v>79551.486152757643</v>
      </c>
      <c r="H66" s="187">
        <v>79551.842236518831</v>
      </c>
      <c r="I66" s="187">
        <v>79551.877844894858</v>
      </c>
      <c r="J66" s="187">
        <v>79551.8730971115</v>
      </c>
      <c r="K66" s="188">
        <v>79551.872741027619</v>
      </c>
    </row>
    <row r="67" spans="2:11" x14ac:dyDescent="0.2">
      <c r="B67" s="137"/>
      <c r="C67" s="138"/>
      <c r="D67" s="139">
        <v>245433.64608179999</v>
      </c>
      <c r="E67" s="139">
        <v>245169.79893840008</v>
      </c>
      <c r="F67" s="139">
        <v>245197.40573041193</v>
      </c>
      <c r="G67" s="139">
        <v>245200.45356882957</v>
      </c>
      <c r="H67" s="139">
        <v>245199.92121254085</v>
      </c>
      <c r="I67" s="139">
        <v>245200.00138372066</v>
      </c>
      <c r="J67" s="139">
        <v>245199.9996631993</v>
      </c>
      <c r="K67" s="140">
        <v>245199.99994642282</v>
      </c>
    </row>
    <row r="68" spans="2:11" x14ac:dyDescent="0.2">
      <c r="B68" s="137"/>
      <c r="C68" s="138"/>
      <c r="D68" s="138"/>
      <c r="E68" s="138"/>
      <c r="F68" s="138"/>
      <c r="G68" s="138"/>
      <c r="H68" s="138"/>
      <c r="I68" s="138"/>
      <c r="J68" s="138"/>
      <c r="K68" s="141"/>
    </row>
    <row r="69" spans="2:11" x14ac:dyDescent="0.2">
      <c r="B69" s="137"/>
      <c r="C69" s="138"/>
      <c r="D69" s="142">
        <v>233646.0817999905</v>
      </c>
      <c r="E69" s="142">
        <v>-30201.061599917011</v>
      </c>
      <c r="F69" s="142">
        <v>-2594.2695880657993</v>
      </c>
      <c r="G69" s="142">
        <v>453.56882957275957</v>
      </c>
      <c r="H69" s="142">
        <v>-78.787459147861227</v>
      </c>
      <c r="I69" s="142">
        <v>1.3837206643074751</v>
      </c>
      <c r="J69" s="142">
        <v>-0.3368007019162178</v>
      </c>
      <c r="K69" s="143">
        <v>-5.3577183280140162E-2</v>
      </c>
    </row>
    <row r="70" spans="2:11" x14ac:dyDescent="0.2">
      <c r="B70" s="137"/>
      <c r="C70" s="138"/>
      <c r="D70" s="138"/>
      <c r="E70" s="138"/>
      <c r="F70" s="138"/>
      <c r="G70" s="138"/>
      <c r="H70" s="138"/>
      <c r="I70" s="138"/>
      <c r="J70" s="138"/>
      <c r="K70" s="141"/>
    </row>
    <row r="71" spans="2:11" x14ac:dyDescent="0.2">
      <c r="B71" s="144"/>
      <c r="C71" s="145">
        <v>4</v>
      </c>
      <c r="D71" s="146">
        <v>999</v>
      </c>
      <c r="E71" s="146">
        <v>999</v>
      </c>
      <c r="F71" s="146">
        <v>999</v>
      </c>
      <c r="G71" s="146">
        <v>4</v>
      </c>
      <c r="H71" s="146">
        <v>5</v>
      </c>
      <c r="I71" s="146">
        <v>6</v>
      </c>
      <c r="J71" s="146">
        <v>7</v>
      </c>
      <c r="K71" s="147">
        <v>8</v>
      </c>
    </row>
  </sheetData>
  <mergeCells count="4">
    <mergeCell ref="A1:P1"/>
    <mergeCell ref="A2:P2"/>
    <mergeCell ref="A4:P4"/>
    <mergeCell ref="A3:P3"/>
  </mergeCells>
  <conditionalFormatting sqref="C7">
    <cfRule type="expression" dxfId="1" priority="2" stopIfTrue="1">
      <formula>B6 &gt; 30</formula>
    </cfRule>
  </conditionalFormatting>
  <conditionalFormatting sqref="B7">
    <cfRule type="expression" dxfId="0" priority="1" stopIfTrue="1">
      <formula>A6 &gt; 30</formula>
    </cfRule>
  </conditionalFormatting>
  <pageMargins left="0.7" right="0.7" top="0.75" bottom="0.75" header="0.3" footer="0.3"/>
  <pageSetup scale="57" orientation="landscape" r:id="rId1"/>
  <headerFooter>
    <oddFooter>&amp;CPage &amp;P of &amp;N&amp;R&amp;F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12"/>
  <sheetViews>
    <sheetView workbookViewId="0">
      <pane xSplit="2" ySplit="7" topLeftCell="C17" activePane="bottomRight" state="frozen"/>
      <selection sqref="A1:D27"/>
      <selection pane="topRight" sqref="A1:D27"/>
      <selection pane="bottomLeft" sqref="A1:D27"/>
      <selection pane="bottomRight" activeCell="A4" sqref="A4:C4"/>
    </sheetView>
  </sheetViews>
  <sheetFormatPr defaultColWidth="9.140625" defaultRowHeight="11.25" x14ac:dyDescent="0.2"/>
  <cols>
    <col min="1" max="1" width="4.42578125" style="18" bestFit="1" customWidth="1"/>
    <col min="2" max="2" width="40.7109375" style="18" bestFit="1" customWidth="1"/>
    <col min="3" max="3" width="27.7109375" style="18" bestFit="1" customWidth="1"/>
    <col min="4" max="16384" width="9.140625" style="18"/>
  </cols>
  <sheetData>
    <row r="1" spans="1:3" x14ac:dyDescent="0.2">
      <c r="A1" s="307" t="str">
        <f>'FY2020 Sch 194 Summary'!A1:D1</f>
        <v>Puget Sound Energy</v>
      </c>
      <c r="B1" s="307"/>
      <c r="C1" s="307"/>
    </row>
    <row r="2" spans="1:3" x14ac:dyDescent="0.2">
      <c r="A2" s="307" t="str">
        <f>'FY2020 Sch 194 Summary'!A3:D3</f>
        <v>BPA Residential and Farm Energy Exchange Benefits</v>
      </c>
      <c r="B2" s="307"/>
      <c r="C2" s="307"/>
    </row>
    <row r="3" spans="1:3" x14ac:dyDescent="0.2">
      <c r="A3" s="308" t="s">
        <v>307</v>
      </c>
      <c r="B3" s="309"/>
      <c r="C3" s="309"/>
    </row>
    <row r="4" spans="1:3" x14ac:dyDescent="0.2">
      <c r="A4" s="310">
        <v>43677</v>
      </c>
      <c r="B4" s="310"/>
      <c r="C4" s="310"/>
    </row>
    <row r="6" spans="1:3" x14ac:dyDescent="0.2">
      <c r="C6" s="237" t="s">
        <v>180</v>
      </c>
    </row>
    <row r="7" spans="1:3" s="25" customFormat="1" ht="22.5" x14ac:dyDescent="0.2">
      <c r="A7" s="238" t="s">
        <v>3</v>
      </c>
      <c r="B7" s="239" t="s">
        <v>10</v>
      </c>
      <c r="C7" s="240" t="s">
        <v>11</v>
      </c>
    </row>
    <row r="8" spans="1:3" s="25" customFormat="1" ht="22.5" x14ac:dyDescent="0.2">
      <c r="A8" s="241" t="s">
        <v>12</v>
      </c>
      <c r="B8" s="242" t="s">
        <v>13</v>
      </c>
      <c r="C8" s="243" t="s">
        <v>54</v>
      </c>
    </row>
    <row r="9" spans="1:3" s="25" customFormat="1" x14ac:dyDescent="0.2">
      <c r="A9" s="244"/>
      <c r="B9" s="245"/>
      <c r="C9" s="244"/>
    </row>
    <row r="10" spans="1:3" x14ac:dyDescent="0.2">
      <c r="A10" s="246">
        <v>1</v>
      </c>
      <c r="B10" s="76" t="s">
        <v>306</v>
      </c>
      <c r="C10" s="247">
        <v>3342303</v>
      </c>
    </row>
    <row r="11" spans="1:3" x14ac:dyDescent="0.2">
      <c r="A11" s="18">
        <f t="shared" ref="A11:A12" si="0">+A10+1</f>
        <v>2</v>
      </c>
    </row>
    <row r="12" spans="1:3" x14ac:dyDescent="0.2">
      <c r="A12" s="18">
        <f t="shared" si="0"/>
        <v>3</v>
      </c>
      <c r="B12" s="76" t="s">
        <v>135</v>
      </c>
      <c r="C12" s="248">
        <f>+C10/2</f>
        <v>1671151.5</v>
      </c>
    </row>
  </sheetData>
  <mergeCells count="4">
    <mergeCell ref="A1:C1"/>
    <mergeCell ref="A2:C2"/>
    <mergeCell ref="A3:C3"/>
    <mergeCell ref="A4:C4"/>
  </mergeCells>
  <phoneticPr fontId="9" type="noConversion"/>
  <printOptions horizontalCentered="1"/>
  <pageMargins left="0.75" right="0.75" top="1" bottom="1" header="0.5" footer="0.5"/>
  <pageSetup scale="88" orientation="landscape" cellComments="asDisplayed" horizontalDpi="300" verticalDpi="300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23"/>
  <sheetViews>
    <sheetView zoomScaleNormal="100" workbookViewId="0">
      <selection activeCell="E1" sqref="E1"/>
    </sheetView>
  </sheetViews>
  <sheetFormatPr defaultRowHeight="11.25" x14ac:dyDescent="0.2"/>
  <cols>
    <col min="1" max="1" width="5.140625" style="4" bestFit="1" customWidth="1"/>
    <col min="2" max="2" width="51" style="4" bestFit="1" customWidth="1"/>
    <col min="3" max="3" width="0.5703125" style="4" customWidth="1"/>
    <col min="4" max="4" width="8.28515625" style="4" bestFit="1" customWidth="1"/>
    <col min="5" max="5" width="12.140625" style="4" bestFit="1" customWidth="1"/>
    <col min="6" max="256" width="8.85546875" style="4"/>
    <col min="257" max="257" width="5" style="4" bestFit="1" customWidth="1"/>
    <col min="258" max="258" width="63" style="4" bestFit="1" customWidth="1"/>
    <col min="259" max="259" width="1.7109375" style="4" customWidth="1"/>
    <col min="260" max="260" width="7.28515625" style="4" bestFit="1" customWidth="1"/>
    <col min="261" max="512" width="8.85546875" style="4"/>
    <col min="513" max="513" width="5" style="4" bestFit="1" customWidth="1"/>
    <col min="514" max="514" width="63" style="4" bestFit="1" customWidth="1"/>
    <col min="515" max="515" width="1.7109375" style="4" customWidth="1"/>
    <col min="516" max="516" width="7.28515625" style="4" bestFit="1" customWidth="1"/>
    <col min="517" max="768" width="8.85546875" style="4"/>
    <col min="769" max="769" width="5" style="4" bestFit="1" customWidth="1"/>
    <col min="770" max="770" width="63" style="4" bestFit="1" customWidth="1"/>
    <col min="771" max="771" width="1.7109375" style="4" customWidth="1"/>
    <col min="772" max="772" width="7.28515625" style="4" bestFit="1" customWidth="1"/>
    <col min="773" max="1024" width="8.85546875" style="4"/>
    <col min="1025" max="1025" width="5" style="4" bestFit="1" customWidth="1"/>
    <col min="1026" max="1026" width="63" style="4" bestFit="1" customWidth="1"/>
    <col min="1027" max="1027" width="1.7109375" style="4" customWidth="1"/>
    <col min="1028" max="1028" width="7.28515625" style="4" bestFit="1" customWidth="1"/>
    <col min="1029" max="1280" width="8.85546875" style="4"/>
    <col min="1281" max="1281" width="5" style="4" bestFit="1" customWidth="1"/>
    <col min="1282" max="1282" width="63" style="4" bestFit="1" customWidth="1"/>
    <col min="1283" max="1283" width="1.7109375" style="4" customWidth="1"/>
    <col min="1284" max="1284" width="7.28515625" style="4" bestFit="1" customWidth="1"/>
    <col min="1285" max="1536" width="8.85546875" style="4"/>
    <col min="1537" max="1537" width="5" style="4" bestFit="1" customWidth="1"/>
    <col min="1538" max="1538" width="63" style="4" bestFit="1" customWidth="1"/>
    <col min="1539" max="1539" width="1.7109375" style="4" customWidth="1"/>
    <col min="1540" max="1540" width="7.28515625" style="4" bestFit="1" customWidth="1"/>
    <col min="1541" max="1792" width="8.85546875" style="4"/>
    <col min="1793" max="1793" width="5" style="4" bestFit="1" customWidth="1"/>
    <col min="1794" max="1794" width="63" style="4" bestFit="1" customWidth="1"/>
    <col min="1795" max="1795" width="1.7109375" style="4" customWidth="1"/>
    <col min="1796" max="1796" width="7.28515625" style="4" bestFit="1" customWidth="1"/>
    <col min="1797" max="2048" width="8.85546875" style="4"/>
    <col min="2049" max="2049" width="5" style="4" bestFit="1" customWidth="1"/>
    <col min="2050" max="2050" width="63" style="4" bestFit="1" customWidth="1"/>
    <col min="2051" max="2051" width="1.7109375" style="4" customWidth="1"/>
    <col min="2052" max="2052" width="7.28515625" style="4" bestFit="1" customWidth="1"/>
    <col min="2053" max="2304" width="8.85546875" style="4"/>
    <col min="2305" max="2305" width="5" style="4" bestFit="1" customWidth="1"/>
    <col min="2306" max="2306" width="63" style="4" bestFit="1" customWidth="1"/>
    <col min="2307" max="2307" width="1.7109375" style="4" customWidth="1"/>
    <col min="2308" max="2308" width="7.28515625" style="4" bestFit="1" customWidth="1"/>
    <col min="2309" max="2560" width="8.85546875" style="4"/>
    <col min="2561" max="2561" width="5" style="4" bestFit="1" customWidth="1"/>
    <col min="2562" max="2562" width="63" style="4" bestFit="1" customWidth="1"/>
    <col min="2563" max="2563" width="1.7109375" style="4" customWidth="1"/>
    <col min="2564" max="2564" width="7.28515625" style="4" bestFit="1" customWidth="1"/>
    <col min="2565" max="2816" width="8.85546875" style="4"/>
    <col min="2817" max="2817" width="5" style="4" bestFit="1" customWidth="1"/>
    <col min="2818" max="2818" width="63" style="4" bestFit="1" customWidth="1"/>
    <col min="2819" max="2819" width="1.7109375" style="4" customWidth="1"/>
    <col min="2820" max="2820" width="7.28515625" style="4" bestFit="1" customWidth="1"/>
    <col min="2821" max="3072" width="8.85546875" style="4"/>
    <col min="3073" max="3073" width="5" style="4" bestFit="1" customWidth="1"/>
    <col min="3074" max="3074" width="63" style="4" bestFit="1" customWidth="1"/>
    <col min="3075" max="3075" width="1.7109375" style="4" customWidth="1"/>
    <col min="3076" max="3076" width="7.28515625" style="4" bestFit="1" customWidth="1"/>
    <col min="3077" max="3328" width="8.85546875" style="4"/>
    <col min="3329" max="3329" width="5" style="4" bestFit="1" customWidth="1"/>
    <col min="3330" max="3330" width="63" style="4" bestFit="1" customWidth="1"/>
    <col min="3331" max="3331" width="1.7109375" style="4" customWidth="1"/>
    <col min="3332" max="3332" width="7.28515625" style="4" bestFit="1" customWidth="1"/>
    <col min="3333" max="3584" width="8.85546875" style="4"/>
    <col min="3585" max="3585" width="5" style="4" bestFit="1" customWidth="1"/>
    <col min="3586" max="3586" width="63" style="4" bestFit="1" customWidth="1"/>
    <col min="3587" max="3587" width="1.7109375" style="4" customWidth="1"/>
    <col min="3588" max="3588" width="7.28515625" style="4" bestFit="1" customWidth="1"/>
    <col min="3589" max="3840" width="8.85546875" style="4"/>
    <col min="3841" max="3841" width="5" style="4" bestFit="1" customWidth="1"/>
    <col min="3842" max="3842" width="63" style="4" bestFit="1" customWidth="1"/>
    <col min="3843" max="3843" width="1.7109375" style="4" customWidth="1"/>
    <col min="3844" max="3844" width="7.28515625" style="4" bestFit="1" customWidth="1"/>
    <col min="3845" max="4096" width="8.85546875" style="4"/>
    <col min="4097" max="4097" width="5" style="4" bestFit="1" customWidth="1"/>
    <col min="4098" max="4098" width="63" style="4" bestFit="1" customWidth="1"/>
    <col min="4099" max="4099" width="1.7109375" style="4" customWidth="1"/>
    <col min="4100" max="4100" width="7.28515625" style="4" bestFit="1" customWidth="1"/>
    <col min="4101" max="4352" width="8.85546875" style="4"/>
    <col min="4353" max="4353" width="5" style="4" bestFit="1" customWidth="1"/>
    <col min="4354" max="4354" width="63" style="4" bestFit="1" customWidth="1"/>
    <col min="4355" max="4355" width="1.7109375" style="4" customWidth="1"/>
    <col min="4356" max="4356" width="7.28515625" style="4" bestFit="1" customWidth="1"/>
    <col min="4357" max="4608" width="8.85546875" style="4"/>
    <col min="4609" max="4609" width="5" style="4" bestFit="1" customWidth="1"/>
    <col min="4610" max="4610" width="63" style="4" bestFit="1" customWidth="1"/>
    <col min="4611" max="4611" width="1.7109375" style="4" customWidth="1"/>
    <col min="4612" max="4612" width="7.28515625" style="4" bestFit="1" customWidth="1"/>
    <col min="4613" max="4864" width="8.85546875" style="4"/>
    <col min="4865" max="4865" width="5" style="4" bestFit="1" customWidth="1"/>
    <col min="4866" max="4866" width="63" style="4" bestFit="1" customWidth="1"/>
    <col min="4867" max="4867" width="1.7109375" style="4" customWidth="1"/>
    <col min="4868" max="4868" width="7.28515625" style="4" bestFit="1" customWidth="1"/>
    <col min="4869" max="5120" width="8.85546875" style="4"/>
    <col min="5121" max="5121" width="5" style="4" bestFit="1" customWidth="1"/>
    <col min="5122" max="5122" width="63" style="4" bestFit="1" customWidth="1"/>
    <col min="5123" max="5123" width="1.7109375" style="4" customWidth="1"/>
    <col min="5124" max="5124" width="7.28515625" style="4" bestFit="1" customWidth="1"/>
    <col min="5125" max="5376" width="8.85546875" style="4"/>
    <col min="5377" max="5377" width="5" style="4" bestFit="1" customWidth="1"/>
    <col min="5378" max="5378" width="63" style="4" bestFit="1" customWidth="1"/>
    <col min="5379" max="5379" width="1.7109375" style="4" customWidth="1"/>
    <col min="5380" max="5380" width="7.28515625" style="4" bestFit="1" customWidth="1"/>
    <col min="5381" max="5632" width="8.85546875" style="4"/>
    <col min="5633" max="5633" width="5" style="4" bestFit="1" customWidth="1"/>
    <col min="5634" max="5634" width="63" style="4" bestFit="1" customWidth="1"/>
    <col min="5635" max="5635" width="1.7109375" style="4" customWidth="1"/>
    <col min="5636" max="5636" width="7.28515625" style="4" bestFit="1" customWidth="1"/>
    <col min="5637" max="5888" width="8.85546875" style="4"/>
    <col min="5889" max="5889" width="5" style="4" bestFit="1" customWidth="1"/>
    <col min="5890" max="5890" width="63" style="4" bestFit="1" customWidth="1"/>
    <col min="5891" max="5891" width="1.7109375" style="4" customWidth="1"/>
    <col min="5892" max="5892" width="7.28515625" style="4" bestFit="1" customWidth="1"/>
    <col min="5893" max="6144" width="8.85546875" style="4"/>
    <col min="6145" max="6145" width="5" style="4" bestFit="1" customWidth="1"/>
    <col min="6146" max="6146" width="63" style="4" bestFit="1" customWidth="1"/>
    <col min="6147" max="6147" width="1.7109375" style="4" customWidth="1"/>
    <col min="6148" max="6148" width="7.28515625" style="4" bestFit="1" customWidth="1"/>
    <col min="6149" max="6400" width="8.85546875" style="4"/>
    <col min="6401" max="6401" width="5" style="4" bestFit="1" customWidth="1"/>
    <col min="6402" max="6402" width="63" style="4" bestFit="1" customWidth="1"/>
    <col min="6403" max="6403" width="1.7109375" style="4" customWidth="1"/>
    <col min="6404" max="6404" width="7.28515625" style="4" bestFit="1" customWidth="1"/>
    <col min="6405" max="6656" width="8.85546875" style="4"/>
    <col min="6657" max="6657" width="5" style="4" bestFit="1" customWidth="1"/>
    <col min="6658" max="6658" width="63" style="4" bestFit="1" customWidth="1"/>
    <col min="6659" max="6659" width="1.7109375" style="4" customWidth="1"/>
    <col min="6660" max="6660" width="7.28515625" style="4" bestFit="1" customWidth="1"/>
    <col min="6661" max="6912" width="8.85546875" style="4"/>
    <col min="6913" max="6913" width="5" style="4" bestFit="1" customWidth="1"/>
    <col min="6914" max="6914" width="63" style="4" bestFit="1" customWidth="1"/>
    <col min="6915" max="6915" width="1.7109375" style="4" customWidth="1"/>
    <col min="6916" max="6916" width="7.28515625" style="4" bestFit="1" customWidth="1"/>
    <col min="6917" max="7168" width="8.85546875" style="4"/>
    <col min="7169" max="7169" width="5" style="4" bestFit="1" customWidth="1"/>
    <col min="7170" max="7170" width="63" style="4" bestFit="1" customWidth="1"/>
    <col min="7171" max="7171" width="1.7109375" style="4" customWidth="1"/>
    <col min="7172" max="7172" width="7.28515625" style="4" bestFit="1" customWidth="1"/>
    <col min="7173" max="7424" width="8.85546875" style="4"/>
    <col min="7425" max="7425" width="5" style="4" bestFit="1" customWidth="1"/>
    <col min="7426" max="7426" width="63" style="4" bestFit="1" customWidth="1"/>
    <col min="7427" max="7427" width="1.7109375" style="4" customWidth="1"/>
    <col min="7428" max="7428" width="7.28515625" style="4" bestFit="1" customWidth="1"/>
    <col min="7429" max="7680" width="8.85546875" style="4"/>
    <col min="7681" max="7681" width="5" style="4" bestFit="1" customWidth="1"/>
    <col min="7682" max="7682" width="63" style="4" bestFit="1" customWidth="1"/>
    <col min="7683" max="7683" width="1.7109375" style="4" customWidth="1"/>
    <col min="7684" max="7684" width="7.28515625" style="4" bestFit="1" customWidth="1"/>
    <col min="7685" max="7936" width="8.85546875" style="4"/>
    <col min="7937" max="7937" width="5" style="4" bestFit="1" customWidth="1"/>
    <col min="7938" max="7938" width="63" style="4" bestFit="1" customWidth="1"/>
    <col min="7939" max="7939" width="1.7109375" style="4" customWidth="1"/>
    <col min="7940" max="7940" width="7.28515625" style="4" bestFit="1" customWidth="1"/>
    <col min="7941" max="8192" width="8.85546875" style="4"/>
    <col min="8193" max="8193" width="5" style="4" bestFit="1" customWidth="1"/>
    <col min="8194" max="8194" width="63" style="4" bestFit="1" customWidth="1"/>
    <col min="8195" max="8195" width="1.7109375" style="4" customWidth="1"/>
    <col min="8196" max="8196" width="7.28515625" style="4" bestFit="1" customWidth="1"/>
    <col min="8197" max="8448" width="8.85546875" style="4"/>
    <col min="8449" max="8449" width="5" style="4" bestFit="1" customWidth="1"/>
    <col min="8450" max="8450" width="63" style="4" bestFit="1" customWidth="1"/>
    <col min="8451" max="8451" width="1.7109375" style="4" customWidth="1"/>
    <col min="8452" max="8452" width="7.28515625" style="4" bestFit="1" customWidth="1"/>
    <col min="8453" max="8704" width="8.85546875" style="4"/>
    <col min="8705" max="8705" width="5" style="4" bestFit="1" customWidth="1"/>
    <col min="8706" max="8706" width="63" style="4" bestFit="1" customWidth="1"/>
    <col min="8707" max="8707" width="1.7109375" style="4" customWidth="1"/>
    <col min="8708" max="8708" width="7.28515625" style="4" bestFit="1" customWidth="1"/>
    <col min="8709" max="8960" width="8.85546875" style="4"/>
    <col min="8961" max="8961" width="5" style="4" bestFit="1" customWidth="1"/>
    <col min="8962" max="8962" width="63" style="4" bestFit="1" customWidth="1"/>
    <col min="8963" max="8963" width="1.7109375" style="4" customWidth="1"/>
    <col min="8964" max="8964" width="7.28515625" style="4" bestFit="1" customWidth="1"/>
    <col min="8965" max="9216" width="8.85546875" style="4"/>
    <col min="9217" max="9217" width="5" style="4" bestFit="1" customWidth="1"/>
    <col min="9218" max="9218" width="63" style="4" bestFit="1" customWidth="1"/>
    <col min="9219" max="9219" width="1.7109375" style="4" customWidth="1"/>
    <col min="9220" max="9220" width="7.28515625" style="4" bestFit="1" customWidth="1"/>
    <col min="9221" max="9472" width="8.85546875" style="4"/>
    <col min="9473" max="9473" width="5" style="4" bestFit="1" customWidth="1"/>
    <col min="9474" max="9474" width="63" style="4" bestFit="1" customWidth="1"/>
    <col min="9475" max="9475" width="1.7109375" style="4" customWidth="1"/>
    <col min="9476" max="9476" width="7.28515625" style="4" bestFit="1" customWidth="1"/>
    <col min="9477" max="9728" width="8.85546875" style="4"/>
    <col min="9729" max="9729" width="5" style="4" bestFit="1" customWidth="1"/>
    <col min="9730" max="9730" width="63" style="4" bestFit="1" customWidth="1"/>
    <col min="9731" max="9731" width="1.7109375" style="4" customWidth="1"/>
    <col min="9732" max="9732" width="7.28515625" style="4" bestFit="1" customWidth="1"/>
    <col min="9733" max="9984" width="8.85546875" style="4"/>
    <col min="9985" max="9985" width="5" style="4" bestFit="1" customWidth="1"/>
    <col min="9986" max="9986" width="63" style="4" bestFit="1" customWidth="1"/>
    <col min="9987" max="9987" width="1.7109375" style="4" customWidth="1"/>
    <col min="9988" max="9988" width="7.28515625" style="4" bestFit="1" customWidth="1"/>
    <col min="9989" max="10240" width="8.85546875" style="4"/>
    <col min="10241" max="10241" width="5" style="4" bestFit="1" customWidth="1"/>
    <col min="10242" max="10242" width="63" style="4" bestFit="1" customWidth="1"/>
    <col min="10243" max="10243" width="1.7109375" style="4" customWidth="1"/>
    <col min="10244" max="10244" width="7.28515625" style="4" bestFit="1" customWidth="1"/>
    <col min="10245" max="10496" width="8.85546875" style="4"/>
    <col min="10497" max="10497" width="5" style="4" bestFit="1" customWidth="1"/>
    <col min="10498" max="10498" width="63" style="4" bestFit="1" customWidth="1"/>
    <col min="10499" max="10499" width="1.7109375" style="4" customWidth="1"/>
    <col min="10500" max="10500" width="7.28515625" style="4" bestFit="1" customWidth="1"/>
    <col min="10501" max="10752" width="8.85546875" style="4"/>
    <col min="10753" max="10753" width="5" style="4" bestFit="1" customWidth="1"/>
    <col min="10754" max="10754" width="63" style="4" bestFit="1" customWidth="1"/>
    <col min="10755" max="10755" width="1.7109375" style="4" customWidth="1"/>
    <col min="10756" max="10756" width="7.28515625" style="4" bestFit="1" customWidth="1"/>
    <col min="10757" max="11008" width="8.85546875" style="4"/>
    <col min="11009" max="11009" width="5" style="4" bestFit="1" customWidth="1"/>
    <col min="11010" max="11010" width="63" style="4" bestFit="1" customWidth="1"/>
    <col min="11011" max="11011" width="1.7109375" style="4" customWidth="1"/>
    <col min="11012" max="11012" width="7.28515625" style="4" bestFit="1" customWidth="1"/>
    <col min="11013" max="11264" width="8.85546875" style="4"/>
    <col min="11265" max="11265" width="5" style="4" bestFit="1" customWidth="1"/>
    <col min="11266" max="11266" width="63" style="4" bestFit="1" customWidth="1"/>
    <col min="11267" max="11267" width="1.7109375" style="4" customWidth="1"/>
    <col min="11268" max="11268" width="7.28515625" style="4" bestFit="1" customWidth="1"/>
    <col min="11269" max="11520" width="8.85546875" style="4"/>
    <col min="11521" max="11521" width="5" style="4" bestFit="1" customWidth="1"/>
    <col min="11522" max="11522" width="63" style="4" bestFit="1" customWidth="1"/>
    <col min="11523" max="11523" width="1.7109375" style="4" customWidth="1"/>
    <col min="11524" max="11524" width="7.28515625" style="4" bestFit="1" customWidth="1"/>
    <col min="11525" max="11776" width="8.85546875" style="4"/>
    <col min="11777" max="11777" width="5" style="4" bestFit="1" customWidth="1"/>
    <col min="11778" max="11778" width="63" style="4" bestFit="1" customWidth="1"/>
    <col min="11779" max="11779" width="1.7109375" style="4" customWidth="1"/>
    <col min="11780" max="11780" width="7.28515625" style="4" bestFit="1" customWidth="1"/>
    <col min="11781" max="12032" width="8.85546875" style="4"/>
    <col min="12033" max="12033" width="5" style="4" bestFit="1" customWidth="1"/>
    <col min="12034" max="12034" width="63" style="4" bestFit="1" customWidth="1"/>
    <col min="12035" max="12035" width="1.7109375" style="4" customWidth="1"/>
    <col min="12036" max="12036" width="7.28515625" style="4" bestFit="1" customWidth="1"/>
    <col min="12037" max="12288" width="8.85546875" style="4"/>
    <col min="12289" max="12289" width="5" style="4" bestFit="1" customWidth="1"/>
    <col min="12290" max="12290" width="63" style="4" bestFit="1" customWidth="1"/>
    <col min="12291" max="12291" width="1.7109375" style="4" customWidth="1"/>
    <col min="12292" max="12292" width="7.28515625" style="4" bestFit="1" customWidth="1"/>
    <col min="12293" max="12544" width="8.85546875" style="4"/>
    <col min="12545" max="12545" width="5" style="4" bestFit="1" customWidth="1"/>
    <col min="12546" max="12546" width="63" style="4" bestFit="1" customWidth="1"/>
    <col min="12547" max="12547" width="1.7109375" style="4" customWidth="1"/>
    <col min="12548" max="12548" width="7.28515625" style="4" bestFit="1" customWidth="1"/>
    <col min="12549" max="12800" width="8.85546875" style="4"/>
    <col min="12801" max="12801" width="5" style="4" bestFit="1" customWidth="1"/>
    <col min="12802" max="12802" width="63" style="4" bestFit="1" customWidth="1"/>
    <col min="12803" max="12803" width="1.7109375" style="4" customWidth="1"/>
    <col min="12804" max="12804" width="7.28515625" style="4" bestFit="1" customWidth="1"/>
    <col min="12805" max="13056" width="8.85546875" style="4"/>
    <col min="13057" max="13057" width="5" style="4" bestFit="1" customWidth="1"/>
    <col min="13058" max="13058" width="63" style="4" bestFit="1" customWidth="1"/>
    <col min="13059" max="13059" width="1.7109375" style="4" customWidth="1"/>
    <col min="13060" max="13060" width="7.28515625" style="4" bestFit="1" customWidth="1"/>
    <col min="13061" max="13312" width="8.85546875" style="4"/>
    <col min="13313" max="13313" width="5" style="4" bestFit="1" customWidth="1"/>
    <col min="13314" max="13314" width="63" style="4" bestFit="1" customWidth="1"/>
    <col min="13315" max="13315" width="1.7109375" style="4" customWidth="1"/>
    <col min="13316" max="13316" width="7.28515625" style="4" bestFit="1" customWidth="1"/>
    <col min="13317" max="13568" width="8.85546875" style="4"/>
    <col min="13569" max="13569" width="5" style="4" bestFit="1" customWidth="1"/>
    <col min="13570" max="13570" width="63" style="4" bestFit="1" customWidth="1"/>
    <col min="13571" max="13571" width="1.7109375" style="4" customWidth="1"/>
    <col min="13572" max="13572" width="7.28515625" style="4" bestFit="1" customWidth="1"/>
    <col min="13573" max="13824" width="8.85546875" style="4"/>
    <col min="13825" max="13825" width="5" style="4" bestFit="1" customWidth="1"/>
    <col min="13826" max="13826" width="63" style="4" bestFit="1" customWidth="1"/>
    <col min="13827" max="13827" width="1.7109375" style="4" customWidth="1"/>
    <col min="13828" max="13828" width="7.28515625" style="4" bestFit="1" customWidth="1"/>
    <col min="13829" max="14080" width="8.85546875" style="4"/>
    <col min="14081" max="14081" width="5" style="4" bestFit="1" customWidth="1"/>
    <col min="14082" max="14082" width="63" style="4" bestFit="1" customWidth="1"/>
    <col min="14083" max="14083" width="1.7109375" style="4" customWidth="1"/>
    <col min="14084" max="14084" width="7.28515625" style="4" bestFit="1" customWidth="1"/>
    <col min="14085" max="14336" width="8.85546875" style="4"/>
    <col min="14337" max="14337" width="5" style="4" bestFit="1" customWidth="1"/>
    <col min="14338" max="14338" width="63" style="4" bestFit="1" customWidth="1"/>
    <col min="14339" max="14339" width="1.7109375" style="4" customWidth="1"/>
    <col min="14340" max="14340" width="7.28515625" style="4" bestFit="1" customWidth="1"/>
    <col min="14341" max="14592" width="8.85546875" style="4"/>
    <col min="14593" max="14593" width="5" style="4" bestFit="1" customWidth="1"/>
    <col min="14594" max="14594" width="63" style="4" bestFit="1" customWidth="1"/>
    <col min="14595" max="14595" width="1.7109375" style="4" customWidth="1"/>
    <col min="14596" max="14596" width="7.28515625" style="4" bestFit="1" customWidth="1"/>
    <col min="14597" max="14848" width="8.85546875" style="4"/>
    <col min="14849" max="14849" width="5" style="4" bestFit="1" customWidth="1"/>
    <col min="14850" max="14850" width="63" style="4" bestFit="1" customWidth="1"/>
    <col min="14851" max="14851" width="1.7109375" style="4" customWidth="1"/>
    <col min="14852" max="14852" width="7.28515625" style="4" bestFit="1" customWidth="1"/>
    <col min="14853" max="15104" width="8.85546875" style="4"/>
    <col min="15105" max="15105" width="5" style="4" bestFit="1" customWidth="1"/>
    <col min="15106" max="15106" width="63" style="4" bestFit="1" customWidth="1"/>
    <col min="15107" max="15107" width="1.7109375" style="4" customWidth="1"/>
    <col min="15108" max="15108" width="7.28515625" style="4" bestFit="1" customWidth="1"/>
    <col min="15109" max="15360" width="8.85546875" style="4"/>
    <col min="15361" max="15361" width="5" style="4" bestFit="1" customWidth="1"/>
    <col min="15362" max="15362" width="63" style="4" bestFit="1" customWidth="1"/>
    <col min="15363" max="15363" width="1.7109375" style="4" customWidth="1"/>
    <col min="15364" max="15364" width="7.28515625" style="4" bestFit="1" customWidth="1"/>
    <col min="15365" max="15616" width="8.85546875" style="4"/>
    <col min="15617" max="15617" width="5" style="4" bestFit="1" customWidth="1"/>
    <col min="15618" max="15618" width="63" style="4" bestFit="1" customWidth="1"/>
    <col min="15619" max="15619" width="1.7109375" style="4" customWidth="1"/>
    <col min="15620" max="15620" width="7.28515625" style="4" bestFit="1" customWidth="1"/>
    <col min="15621" max="15872" width="8.85546875" style="4"/>
    <col min="15873" max="15873" width="5" style="4" bestFit="1" customWidth="1"/>
    <col min="15874" max="15874" width="63" style="4" bestFit="1" customWidth="1"/>
    <col min="15875" max="15875" width="1.7109375" style="4" customWidth="1"/>
    <col min="15876" max="15876" width="7.28515625" style="4" bestFit="1" customWidth="1"/>
    <col min="15877" max="16128" width="8.85546875" style="4"/>
    <col min="16129" max="16129" width="5" style="4" bestFit="1" customWidth="1"/>
    <col min="16130" max="16130" width="63" style="4" bestFit="1" customWidth="1"/>
    <col min="16131" max="16131" width="1.7109375" style="4" customWidth="1"/>
    <col min="16132" max="16132" width="7.28515625" style="4" bestFit="1" customWidth="1"/>
    <col min="16133" max="16384" width="8.85546875" style="4"/>
  </cols>
  <sheetData>
    <row r="1" spans="1:5" x14ac:dyDescent="0.2">
      <c r="A1" s="3"/>
      <c r="B1" s="3"/>
      <c r="C1" s="3"/>
      <c r="D1" s="3"/>
      <c r="E1" s="3"/>
    </row>
    <row r="2" spans="1:5" x14ac:dyDescent="0.2">
      <c r="A2" s="3"/>
      <c r="B2" s="3"/>
      <c r="C2" s="3"/>
      <c r="D2" s="3"/>
      <c r="E2" s="5" t="s">
        <v>164</v>
      </c>
    </row>
    <row r="3" spans="1:5" ht="12.75" x14ac:dyDescent="0.2">
      <c r="A3" s="249"/>
      <c r="B3" s="249"/>
      <c r="C3" s="249"/>
      <c r="D3" s="249"/>
      <c r="E3" s="250"/>
    </row>
    <row r="4" spans="1:5" ht="13.5" thickBot="1" x14ac:dyDescent="0.25">
      <c r="A4" s="251"/>
      <c r="B4" s="251"/>
      <c r="C4" s="251"/>
      <c r="D4" s="251"/>
      <c r="E4" s="250"/>
    </row>
    <row r="5" spans="1:5" ht="12" thickBot="1" x14ac:dyDescent="0.25">
      <c r="A5" s="252"/>
      <c r="B5" s="253"/>
      <c r="C5" s="254"/>
      <c r="D5" s="254"/>
      <c r="E5" s="255" t="s">
        <v>308</v>
      </c>
    </row>
    <row r="6" spans="1:5" x14ac:dyDescent="0.2">
      <c r="A6" s="256" t="s">
        <v>47</v>
      </c>
      <c r="B6" s="257"/>
      <c r="C6" s="257"/>
      <c r="D6" s="257"/>
      <c r="E6" s="257"/>
    </row>
    <row r="7" spans="1:5" x14ac:dyDescent="0.2">
      <c r="A7" s="258" t="s">
        <v>160</v>
      </c>
      <c r="B7" s="259"/>
      <c r="C7" s="259"/>
      <c r="D7" s="259"/>
      <c r="E7" s="259"/>
    </row>
    <row r="8" spans="1:5" x14ac:dyDescent="0.2">
      <c r="A8" s="260" t="s">
        <v>161</v>
      </c>
      <c r="B8" s="6"/>
      <c r="C8" s="6"/>
      <c r="D8" s="6"/>
      <c r="E8" s="261"/>
    </row>
    <row r="9" spans="1:5" x14ac:dyDescent="0.2">
      <c r="A9" s="262" t="s">
        <v>162</v>
      </c>
      <c r="B9" s="257"/>
      <c r="C9" s="257"/>
      <c r="D9" s="257"/>
      <c r="E9" s="257"/>
    </row>
    <row r="10" spans="1:5" x14ac:dyDescent="0.2">
      <c r="A10" s="256" t="s">
        <v>163</v>
      </c>
      <c r="B10" s="257"/>
      <c r="C10" s="257"/>
      <c r="D10" s="257"/>
      <c r="E10" s="257"/>
    </row>
    <row r="11" spans="1:5" ht="12.75" x14ac:dyDescent="0.2">
      <c r="A11" s="263" t="s">
        <v>48</v>
      </c>
      <c r="B11" s="249"/>
      <c r="C11" s="249"/>
      <c r="D11" s="249"/>
      <c r="E11" s="249"/>
    </row>
    <row r="12" spans="1:5" ht="12.75" x14ac:dyDescent="0.2">
      <c r="A12" s="264" t="s">
        <v>49</v>
      </c>
      <c r="B12" s="265" t="s">
        <v>50</v>
      </c>
      <c r="C12" s="266"/>
      <c r="D12" s="266"/>
      <c r="E12" s="267" t="s">
        <v>51</v>
      </c>
    </row>
    <row r="13" spans="1:5" ht="12.75" x14ac:dyDescent="0.2">
      <c r="A13" s="268"/>
      <c r="B13" s="268"/>
      <c r="C13" s="268"/>
      <c r="D13" s="268"/>
      <c r="E13" s="269"/>
    </row>
    <row r="14" spans="1:5" ht="12.75" x14ac:dyDescent="0.2">
      <c r="A14" s="270">
        <v>1</v>
      </c>
      <c r="B14" s="271" t="s">
        <v>159</v>
      </c>
      <c r="C14" s="268"/>
      <c r="D14" s="268"/>
      <c r="E14" s="272">
        <v>7.1570000000000002E-3</v>
      </c>
    </row>
    <row r="15" spans="1:5" ht="12.75" x14ac:dyDescent="0.2">
      <c r="A15" s="270">
        <v>2</v>
      </c>
      <c r="B15" s="271" t="s">
        <v>70</v>
      </c>
      <c r="C15" s="268"/>
      <c r="D15" s="268"/>
      <c r="E15" s="272">
        <v>2E-3</v>
      </c>
    </row>
    <row r="16" spans="1:5" ht="12.75" x14ac:dyDescent="0.2">
      <c r="A16" s="270">
        <v>3</v>
      </c>
      <c r="B16" s="271" t="s">
        <v>298</v>
      </c>
      <c r="C16" s="273"/>
      <c r="D16" s="274">
        <v>3.8733999999999998E-2</v>
      </c>
      <c r="E16" s="275">
        <v>3.8456999999999998E-2</v>
      </c>
    </row>
    <row r="17" spans="1:5" ht="12.75" x14ac:dyDescent="0.2">
      <c r="A17" s="270">
        <v>4</v>
      </c>
      <c r="B17" s="271"/>
      <c r="C17" s="268"/>
      <c r="D17" s="268"/>
      <c r="E17" s="276"/>
    </row>
    <row r="18" spans="1:5" ht="12.75" x14ac:dyDescent="0.2">
      <c r="A18" s="270">
        <v>5</v>
      </c>
      <c r="B18" s="271" t="s">
        <v>52</v>
      </c>
      <c r="C18" s="268"/>
      <c r="D18" s="268"/>
      <c r="E18" s="272">
        <v>4.7613999999999997E-2</v>
      </c>
    </row>
    <row r="19" spans="1:5" ht="12.75" x14ac:dyDescent="0.2">
      <c r="A19" s="270">
        <v>6</v>
      </c>
      <c r="B19" s="268"/>
      <c r="C19" s="268"/>
      <c r="D19" s="268"/>
      <c r="E19" s="272"/>
    </row>
    <row r="20" spans="1:5" ht="12.75" x14ac:dyDescent="0.2">
      <c r="A20" s="270">
        <v>7</v>
      </c>
      <c r="B20" s="268" t="s">
        <v>309</v>
      </c>
      <c r="C20" s="268"/>
      <c r="D20" s="268"/>
      <c r="E20" s="277">
        <v>0.95238599999999995</v>
      </c>
    </row>
    <row r="21" spans="1:5" ht="12.75" x14ac:dyDescent="0.2">
      <c r="A21" s="270">
        <v>8</v>
      </c>
      <c r="B21" s="271" t="s">
        <v>300</v>
      </c>
      <c r="C21" s="268"/>
      <c r="D21" s="278">
        <v>0.21</v>
      </c>
      <c r="E21" s="272">
        <v>0.20000100000000001</v>
      </c>
    </row>
    <row r="22" spans="1:5" ht="13.5" thickBot="1" x14ac:dyDescent="0.25">
      <c r="A22" s="270">
        <v>9</v>
      </c>
      <c r="B22" s="271" t="s">
        <v>299</v>
      </c>
      <c r="C22" s="268"/>
      <c r="D22" s="268"/>
      <c r="E22" s="279">
        <v>0.75238499999999997</v>
      </c>
    </row>
    <row r="23" spans="1:5" ht="12" thickTop="1" x14ac:dyDescent="0.2"/>
  </sheetData>
  <phoneticPr fontId="0" type="noConversion"/>
  <printOptions horizontalCentered="1"/>
  <pageMargins left="0.75" right="0.75" top="1" bottom="1" header="0.5" footer="0.5"/>
  <pageSetup orientation="landscape" cellComments="asDisplayed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7"/>
  <sheetViews>
    <sheetView workbookViewId="0">
      <pane ySplit="7" topLeftCell="A8" activePane="bottomLeft" state="frozen"/>
      <selection pane="bottomLeft" activeCell="B8" sqref="B8"/>
    </sheetView>
  </sheetViews>
  <sheetFormatPr defaultColWidth="11.42578125" defaultRowHeight="11.25" x14ac:dyDescent="0.2"/>
  <cols>
    <col min="1" max="1" width="4.42578125" style="18" bestFit="1" customWidth="1"/>
    <col min="2" max="2" width="19.7109375" style="18" customWidth="1"/>
    <col min="3" max="3" width="14.140625" style="18" bestFit="1" customWidth="1"/>
    <col min="4" max="4" width="13" style="18" customWidth="1"/>
    <col min="5" max="5" width="12.5703125" style="18" customWidth="1"/>
    <col min="6" max="6" width="10.42578125" style="18" bestFit="1" customWidth="1"/>
    <col min="7" max="7" width="11.42578125" style="18" bestFit="1" customWidth="1"/>
    <col min="8" max="10" width="10.5703125" style="18" customWidth="1"/>
    <col min="11" max="11" width="11.5703125" style="18" bestFit="1" customWidth="1"/>
    <col min="12" max="12" width="12.85546875" style="18" bestFit="1" customWidth="1"/>
    <col min="13" max="13" width="15.42578125" style="18" bestFit="1" customWidth="1"/>
    <col min="14" max="14" width="16.42578125" style="18" bestFit="1" customWidth="1"/>
    <col min="15" max="16384" width="11.42578125" style="18"/>
  </cols>
  <sheetData>
    <row r="1" spans="1:14" x14ac:dyDescent="0.2">
      <c r="A1" s="307" t="str">
        <f>'FY2020 Sch 194 Summary'!A1:D1</f>
        <v>Puget Sound Energy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x14ac:dyDescent="0.2">
      <c r="A2" s="307" t="str">
        <f>'FY2020 Sch 194 Summary'!A2:D2</f>
        <v>Proposed Schedule 194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x14ac:dyDescent="0.2">
      <c r="A3" s="308" t="s">
        <v>271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</row>
    <row r="4" spans="1:14" x14ac:dyDescent="0.2">
      <c r="A4" s="311" t="s">
        <v>318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</row>
    <row r="6" spans="1:14" x14ac:dyDescent="0.2">
      <c r="B6" s="191"/>
      <c r="C6" s="191" t="s">
        <v>55</v>
      </c>
      <c r="D6" s="192"/>
      <c r="E6" s="193"/>
      <c r="F6" s="193"/>
      <c r="G6" s="193"/>
      <c r="H6" s="193"/>
      <c r="I6" s="193"/>
      <c r="J6" s="193"/>
      <c r="K6" s="193"/>
      <c r="L6" s="193"/>
      <c r="M6" s="194"/>
    </row>
    <row r="7" spans="1:14" s="199" customFormat="1" ht="22.5" x14ac:dyDescent="0.2">
      <c r="A7" s="195" t="s">
        <v>3</v>
      </c>
      <c r="B7" s="195" t="s">
        <v>136</v>
      </c>
      <c r="C7" s="196" t="s">
        <v>56</v>
      </c>
      <c r="D7" s="197" t="s">
        <v>97</v>
      </c>
      <c r="E7" s="197" t="s">
        <v>57</v>
      </c>
      <c r="F7" s="197" t="s">
        <v>58</v>
      </c>
      <c r="G7" s="197" t="s">
        <v>59</v>
      </c>
      <c r="H7" s="197" t="s">
        <v>60</v>
      </c>
      <c r="I7" s="197" t="s">
        <v>61</v>
      </c>
      <c r="J7" s="197" t="s">
        <v>62</v>
      </c>
      <c r="K7" s="197" t="s">
        <v>63</v>
      </c>
      <c r="L7" s="197" t="s">
        <v>64</v>
      </c>
      <c r="M7" s="198" t="s">
        <v>272</v>
      </c>
    </row>
    <row r="8" spans="1:14" x14ac:dyDescent="0.2">
      <c r="A8" s="200">
        <v>1</v>
      </c>
      <c r="B8" s="201" t="s">
        <v>312</v>
      </c>
      <c r="C8" s="202">
        <f>ROUND(+'F2019 Delivered Sales'!E16*20/31,-3)</f>
        <v>542022000</v>
      </c>
      <c r="D8" s="202">
        <f>ROUND(+'F2019 Delivered Sales'!F16*20/31,-3)</f>
        <v>136000</v>
      </c>
      <c r="E8" s="202">
        <f>ROUND(+'F2019 Delivered Sales'!G16*20/31,-3)</f>
        <v>12204000</v>
      </c>
      <c r="F8" s="202">
        <f>ROUND(+'F2019 Delivered Sales'!H16*20/31,-3)</f>
        <v>1728000</v>
      </c>
      <c r="G8" s="202">
        <f>ROUND(+'F2019 Delivered Sales'!I16*20/31,-3)</f>
        <v>7718000</v>
      </c>
      <c r="H8" s="202">
        <f>ROUND(+'F2019 Delivered Sales'!J16*20/31,-3)</f>
        <v>892000</v>
      </c>
      <c r="I8" s="202">
        <f>ROUND(+'F2019 Delivered Sales'!Q16*20/31,-3)</f>
        <v>785000</v>
      </c>
      <c r="J8" s="202">
        <f>ROUND(+'F2019 Delivered Sales'!T16*20/31,-3)</f>
        <v>474000</v>
      </c>
      <c r="K8" s="202">
        <f>ROUND(+'F2019 Delivered Sales'!AJ16*20/31,-3)</f>
        <v>101000</v>
      </c>
      <c r="L8" s="202">
        <f>ROUND(+'F2019 Delivered Sales'!AM16*20/31,-3)</f>
        <v>5000</v>
      </c>
      <c r="M8" s="203">
        <f t="shared" ref="M8:M19" si="0">SUM(C8:L8)</f>
        <v>566065000</v>
      </c>
    </row>
    <row r="9" spans="1:14" x14ac:dyDescent="0.2">
      <c r="A9" s="200">
        <f t="shared" ref="A9:A31" si="1">+A8+1</f>
        <v>2</v>
      </c>
      <c r="B9" s="201" t="s">
        <v>273</v>
      </c>
      <c r="C9" s="202">
        <f>ROUND(+'F2019 Delivered Sales'!E17,-3)</f>
        <v>1034335000</v>
      </c>
      <c r="D9" s="202">
        <f>ROUND(+'F2019 Delivered Sales'!F17,-3)</f>
        <v>225000</v>
      </c>
      <c r="E9" s="202">
        <f>ROUND(+'F2019 Delivered Sales'!G17,-3)</f>
        <v>21486000</v>
      </c>
      <c r="F9" s="202">
        <f>ROUND(+'F2019 Delivered Sales'!H17,-3)</f>
        <v>2819000</v>
      </c>
      <c r="G9" s="202">
        <f>ROUND(+'F2019 Delivered Sales'!I17,-3)</f>
        <v>13167000</v>
      </c>
      <c r="H9" s="202">
        <f>ROUND(+'F2019 Delivered Sales'!J17,-3)</f>
        <v>1442000</v>
      </c>
      <c r="I9" s="202">
        <f>ROUND(+'F2019 Delivered Sales'!Q17,-3)</f>
        <v>406000</v>
      </c>
      <c r="J9" s="202">
        <f>ROUND(+'F2019 Delivered Sales'!T17,-3)</f>
        <v>245000</v>
      </c>
      <c r="K9" s="202">
        <f>ROUND(+'F2019 Delivered Sales'!AJ17,-3)</f>
        <v>150000</v>
      </c>
      <c r="L9" s="202">
        <f>ROUND(+'F2019 Delivered Sales'!AM17,-3)</f>
        <v>8000</v>
      </c>
      <c r="M9" s="203">
        <f t="shared" si="0"/>
        <v>1074283000</v>
      </c>
    </row>
    <row r="10" spans="1:14" x14ac:dyDescent="0.2">
      <c r="A10" s="200">
        <f t="shared" si="1"/>
        <v>3</v>
      </c>
      <c r="B10" s="201" t="s">
        <v>274</v>
      </c>
      <c r="C10" s="202">
        <f>ROUND(+'F2019 Delivered Sales'!E18,-3)</f>
        <v>1303774000</v>
      </c>
      <c r="D10" s="202">
        <f>ROUND(+'F2019 Delivered Sales'!F18,-3)</f>
        <v>300000</v>
      </c>
      <c r="E10" s="202">
        <f>ROUND(+'F2019 Delivered Sales'!G18,-3)</f>
        <v>26906000</v>
      </c>
      <c r="F10" s="202">
        <f>ROUND(+'F2019 Delivered Sales'!H18,-3)</f>
        <v>3287000</v>
      </c>
      <c r="G10" s="202">
        <f>ROUND(+'F2019 Delivered Sales'!I18,-3)</f>
        <v>15011000</v>
      </c>
      <c r="H10" s="202">
        <f>ROUND(+'F2019 Delivered Sales'!J18,-3)</f>
        <v>1750000</v>
      </c>
      <c r="I10" s="202">
        <f>ROUND(+'F2019 Delivered Sales'!Q18,-3)</f>
        <v>316000</v>
      </c>
      <c r="J10" s="202">
        <f>ROUND(+'F2019 Delivered Sales'!T18,-3)</f>
        <v>3000</v>
      </c>
      <c r="K10" s="202">
        <f>ROUND(+'F2019 Delivered Sales'!AJ18,-3)</f>
        <v>157000</v>
      </c>
      <c r="L10" s="202">
        <f>ROUND(+'F2019 Delivered Sales'!AM18,-3)</f>
        <v>8000</v>
      </c>
      <c r="M10" s="203">
        <f t="shared" si="0"/>
        <v>1351512000</v>
      </c>
    </row>
    <row r="11" spans="1:14" x14ac:dyDescent="0.2">
      <c r="A11" s="200">
        <f t="shared" si="1"/>
        <v>4</v>
      </c>
      <c r="B11" s="201" t="s">
        <v>275</v>
      </c>
      <c r="C11" s="202">
        <f>ROUND(+'F2019 Delivered Sales'!E19,-3)</f>
        <v>1252057000</v>
      </c>
      <c r="D11" s="202">
        <f>ROUND(+'F2019 Delivered Sales'!F19,-3)</f>
        <v>270000</v>
      </c>
      <c r="E11" s="202">
        <f>ROUND(+'F2019 Delivered Sales'!G19,-3)</f>
        <v>27114000</v>
      </c>
      <c r="F11" s="202">
        <f>ROUND(+'F2019 Delivered Sales'!H19,-3)</f>
        <v>3385000</v>
      </c>
      <c r="G11" s="202">
        <f>ROUND(+'F2019 Delivered Sales'!I19,-3)</f>
        <v>15893000</v>
      </c>
      <c r="H11" s="202">
        <f>ROUND(+'F2019 Delivered Sales'!J19,-3)</f>
        <v>1753000</v>
      </c>
      <c r="I11" s="202">
        <f>ROUND(+'F2019 Delivered Sales'!Q19,-3)</f>
        <v>315000</v>
      </c>
      <c r="J11" s="202">
        <f>ROUND(+'F2019 Delivered Sales'!T19,-3)</f>
        <v>3000</v>
      </c>
      <c r="K11" s="202">
        <f>ROUND(+'F2019 Delivered Sales'!AJ19,-3)</f>
        <v>139000</v>
      </c>
      <c r="L11" s="202">
        <f>ROUND(+'F2019 Delivered Sales'!AM19,-3)</f>
        <v>7000</v>
      </c>
      <c r="M11" s="203">
        <f t="shared" si="0"/>
        <v>1300936000</v>
      </c>
    </row>
    <row r="12" spans="1:14" x14ac:dyDescent="0.2">
      <c r="A12" s="200">
        <f t="shared" si="1"/>
        <v>5</v>
      </c>
      <c r="B12" s="201" t="s">
        <v>276</v>
      </c>
      <c r="C12" s="202">
        <f>ROUND(+'F2019 Delivered Sales'!E20,-3)</f>
        <v>1088145000</v>
      </c>
      <c r="D12" s="202">
        <f>ROUND(+'F2019 Delivered Sales'!F20,-3)</f>
        <v>216000</v>
      </c>
      <c r="E12" s="202">
        <f>ROUND(+'F2019 Delivered Sales'!G20,-3)</f>
        <v>24763000</v>
      </c>
      <c r="F12" s="202">
        <f>ROUND(+'F2019 Delivered Sales'!H20,-3)</f>
        <v>3080000</v>
      </c>
      <c r="G12" s="202">
        <f>ROUND(+'F2019 Delivered Sales'!I20,-3)</f>
        <v>13817000</v>
      </c>
      <c r="H12" s="202">
        <f>ROUND(+'F2019 Delivered Sales'!J20,-3)</f>
        <v>1626000</v>
      </c>
      <c r="I12" s="202">
        <f>ROUND(+'F2019 Delivered Sales'!Q20,-3)</f>
        <v>284000</v>
      </c>
      <c r="J12" s="202">
        <f>ROUND(+'F2019 Delivered Sales'!T20,-3)</f>
        <v>3000</v>
      </c>
      <c r="K12" s="202">
        <f>ROUND(+'F2019 Delivered Sales'!AJ20,-3)</f>
        <v>141000</v>
      </c>
      <c r="L12" s="202">
        <f>ROUND(+'F2019 Delivered Sales'!AM20,-3)</f>
        <v>7000</v>
      </c>
      <c r="M12" s="203">
        <f t="shared" si="0"/>
        <v>1132082000</v>
      </c>
    </row>
    <row r="13" spans="1:14" x14ac:dyDescent="0.2">
      <c r="A13" s="200">
        <f t="shared" si="1"/>
        <v>6</v>
      </c>
      <c r="B13" s="201" t="s">
        <v>277</v>
      </c>
      <c r="C13" s="202">
        <f>ROUND(+'F2019 Delivered Sales'!E21,-3)</f>
        <v>1048952000</v>
      </c>
      <c r="D13" s="202">
        <f>ROUND(+'F2019 Delivered Sales'!F21,-3)</f>
        <v>201000</v>
      </c>
      <c r="E13" s="202">
        <f>ROUND(+'F2019 Delivered Sales'!G21,-3)</f>
        <v>23931000</v>
      </c>
      <c r="F13" s="202">
        <f>ROUND(+'F2019 Delivered Sales'!H21,-3)</f>
        <v>3160000</v>
      </c>
      <c r="G13" s="202">
        <f>ROUND(+'F2019 Delivered Sales'!I21,-3)</f>
        <v>13628000</v>
      </c>
      <c r="H13" s="202">
        <f>ROUND(+'F2019 Delivered Sales'!J21,-3)</f>
        <v>1601000</v>
      </c>
      <c r="I13" s="202">
        <f>ROUND(+'F2019 Delivered Sales'!Q21,-3)</f>
        <v>319000</v>
      </c>
      <c r="J13" s="202">
        <f>ROUND(+'F2019 Delivered Sales'!T21,-3)</f>
        <v>3000</v>
      </c>
      <c r="K13" s="202">
        <f>ROUND(+'F2019 Delivered Sales'!AJ21,-3)</f>
        <v>141000</v>
      </c>
      <c r="L13" s="202">
        <f>ROUND(+'F2019 Delivered Sales'!AM21,-3)</f>
        <v>8000</v>
      </c>
      <c r="M13" s="203">
        <f t="shared" si="0"/>
        <v>1091944000</v>
      </c>
    </row>
    <row r="14" spans="1:14" x14ac:dyDescent="0.2">
      <c r="A14" s="200">
        <f t="shared" si="1"/>
        <v>7</v>
      </c>
      <c r="B14" s="201" t="s">
        <v>278</v>
      </c>
      <c r="C14" s="202">
        <f>ROUND(+'F2019 Delivered Sales'!E22,-3)</f>
        <v>864439000</v>
      </c>
      <c r="D14" s="202">
        <f>ROUND(+'F2019 Delivered Sales'!F22,-3)</f>
        <v>168000</v>
      </c>
      <c r="E14" s="202">
        <f>ROUND(+'F2019 Delivered Sales'!G22,-3)</f>
        <v>20543000</v>
      </c>
      <c r="F14" s="202">
        <f>ROUND(+'F2019 Delivered Sales'!H22,-3)</f>
        <v>2822000</v>
      </c>
      <c r="G14" s="202">
        <f>ROUND(+'F2019 Delivered Sales'!I22,-3)</f>
        <v>11929000</v>
      </c>
      <c r="H14" s="202">
        <f>ROUND(+'F2019 Delivered Sales'!J22,-3)</f>
        <v>1359000</v>
      </c>
      <c r="I14" s="202">
        <f>ROUND(+'F2019 Delivered Sales'!Q22,-3)</f>
        <v>330000</v>
      </c>
      <c r="J14" s="202">
        <f>ROUND(+'F2019 Delivered Sales'!T22,-3)</f>
        <v>3000</v>
      </c>
      <c r="K14" s="202">
        <f>ROUND(+'F2019 Delivered Sales'!AJ22,-3)</f>
        <v>143000</v>
      </c>
      <c r="L14" s="202">
        <f>ROUND(+'F2019 Delivered Sales'!AM22,-3)</f>
        <v>7000</v>
      </c>
      <c r="M14" s="203">
        <f t="shared" si="0"/>
        <v>901743000</v>
      </c>
    </row>
    <row r="15" spans="1:14" x14ac:dyDescent="0.2">
      <c r="A15" s="200">
        <f t="shared" si="1"/>
        <v>8</v>
      </c>
      <c r="B15" s="201" t="s">
        <v>279</v>
      </c>
      <c r="C15" s="202">
        <f>ROUND(+'F2019 Delivered Sales'!E23,-3)</f>
        <v>737787000</v>
      </c>
      <c r="D15" s="202">
        <f>ROUND(+'F2019 Delivered Sales'!F23,-3)</f>
        <v>165000</v>
      </c>
      <c r="E15" s="202">
        <f>ROUND(+'F2019 Delivered Sales'!G23,-3)</f>
        <v>18158000</v>
      </c>
      <c r="F15" s="202">
        <f>ROUND(+'F2019 Delivered Sales'!H23,-3)</f>
        <v>2637000</v>
      </c>
      <c r="G15" s="202">
        <f>ROUND(+'F2019 Delivered Sales'!I23,-3)</f>
        <v>10984000</v>
      </c>
      <c r="H15" s="202">
        <f>ROUND(+'F2019 Delivered Sales'!J23,-3)</f>
        <v>1283000</v>
      </c>
      <c r="I15" s="202">
        <f>ROUND(+'F2019 Delivered Sales'!Q23,-3)</f>
        <v>810000</v>
      </c>
      <c r="J15" s="202">
        <f>ROUND(+'F2019 Delivered Sales'!T23,-3)</f>
        <v>322000</v>
      </c>
      <c r="K15" s="202">
        <f>ROUND(+'F2019 Delivered Sales'!AJ23,-3)</f>
        <v>139000</v>
      </c>
      <c r="L15" s="202">
        <f>ROUND(+'F2019 Delivered Sales'!AM23,-3)</f>
        <v>8000</v>
      </c>
      <c r="M15" s="203">
        <f t="shared" si="0"/>
        <v>772293000</v>
      </c>
    </row>
    <row r="16" spans="1:14" x14ac:dyDescent="0.2">
      <c r="A16" s="200">
        <f t="shared" si="1"/>
        <v>9</v>
      </c>
      <c r="B16" s="201" t="s">
        <v>280</v>
      </c>
      <c r="C16" s="202">
        <f>ROUND(+'F2019 Delivered Sales'!E24,-3)</f>
        <v>679821000</v>
      </c>
      <c r="D16" s="202">
        <f>ROUND(+'F2019 Delivered Sales'!F24,-3)</f>
        <v>185000</v>
      </c>
      <c r="E16" s="202">
        <f>ROUND(+'F2019 Delivered Sales'!G24,-3)</f>
        <v>17949000</v>
      </c>
      <c r="F16" s="202">
        <f>ROUND(+'F2019 Delivered Sales'!H24,-3)</f>
        <v>2556000</v>
      </c>
      <c r="G16" s="202">
        <f>ROUND(+'F2019 Delivered Sales'!I24,-3)</f>
        <v>10732000</v>
      </c>
      <c r="H16" s="202">
        <f>ROUND(+'F2019 Delivered Sales'!J24,-3)</f>
        <v>1244000</v>
      </c>
      <c r="I16" s="202">
        <f>ROUND(+'F2019 Delivered Sales'!Q24,-3)</f>
        <v>1467000</v>
      </c>
      <c r="J16" s="202">
        <f>ROUND(+'F2019 Delivered Sales'!T24,-3)</f>
        <v>703000</v>
      </c>
      <c r="K16" s="202">
        <f>ROUND(+'F2019 Delivered Sales'!AJ24,-3)</f>
        <v>144000</v>
      </c>
      <c r="L16" s="202">
        <f>ROUND(+'F2019 Delivered Sales'!AM24,-3)</f>
        <v>7000</v>
      </c>
      <c r="M16" s="203">
        <f t="shared" si="0"/>
        <v>714808000</v>
      </c>
    </row>
    <row r="17" spans="1:13" x14ac:dyDescent="0.2">
      <c r="A17" s="200">
        <f t="shared" si="1"/>
        <v>10</v>
      </c>
      <c r="B17" s="201" t="s">
        <v>281</v>
      </c>
      <c r="C17" s="202">
        <f>ROUND(+'F2019 Delivered Sales'!E25,-3)</f>
        <v>696692000</v>
      </c>
      <c r="D17" s="202">
        <f>ROUND(+'F2019 Delivered Sales'!F25,-3)</f>
        <v>232000</v>
      </c>
      <c r="E17" s="202">
        <f>ROUND(+'F2019 Delivered Sales'!G25,-3)</f>
        <v>18150000</v>
      </c>
      <c r="F17" s="202">
        <f>ROUND(+'F2019 Delivered Sales'!H25,-3)</f>
        <v>2621000</v>
      </c>
      <c r="G17" s="202">
        <f>ROUND(+'F2019 Delivered Sales'!I25,-3)</f>
        <v>11263000</v>
      </c>
      <c r="H17" s="202">
        <f>ROUND(+'F2019 Delivered Sales'!J25,-3)</f>
        <v>1541000</v>
      </c>
      <c r="I17" s="202">
        <f>ROUND(+'F2019 Delivered Sales'!Q25,-3)</f>
        <v>2641000</v>
      </c>
      <c r="J17" s="202">
        <f>ROUND(+'F2019 Delivered Sales'!T25,-3)</f>
        <v>734000</v>
      </c>
      <c r="K17" s="202">
        <f>ROUND(+'F2019 Delivered Sales'!AJ25,-3)</f>
        <v>144000</v>
      </c>
      <c r="L17" s="202">
        <f>ROUND(+'F2019 Delivered Sales'!AM25,-3)</f>
        <v>8000</v>
      </c>
      <c r="M17" s="203">
        <f t="shared" si="0"/>
        <v>734026000</v>
      </c>
    </row>
    <row r="18" spans="1:13" x14ac:dyDescent="0.2">
      <c r="A18" s="200">
        <f t="shared" si="1"/>
        <v>11</v>
      </c>
      <c r="B18" s="201" t="s">
        <v>282</v>
      </c>
      <c r="C18" s="202">
        <f>ROUND(+'F2019 Delivered Sales'!E26,-3)</f>
        <v>682328000</v>
      </c>
      <c r="D18" s="202">
        <f>ROUND(+'F2019 Delivered Sales'!F26,-3)</f>
        <v>234000</v>
      </c>
      <c r="E18" s="202">
        <f>ROUND(+'F2019 Delivered Sales'!G26,-3)</f>
        <v>18584000</v>
      </c>
      <c r="F18" s="202">
        <f>ROUND(+'F2019 Delivered Sales'!H26,-3)</f>
        <v>2657000</v>
      </c>
      <c r="G18" s="202">
        <f>ROUND(+'F2019 Delivered Sales'!I26,-3)</f>
        <v>11760000</v>
      </c>
      <c r="H18" s="202">
        <f>ROUND(+'F2019 Delivered Sales'!J26,-3)</f>
        <v>1789000</v>
      </c>
      <c r="I18" s="202">
        <f>ROUND(+'F2019 Delivered Sales'!Q26,-3)</f>
        <v>3954000</v>
      </c>
      <c r="J18" s="202">
        <f>ROUND(+'F2019 Delivered Sales'!T26,-3)</f>
        <v>985000</v>
      </c>
      <c r="K18" s="202">
        <f>ROUND(+'F2019 Delivered Sales'!AJ26,-3)</f>
        <v>149000</v>
      </c>
      <c r="L18" s="202">
        <f>ROUND(+'F2019 Delivered Sales'!AM26,-3)</f>
        <v>7000</v>
      </c>
      <c r="M18" s="203">
        <f t="shared" si="0"/>
        <v>722447000</v>
      </c>
    </row>
    <row r="19" spans="1:13" x14ac:dyDescent="0.2">
      <c r="A19" s="200">
        <f t="shared" si="1"/>
        <v>12</v>
      </c>
      <c r="B19" s="204" t="s">
        <v>283</v>
      </c>
      <c r="C19" s="205">
        <f>ROUND(+'F2019 Delivered Sales'!E27,-3)</f>
        <v>672456000</v>
      </c>
      <c r="D19" s="205">
        <f>ROUND(+'F2019 Delivered Sales'!F27,-3)</f>
        <v>198000</v>
      </c>
      <c r="E19" s="205">
        <f>ROUND(+'F2019 Delivered Sales'!G27,-3)</f>
        <v>17458000</v>
      </c>
      <c r="F19" s="205">
        <f>ROUND(+'F2019 Delivered Sales'!H27,-3)</f>
        <v>2524000</v>
      </c>
      <c r="G19" s="205">
        <f>ROUND(+'F2019 Delivered Sales'!I27,-3)</f>
        <v>11046000</v>
      </c>
      <c r="H19" s="205">
        <f>ROUND(+'F2019 Delivered Sales'!J27,-3)</f>
        <v>1457000</v>
      </c>
      <c r="I19" s="205">
        <f>ROUND(+'F2019 Delivered Sales'!Q27,-3)</f>
        <v>3029000</v>
      </c>
      <c r="J19" s="205">
        <f>ROUND(+'F2019 Delivered Sales'!T27,-3)</f>
        <v>838000</v>
      </c>
      <c r="K19" s="205">
        <f>ROUND(+'F2019 Delivered Sales'!AJ27,-3)</f>
        <v>134000</v>
      </c>
      <c r="L19" s="206">
        <f>ROUND(+'F2019 Delivered Sales'!AM27,-3)</f>
        <v>7000</v>
      </c>
      <c r="M19" s="207">
        <f t="shared" si="0"/>
        <v>709147000</v>
      </c>
    </row>
    <row r="20" spans="1:13" x14ac:dyDescent="0.2">
      <c r="A20" s="200">
        <f t="shared" si="1"/>
        <v>13</v>
      </c>
      <c r="B20" s="201" t="s">
        <v>284</v>
      </c>
      <c r="C20" s="202">
        <f>ROUND(+'F2019 Delivered Sales'!E28,-3)</f>
        <v>829926000</v>
      </c>
      <c r="D20" s="202">
        <f>ROUND(+'F2019 Delivered Sales'!F28,-3)</f>
        <v>208000</v>
      </c>
      <c r="E20" s="202">
        <f>ROUND(+'F2019 Delivered Sales'!G28,-3)</f>
        <v>18386000</v>
      </c>
      <c r="F20" s="202">
        <f>ROUND(+'F2019 Delivered Sales'!H28,-3)</f>
        <v>2649000</v>
      </c>
      <c r="G20" s="202">
        <f>ROUND(+'F2019 Delivered Sales'!I28,-3)</f>
        <v>11857000</v>
      </c>
      <c r="H20" s="202">
        <f>ROUND(+'F2019 Delivered Sales'!J28,-3)</f>
        <v>1370000</v>
      </c>
      <c r="I20" s="202">
        <f>ROUND(+'F2019 Delivered Sales'!Q28,-3)</f>
        <v>1224000</v>
      </c>
      <c r="J20" s="202">
        <f>ROUND(+'F2019 Delivered Sales'!T28,-3)</f>
        <v>727000</v>
      </c>
      <c r="K20" s="202">
        <f>ROUND(+'F2019 Delivered Sales'!AJ28,-3)</f>
        <v>151000</v>
      </c>
      <c r="L20" s="202">
        <f>ROUND(+'F2019 Delivered Sales'!AM28,-3)</f>
        <v>8000</v>
      </c>
      <c r="M20" s="203">
        <f t="shared" ref="M20:M29" si="2">SUM(C20:L20)</f>
        <v>866506000</v>
      </c>
    </row>
    <row r="21" spans="1:13" x14ac:dyDescent="0.2">
      <c r="A21" s="200">
        <f t="shared" si="1"/>
        <v>14</v>
      </c>
      <c r="B21" s="201" t="s">
        <v>285</v>
      </c>
      <c r="C21" s="202">
        <f>ROUND(+'F2019 Delivered Sales'!E29,-3)</f>
        <v>1024454000</v>
      </c>
      <c r="D21" s="202">
        <f>ROUND(+'F2019 Delivered Sales'!F29,-3)</f>
        <v>223000</v>
      </c>
      <c r="E21" s="202">
        <f>ROUND(+'F2019 Delivered Sales'!G29,-3)</f>
        <v>20860000</v>
      </c>
      <c r="F21" s="202">
        <f>ROUND(+'F2019 Delivered Sales'!H29,-3)</f>
        <v>2785000</v>
      </c>
      <c r="G21" s="202">
        <f>ROUND(+'F2019 Delivered Sales'!I29,-3)</f>
        <v>13036000</v>
      </c>
      <c r="H21" s="202">
        <f>ROUND(+'F2019 Delivered Sales'!J29,-3)</f>
        <v>1428000</v>
      </c>
      <c r="I21" s="202">
        <f>ROUND(+'F2019 Delivered Sales'!Q29,-3)</f>
        <v>408000</v>
      </c>
      <c r="J21" s="202">
        <f>ROUND(+'F2019 Delivered Sales'!T29,-3)</f>
        <v>242000</v>
      </c>
      <c r="K21" s="202">
        <f>ROUND(+'F2019 Delivered Sales'!AJ29,-3)</f>
        <v>145000</v>
      </c>
      <c r="L21" s="202">
        <f>ROUND(+'F2019 Delivered Sales'!AM29,-3)</f>
        <v>8000</v>
      </c>
      <c r="M21" s="203">
        <f t="shared" si="2"/>
        <v>1063589000</v>
      </c>
    </row>
    <row r="22" spans="1:13" x14ac:dyDescent="0.2">
      <c r="A22" s="200">
        <f t="shared" si="1"/>
        <v>15</v>
      </c>
      <c r="B22" s="201" t="s">
        <v>286</v>
      </c>
      <c r="C22" s="202">
        <f>ROUND(+'F2019 Delivered Sales'!E30,-3)</f>
        <v>1293451000</v>
      </c>
      <c r="D22" s="202">
        <f>ROUND(+'F2019 Delivered Sales'!F30,-3)</f>
        <v>296000</v>
      </c>
      <c r="E22" s="202">
        <f>ROUND(+'F2019 Delivered Sales'!G30,-3)</f>
        <v>26081000</v>
      </c>
      <c r="F22" s="202">
        <f>ROUND(+'F2019 Delivered Sales'!H30,-3)</f>
        <v>3243000</v>
      </c>
      <c r="G22" s="202">
        <f>ROUND(+'F2019 Delivered Sales'!I30,-3)</f>
        <v>14839000</v>
      </c>
      <c r="H22" s="202">
        <f>ROUND(+'F2019 Delivered Sales'!J30,-3)</f>
        <v>1730000</v>
      </c>
      <c r="I22" s="202">
        <f>ROUND(+'F2019 Delivered Sales'!Q30,-3)</f>
        <v>317000</v>
      </c>
      <c r="J22" s="202">
        <f>ROUND(+'F2019 Delivered Sales'!T30,-3)</f>
        <v>3000</v>
      </c>
      <c r="K22" s="202">
        <f>ROUND(+'F2019 Delivered Sales'!AJ30,-3)</f>
        <v>152000</v>
      </c>
      <c r="L22" s="202">
        <f>ROUND(+'F2019 Delivered Sales'!AM30,-3)</f>
        <v>8000</v>
      </c>
      <c r="M22" s="203">
        <f t="shared" si="2"/>
        <v>1340120000</v>
      </c>
    </row>
    <row r="23" spans="1:13" x14ac:dyDescent="0.2">
      <c r="A23" s="200">
        <f t="shared" si="1"/>
        <v>16</v>
      </c>
      <c r="B23" s="201" t="s">
        <v>287</v>
      </c>
      <c r="C23" s="202">
        <f>ROUND(+'F2019 Delivered Sales'!E31,-3)</f>
        <v>1242020000</v>
      </c>
      <c r="D23" s="202">
        <f>ROUND(+'F2019 Delivered Sales'!F31,-3)</f>
        <v>267000</v>
      </c>
      <c r="E23" s="202">
        <f>ROUND(+'F2019 Delivered Sales'!G31,-3)</f>
        <v>26262000</v>
      </c>
      <c r="F23" s="202">
        <f>ROUND(+'F2019 Delivered Sales'!H31,-3)</f>
        <v>3337000</v>
      </c>
      <c r="G23" s="202">
        <f>ROUND(+'F2019 Delivered Sales'!I31,-3)</f>
        <v>15699000</v>
      </c>
      <c r="H23" s="202">
        <f>ROUND(+'F2019 Delivered Sales'!J31,-3)</f>
        <v>1731000</v>
      </c>
      <c r="I23" s="202">
        <f>ROUND(+'F2019 Delivered Sales'!Q31,-3)</f>
        <v>315000</v>
      </c>
      <c r="J23" s="202">
        <f>ROUND(+'F2019 Delivered Sales'!T31,-3)</f>
        <v>3000</v>
      </c>
      <c r="K23" s="202">
        <f>ROUND(+'F2019 Delivered Sales'!AJ31,-3)</f>
        <v>134000</v>
      </c>
      <c r="L23" s="202">
        <f>ROUND(+'F2019 Delivered Sales'!AM31,-3)</f>
        <v>8000</v>
      </c>
      <c r="M23" s="203">
        <f t="shared" si="2"/>
        <v>1289776000</v>
      </c>
    </row>
    <row r="24" spans="1:13" x14ac:dyDescent="0.2">
      <c r="A24" s="200">
        <f t="shared" si="1"/>
        <v>17</v>
      </c>
      <c r="B24" s="201" t="s">
        <v>288</v>
      </c>
      <c r="C24" s="202">
        <f>ROUND(+'F2019 Delivered Sales'!E32,-3)</f>
        <v>1038352000</v>
      </c>
      <c r="D24" s="202">
        <f>ROUND(+'F2019 Delivered Sales'!F32,-3)</f>
        <v>205000</v>
      </c>
      <c r="E24" s="202">
        <f>ROUND(+'F2019 Delivered Sales'!G32,-3)</f>
        <v>23141000</v>
      </c>
      <c r="F24" s="202">
        <f>ROUND(+'F2019 Delivered Sales'!H32,-3)</f>
        <v>2928000</v>
      </c>
      <c r="G24" s="202">
        <f>ROUND(+'F2019 Delivered Sales'!I32,-3)</f>
        <v>13168000</v>
      </c>
      <c r="H24" s="202">
        <f>ROUND(+'F2019 Delivered Sales'!J32,-3)</f>
        <v>1550000</v>
      </c>
      <c r="I24" s="202">
        <f>ROUND(+'F2019 Delivered Sales'!Q32,-3)</f>
        <v>275000</v>
      </c>
      <c r="J24" s="202">
        <f>ROUND(+'F2019 Delivered Sales'!T32,-3)</f>
        <v>3000</v>
      </c>
      <c r="K24" s="202">
        <f>ROUND(+'F2019 Delivered Sales'!AJ32,-3)</f>
        <v>131000</v>
      </c>
      <c r="L24" s="202">
        <f>ROUND(+'F2019 Delivered Sales'!AM32,-3)</f>
        <v>7000</v>
      </c>
      <c r="M24" s="203">
        <f t="shared" si="2"/>
        <v>1079760000</v>
      </c>
    </row>
    <row r="25" spans="1:13" x14ac:dyDescent="0.2">
      <c r="A25" s="200">
        <f t="shared" si="1"/>
        <v>18</v>
      </c>
      <c r="B25" s="201" t="s">
        <v>289</v>
      </c>
      <c r="C25" s="202">
        <f>ROUND(+'F2019 Delivered Sales'!E33,-3)</f>
        <v>1039978000</v>
      </c>
      <c r="D25" s="202">
        <f>ROUND(+'F2019 Delivered Sales'!F33,-3)</f>
        <v>198000</v>
      </c>
      <c r="E25" s="202">
        <f>ROUND(+'F2019 Delivered Sales'!G33,-3)</f>
        <v>23173000</v>
      </c>
      <c r="F25" s="202">
        <f>ROUND(+'F2019 Delivered Sales'!H33,-3)</f>
        <v>3113000</v>
      </c>
      <c r="G25" s="202">
        <f>ROUND(+'F2019 Delivered Sales'!I33,-3)</f>
        <v>13458000</v>
      </c>
      <c r="H25" s="202">
        <f>ROUND(+'F2019 Delivered Sales'!J33,-3)</f>
        <v>1581000</v>
      </c>
      <c r="I25" s="202">
        <f>ROUND(+'F2019 Delivered Sales'!Q33,-3)</f>
        <v>320000</v>
      </c>
      <c r="J25" s="202">
        <f>ROUND(+'F2019 Delivered Sales'!T33,-3)</f>
        <v>3000</v>
      </c>
      <c r="K25" s="202">
        <f>ROUND(+'F2019 Delivered Sales'!AJ33,-3)</f>
        <v>136000</v>
      </c>
      <c r="L25" s="202">
        <f>ROUND(+'F2019 Delivered Sales'!AM33,-3)</f>
        <v>8000</v>
      </c>
      <c r="M25" s="203">
        <f t="shared" si="2"/>
        <v>1081968000</v>
      </c>
    </row>
    <row r="26" spans="1:13" x14ac:dyDescent="0.2">
      <c r="A26" s="200">
        <f t="shared" si="1"/>
        <v>19</v>
      </c>
      <c r="B26" s="201" t="s">
        <v>290</v>
      </c>
      <c r="C26" s="202">
        <f>ROUND(+'F2019 Delivered Sales'!E34,-3)</f>
        <v>852811000</v>
      </c>
      <c r="D26" s="202">
        <f>ROUND(+'F2019 Delivered Sales'!F34,-3)</f>
        <v>165000</v>
      </c>
      <c r="E26" s="202">
        <f>ROUND(+'F2019 Delivered Sales'!G34,-3)</f>
        <v>19855000</v>
      </c>
      <c r="F26" s="202">
        <f>ROUND(+'F2019 Delivered Sales'!H34,-3)</f>
        <v>2775000</v>
      </c>
      <c r="G26" s="202">
        <f>ROUND(+'F2019 Delivered Sales'!I34,-3)</f>
        <v>11758000</v>
      </c>
      <c r="H26" s="202">
        <f>ROUND(+'F2019 Delivered Sales'!J34,-3)</f>
        <v>1340000</v>
      </c>
      <c r="I26" s="202">
        <f>ROUND(+'F2019 Delivered Sales'!Q34,-3)</f>
        <v>330000</v>
      </c>
      <c r="J26" s="202">
        <f>ROUND(+'F2019 Delivered Sales'!T34,-3)</f>
        <v>3000</v>
      </c>
      <c r="K26" s="202">
        <f>ROUND(+'F2019 Delivered Sales'!AJ34,-3)</f>
        <v>137000</v>
      </c>
      <c r="L26" s="208">
        <f>ROUND(+'F2019 Delivered Sales'!AM34,-3)</f>
        <v>7000</v>
      </c>
      <c r="M26" s="203">
        <f t="shared" si="2"/>
        <v>889181000</v>
      </c>
    </row>
    <row r="27" spans="1:13" x14ac:dyDescent="0.2">
      <c r="A27" s="200">
        <f t="shared" si="1"/>
        <v>20</v>
      </c>
      <c r="B27" s="201" t="s">
        <v>291</v>
      </c>
      <c r="C27" s="202">
        <f>ROUND(+'F2019 Delivered Sales'!E35,-3)</f>
        <v>725866000</v>
      </c>
      <c r="D27" s="202">
        <f>ROUND(+'F2019 Delivered Sales'!F35,-3)</f>
        <v>162000</v>
      </c>
      <c r="E27" s="202">
        <f>ROUND(+'F2019 Delivered Sales'!G35,-3)</f>
        <v>17544000</v>
      </c>
      <c r="F27" s="202">
        <f>ROUND(+'F2019 Delivered Sales'!H35,-3)</f>
        <v>2592000</v>
      </c>
      <c r="G27" s="202">
        <f>ROUND(+'F2019 Delivered Sales'!I35,-3)</f>
        <v>10822000</v>
      </c>
      <c r="H27" s="202">
        <f>ROUND(+'F2019 Delivered Sales'!J35,-3)</f>
        <v>1264000</v>
      </c>
      <c r="I27" s="202">
        <f>ROUND(+'F2019 Delivered Sales'!Q35,-3)</f>
        <v>809000</v>
      </c>
      <c r="J27" s="202">
        <f>ROUND(+'F2019 Delivered Sales'!T35,-3)</f>
        <v>317000</v>
      </c>
      <c r="K27" s="202">
        <f>ROUND(+'F2019 Delivered Sales'!AJ35,-3)</f>
        <v>134000</v>
      </c>
      <c r="L27" s="208">
        <f>ROUND(+'F2019 Delivered Sales'!AM35,-3)</f>
        <v>8000</v>
      </c>
      <c r="M27" s="203">
        <f t="shared" si="2"/>
        <v>759518000</v>
      </c>
    </row>
    <row r="28" spans="1:13" x14ac:dyDescent="0.2">
      <c r="A28" s="200">
        <f t="shared" si="1"/>
        <v>21</v>
      </c>
      <c r="B28" s="201" t="s">
        <v>292</v>
      </c>
      <c r="C28" s="202">
        <f>ROUND(+'F2019 Delivered Sales'!E36,-3)</f>
        <v>667671000</v>
      </c>
      <c r="D28" s="202">
        <f>ROUND(+'F2019 Delivered Sales'!F36,-3)</f>
        <v>181000</v>
      </c>
      <c r="E28" s="202">
        <f>ROUND(+'F2019 Delivered Sales'!G36,-3)</f>
        <v>17326000</v>
      </c>
      <c r="F28" s="202">
        <f>ROUND(+'F2019 Delivered Sales'!H36,-3)</f>
        <v>2510000</v>
      </c>
      <c r="G28" s="202">
        <f>ROUND(+'F2019 Delivered Sales'!I36,-3)</f>
        <v>10564000</v>
      </c>
      <c r="H28" s="202">
        <f>ROUND(+'F2019 Delivered Sales'!J36,-3)</f>
        <v>1224000</v>
      </c>
      <c r="I28" s="202">
        <f>ROUND(+'F2019 Delivered Sales'!Q36,-3)</f>
        <v>1465000</v>
      </c>
      <c r="J28" s="202">
        <f>ROUND(+'F2019 Delivered Sales'!T36,-3)</f>
        <v>690000</v>
      </c>
      <c r="K28" s="202">
        <f>ROUND(+'F2019 Delivered Sales'!AJ36,-3)</f>
        <v>139000</v>
      </c>
      <c r="L28" s="208">
        <f>ROUND(+'F2019 Delivered Sales'!AM36,-3)</f>
        <v>7000</v>
      </c>
      <c r="M28" s="203">
        <f t="shared" si="2"/>
        <v>701777000</v>
      </c>
    </row>
    <row r="29" spans="1:13" x14ac:dyDescent="0.2">
      <c r="A29" s="200">
        <f t="shared" si="1"/>
        <v>22</v>
      </c>
      <c r="B29" s="201" t="s">
        <v>293</v>
      </c>
      <c r="C29" s="202">
        <f>ROUND(+'F2019 Delivered Sales'!E37,-3)</f>
        <v>683592000</v>
      </c>
      <c r="D29" s="202">
        <f>ROUND(+'F2019 Delivered Sales'!F37,-3)</f>
        <v>228000</v>
      </c>
      <c r="E29" s="202">
        <f>ROUND(+'F2019 Delivered Sales'!G37,-3)</f>
        <v>17487000</v>
      </c>
      <c r="F29" s="202">
        <f>ROUND(+'F2019 Delivered Sales'!H37,-3)</f>
        <v>2569000</v>
      </c>
      <c r="G29" s="202">
        <f>ROUND(+'F2019 Delivered Sales'!I37,-3)</f>
        <v>11067000</v>
      </c>
      <c r="H29" s="202">
        <f>ROUND(+'F2019 Delivered Sales'!J37,-3)</f>
        <v>1515000</v>
      </c>
      <c r="I29" s="202">
        <f>ROUND(+'F2019 Delivered Sales'!Q37,-3)</f>
        <v>2632000</v>
      </c>
      <c r="J29" s="202">
        <f>ROUND(+'F2019 Delivered Sales'!T37,-3)</f>
        <v>720000</v>
      </c>
      <c r="K29" s="202">
        <f>ROUND(+'F2019 Delivered Sales'!AJ37,-3)</f>
        <v>138000</v>
      </c>
      <c r="L29" s="208">
        <f>ROUND(+'F2019 Delivered Sales'!AM37,-3)</f>
        <v>8000</v>
      </c>
      <c r="M29" s="203">
        <f t="shared" si="2"/>
        <v>719956000</v>
      </c>
    </row>
    <row r="30" spans="1:13" x14ac:dyDescent="0.2">
      <c r="A30" s="200">
        <f t="shared" si="1"/>
        <v>23</v>
      </c>
      <c r="B30" s="201" t="s">
        <v>294</v>
      </c>
      <c r="C30" s="202">
        <f>ROUND(+'F2019 Delivered Sales'!E38,-3)</f>
        <v>669278000</v>
      </c>
      <c r="D30" s="202">
        <f>ROUND(+'F2019 Delivered Sales'!F38,-3)</f>
        <v>230000</v>
      </c>
      <c r="E30" s="202">
        <f>ROUND(+'F2019 Delivered Sales'!G38,-3)</f>
        <v>17871000</v>
      </c>
      <c r="F30" s="202">
        <f>ROUND(+'F2019 Delivered Sales'!H38,-3)</f>
        <v>2600000</v>
      </c>
      <c r="G30" s="202">
        <f>ROUND(+'F2019 Delivered Sales'!I38,-3)</f>
        <v>11532000</v>
      </c>
      <c r="H30" s="202">
        <f>ROUND(+'F2019 Delivered Sales'!J38,-3)</f>
        <v>1754000</v>
      </c>
      <c r="I30" s="202">
        <f>ROUND(+'F2019 Delivered Sales'!Q38,-3)</f>
        <v>3932000</v>
      </c>
      <c r="J30" s="202">
        <f>ROUND(+'F2019 Delivered Sales'!T38,-3)</f>
        <v>963000</v>
      </c>
      <c r="K30" s="202">
        <f>ROUND(+'F2019 Delivered Sales'!AJ38,-3)</f>
        <v>143000</v>
      </c>
      <c r="L30" s="208">
        <f>ROUND(+'F2019 Delivered Sales'!AM38,-3)</f>
        <v>7000</v>
      </c>
      <c r="M30" s="203">
        <f t="shared" ref="M30:M31" si="3">SUM(C30:L30)</f>
        <v>708310000</v>
      </c>
    </row>
    <row r="31" spans="1:13" x14ac:dyDescent="0.2">
      <c r="A31" s="200">
        <f t="shared" si="1"/>
        <v>24</v>
      </c>
      <c r="B31" s="204" t="s">
        <v>295</v>
      </c>
      <c r="C31" s="205">
        <f>ROUND(+'F2019 Delivered Sales'!E39,-3)</f>
        <v>660225000</v>
      </c>
      <c r="D31" s="205">
        <f>ROUND(+'F2019 Delivered Sales'!F39,-3)</f>
        <v>194000</v>
      </c>
      <c r="E31" s="205">
        <f>ROUND(+'F2019 Delivered Sales'!G39,-3)</f>
        <v>16746000</v>
      </c>
      <c r="F31" s="205">
        <f>ROUND(+'F2019 Delivered Sales'!H39,-3)</f>
        <v>2462000</v>
      </c>
      <c r="G31" s="205">
        <f>ROUND(+'F2019 Delivered Sales'!I39,-3)</f>
        <v>10805000</v>
      </c>
      <c r="H31" s="205">
        <f>ROUND(+'F2019 Delivered Sales'!J39,-3)</f>
        <v>1426000</v>
      </c>
      <c r="I31" s="205">
        <f>ROUND(+'F2019 Delivered Sales'!Q39,-3)</f>
        <v>3005000</v>
      </c>
      <c r="J31" s="205">
        <f>ROUND(+'F2019 Delivered Sales'!T39,-3)</f>
        <v>817000</v>
      </c>
      <c r="K31" s="205">
        <f>ROUND(+'F2019 Delivered Sales'!AJ39,-3)</f>
        <v>128000</v>
      </c>
      <c r="L31" s="206">
        <f>ROUND(+'F2019 Delivered Sales'!AM39,-3)</f>
        <v>7000</v>
      </c>
      <c r="M31" s="207">
        <f t="shared" si="3"/>
        <v>695815000</v>
      </c>
    </row>
    <row r="32" spans="1:13" ht="12" thickBot="1" x14ac:dyDescent="0.25">
      <c r="A32" s="75"/>
      <c r="B32" s="19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</row>
    <row r="33" spans="1:13" ht="12" thickBot="1" x14ac:dyDescent="0.25">
      <c r="A33" s="75">
        <f>+A31+1</f>
        <v>25</v>
      </c>
      <c r="B33" s="209" t="s">
        <v>296</v>
      </c>
      <c r="C33" s="210"/>
      <c r="D33" s="210"/>
      <c r="E33" s="210"/>
      <c r="F33" s="210"/>
      <c r="G33" s="210"/>
      <c r="H33" s="210"/>
      <c r="I33" s="210"/>
      <c r="J33" s="210"/>
      <c r="K33" s="211">
        <f>SUM(K8:K19)</f>
        <v>1682000</v>
      </c>
      <c r="L33" s="211">
        <f>SUM(L8:L19)</f>
        <v>87000</v>
      </c>
      <c r="M33" s="211">
        <f>SUM(M8:M19)</f>
        <v>11071286000</v>
      </c>
    </row>
    <row r="34" spans="1:13" ht="12" thickBot="1" x14ac:dyDescent="0.25"/>
    <row r="35" spans="1:13" ht="12" thickBot="1" x14ac:dyDescent="0.25">
      <c r="A35" s="75">
        <f>+A33+1</f>
        <v>26</v>
      </c>
      <c r="B35" s="212" t="s">
        <v>297</v>
      </c>
      <c r="C35" s="210"/>
      <c r="D35" s="210"/>
      <c r="E35" s="210"/>
      <c r="F35" s="210"/>
      <c r="G35" s="210"/>
      <c r="H35" s="210"/>
      <c r="I35" s="210"/>
      <c r="J35" s="210"/>
      <c r="K35" s="213">
        <f>SUM(K20:K31)</f>
        <v>1668000</v>
      </c>
      <c r="L35" s="213">
        <f>SUM(L20:L31)</f>
        <v>91000</v>
      </c>
      <c r="M35" s="211">
        <f>SUM(M20:M31)</f>
        <v>11196276000</v>
      </c>
    </row>
    <row r="37" spans="1:13" x14ac:dyDescent="0.2">
      <c r="B37" s="18" t="s">
        <v>317</v>
      </c>
      <c r="M37" s="21"/>
    </row>
  </sheetData>
  <mergeCells count="4">
    <mergeCell ref="A1:N1"/>
    <mergeCell ref="A3:N3"/>
    <mergeCell ref="A4:N4"/>
    <mergeCell ref="A2:N2"/>
  </mergeCells>
  <phoneticPr fontId="0" type="noConversion"/>
  <printOptions horizontalCentered="1"/>
  <pageMargins left="0.75" right="0.75" top="1" bottom="1" header="0.5" footer="0.5"/>
  <pageSetup scale="71" orientation="landscape" cellComments="asDisplayed" horizontalDpi="300" verticalDpi="300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8"/>
  <sheetViews>
    <sheetView zoomScaleNormal="100" workbookViewId="0">
      <pane ySplit="6" topLeftCell="A7" activePane="bottomLeft" state="frozen"/>
      <selection pane="bottomLeft" activeCell="E16" sqref="E16"/>
    </sheetView>
  </sheetViews>
  <sheetFormatPr defaultColWidth="9.140625" defaultRowHeight="12.75" x14ac:dyDescent="0.2"/>
  <cols>
    <col min="1" max="1" width="10.7109375" customWidth="1"/>
    <col min="2" max="2" width="5.140625" bestFit="1" customWidth="1"/>
    <col min="3" max="4" width="7.85546875" bestFit="1" customWidth="1"/>
    <col min="5" max="5" width="10.85546875" bestFit="1" customWidth="1"/>
    <col min="6" max="6" width="8.42578125" bestFit="1" customWidth="1"/>
    <col min="7" max="10" width="8.85546875" bestFit="1" customWidth="1"/>
    <col min="11" max="11" width="9.5703125" bestFit="1" customWidth="1"/>
    <col min="12" max="12" width="7.85546875" bestFit="1" customWidth="1"/>
    <col min="13" max="13" width="9.5703125" bestFit="1" customWidth="1"/>
    <col min="14" max="14" width="8.7109375" bestFit="1" customWidth="1"/>
    <col min="15" max="15" width="9.5703125" bestFit="1" customWidth="1"/>
    <col min="16" max="16" width="8.7109375" bestFit="1" customWidth="1"/>
    <col min="17" max="18" width="8.85546875" bestFit="1" customWidth="1"/>
    <col min="19" max="19" width="8.7109375" bestFit="1" customWidth="1"/>
    <col min="20" max="20" width="8.85546875" bestFit="1" customWidth="1"/>
    <col min="21" max="21" width="9.140625" customWidth="1"/>
    <col min="22" max="22" width="7.85546875" bestFit="1" customWidth="1"/>
    <col min="23" max="24" width="8.85546875" bestFit="1" customWidth="1"/>
    <col min="25" max="25" width="7.85546875" bestFit="1" customWidth="1"/>
    <col min="26" max="26" width="8.85546875" bestFit="1" customWidth="1"/>
    <col min="27" max="27" width="8.7109375" bestFit="1" customWidth="1"/>
    <col min="28" max="34" width="7.85546875" bestFit="1" customWidth="1"/>
    <col min="35" max="36" width="8.85546875" bestFit="1" customWidth="1"/>
    <col min="37" max="37" width="7.85546875" bestFit="1" customWidth="1"/>
    <col min="38" max="39" width="8.85546875" bestFit="1" customWidth="1"/>
    <col min="40" max="40" width="10.85546875" bestFit="1" customWidth="1"/>
    <col min="41" max="41" width="8.28515625" bestFit="1" customWidth="1"/>
    <col min="42" max="42" width="9.5703125" bestFit="1" customWidth="1"/>
    <col min="43" max="43" width="8.7109375" bestFit="1" customWidth="1"/>
    <col min="44" max="44" width="12.42578125" bestFit="1" customWidth="1"/>
    <col min="45" max="45" width="14.85546875" bestFit="1" customWidth="1"/>
    <col min="46" max="16384" width="9.140625" style="2"/>
  </cols>
  <sheetData>
    <row r="1" spans="1:45" x14ac:dyDescent="0.2">
      <c r="A1" s="113" t="s">
        <v>144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13" t="s">
        <v>144</v>
      </c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1:45" x14ac:dyDescent="0.2">
      <c r="A2" s="113" t="s">
        <v>145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13" t="s">
        <v>145</v>
      </c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</row>
    <row r="3" spans="1:45" x14ac:dyDescent="0.2">
      <c r="A3" s="114" t="s">
        <v>71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14" t="s">
        <v>71</v>
      </c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</row>
    <row r="4" spans="1:45" x14ac:dyDescent="0.2">
      <c r="A4" s="115"/>
      <c r="B4" s="114"/>
      <c r="C4" s="116">
        <v>3</v>
      </c>
      <c r="D4" s="116">
        <v>5</v>
      </c>
      <c r="E4" s="116">
        <v>7</v>
      </c>
      <c r="F4" s="116" t="s">
        <v>143</v>
      </c>
      <c r="G4" s="116">
        <v>24</v>
      </c>
      <c r="H4" s="116">
        <v>31</v>
      </c>
      <c r="I4" s="116">
        <v>25</v>
      </c>
      <c r="J4" s="116">
        <v>26</v>
      </c>
      <c r="K4" s="116">
        <v>24</v>
      </c>
      <c r="L4" s="116">
        <v>24</v>
      </c>
      <c r="M4" s="116">
        <v>25</v>
      </c>
      <c r="N4" s="116">
        <v>25</v>
      </c>
      <c r="O4" s="116">
        <v>26</v>
      </c>
      <c r="P4" s="116">
        <v>26</v>
      </c>
      <c r="Q4" s="116">
        <v>29</v>
      </c>
      <c r="R4" s="116">
        <v>31</v>
      </c>
      <c r="S4" s="116">
        <v>31</v>
      </c>
      <c r="T4" s="116">
        <v>35</v>
      </c>
      <c r="U4" s="116">
        <v>40</v>
      </c>
      <c r="V4" s="116">
        <v>40</v>
      </c>
      <c r="W4" s="116">
        <v>43</v>
      </c>
      <c r="X4" s="116">
        <v>46</v>
      </c>
      <c r="Y4" s="116">
        <v>46</v>
      </c>
      <c r="Z4" s="116">
        <v>49</v>
      </c>
      <c r="AA4" s="116">
        <v>49</v>
      </c>
      <c r="AB4" s="116">
        <v>24</v>
      </c>
      <c r="AC4" s="116">
        <v>25</v>
      </c>
      <c r="AD4" s="116">
        <v>50</v>
      </c>
      <c r="AE4" s="116">
        <v>51</v>
      </c>
      <c r="AF4" s="116">
        <v>52</v>
      </c>
      <c r="AG4" s="116">
        <v>53</v>
      </c>
      <c r="AH4" s="116">
        <v>54</v>
      </c>
      <c r="AI4" s="116">
        <v>55</v>
      </c>
      <c r="AJ4" s="116">
        <v>56</v>
      </c>
      <c r="AK4" s="116">
        <v>57</v>
      </c>
      <c r="AL4" s="116">
        <v>58</v>
      </c>
      <c r="AM4" s="116">
        <v>59</v>
      </c>
      <c r="AN4" s="116"/>
      <c r="AO4" s="116">
        <v>449</v>
      </c>
      <c r="AP4" s="116">
        <v>449</v>
      </c>
      <c r="AQ4" s="116">
        <v>459</v>
      </c>
      <c r="AR4" s="116"/>
      <c r="AS4" s="116" t="s">
        <v>146</v>
      </c>
    </row>
    <row r="5" spans="1:45" x14ac:dyDescent="0.2">
      <c r="A5" s="100"/>
      <c r="B5" s="100"/>
      <c r="C5" s="100" t="s">
        <v>147</v>
      </c>
      <c r="D5" s="100" t="s">
        <v>148</v>
      </c>
      <c r="E5" s="100" t="s">
        <v>142</v>
      </c>
      <c r="F5" s="100" t="s">
        <v>142</v>
      </c>
      <c r="G5" s="100" t="s">
        <v>149</v>
      </c>
      <c r="H5" s="100" t="s">
        <v>149</v>
      </c>
      <c r="I5" s="100" t="s">
        <v>149</v>
      </c>
      <c r="J5" s="100" t="s">
        <v>149</v>
      </c>
      <c r="K5" s="100" t="s">
        <v>149</v>
      </c>
      <c r="L5" s="100" t="s">
        <v>150</v>
      </c>
      <c r="M5" s="100" t="s">
        <v>149</v>
      </c>
      <c r="N5" s="100" t="s">
        <v>150</v>
      </c>
      <c r="O5" s="100" t="s">
        <v>149</v>
      </c>
      <c r="P5" s="100" t="s">
        <v>150</v>
      </c>
      <c r="Q5" s="100" t="s">
        <v>149</v>
      </c>
      <c r="R5" s="100" t="s">
        <v>149</v>
      </c>
      <c r="S5" s="100" t="s">
        <v>150</v>
      </c>
      <c r="T5" s="100" t="s">
        <v>149</v>
      </c>
      <c r="U5" s="100" t="s">
        <v>149</v>
      </c>
      <c r="V5" s="100" t="s">
        <v>150</v>
      </c>
      <c r="W5" s="100" t="s">
        <v>149</v>
      </c>
      <c r="X5" s="100" t="s">
        <v>149</v>
      </c>
      <c r="Y5" s="100" t="s">
        <v>150</v>
      </c>
      <c r="Z5" s="100" t="s">
        <v>149</v>
      </c>
      <c r="AA5" s="100" t="s">
        <v>150</v>
      </c>
      <c r="AB5" s="100" t="s">
        <v>147</v>
      </c>
      <c r="AC5" s="100" t="s">
        <v>147</v>
      </c>
      <c r="AD5" s="100" t="s">
        <v>147</v>
      </c>
      <c r="AE5" s="100" t="s">
        <v>147</v>
      </c>
      <c r="AF5" s="100" t="s">
        <v>147</v>
      </c>
      <c r="AG5" s="100" t="s">
        <v>147</v>
      </c>
      <c r="AH5" s="100" t="s">
        <v>147</v>
      </c>
      <c r="AI5" s="100" t="s">
        <v>149</v>
      </c>
      <c r="AJ5" s="100" t="s">
        <v>149</v>
      </c>
      <c r="AK5" s="100" t="s">
        <v>147</v>
      </c>
      <c r="AL5" s="100" t="s">
        <v>149</v>
      </c>
      <c r="AM5" s="100" t="s">
        <v>149</v>
      </c>
      <c r="AN5" s="100"/>
      <c r="AO5" s="100" t="s">
        <v>151</v>
      </c>
      <c r="AP5" s="100" t="s">
        <v>151</v>
      </c>
      <c r="AQ5" s="100" t="s">
        <v>151</v>
      </c>
      <c r="AR5" s="100"/>
      <c r="AS5" s="100"/>
    </row>
    <row r="6" spans="1:45" x14ac:dyDescent="0.2">
      <c r="A6" s="117" t="s">
        <v>72</v>
      </c>
      <c r="B6" s="117" t="s">
        <v>10</v>
      </c>
      <c r="C6" s="117" t="s">
        <v>102</v>
      </c>
      <c r="D6" s="118" t="s">
        <v>73</v>
      </c>
      <c r="E6" s="118" t="s">
        <v>74</v>
      </c>
      <c r="F6" s="118" t="s">
        <v>75</v>
      </c>
      <c r="G6" s="118" t="s">
        <v>76</v>
      </c>
      <c r="H6" s="118" t="s">
        <v>77</v>
      </c>
      <c r="I6" s="118" t="s">
        <v>78</v>
      </c>
      <c r="J6" s="118" t="s">
        <v>79</v>
      </c>
      <c r="K6" s="118" t="s">
        <v>80</v>
      </c>
      <c r="L6" s="118" t="s">
        <v>81</v>
      </c>
      <c r="M6" s="118" t="s">
        <v>82</v>
      </c>
      <c r="N6" s="118" t="s">
        <v>83</v>
      </c>
      <c r="O6" s="118" t="s">
        <v>84</v>
      </c>
      <c r="P6" s="118" t="s">
        <v>85</v>
      </c>
      <c r="Q6" s="118" t="s">
        <v>86</v>
      </c>
      <c r="R6" s="118" t="s">
        <v>87</v>
      </c>
      <c r="S6" s="118" t="s">
        <v>88</v>
      </c>
      <c r="T6" s="118" t="s">
        <v>89</v>
      </c>
      <c r="U6" s="118" t="s">
        <v>152</v>
      </c>
      <c r="V6" s="118" t="s">
        <v>153</v>
      </c>
      <c r="W6" s="118" t="s">
        <v>90</v>
      </c>
      <c r="X6" s="118" t="s">
        <v>91</v>
      </c>
      <c r="Y6" s="118" t="s">
        <v>92</v>
      </c>
      <c r="Z6" s="118" t="s">
        <v>93</v>
      </c>
      <c r="AA6" s="118" t="s">
        <v>94</v>
      </c>
      <c r="AB6" s="118" t="s">
        <v>95</v>
      </c>
      <c r="AC6" s="118" t="s">
        <v>96</v>
      </c>
      <c r="AD6" s="118" t="s">
        <v>103</v>
      </c>
      <c r="AE6" s="118" t="s">
        <v>104</v>
      </c>
      <c r="AF6" s="118" t="s">
        <v>105</v>
      </c>
      <c r="AG6" s="118" t="s">
        <v>106</v>
      </c>
      <c r="AH6" s="118" t="s">
        <v>107</v>
      </c>
      <c r="AI6" s="118" t="s">
        <v>108</v>
      </c>
      <c r="AJ6" s="118" t="s">
        <v>109</v>
      </c>
      <c r="AK6" s="118" t="s">
        <v>110</v>
      </c>
      <c r="AL6" s="118" t="s">
        <v>111</v>
      </c>
      <c r="AM6" s="119" t="s">
        <v>112</v>
      </c>
      <c r="AN6" s="120" t="s">
        <v>154</v>
      </c>
      <c r="AO6" s="117" t="s">
        <v>155</v>
      </c>
      <c r="AP6" s="118" t="s">
        <v>156</v>
      </c>
      <c r="AQ6" s="119" t="s">
        <v>157</v>
      </c>
      <c r="AR6" s="120" t="s">
        <v>158</v>
      </c>
      <c r="AS6" s="120" t="s">
        <v>146</v>
      </c>
    </row>
    <row r="7" spans="1:45" x14ac:dyDescent="0.2">
      <c r="A7" s="101">
        <v>2019</v>
      </c>
      <c r="B7" s="101">
        <v>1</v>
      </c>
      <c r="C7" s="102">
        <v>509.72800473191091</v>
      </c>
      <c r="D7" s="103">
        <v>878000</v>
      </c>
      <c r="E7" s="103">
        <v>1205833543.7150466</v>
      </c>
      <c r="F7" s="103">
        <v>261456.28495344982</v>
      </c>
      <c r="G7" s="103">
        <v>26933541.609471414</v>
      </c>
      <c r="H7" s="103">
        <v>3302199.0028720549</v>
      </c>
      <c r="I7" s="103">
        <v>15481134.9788788</v>
      </c>
      <c r="J7" s="103">
        <v>1707106.3586809863</v>
      </c>
      <c r="K7" s="103">
        <v>236978213.198154</v>
      </c>
      <c r="L7" s="103">
        <v>9381565.235323688</v>
      </c>
      <c r="M7" s="103">
        <v>235165110.89765632</v>
      </c>
      <c r="N7" s="103">
        <v>16428614.462821111</v>
      </c>
      <c r="O7" s="103">
        <v>131966851.06621858</v>
      </c>
      <c r="P7" s="103">
        <v>18168966.181809507</v>
      </c>
      <c r="Q7" s="103">
        <v>301937.28231994191</v>
      </c>
      <c r="R7" s="103">
        <v>69498131.048380747</v>
      </c>
      <c r="S7" s="103">
        <v>42635746.348964617</v>
      </c>
      <c r="T7" s="103">
        <v>2870.7939084698778</v>
      </c>
      <c r="U7" s="103">
        <v>2461038.5574494493</v>
      </c>
      <c r="V7" s="103">
        <v>4972058.9928562883</v>
      </c>
      <c r="W7" s="103">
        <v>14609540.670209425</v>
      </c>
      <c r="X7" s="103">
        <v>1643773.9740973492</v>
      </c>
      <c r="Y7" s="103">
        <v>4208964.6297012707</v>
      </c>
      <c r="Z7" s="103">
        <v>35088369.462348193</v>
      </c>
      <c r="AA7" s="103">
        <v>10470084.14852351</v>
      </c>
      <c r="AB7" s="103">
        <v>1177734.1256194082</v>
      </c>
      <c r="AC7" s="103">
        <v>96576.133404102366</v>
      </c>
      <c r="AD7" s="103">
        <v>4197.432721399301</v>
      </c>
      <c r="AE7" s="103">
        <v>167127.00274527672</v>
      </c>
      <c r="AF7" s="103">
        <v>982576.1156687797</v>
      </c>
      <c r="AG7" s="103">
        <v>2637611.7117960579</v>
      </c>
      <c r="AH7" s="103">
        <v>488552.84279094019</v>
      </c>
      <c r="AI7" s="103">
        <v>149496.49655719372</v>
      </c>
      <c r="AJ7" s="103">
        <v>138816.9412379399</v>
      </c>
      <c r="AK7" s="103">
        <v>437114.90724930336</v>
      </c>
      <c r="AL7" s="103">
        <v>183725.99330180133</v>
      </c>
      <c r="AM7" s="103">
        <v>7141.6682572379186</v>
      </c>
      <c r="AN7" s="104">
        <v>2094849999.9999995</v>
      </c>
      <c r="AO7" s="103">
        <v>6112648.5880943853</v>
      </c>
      <c r="AP7" s="103">
        <v>137179048.64930895</v>
      </c>
      <c r="AQ7" s="103">
        <v>26005302.762596671</v>
      </c>
      <c r="AR7" s="104">
        <v>2264146999.9999995</v>
      </c>
      <c r="AS7" s="104">
        <v>43673125.728938505</v>
      </c>
    </row>
    <row r="8" spans="1:45" x14ac:dyDescent="0.2">
      <c r="A8" s="121">
        <v>2019</v>
      </c>
      <c r="B8" s="105">
        <v>2</v>
      </c>
      <c r="C8" s="106">
        <v>523.69852628588421</v>
      </c>
      <c r="D8" s="107">
        <v>878000</v>
      </c>
      <c r="E8" s="107">
        <v>1058217584.3017401</v>
      </c>
      <c r="F8" s="107">
        <v>211415.69825986051</v>
      </c>
      <c r="G8" s="107">
        <v>22840871.884342395</v>
      </c>
      <c r="H8" s="107">
        <v>2789901.5712518184</v>
      </c>
      <c r="I8" s="107">
        <v>12497083.123088598</v>
      </c>
      <c r="J8" s="107">
        <v>1470666.8401149379</v>
      </c>
      <c r="K8" s="107">
        <v>197733776.1017825</v>
      </c>
      <c r="L8" s="107">
        <v>7197259.9356882256</v>
      </c>
      <c r="M8" s="107">
        <v>207818780.72797257</v>
      </c>
      <c r="N8" s="107">
        <v>13481896.939452434</v>
      </c>
      <c r="O8" s="107">
        <v>115609137.39204735</v>
      </c>
      <c r="P8" s="107">
        <v>15591932.956333885</v>
      </c>
      <c r="Q8" s="107">
        <v>253415.91213331645</v>
      </c>
      <c r="R8" s="107">
        <v>61604847.294203922</v>
      </c>
      <c r="S8" s="107">
        <v>34379061.641598143</v>
      </c>
      <c r="T8" s="107">
        <v>2581.1230045240823</v>
      </c>
      <c r="U8" s="107">
        <v>3983908.833522622</v>
      </c>
      <c r="V8" s="107">
        <v>3986247.89576395</v>
      </c>
      <c r="W8" s="107">
        <v>12646784.16049191</v>
      </c>
      <c r="X8" s="107">
        <v>1338554.2108068226</v>
      </c>
      <c r="Y8" s="107">
        <v>4528878.3908186406</v>
      </c>
      <c r="Z8" s="107">
        <v>28578321.178691663</v>
      </c>
      <c r="AA8" s="107">
        <v>7884722.2403447349</v>
      </c>
      <c r="AB8" s="107">
        <v>1106956.6498045069</v>
      </c>
      <c r="AC8" s="107">
        <v>95580.055609748379</v>
      </c>
      <c r="AD8" s="107">
        <v>4312.4751043197839</v>
      </c>
      <c r="AE8" s="107">
        <v>174414.39014880144</v>
      </c>
      <c r="AF8" s="107">
        <v>1009578.6877913505</v>
      </c>
      <c r="AG8" s="107">
        <v>2637199.7650613794</v>
      </c>
      <c r="AH8" s="107">
        <v>501554.98162498372</v>
      </c>
      <c r="AI8" s="107">
        <v>137325.51848724554</v>
      </c>
      <c r="AJ8" s="107">
        <v>130525.44179966272</v>
      </c>
      <c r="AK8" s="107">
        <v>260879.2963286232</v>
      </c>
      <c r="AL8" s="107">
        <v>161443.96755014316</v>
      </c>
      <c r="AM8" s="107">
        <v>6074.7187078951429</v>
      </c>
      <c r="AN8" s="108">
        <v>1821751999.9999995</v>
      </c>
      <c r="AO8" s="107">
        <v>5953479.7341117887</v>
      </c>
      <c r="AP8" s="107">
        <v>135156054.84300706</v>
      </c>
      <c r="AQ8" s="107">
        <v>25703465.422881145</v>
      </c>
      <c r="AR8" s="108">
        <v>1988564999.9999995</v>
      </c>
      <c r="AS8" s="108">
        <v>41464211.5796846</v>
      </c>
    </row>
    <row r="9" spans="1:45" x14ac:dyDescent="0.2">
      <c r="A9" s="121">
        <v>2019</v>
      </c>
      <c r="B9" s="105">
        <v>3</v>
      </c>
      <c r="C9" s="106">
        <v>627.2150063603716</v>
      </c>
      <c r="D9" s="107">
        <v>855000</v>
      </c>
      <c r="E9" s="107">
        <v>1050641914.4843835</v>
      </c>
      <c r="F9" s="107">
        <v>202085.51561649956</v>
      </c>
      <c r="G9" s="107">
        <v>24317077.621895652</v>
      </c>
      <c r="H9" s="107">
        <v>3153245.3720860826</v>
      </c>
      <c r="I9" s="107">
        <v>13579146.018590661</v>
      </c>
      <c r="J9" s="107">
        <v>1594915.2402668057</v>
      </c>
      <c r="K9" s="107">
        <v>226324876.57232201</v>
      </c>
      <c r="L9" s="107">
        <v>8921496.3701423761</v>
      </c>
      <c r="M9" s="107">
        <v>224784620.90818322</v>
      </c>
      <c r="N9" s="107">
        <v>16042738.150817212</v>
      </c>
      <c r="O9" s="107">
        <v>130385236.91324492</v>
      </c>
      <c r="P9" s="107">
        <v>18503478.109926656</v>
      </c>
      <c r="Q9" s="107">
        <v>313252.69992983667</v>
      </c>
      <c r="R9" s="107">
        <v>69823031.495293722</v>
      </c>
      <c r="S9" s="107">
        <v>40485491.910691679</v>
      </c>
      <c r="T9" s="107">
        <v>2986.8024241859939</v>
      </c>
      <c r="U9" s="107">
        <v>7031396.4358538389</v>
      </c>
      <c r="V9" s="107">
        <v>4858023.1359269824</v>
      </c>
      <c r="W9" s="107">
        <v>13028435.475927999</v>
      </c>
      <c r="X9" s="107">
        <v>1691153.5526012285</v>
      </c>
      <c r="Y9" s="107">
        <v>5935964.4490069365</v>
      </c>
      <c r="Z9" s="107">
        <v>37188998.947648048</v>
      </c>
      <c r="AA9" s="107">
        <v>10098807.873488147</v>
      </c>
      <c r="AB9" s="107">
        <v>1214189.5738132049</v>
      </c>
      <c r="AC9" s="107">
        <v>111196.67665008956</v>
      </c>
      <c r="AD9" s="107">
        <v>5164.8972915159866</v>
      </c>
      <c r="AE9" s="107">
        <v>209646.83999701479</v>
      </c>
      <c r="AF9" s="107">
        <v>1211100.9659106552</v>
      </c>
      <c r="AG9" s="107">
        <v>3145432.5231296602</v>
      </c>
      <c r="AH9" s="107">
        <v>601203.10067323805</v>
      </c>
      <c r="AI9" s="107">
        <v>155912.87164063973</v>
      </c>
      <c r="AJ9" s="107">
        <v>144023.93980252562</v>
      </c>
      <c r="AK9" s="107">
        <v>294438.20752826257</v>
      </c>
      <c r="AL9" s="107">
        <v>192239.32699610043</v>
      </c>
      <c r="AM9" s="107">
        <v>7449.8052926189421</v>
      </c>
      <c r="AN9" s="108">
        <v>1917056000.0000002</v>
      </c>
      <c r="AO9" s="107">
        <v>5784369.9523458397</v>
      </c>
      <c r="AP9" s="107">
        <v>136230339.61754012</v>
      </c>
      <c r="AQ9" s="107">
        <v>25095290.430114042</v>
      </c>
      <c r="AR9" s="108">
        <v>2084166000.0000002</v>
      </c>
      <c r="AS9" s="108">
        <v>43673125.72893852</v>
      </c>
    </row>
    <row r="10" spans="1:45" x14ac:dyDescent="0.2">
      <c r="A10" s="121">
        <v>2019</v>
      </c>
      <c r="B10" s="105">
        <v>4</v>
      </c>
      <c r="C10" s="106">
        <v>577.85872875601581</v>
      </c>
      <c r="D10" s="107">
        <v>634000</v>
      </c>
      <c r="E10" s="107">
        <v>866260476.30483615</v>
      </c>
      <c r="F10" s="107">
        <v>168523.69516398347</v>
      </c>
      <c r="G10" s="107">
        <v>20913472.504831307</v>
      </c>
      <c r="H10" s="107">
        <v>2821981.0321687013</v>
      </c>
      <c r="I10" s="107">
        <v>11908711.002610626</v>
      </c>
      <c r="J10" s="107">
        <v>1356991.3160537903</v>
      </c>
      <c r="K10" s="107">
        <v>202542148.86870095</v>
      </c>
      <c r="L10" s="107">
        <v>7698982.8195256116</v>
      </c>
      <c r="M10" s="107">
        <v>213219834.39063767</v>
      </c>
      <c r="N10" s="107">
        <v>14703288.658789642</v>
      </c>
      <c r="O10" s="107">
        <v>121355828.73759653</v>
      </c>
      <c r="P10" s="107">
        <v>17397809.386380237</v>
      </c>
      <c r="Q10" s="107">
        <v>324314.86148206936</v>
      </c>
      <c r="R10" s="107">
        <v>64418621.675636344</v>
      </c>
      <c r="S10" s="107">
        <v>38811163.614338763</v>
      </c>
      <c r="T10" s="107">
        <v>2906.6377408952389</v>
      </c>
      <c r="U10" s="107">
        <v>6808049.6148796435</v>
      </c>
      <c r="V10" s="107">
        <v>4412571.2002123864</v>
      </c>
      <c r="W10" s="107">
        <v>10268555.298143862</v>
      </c>
      <c r="X10" s="107">
        <v>1529027.8573134381</v>
      </c>
      <c r="Y10" s="107">
        <v>4127074.5680107423</v>
      </c>
      <c r="Z10" s="107">
        <v>34345506.939451016</v>
      </c>
      <c r="AA10" s="107">
        <v>10070109.752742605</v>
      </c>
      <c r="AB10" s="107">
        <v>956978.59141222725</v>
      </c>
      <c r="AC10" s="107">
        <v>85681.609702462854</v>
      </c>
      <c r="AD10" s="107">
        <v>4758.4655226121949</v>
      </c>
      <c r="AE10" s="107">
        <v>196136.2251572781</v>
      </c>
      <c r="AF10" s="107">
        <v>1118143.2244565941</v>
      </c>
      <c r="AG10" s="107">
        <v>2889089.4706148049</v>
      </c>
      <c r="AH10" s="107">
        <v>550909.83143790939</v>
      </c>
      <c r="AI10" s="107">
        <v>153888.5954654036</v>
      </c>
      <c r="AJ10" s="107">
        <v>146314.06867870348</v>
      </c>
      <c r="AK10" s="107">
        <v>272724.72296735499</v>
      </c>
      <c r="AL10" s="107">
        <v>183977.98543015527</v>
      </c>
      <c r="AM10" s="107">
        <v>6868.6131792342221</v>
      </c>
      <c r="AN10" s="108">
        <v>1662666000.0000005</v>
      </c>
      <c r="AO10" s="107">
        <v>5882729.4949268149</v>
      </c>
      <c r="AP10" s="107">
        <v>132551653.14745615</v>
      </c>
      <c r="AQ10" s="107">
        <v>20667617.357617058</v>
      </c>
      <c r="AR10" s="108">
        <v>1821768000.0000007</v>
      </c>
      <c r="AS10" s="108">
        <v>41464211.579684623</v>
      </c>
    </row>
    <row r="11" spans="1:45" x14ac:dyDescent="0.2">
      <c r="A11" s="121">
        <v>2019</v>
      </c>
      <c r="B11" s="105">
        <v>5</v>
      </c>
      <c r="C11" s="106">
        <v>586.53721810090678</v>
      </c>
      <c r="D11" s="107">
        <v>495000</v>
      </c>
      <c r="E11" s="107">
        <v>741285060.51189339</v>
      </c>
      <c r="F11" s="107">
        <v>165939.48810660737</v>
      </c>
      <c r="G11" s="107">
        <v>18515930.753476325</v>
      </c>
      <c r="H11" s="107">
        <v>2641006.6794305355</v>
      </c>
      <c r="I11" s="107">
        <v>10982656.698628612</v>
      </c>
      <c r="J11" s="107">
        <v>1283185.1809848177</v>
      </c>
      <c r="K11" s="107">
        <v>193998423.92642945</v>
      </c>
      <c r="L11" s="107">
        <v>7494521.1824133229</v>
      </c>
      <c r="M11" s="107">
        <v>211611697.94436124</v>
      </c>
      <c r="N11" s="107">
        <v>14898894.660410928</v>
      </c>
      <c r="O11" s="107">
        <v>125275897.84956001</v>
      </c>
      <c r="P11" s="107">
        <v>19130378.468518808</v>
      </c>
      <c r="Q11" s="107">
        <v>797557.15280514443</v>
      </c>
      <c r="R11" s="107">
        <v>66570432.69089628</v>
      </c>
      <c r="S11" s="107">
        <v>40913239.022539295</v>
      </c>
      <c r="T11" s="107">
        <v>322607.68732539954</v>
      </c>
      <c r="U11" s="107">
        <v>7423755.0023665056</v>
      </c>
      <c r="V11" s="107">
        <v>5050649.8600054039</v>
      </c>
      <c r="W11" s="107">
        <v>8871081.5464397985</v>
      </c>
      <c r="X11" s="107">
        <v>1693412.7669756166</v>
      </c>
      <c r="Y11" s="107">
        <v>3897795.1062515327</v>
      </c>
      <c r="Z11" s="107">
        <v>35109819.499269068</v>
      </c>
      <c r="AA11" s="107">
        <v>9746521.6998607088</v>
      </c>
      <c r="AB11" s="107">
        <v>846679.0767883833</v>
      </c>
      <c r="AC11" s="107">
        <v>64977.515480539616</v>
      </c>
      <c r="AD11" s="107">
        <v>4829.9298620449863</v>
      </c>
      <c r="AE11" s="107">
        <v>206444.31300673433</v>
      </c>
      <c r="AF11" s="107">
        <v>1135034.1633911051</v>
      </c>
      <c r="AG11" s="107">
        <v>2916744.2766787335</v>
      </c>
      <c r="AH11" s="107">
        <v>556710.81525240361</v>
      </c>
      <c r="AI11" s="107">
        <v>153723.19794576376</v>
      </c>
      <c r="AJ11" s="107">
        <v>142485.80736189615</v>
      </c>
      <c r="AK11" s="107">
        <v>520993.37232195371</v>
      </c>
      <c r="AL11" s="107">
        <v>185931.41670100132</v>
      </c>
      <c r="AM11" s="107">
        <v>7394.1990426335296</v>
      </c>
      <c r="AN11" s="108">
        <v>1534918000</v>
      </c>
      <c r="AO11" s="107">
        <v>6217174.6095178844</v>
      </c>
      <c r="AP11" s="107">
        <v>136419815.07702261</v>
      </c>
      <c r="AQ11" s="107">
        <v>22719010.31345953</v>
      </c>
      <c r="AR11" s="108">
        <v>1700274000</v>
      </c>
      <c r="AS11" s="108">
        <v>38854644.516490981</v>
      </c>
    </row>
    <row r="12" spans="1:45" x14ac:dyDescent="0.2">
      <c r="A12" s="121">
        <v>2019</v>
      </c>
      <c r="B12" s="105">
        <v>6</v>
      </c>
      <c r="C12" s="106">
        <v>608.33999364282874</v>
      </c>
      <c r="D12" s="107">
        <v>368000</v>
      </c>
      <c r="E12" s="107">
        <v>684826675.21705532</v>
      </c>
      <c r="F12" s="107">
        <v>186324.7829447457</v>
      </c>
      <c r="G12" s="107">
        <v>18324317.051918902</v>
      </c>
      <c r="H12" s="107">
        <v>2563499.1927299942</v>
      </c>
      <c r="I12" s="107">
        <v>10743496.435652709</v>
      </c>
      <c r="J12" s="107">
        <v>1244875.8659628739</v>
      </c>
      <c r="K12" s="107">
        <v>189127712.10701233</v>
      </c>
      <c r="L12" s="107">
        <v>7094182.3546909597</v>
      </c>
      <c r="M12" s="107">
        <v>213169250.64930612</v>
      </c>
      <c r="N12" s="107">
        <v>14542759.793120287</v>
      </c>
      <c r="O12" s="107">
        <v>127751044.9798685</v>
      </c>
      <c r="P12" s="107">
        <v>18712927.802507326</v>
      </c>
      <c r="Q12" s="107">
        <v>1447251.2918115447</v>
      </c>
      <c r="R12" s="107">
        <v>67668620.052583426</v>
      </c>
      <c r="S12" s="107">
        <v>40149498.437559374</v>
      </c>
      <c r="T12" s="107">
        <v>705120.69643144205</v>
      </c>
      <c r="U12" s="107">
        <v>4474458.209827479</v>
      </c>
      <c r="V12" s="107">
        <v>4935757.3740033209</v>
      </c>
      <c r="W12" s="107">
        <v>7829500.5414681425</v>
      </c>
      <c r="X12" s="107">
        <v>1815047.7252955753</v>
      </c>
      <c r="Y12" s="107">
        <v>4513778.367132145</v>
      </c>
      <c r="Z12" s="107">
        <v>34740265.910737246</v>
      </c>
      <c r="AA12" s="107">
        <v>9576095.8709865902</v>
      </c>
      <c r="AB12" s="107">
        <v>812311.11305707984</v>
      </c>
      <c r="AC12" s="107">
        <v>64207.829801618864</v>
      </c>
      <c r="AD12" s="107">
        <v>5009.4681307440351</v>
      </c>
      <c r="AE12" s="107">
        <v>224449.48810169462</v>
      </c>
      <c r="AF12" s="107">
        <v>1179511.5328150992</v>
      </c>
      <c r="AG12" s="107">
        <v>3009479.5889553996</v>
      </c>
      <c r="AH12" s="107">
        <v>575367.28827189957</v>
      </c>
      <c r="AI12" s="107">
        <v>155459.8384867484</v>
      </c>
      <c r="AJ12" s="107">
        <v>148237.93461003443</v>
      </c>
      <c r="AK12" s="107">
        <v>291055.35087282147</v>
      </c>
      <c r="AL12" s="107">
        <v>184896.21360678031</v>
      </c>
      <c r="AM12" s="107">
        <v>6945.3026899961524</v>
      </c>
      <c r="AN12" s="108">
        <v>1473168000.0000002</v>
      </c>
      <c r="AO12" s="107">
        <v>5876661.4677551258</v>
      </c>
      <c r="AP12" s="107">
        <v>132925776.04343405</v>
      </c>
      <c r="AQ12" s="107">
        <v>24602562.488810845</v>
      </c>
      <c r="AR12" s="108">
        <v>1636573000.0000002</v>
      </c>
      <c r="AS12" s="108">
        <v>38892992.397201732</v>
      </c>
    </row>
    <row r="13" spans="1:45" x14ac:dyDescent="0.2">
      <c r="A13" s="121">
        <v>2019</v>
      </c>
      <c r="B13" s="105">
        <v>7</v>
      </c>
      <c r="C13" s="106">
        <v>588.44195773608703</v>
      </c>
      <c r="D13" s="107">
        <v>320000.00000000006</v>
      </c>
      <c r="E13" s="107">
        <v>703493323.39259219</v>
      </c>
      <c r="F13" s="107">
        <v>234676.60740783278</v>
      </c>
      <c r="G13" s="107">
        <v>18546355.140842509</v>
      </c>
      <c r="H13" s="107">
        <v>2630711.9818218374</v>
      </c>
      <c r="I13" s="107">
        <v>11286062.701884484</v>
      </c>
      <c r="J13" s="107">
        <v>1544510.8273309055</v>
      </c>
      <c r="K13" s="107">
        <v>202358385.21156681</v>
      </c>
      <c r="L13" s="107">
        <v>7254810.3626493867</v>
      </c>
      <c r="M13" s="107">
        <v>225163643.30588719</v>
      </c>
      <c r="N13" s="107">
        <v>14813430.376287097</v>
      </c>
      <c r="O13" s="107">
        <v>137772882.80309474</v>
      </c>
      <c r="P13" s="107">
        <v>18563132.60201494</v>
      </c>
      <c r="Q13" s="107">
        <v>2607443.6545004435</v>
      </c>
      <c r="R13" s="107">
        <v>68474759.862354159</v>
      </c>
      <c r="S13" s="107">
        <v>40517060.834168762</v>
      </c>
      <c r="T13" s="107">
        <v>736905.72661791905</v>
      </c>
      <c r="U13" s="107">
        <v>4826080.8403660068</v>
      </c>
      <c r="V13" s="107">
        <v>5246701.9097141791</v>
      </c>
      <c r="W13" s="107">
        <v>5971294.7720119422</v>
      </c>
      <c r="X13" s="107">
        <v>2295971.5256135734</v>
      </c>
      <c r="Y13" s="107">
        <v>5042396.9538404606</v>
      </c>
      <c r="Z13" s="107">
        <v>38908154.858522512</v>
      </c>
      <c r="AA13" s="107">
        <v>9178466.9613251742</v>
      </c>
      <c r="AB13" s="107">
        <v>740292.1797587201</v>
      </c>
      <c r="AC13" s="107">
        <v>66036.761380249518</v>
      </c>
      <c r="AD13" s="107">
        <v>4845.6147300456314</v>
      </c>
      <c r="AE13" s="107">
        <v>224059.88916866275</v>
      </c>
      <c r="AF13" s="107">
        <v>1133523.2885336417</v>
      </c>
      <c r="AG13" s="107">
        <v>2905460.3689574297</v>
      </c>
      <c r="AH13" s="107">
        <v>581204.99024107901</v>
      </c>
      <c r="AI13" s="107">
        <v>159019.78337809636</v>
      </c>
      <c r="AJ13" s="107">
        <v>147548.76297632945</v>
      </c>
      <c r="AK13" s="107">
        <v>275988.46527243493</v>
      </c>
      <c r="AL13" s="107">
        <v>192574.55666552778</v>
      </c>
      <c r="AM13" s="107">
        <v>7693.6845650452024</v>
      </c>
      <c r="AN13" s="108">
        <v>1534226000.0000005</v>
      </c>
      <c r="AO13" s="107">
        <v>5946291.4359169044</v>
      </c>
      <c r="AP13" s="107">
        <v>141066517.95716622</v>
      </c>
      <c r="AQ13" s="107">
        <v>26222190.606916893</v>
      </c>
      <c r="AR13" s="108">
        <v>1707461000.0000005</v>
      </c>
      <c r="AS13" s="108">
        <v>38349988.051561423</v>
      </c>
    </row>
    <row r="14" spans="1:45" x14ac:dyDescent="0.2">
      <c r="A14" s="121">
        <v>2019</v>
      </c>
      <c r="B14" s="105">
        <v>8</v>
      </c>
      <c r="C14" s="106">
        <v>610.03045873888641</v>
      </c>
      <c r="D14" s="107">
        <v>308000</v>
      </c>
      <c r="E14" s="107">
        <v>690513603.91413653</v>
      </c>
      <c r="F14" s="107">
        <v>237396.08586338142</v>
      </c>
      <c r="G14" s="107">
        <v>19039740.558982033</v>
      </c>
      <c r="H14" s="107">
        <v>2674057.2692457559</v>
      </c>
      <c r="I14" s="107">
        <v>11814153.682650251</v>
      </c>
      <c r="J14" s="107">
        <v>1796987.9971584301</v>
      </c>
      <c r="K14" s="107">
        <v>207501251.58483821</v>
      </c>
      <c r="L14" s="107">
        <v>7457538.5402067816</v>
      </c>
      <c r="M14" s="107">
        <v>231736929.64592549</v>
      </c>
      <c r="N14" s="107">
        <v>15434192.031961149</v>
      </c>
      <c r="O14" s="107">
        <v>140924831.81192708</v>
      </c>
      <c r="P14" s="107">
        <v>19497308.169847012</v>
      </c>
      <c r="Q14" s="107">
        <v>3913215.4102639691</v>
      </c>
      <c r="R14" s="107">
        <v>68260747.021051809</v>
      </c>
      <c r="S14" s="107">
        <v>41788540.077062808</v>
      </c>
      <c r="T14" s="107">
        <v>990966.758857148</v>
      </c>
      <c r="U14" s="107">
        <v>3356755.0170041579</v>
      </c>
      <c r="V14" s="107">
        <v>5060822.160928051</v>
      </c>
      <c r="W14" s="107">
        <v>5072032.8411600376</v>
      </c>
      <c r="X14" s="107">
        <v>2284577.4437983041</v>
      </c>
      <c r="Y14" s="107">
        <v>4509504.2176668774</v>
      </c>
      <c r="Z14" s="107">
        <v>37845020.359414093</v>
      </c>
      <c r="AA14" s="107">
        <v>11257094.80232732</v>
      </c>
      <c r="AB14" s="107">
        <v>807470.77530463401</v>
      </c>
      <c r="AC14" s="107">
        <v>71253.746462694573</v>
      </c>
      <c r="AD14" s="107">
        <v>5037.1746938802153</v>
      </c>
      <c r="AE14" s="107">
        <v>234982.69093795621</v>
      </c>
      <c r="AF14" s="107">
        <v>1173343.4077819153</v>
      </c>
      <c r="AG14" s="107">
        <v>3013918.7744785771</v>
      </c>
      <c r="AH14" s="107">
        <v>551694.26060077152</v>
      </c>
      <c r="AI14" s="107">
        <v>161558.86536438111</v>
      </c>
      <c r="AJ14" s="107">
        <v>153427.7621796501</v>
      </c>
      <c r="AK14" s="107">
        <v>287689.13928083162</v>
      </c>
      <c r="AL14" s="107">
        <v>192359.69689921825</v>
      </c>
      <c r="AM14" s="107">
        <v>7386.2732800763479</v>
      </c>
      <c r="AN14" s="108">
        <v>1539936000</v>
      </c>
      <c r="AO14" s="107">
        <v>6164016.4469950181</v>
      </c>
      <c r="AP14" s="107">
        <v>145417556.34515294</v>
      </c>
      <c r="AQ14" s="107">
        <v>27156427.207852039</v>
      </c>
      <c r="AR14" s="108">
        <v>1718674000</v>
      </c>
      <c r="AS14" s="108">
        <v>41526933.40744146</v>
      </c>
    </row>
    <row r="15" spans="1:45" x14ac:dyDescent="0.2">
      <c r="A15" s="121">
        <v>2019</v>
      </c>
      <c r="B15" s="105">
        <v>9</v>
      </c>
      <c r="C15" s="106">
        <v>627.96642248597766</v>
      </c>
      <c r="D15" s="107">
        <v>359000</v>
      </c>
      <c r="E15" s="107">
        <v>681496338.41504836</v>
      </c>
      <c r="F15" s="107">
        <v>200661.58495157878</v>
      </c>
      <c r="G15" s="107">
        <v>17935540.278194346</v>
      </c>
      <c r="H15" s="107">
        <v>2547417.337912932</v>
      </c>
      <c r="I15" s="107">
        <v>11127513.649473906</v>
      </c>
      <c r="J15" s="107">
        <v>1468104.7311875394</v>
      </c>
      <c r="K15" s="107">
        <v>194532861.71865702</v>
      </c>
      <c r="L15" s="107">
        <v>6997980.863627526</v>
      </c>
      <c r="M15" s="107">
        <v>217713582.1446811</v>
      </c>
      <c r="N15" s="107">
        <v>14638745.603559045</v>
      </c>
      <c r="O15" s="107">
        <v>130319402.99073645</v>
      </c>
      <c r="P15" s="107">
        <v>18678510.167912561</v>
      </c>
      <c r="Q15" s="107">
        <v>3006780.6390080983</v>
      </c>
      <c r="R15" s="107">
        <v>65642221.348570347</v>
      </c>
      <c r="S15" s="107">
        <v>39300673.637206994</v>
      </c>
      <c r="T15" s="107">
        <v>845342.49027304223</v>
      </c>
      <c r="U15" s="107">
        <v>4429854.2866576612</v>
      </c>
      <c r="V15" s="107">
        <v>5532782.1952211512</v>
      </c>
      <c r="W15" s="107">
        <v>6199687.5461467756</v>
      </c>
      <c r="X15" s="107">
        <v>1826111.9317871958</v>
      </c>
      <c r="Y15" s="107">
        <v>3976860.1254554628</v>
      </c>
      <c r="Z15" s="107">
        <v>37145594.699594602</v>
      </c>
      <c r="AA15" s="107">
        <v>10031447.407017257</v>
      </c>
      <c r="AB15" s="107">
        <v>945532.57830210938</v>
      </c>
      <c r="AC15" s="107">
        <v>74998.921161447826</v>
      </c>
      <c r="AD15" s="107">
        <v>4881.5811149145738</v>
      </c>
      <c r="AE15" s="107">
        <v>247455.69657622441</v>
      </c>
      <c r="AF15" s="107">
        <v>1213396.6661972417</v>
      </c>
      <c r="AG15" s="107">
        <v>3053531.8642993122</v>
      </c>
      <c r="AH15" s="107">
        <v>568650.62625716871</v>
      </c>
      <c r="AI15" s="107">
        <v>149895.22914383301</v>
      </c>
      <c r="AJ15" s="107">
        <v>138826.64881769833</v>
      </c>
      <c r="AK15" s="107">
        <v>308924.09966909577</v>
      </c>
      <c r="AL15" s="107">
        <v>181988.7471205343</v>
      </c>
      <c r="AM15" s="107">
        <v>7273.5820367951746</v>
      </c>
      <c r="AN15" s="108">
        <v>1482848999.9999995</v>
      </c>
      <c r="AO15" s="107">
        <v>5709439.9007531414</v>
      </c>
      <c r="AP15" s="107">
        <v>139636739.99171653</v>
      </c>
      <c r="AQ15" s="107">
        <v>28091820.107530344</v>
      </c>
      <c r="AR15" s="108">
        <v>1656286999.9999998</v>
      </c>
      <c r="AS15" s="108">
        <v>41374770.923496351</v>
      </c>
    </row>
    <row r="16" spans="1:45" x14ac:dyDescent="0.2">
      <c r="A16" s="121">
        <v>2019</v>
      </c>
      <c r="B16" s="105">
        <v>10</v>
      </c>
      <c r="C16" s="106">
        <v>599.45283590817348</v>
      </c>
      <c r="D16" s="107">
        <v>518000</v>
      </c>
      <c r="E16" s="107">
        <v>840134638.96679306</v>
      </c>
      <c r="F16" s="107">
        <v>210361.0332069291</v>
      </c>
      <c r="G16" s="107">
        <v>18916773.900483157</v>
      </c>
      <c r="H16" s="107">
        <v>2678250.873686153</v>
      </c>
      <c r="I16" s="107">
        <v>11962766.770201007</v>
      </c>
      <c r="J16" s="107">
        <v>1381942.6555149686</v>
      </c>
      <c r="K16" s="107">
        <v>200972271.20855489</v>
      </c>
      <c r="L16" s="107">
        <v>7057338.221649535</v>
      </c>
      <c r="M16" s="107">
        <v>224290496.60037956</v>
      </c>
      <c r="N16" s="107">
        <v>14926919.930637658</v>
      </c>
      <c r="O16" s="107">
        <v>134897862.9275389</v>
      </c>
      <c r="P16" s="107">
        <v>18911835.777105894</v>
      </c>
      <c r="Q16" s="107">
        <v>1216605.3976311237</v>
      </c>
      <c r="R16" s="107">
        <v>68866843.657976016</v>
      </c>
      <c r="S16" s="107">
        <v>40645417.482729971</v>
      </c>
      <c r="T16" s="107">
        <v>735034.28885789833</v>
      </c>
      <c r="U16" s="107">
        <v>6873189.057070245</v>
      </c>
      <c r="V16" s="107">
        <v>5383251.7013155706</v>
      </c>
      <c r="W16" s="107">
        <v>8424037.2825404853</v>
      </c>
      <c r="X16" s="107">
        <v>978287.69149715232</v>
      </c>
      <c r="Y16" s="107">
        <v>4723318.1767907171</v>
      </c>
      <c r="Z16" s="107">
        <v>39097061.9461594</v>
      </c>
      <c r="AA16" s="107">
        <v>10042918.709770642</v>
      </c>
      <c r="AB16" s="107">
        <v>1003396.5425948546</v>
      </c>
      <c r="AC16" s="107">
        <v>71229.598657082985</v>
      </c>
      <c r="AD16" s="107">
        <v>4659.9269296387702</v>
      </c>
      <c r="AE16" s="107">
        <v>240645.8818735471</v>
      </c>
      <c r="AF16" s="107">
        <v>1157215.2120816458</v>
      </c>
      <c r="AG16" s="107">
        <v>2919746.1669831211</v>
      </c>
      <c r="AH16" s="107">
        <v>559120.55144606822</v>
      </c>
      <c r="AI16" s="107">
        <v>164367.36160380099</v>
      </c>
      <c r="AJ16" s="107">
        <v>156023.47780802916</v>
      </c>
      <c r="AK16" s="107">
        <v>500386.66659813211</v>
      </c>
      <c r="AL16" s="107">
        <v>196676.16306562591</v>
      </c>
      <c r="AM16" s="107">
        <v>7508.7394314304465</v>
      </c>
      <c r="AN16" s="108">
        <v>1670826999.9999998</v>
      </c>
      <c r="AO16" s="107">
        <v>5418676.1293349471</v>
      </c>
      <c r="AP16" s="107">
        <v>138493851.54466337</v>
      </c>
      <c r="AQ16" s="107">
        <v>29219472.326001678</v>
      </c>
      <c r="AR16" s="108">
        <v>1843958999.9999998</v>
      </c>
      <c r="AS16" s="108">
        <v>42900120.531643294</v>
      </c>
    </row>
    <row r="17" spans="1:45" x14ac:dyDescent="0.2">
      <c r="A17" s="121">
        <v>2019</v>
      </c>
      <c r="B17" s="105">
        <v>11</v>
      </c>
      <c r="C17" s="106">
        <v>627.08427991856036</v>
      </c>
      <c r="D17" s="107">
        <v>731000</v>
      </c>
      <c r="E17" s="107">
        <v>1034334576.3903787</v>
      </c>
      <c r="F17" s="107">
        <v>225423.60962136014</v>
      </c>
      <c r="G17" s="107">
        <v>21486326.796698943</v>
      </c>
      <c r="H17" s="107">
        <v>2819044.7438317388</v>
      </c>
      <c r="I17" s="107">
        <v>13166868.767812891</v>
      </c>
      <c r="J17" s="107">
        <v>1442432.1798147731</v>
      </c>
      <c r="K17" s="107">
        <v>216539064.58706889</v>
      </c>
      <c r="L17" s="107">
        <v>7367169.6960236039</v>
      </c>
      <c r="M17" s="107">
        <v>232069553.65906316</v>
      </c>
      <c r="N17" s="107">
        <v>14440169.986337978</v>
      </c>
      <c r="O17" s="107">
        <v>135788686.84908369</v>
      </c>
      <c r="P17" s="107">
        <v>17438660.571167678</v>
      </c>
      <c r="Q17" s="107">
        <v>405804.79854371201</v>
      </c>
      <c r="R17" s="107">
        <v>69883708.212011218</v>
      </c>
      <c r="S17" s="107">
        <v>38975663.190766223</v>
      </c>
      <c r="T17" s="107">
        <v>244690.77528546588</v>
      </c>
      <c r="U17" s="107">
        <v>6454483.0010515526</v>
      </c>
      <c r="V17" s="107">
        <v>4829931.6142596407</v>
      </c>
      <c r="W17" s="107">
        <v>10396993.705118882</v>
      </c>
      <c r="X17" s="107">
        <v>1112594.306945967</v>
      </c>
      <c r="Y17" s="107">
        <v>4057674.3766374546</v>
      </c>
      <c r="Z17" s="107">
        <v>40053385.248161294</v>
      </c>
      <c r="AA17" s="107">
        <v>9269730.5648074131</v>
      </c>
      <c r="AB17" s="107">
        <v>1204448.2180136007</v>
      </c>
      <c r="AC17" s="107">
        <v>88031.687559378581</v>
      </c>
      <c r="AD17" s="107">
        <v>4874.7236614846288</v>
      </c>
      <c r="AE17" s="107">
        <v>253590.41513146964</v>
      </c>
      <c r="AF17" s="107">
        <v>1208926.1022748041</v>
      </c>
      <c r="AG17" s="107">
        <v>3061983.0641739299</v>
      </c>
      <c r="AH17" s="107">
        <v>575410.50876354473</v>
      </c>
      <c r="AI17" s="107">
        <v>161793.85672653723</v>
      </c>
      <c r="AJ17" s="107">
        <v>150139.38049532977</v>
      </c>
      <c r="AK17" s="107">
        <v>293108.19614186842</v>
      </c>
      <c r="AL17" s="107">
        <v>199615.59022314512</v>
      </c>
      <c r="AM17" s="107">
        <v>7813.5420627249741</v>
      </c>
      <c r="AN17" s="108">
        <v>1890744000.0000002</v>
      </c>
      <c r="AO17" s="107">
        <v>5036759.8752927128</v>
      </c>
      <c r="AP17" s="107">
        <v>136719049.17224839</v>
      </c>
      <c r="AQ17" s="107">
        <v>28374190.952458877</v>
      </c>
      <c r="AR17" s="108">
        <v>2060874000.0000002</v>
      </c>
      <c r="AS17" s="108">
        <v>41533611.194864869</v>
      </c>
    </row>
    <row r="18" spans="1:45" x14ac:dyDescent="0.2">
      <c r="A18" s="122">
        <v>2019</v>
      </c>
      <c r="B18" s="109">
        <v>12</v>
      </c>
      <c r="C18" s="110">
        <v>631.70200469883389</v>
      </c>
      <c r="D18" s="111">
        <v>1045000</v>
      </c>
      <c r="E18" s="111">
        <v>1303774065.8916121</v>
      </c>
      <c r="F18" s="111">
        <v>299934.10838780017</v>
      </c>
      <c r="G18" s="111">
        <v>26906097.180774752</v>
      </c>
      <c r="H18" s="111">
        <v>3287152.1527863266</v>
      </c>
      <c r="I18" s="111">
        <v>15010900.54730575</v>
      </c>
      <c r="J18" s="111">
        <v>1749609.568931198</v>
      </c>
      <c r="K18" s="111">
        <v>240441374.25266436</v>
      </c>
      <c r="L18" s="111">
        <v>8014748.9160472732</v>
      </c>
      <c r="M18" s="111">
        <v>250223664.58142903</v>
      </c>
      <c r="N18" s="111">
        <v>15111524.690586755</v>
      </c>
      <c r="O18" s="111">
        <v>143273064.23551297</v>
      </c>
      <c r="P18" s="111">
        <v>16717130.47482257</v>
      </c>
      <c r="Q18" s="111">
        <v>315752.07290694118</v>
      </c>
      <c r="R18" s="111">
        <v>75392758.718212962</v>
      </c>
      <c r="S18" s="111">
        <v>39256713.163288638</v>
      </c>
      <c r="T18" s="111">
        <v>3169.6916931440878</v>
      </c>
      <c r="U18" s="111">
        <v>5125903.162096859</v>
      </c>
      <c r="V18" s="111">
        <v>4363956.9976320993</v>
      </c>
      <c r="W18" s="111">
        <v>14347503.205007048</v>
      </c>
      <c r="X18" s="111">
        <v>1821749.5113060214</v>
      </c>
      <c r="Y18" s="111">
        <v>3778019.5581585201</v>
      </c>
      <c r="Z18" s="111">
        <v>42313553.470100529</v>
      </c>
      <c r="AA18" s="111">
        <v>9421906.199464133</v>
      </c>
      <c r="AB18" s="111">
        <v>1354825.3209588176</v>
      </c>
      <c r="AC18" s="111">
        <v>118777.39574912978</v>
      </c>
      <c r="AD18" s="111">
        <v>4910.6201637084559</v>
      </c>
      <c r="AE18" s="111">
        <v>269917.24387227872</v>
      </c>
      <c r="AF18" s="111">
        <v>1217581.6402672769</v>
      </c>
      <c r="AG18" s="111">
        <v>2982929.5973795457</v>
      </c>
      <c r="AH18" s="111">
        <v>570499.31913647265</v>
      </c>
      <c r="AI18" s="111">
        <v>165741.05218221422</v>
      </c>
      <c r="AJ18" s="111">
        <v>157447.45852574013</v>
      </c>
      <c r="AK18" s="111">
        <v>328927.16046807083</v>
      </c>
      <c r="AL18" s="111">
        <v>201964.09011534587</v>
      </c>
      <c r="AM18" s="111">
        <v>7595.0484487710301</v>
      </c>
      <c r="AN18" s="112">
        <v>2229376999.9999995</v>
      </c>
      <c r="AO18" s="111">
        <v>4835152.8133548144</v>
      </c>
      <c r="AP18" s="111">
        <v>136119130.59173042</v>
      </c>
      <c r="AQ18" s="111">
        <v>26249716.59491476</v>
      </c>
      <c r="AR18" s="112">
        <v>2396581000</v>
      </c>
      <c r="AS18" s="112">
        <v>39360109.668782443</v>
      </c>
    </row>
    <row r="19" spans="1:45" x14ac:dyDescent="0.2">
      <c r="A19" s="101">
        <v>2020</v>
      </c>
      <c r="B19" s="101">
        <v>1</v>
      </c>
      <c r="C19" s="102">
        <v>560.67206803678744</v>
      </c>
      <c r="D19" s="103">
        <v>906000</v>
      </c>
      <c r="E19" s="103">
        <v>1252056713.1005044</v>
      </c>
      <c r="F19" s="103">
        <v>270286.89949535794</v>
      </c>
      <c r="G19" s="103">
        <v>27113824.278954949</v>
      </c>
      <c r="H19" s="103">
        <v>3385278.3063945868</v>
      </c>
      <c r="I19" s="103">
        <v>15893241.49687897</v>
      </c>
      <c r="J19" s="103">
        <v>1752549.3871341182</v>
      </c>
      <c r="K19" s="103">
        <v>244383613.58477616</v>
      </c>
      <c r="L19" s="103">
        <v>9532641.9155205842</v>
      </c>
      <c r="M19" s="103">
        <v>242197680.40711617</v>
      </c>
      <c r="N19" s="103">
        <v>16734549.250768892</v>
      </c>
      <c r="O19" s="103">
        <v>134305768.27412087</v>
      </c>
      <c r="P19" s="103">
        <v>17945077.833419327</v>
      </c>
      <c r="Q19" s="103">
        <v>314711.69311215763</v>
      </c>
      <c r="R19" s="103">
        <v>70772962.5167685</v>
      </c>
      <c r="S19" s="103">
        <v>43703210.032461524</v>
      </c>
      <c r="T19" s="103">
        <v>2943.0195854399722</v>
      </c>
      <c r="U19" s="103">
        <v>3121887.5554708531</v>
      </c>
      <c r="V19" s="103">
        <v>5020656.3289846322</v>
      </c>
      <c r="W19" s="103">
        <v>14977098.913249731</v>
      </c>
      <c r="X19" s="103">
        <v>1685129.3245161755</v>
      </c>
      <c r="Y19" s="103">
        <v>4273713.4417350674</v>
      </c>
      <c r="Z19" s="103">
        <v>35971150.086452857</v>
      </c>
      <c r="AA19" s="103">
        <v>10631151.197109967</v>
      </c>
      <c r="AB19" s="103">
        <v>1243886.4664570065</v>
      </c>
      <c r="AC19" s="103">
        <v>106228.30202777142</v>
      </c>
      <c r="AD19" s="103">
        <v>4616.9393529593835</v>
      </c>
      <c r="AE19" s="103">
        <v>251109.4370166985</v>
      </c>
      <c r="AF19" s="103">
        <v>1083449.541066756</v>
      </c>
      <c r="AG19" s="103">
        <v>2794122.8073746152</v>
      </c>
      <c r="AH19" s="103">
        <v>515301.75116976467</v>
      </c>
      <c r="AI19" s="103">
        <v>150443.31362308536</v>
      </c>
      <c r="AJ19" s="103">
        <v>139105.55517834434</v>
      </c>
      <c r="AK19" s="103">
        <v>467724.08346639172</v>
      </c>
      <c r="AL19" s="103">
        <v>190143.80209511335</v>
      </c>
      <c r="AM19" s="103">
        <v>7468.4845718457918</v>
      </c>
      <c r="AN19" s="104">
        <v>2163905999.999999</v>
      </c>
      <c r="AO19" s="103">
        <v>5866647.5815162873</v>
      </c>
      <c r="AP19" s="103">
        <v>140030125.11448091</v>
      </c>
      <c r="AQ19" s="103">
        <v>26733227.304002818</v>
      </c>
      <c r="AR19" s="104">
        <v>2336535999.999999</v>
      </c>
      <c r="AS19" s="104">
        <v>39848782.925041668</v>
      </c>
    </row>
    <row r="20" spans="1:45" x14ac:dyDescent="0.2">
      <c r="A20" s="121">
        <v>2020</v>
      </c>
      <c r="B20" s="105">
        <v>2</v>
      </c>
      <c r="C20" s="106">
        <v>566.22260971463129</v>
      </c>
      <c r="D20" s="107">
        <v>870000</v>
      </c>
      <c r="E20" s="107">
        <v>1088144714.5084329</v>
      </c>
      <c r="F20" s="107">
        <v>216285.49156719234</v>
      </c>
      <c r="G20" s="107">
        <v>24762506.544961151</v>
      </c>
      <c r="H20" s="107">
        <v>3079509.1764987018</v>
      </c>
      <c r="I20" s="107">
        <v>13816656.373344483</v>
      </c>
      <c r="J20" s="107">
        <v>1625955.2864779641</v>
      </c>
      <c r="K20" s="107">
        <v>219363218.3015089</v>
      </c>
      <c r="L20" s="107">
        <v>8096793.7719417438</v>
      </c>
      <c r="M20" s="107">
        <v>230453545.62034392</v>
      </c>
      <c r="N20" s="107">
        <v>15203130.948904559</v>
      </c>
      <c r="O20" s="107">
        <v>126679602.16925952</v>
      </c>
      <c r="P20" s="107">
        <v>17076710.663825747</v>
      </c>
      <c r="Q20" s="107">
        <v>284401.25174529763</v>
      </c>
      <c r="R20" s="107">
        <v>67503431.969558343</v>
      </c>
      <c r="S20" s="107">
        <v>39010281.934637025</v>
      </c>
      <c r="T20" s="107">
        <v>2849.0582105150415</v>
      </c>
      <c r="U20" s="107">
        <v>4947945.5650222674</v>
      </c>
      <c r="V20" s="107">
        <v>4456614.3019486144</v>
      </c>
      <c r="W20" s="107">
        <v>13959592.07907051</v>
      </c>
      <c r="X20" s="107">
        <v>1477503.729126551</v>
      </c>
      <c r="Y20" s="107">
        <v>5091401.0408530179</v>
      </c>
      <c r="Z20" s="107">
        <v>31544912.991041347</v>
      </c>
      <c r="AA20" s="107">
        <v>8864067.3378892895</v>
      </c>
      <c r="AB20" s="107">
        <v>1149210.3438104296</v>
      </c>
      <c r="AC20" s="107">
        <v>103341.11288768017</v>
      </c>
      <c r="AD20" s="107">
        <v>4662.6461319548325</v>
      </c>
      <c r="AE20" s="107">
        <v>256495.0351104943</v>
      </c>
      <c r="AF20" s="107">
        <v>1094253.8672181282</v>
      </c>
      <c r="AG20" s="107">
        <v>2746079.3697034908</v>
      </c>
      <c r="AH20" s="107">
        <v>520000.84728949663</v>
      </c>
      <c r="AI20" s="107">
        <v>148797.1481713418</v>
      </c>
      <c r="AJ20" s="107">
        <v>140831.12866868716</v>
      </c>
      <c r="AK20" s="107">
        <v>274390.55523860961</v>
      </c>
      <c r="AL20" s="107">
        <v>179901.5381440357</v>
      </c>
      <c r="AM20" s="107">
        <v>6840.0688463551887</v>
      </c>
      <c r="AN20" s="108">
        <v>1933157000</v>
      </c>
      <c r="AO20" s="107">
        <v>5623023.8642155649</v>
      </c>
      <c r="AP20" s="107">
        <v>135771205.03384426</v>
      </c>
      <c r="AQ20" s="107">
        <v>26002771.101940174</v>
      </c>
      <c r="AR20" s="108">
        <v>2100554000</v>
      </c>
      <c r="AS20" s="108">
        <v>41227027.42683886</v>
      </c>
    </row>
    <row r="21" spans="1:45" x14ac:dyDescent="0.2">
      <c r="A21" s="121">
        <v>2020</v>
      </c>
      <c r="B21" s="105">
        <v>3</v>
      </c>
      <c r="C21" s="106">
        <v>630.30938602691322</v>
      </c>
      <c r="D21" s="107">
        <v>869000</v>
      </c>
      <c r="E21" s="107">
        <v>1048952145.8561308</v>
      </c>
      <c r="F21" s="107">
        <v>200854.14386936012</v>
      </c>
      <c r="G21" s="107">
        <v>23930996.958539948</v>
      </c>
      <c r="H21" s="107">
        <v>3159822.4358965191</v>
      </c>
      <c r="I21" s="107">
        <v>13628066.417793607</v>
      </c>
      <c r="J21" s="107">
        <v>1600661.1016149272</v>
      </c>
      <c r="K21" s="107">
        <v>227777538.56757256</v>
      </c>
      <c r="L21" s="107">
        <v>8704516.7154605873</v>
      </c>
      <c r="M21" s="107">
        <v>226296473.99210423</v>
      </c>
      <c r="N21" s="107">
        <v>15694597.121189184</v>
      </c>
      <c r="O21" s="107">
        <v>129660493.1516</v>
      </c>
      <c r="P21" s="107">
        <v>17546131.300420761</v>
      </c>
      <c r="Q21" s="107">
        <v>319157.26571407338</v>
      </c>
      <c r="R21" s="107">
        <v>69407432.124270543</v>
      </c>
      <c r="S21" s="107">
        <v>39869008.019356929</v>
      </c>
      <c r="T21" s="107">
        <v>2993.0323199964946</v>
      </c>
      <c r="U21" s="107">
        <v>7587969.412559174</v>
      </c>
      <c r="V21" s="107">
        <v>4711201.5735817924</v>
      </c>
      <c r="W21" s="107">
        <v>13055610.288339963</v>
      </c>
      <c r="X21" s="107">
        <v>1694680.9738819096</v>
      </c>
      <c r="Y21" s="107">
        <v>5788543.4829491638</v>
      </c>
      <c r="Z21" s="107">
        <v>37266568.051939853</v>
      </c>
      <c r="AA21" s="107">
        <v>9848001.7870415654</v>
      </c>
      <c r="AB21" s="107">
        <v>1171620.3074487462</v>
      </c>
      <c r="AC21" s="107">
        <v>111745.26801305728</v>
      </c>
      <c r="AD21" s="107">
        <v>5190.3784311516356</v>
      </c>
      <c r="AE21" s="107">
        <v>286279.6073379853</v>
      </c>
      <c r="AF21" s="107">
        <v>1220084.0371939621</v>
      </c>
      <c r="AG21" s="107">
        <v>3044261.1726311794</v>
      </c>
      <c r="AH21" s="107">
        <v>579346.24071170611</v>
      </c>
      <c r="AI21" s="107">
        <v>153369.01243895062</v>
      </c>
      <c r="AJ21" s="107">
        <v>141075.1319962866</v>
      </c>
      <c r="AK21" s="107">
        <v>287842.6788461848</v>
      </c>
      <c r="AL21" s="107">
        <v>194476.70257677865</v>
      </c>
      <c r="AM21" s="107">
        <v>7615.3788405067589</v>
      </c>
      <c r="AN21" s="108">
        <v>1914776000.0000005</v>
      </c>
      <c r="AO21" s="107">
        <v>5546334.6965480084</v>
      </c>
      <c r="AP21" s="107">
        <v>138930299.12050417</v>
      </c>
      <c r="AQ21" s="107">
        <v>25773366.182947796</v>
      </c>
      <c r="AR21" s="108">
        <v>2085026000.0000005</v>
      </c>
      <c r="AS21" s="108">
        <v>43018028.843004435</v>
      </c>
    </row>
    <row r="22" spans="1:45" x14ac:dyDescent="0.2">
      <c r="A22" s="121">
        <v>2020</v>
      </c>
      <c r="B22" s="105">
        <v>4</v>
      </c>
      <c r="C22" s="106">
        <v>576.57643762349642</v>
      </c>
      <c r="D22" s="107">
        <v>635000</v>
      </c>
      <c r="E22" s="107">
        <v>864439423.41300082</v>
      </c>
      <c r="F22" s="107">
        <v>167576.58699918207</v>
      </c>
      <c r="G22" s="107">
        <v>20543310.588277187</v>
      </c>
      <c r="H22" s="107">
        <v>2822178.465665624</v>
      </c>
      <c r="I22" s="107">
        <v>11929477.190071426</v>
      </c>
      <c r="J22" s="107">
        <v>1359357.6121244293</v>
      </c>
      <c r="K22" s="107">
        <v>203110956.63783562</v>
      </c>
      <c r="L22" s="107">
        <v>7635865.6488375152</v>
      </c>
      <c r="M22" s="107">
        <v>214223218.1914157</v>
      </c>
      <c r="N22" s="107">
        <v>14621291.464773366</v>
      </c>
      <c r="O22" s="107">
        <v>120407044.78337464</v>
      </c>
      <c r="P22" s="107">
        <v>16755789.913243193</v>
      </c>
      <c r="Q22" s="107">
        <v>329763.23517830577</v>
      </c>
      <c r="R22" s="107">
        <v>63832266.054622084</v>
      </c>
      <c r="S22" s="107">
        <v>38840212.529723816</v>
      </c>
      <c r="T22" s="107">
        <v>2906.8410972066135</v>
      </c>
      <c r="U22" s="107">
        <v>7335346.7479786556</v>
      </c>
      <c r="V22" s="107">
        <v>4349345.0024031261</v>
      </c>
      <c r="W22" s="107">
        <v>10269273.714305324</v>
      </c>
      <c r="X22" s="107">
        <v>1529134.8322765296</v>
      </c>
      <c r="Y22" s="107">
        <v>4090537.2260058727</v>
      </c>
      <c r="Z22" s="107">
        <v>34347909.844878562</v>
      </c>
      <c r="AA22" s="107">
        <v>9980958.2150130905</v>
      </c>
      <c r="AB22" s="107">
        <v>916854.65108665847</v>
      </c>
      <c r="AC22" s="107">
        <v>85491.478857545168</v>
      </c>
      <c r="AD22" s="107">
        <v>4747.9063014039602</v>
      </c>
      <c r="AE22" s="107">
        <v>264827.37913342641</v>
      </c>
      <c r="AF22" s="107">
        <v>1118419.447003548</v>
      </c>
      <c r="AG22" s="107">
        <v>2776261.7264096001</v>
      </c>
      <c r="AH22" s="107">
        <v>527102.87268296094</v>
      </c>
      <c r="AI22" s="107">
        <v>151073.24520384191</v>
      </c>
      <c r="AJ22" s="107">
        <v>143030.06551080316</v>
      </c>
      <c r="AK22" s="107">
        <v>264717.96208723285</v>
      </c>
      <c r="AL22" s="107">
        <v>185744.80490969482</v>
      </c>
      <c r="AM22" s="107">
        <v>7007.1452744885437</v>
      </c>
      <c r="AN22" s="108">
        <v>1660004000.0000002</v>
      </c>
      <c r="AO22" s="107">
        <v>5640980.4788868818</v>
      </c>
      <c r="AP22" s="107">
        <v>135186705.91235402</v>
      </c>
      <c r="AQ22" s="107">
        <v>21227313.608759113</v>
      </c>
      <c r="AR22" s="108">
        <v>1822059000.0000002</v>
      </c>
      <c r="AS22" s="108">
        <v>40842248.405989349</v>
      </c>
    </row>
    <row r="23" spans="1:45" x14ac:dyDescent="0.2">
      <c r="A23" s="121">
        <v>2020</v>
      </c>
      <c r="B23" s="105">
        <v>5</v>
      </c>
      <c r="C23" s="106">
        <v>584.66295317746517</v>
      </c>
      <c r="D23" s="107">
        <v>497000</v>
      </c>
      <c r="E23" s="107">
        <v>737787206.2416991</v>
      </c>
      <c r="F23" s="107">
        <v>164793.75830098276</v>
      </c>
      <c r="G23" s="107">
        <v>18158323.082567174</v>
      </c>
      <c r="H23" s="107">
        <v>2636749.1906034467</v>
      </c>
      <c r="I23" s="107">
        <v>10983733.124109587</v>
      </c>
      <c r="J23" s="107">
        <v>1283310.9477517779</v>
      </c>
      <c r="K23" s="107">
        <v>193911186.64072105</v>
      </c>
      <c r="L23" s="107">
        <v>7416339.8921131091</v>
      </c>
      <c r="M23" s="107">
        <v>212250213.88936028</v>
      </c>
      <c r="N23" s="107">
        <v>14783118.987885185</v>
      </c>
      <c r="O23" s="107">
        <v>124109669.35087064</v>
      </c>
      <c r="P23" s="107">
        <v>18400788.889869474</v>
      </c>
      <c r="Q23" s="107">
        <v>809591.8685779731</v>
      </c>
      <c r="R23" s="107">
        <v>65816519.062173121</v>
      </c>
      <c r="S23" s="107">
        <v>40844255.033375062</v>
      </c>
      <c r="T23" s="107">
        <v>322087.62100560631</v>
      </c>
      <c r="U23" s="107">
        <v>7939289.1920064837</v>
      </c>
      <c r="V23" s="107">
        <v>4966897.5330496533</v>
      </c>
      <c r="W23" s="107">
        <v>8856780.7380161323</v>
      </c>
      <c r="X23" s="107">
        <v>1690682.8662937288</v>
      </c>
      <c r="Y23" s="107">
        <v>3854453.8130521071</v>
      </c>
      <c r="Z23" s="107">
        <v>35053219.996737145</v>
      </c>
      <c r="AA23" s="107">
        <v>9638145.8506554198</v>
      </c>
      <c r="AB23" s="107">
        <v>810385.91836929438</v>
      </c>
      <c r="AC23" s="107">
        <v>64769.881464625199</v>
      </c>
      <c r="AD23" s="107">
        <v>4814.4959426895803</v>
      </c>
      <c r="AE23" s="107">
        <v>275812.9806539102</v>
      </c>
      <c r="AF23" s="107">
        <v>1134203.5315351991</v>
      </c>
      <c r="AG23" s="107">
        <v>2800093.6518406169</v>
      </c>
      <c r="AH23" s="107">
        <v>532131.91513035598</v>
      </c>
      <c r="AI23" s="107">
        <v>150657.05424837052</v>
      </c>
      <c r="AJ23" s="107">
        <v>139053.45890613471</v>
      </c>
      <c r="AK23" s="107">
        <v>505202.96211013122</v>
      </c>
      <c r="AL23" s="107">
        <v>187401.27169206599</v>
      </c>
      <c r="AM23" s="107">
        <v>7530.6443589887422</v>
      </c>
      <c r="AN23" s="108">
        <v>1528786999.9999998</v>
      </c>
      <c r="AO23" s="107">
        <v>5662488.9439088237</v>
      </c>
      <c r="AP23" s="107">
        <v>132149303.34077471</v>
      </c>
      <c r="AQ23" s="107">
        <v>22163207.715316471</v>
      </c>
      <c r="AR23" s="108">
        <v>1688762000</v>
      </c>
      <c r="AS23" s="108">
        <v>38271824.848743618</v>
      </c>
    </row>
    <row r="24" spans="1:45" x14ac:dyDescent="0.2">
      <c r="A24" s="121">
        <v>2020</v>
      </c>
      <c r="B24" s="105">
        <v>6</v>
      </c>
      <c r="C24" s="106">
        <v>606.06194289148902</v>
      </c>
      <c r="D24" s="107">
        <v>370000</v>
      </c>
      <c r="E24" s="107">
        <v>679821258.45871902</v>
      </c>
      <c r="F24" s="107">
        <v>184741.5412809035</v>
      </c>
      <c r="G24" s="107">
        <v>17949301.932200629</v>
      </c>
      <c r="H24" s="107">
        <v>2556347.5312623689</v>
      </c>
      <c r="I24" s="107">
        <v>10731928.789952317</v>
      </c>
      <c r="J24" s="107">
        <v>1243535.4938554624</v>
      </c>
      <c r="K24" s="107">
        <v>188602935.27716658</v>
      </c>
      <c r="L24" s="107">
        <v>7006628.7800769638</v>
      </c>
      <c r="M24" s="107">
        <v>213559398.90906906</v>
      </c>
      <c r="N24" s="107">
        <v>14404398.104397435</v>
      </c>
      <c r="O24" s="107">
        <v>126444457.5328985</v>
      </c>
      <c r="P24" s="107">
        <v>17963269.253807988</v>
      </c>
      <c r="Q24" s="107">
        <v>1467356.5582335391</v>
      </c>
      <c r="R24" s="107">
        <v>66792183.409396984</v>
      </c>
      <c r="S24" s="107">
        <v>40006973.657145232</v>
      </c>
      <c r="T24" s="107">
        <v>703153.54757140158</v>
      </c>
      <c r="U24" s="107">
        <v>5028532.9260057872</v>
      </c>
      <c r="V24" s="107">
        <v>4845543.7080451697</v>
      </c>
      <c r="W24" s="107">
        <v>7807657.7659790916</v>
      </c>
      <c r="X24" s="107">
        <v>1809984.0970659626</v>
      </c>
      <c r="Y24" s="107">
        <v>4455893.9314431921</v>
      </c>
      <c r="Z24" s="107">
        <v>34643347.362140276</v>
      </c>
      <c r="AA24" s="107">
        <v>9453292.5650840104</v>
      </c>
      <c r="AB24" s="107">
        <v>777062.76137964113</v>
      </c>
      <c r="AC24" s="107">
        <v>63967.390743772943</v>
      </c>
      <c r="AD24" s="107">
        <v>4990.7091756230357</v>
      </c>
      <c r="AE24" s="107">
        <v>296105.71048203029</v>
      </c>
      <c r="AF24" s="107">
        <v>1177998.9333920844</v>
      </c>
      <c r="AG24" s="107">
        <v>2887528.2962294621</v>
      </c>
      <c r="AH24" s="107">
        <v>549661.67819262051</v>
      </c>
      <c r="AI24" s="107">
        <v>152179.3277985508</v>
      </c>
      <c r="AJ24" s="107">
        <v>144496.36846540289</v>
      </c>
      <c r="AK24" s="107">
        <v>282078.45846187428</v>
      </c>
      <c r="AL24" s="107">
        <v>186138.05053692422</v>
      </c>
      <c r="AM24" s="107">
        <v>7065.1204011767486</v>
      </c>
      <c r="AN24" s="108">
        <v>1464381999.9999998</v>
      </c>
      <c r="AO24" s="107">
        <v>5527407.4031948773</v>
      </c>
      <c r="AP24" s="107">
        <v>132975957.48983011</v>
      </c>
      <c r="AQ24" s="107">
        <v>24785635.106975038</v>
      </c>
      <c r="AR24" s="108">
        <v>1627670999.9999998</v>
      </c>
      <c r="AS24" s="108">
        <v>38309597.511243716</v>
      </c>
    </row>
    <row r="25" spans="1:45" x14ac:dyDescent="0.2">
      <c r="A25" s="121">
        <v>2020</v>
      </c>
      <c r="B25" s="105">
        <v>7</v>
      </c>
      <c r="C25" s="106">
        <v>586.42357493408588</v>
      </c>
      <c r="D25" s="107">
        <v>321000.00000000006</v>
      </c>
      <c r="E25" s="107">
        <v>696691765.53243554</v>
      </c>
      <c r="F25" s="107">
        <v>232234.4675645387</v>
      </c>
      <c r="G25" s="107">
        <v>18149698.69861798</v>
      </c>
      <c r="H25" s="107">
        <v>2620921.2242561788</v>
      </c>
      <c r="I25" s="107">
        <v>11263300.715322239</v>
      </c>
      <c r="J25" s="107">
        <v>1541395.8229555462</v>
      </c>
      <c r="K25" s="107">
        <v>201463441.51565939</v>
      </c>
      <c r="L25" s="107">
        <v>7147321.6787881022</v>
      </c>
      <c r="M25" s="107">
        <v>225365288.56451175</v>
      </c>
      <c r="N25" s="107">
        <v>14641193.515052551</v>
      </c>
      <c r="O25" s="107">
        <v>136273094.84811276</v>
      </c>
      <c r="P25" s="107">
        <v>17760497.025890473</v>
      </c>
      <c r="Q25" s="107">
        <v>2641195.8042759714</v>
      </c>
      <c r="R25" s="107">
        <v>67443844.846991494</v>
      </c>
      <c r="S25" s="107">
        <v>40289267.057427414</v>
      </c>
      <c r="T25" s="107">
        <v>734163.17427166621</v>
      </c>
      <c r="U25" s="107">
        <v>5398092.2973702122</v>
      </c>
      <c r="V25" s="107">
        <v>5139912.2664949987</v>
      </c>
      <c r="W25" s="107">
        <v>5949071.320767628</v>
      </c>
      <c r="X25" s="107">
        <v>2287426.576284165</v>
      </c>
      <c r="Y25" s="107">
        <v>4967206.880580931</v>
      </c>
      <c r="Z25" s="107">
        <v>38763349.834567338</v>
      </c>
      <c r="AA25" s="107">
        <v>9041601.5757655166</v>
      </c>
      <c r="AB25" s="107">
        <v>708392.58814535348</v>
      </c>
      <c r="AC25" s="107">
        <v>65810.252271377409</v>
      </c>
      <c r="AD25" s="107">
        <v>4828.9940501167639</v>
      </c>
      <c r="AE25" s="107">
        <v>293375.19082460215</v>
      </c>
      <c r="AF25" s="107">
        <v>1132427.2136646484</v>
      </c>
      <c r="AG25" s="107">
        <v>2788604.6495888573</v>
      </c>
      <c r="AH25" s="107">
        <v>555413.93478044681</v>
      </c>
      <c r="AI25" s="107">
        <v>155518.68005734336</v>
      </c>
      <c r="AJ25" s="107">
        <v>143690.18523776552</v>
      </c>
      <c r="AK25" s="107">
        <v>267560.75309966283</v>
      </c>
      <c r="AL25" s="107">
        <v>193686.79157914763</v>
      </c>
      <c r="AM25" s="107">
        <v>7819.099161400487</v>
      </c>
      <c r="AN25" s="108">
        <v>1522443999.9999998</v>
      </c>
      <c r="AO25" s="107">
        <v>5763209.6118409736</v>
      </c>
      <c r="AP25" s="107">
        <v>145417036.68333375</v>
      </c>
      <c r="AQ25" s="107">
        <v>27221753.70482529</v>
      </c>
      <c r="AR25" s="108">
        <v>1700846000</v>
      </c>
      <c r="AS25" s="108">
        <v>37774738.230787992</v>
      </c>
    </row>
    <row r="26" spans="1:45" x14ac:dyDescent="0.2">
      <c r="A26" s="121">
        <v>2020</v>
      </c>
      <c r="B26" s="105">
        <v>8</v>
      </c>
      <c r="C26" s="106">
        <v>608.22578051713378</v>
      </c>
      <c r="D26" s="107">
        <v>309000</v>
      </c>
      <c r="E26" s="107">
        <v>682327588.7587024</v>
      </c>
      <c r="F26" s="107">
        <v>234411.24129745699</v>
      </c>
      <c r="G26" s="107">
        <v>18584264.760223486</v>
      </c>
      <c r="H26" s="107">
        <v>2657208.6786842858</v>
      </c>
      <c r="I26" s="107">
        <v>11759784.041526698</v>
      </c>
      <c r="J26" s="107">
        <v>1788718.120607534</v>
      </c>
      <c r="K26" s="107">
        <v>205931422.77477425</v>
      </c>
      <c r="L26" s="107">
        <v>7330089.9530910887</v>
      </c>
      <c r="M26" s="107">
        <v>231344000.47133812</v>
      </c>
      <c r="N26" s="107">
        <v>15224541.428518498</v>
      </c>
      <c r="O26" s="107">
        <v>139062453.93670946</v>
      </c>
      <c r="P26" s="107">
        <v>18631548.150011815</v>
      </c>
      <c r="Q26" s="107">
        <v>3953608.9812459629</v>
      </c>
      <c r="R26" s="107">
        <v>67002680.076321527</v>
      </c>
      <c r="S26" s="107">
        <v>41466787.27449546</v>
      </c>
      <c r="T26" s="107">
        <v>984722.91607485758</v>
      </c>
      <c r="U26" s="107">
        <v>3943230.5838449248</v>
      </c>
      <c r="V26" s="107">
        <v>4948553.9641991081</v>
      </c>
      <c r="W26" s="107">
        <v>5040075.1842923742</v>
      </c>
      <c r="X26" s="107">
        <v>2270182.871775026</v>
      </c>
      <c r="Y26" s="107">
        <v>4433961.6541208299</v>
      </c>
      <c r="Z26" s="107">
        <v>37606568.004574992</v>
      </c>
      <c r="AA26" s="107">
        <v>11068517.575563204</v>
      </c>
      <c r="AB26" s="107">
        <v>773042.15099639376</v>
      </c>
      <c r="AC26" s="107">
        <v>71042.953570934129</v>
      </c>
      <c r="AD26" s="107">
        <v>5022.2730125969529</v>
      </c>
      <c r="AE26" s="107">
        <v>306952.16796790046</v>
      </c>
      <c r="AF26" s="107">
        <v>1172763.6676660418</v>
      </c>
      <c r="AG26" s="107">
        <v>2894070.1253526253</v>
      </c>
      <c r="AH26" s="107">
        <v>527462.29261989344</v>
      </c>
      <c r="AI26" s="107">
        <v>157592.84347909468</v>
      </c>
      <c r="AJ26" s="107">
        <v>149028.6528604597</v>
      </c>
      <c r="AK26" s="107">
        <v>279036.14303309575</v>
      </c>
      <c r="AL26" s="107">
        <v>192969.85727527706</v>
      </c>
      <c r="AM26" s="107">
        <v>7487.2443917744085</v>
      </c>
      <c r="AN26" s="108">
        <v>1524440999.9999993</v>
      </c>
      <c r="AO26" s="107">
        <v>5704188.7318577906</v>
      </c>
      <c r="AP26" s="107">
        <v>143126502.56230599</v>
      </c>
      <c r="AQ26" s="107">
        <v>26917308.705836225</v>
      </c>
      <c r="AR26" s="108">
        <v>1700188999.9999993</v>
      </c>
      <c r="AS26" s="108">
        <v>40904029.40632984</v>
      </c>
    </row>
    <row r="27" spans="1:45" x14ac:dyDescent="0.2">
      <c r="A27" s="121">
        <v>2020</v>
      </c>
      <c r="B27" s="105">
        <v>9</v>
      </c>
      <c r="C27" s="106">
        <v>628.18013186343921</v>
      </c>
      <c r="D27" s="107">
        <v>360000</v>
      </c>
      <c r="E27" s="107">
        <v>672456149.50187838</v>
      </c>
      <c r="F27" s="107">
        <v>197850.49812146946</v>
      </c>
      <c r="G27" s="107">
        <v>17458133.203177609</v>
      </c>
      <c r="H27" s="107">
        <v>2523958.3650818574</v>
      </c>
      <c r="I27" s="107">
        <v>11045715.357083328</v>
      </c>
      <c r="J27" s="107">
        <v>1457312.7012835951</v>
      </c>
      <c r="K27" s="107">
        <v>192281983.84527874</v>
      </c>
      <c r="L27" s="107">
        <v>6871546.9464844754</v>
      </c>
      <c r="M27" s="107">
        <v>216710941.30219012</v>
      </c>
      <c r="N27" s="107">
        <v>14429956.963092877</v>
      </c>
      <c r="O27" s="107">
        <v>128209363.35274544</v>
      </c>
      <c r="P27" s="107">
        <v>17816077.048849825</v>
      </c>
      <c r="Q27" s="107">
        <v>3028927.1829954241</v>
      </c>
      <c r="R27" s="107">
        <v>64197861.679377429</v>
      </c>
      <c r="S27" s="107">
        <v>38980625.257872581</v>
      </c>
      <c r="T27" s="107">
        <v>837557.7954697496</v>
      </c>
      <c r="U27" s="107">
        <v>4947208.6691253148</v>
      </c>
      <c r="V27" s="107">
        <v>5405844.195034679</v>
      </c>
      <c r="W27" s="107">
        <v>6142595.0942969481</v>
      </c>
      <c r="X27" s="107">
        <v>1809295.405670044</v>
      </c>
      <c r="Y27" s="107">
        <v>3907204.7284042095</v>
      </c>
      <c r="Z27" s="107">
        <v>36803523.738593049</v>
      </c>
      <c r="AA27" s="107">
        <v>9855744.860261349</v>
      </c>
      <c r="AB27" s="107">
        <v>908212.19349109218</v>
      </c>
      <c r="AC27" s="107">
        <v>75024.444775733224</v>
      </c>
      <c r="AD27" s="107">
        <v>4883.2424133912773</v>
      </c>
      <c r="AE27" s="107">
        <v>322537.27051106427</v>
      </c>
      <c r="AF27" s="107">
        <v>1216809.6128652524</v>
      </c>
      <c r="AG27" s="107">
        <v>2941808.7265764135</v>
      </c>
      <c r="AH27" s="107">
        <v>545472.60389563604</v>
      </c>
      <c r="AI27" s="107">
        <v>145787.61652229563</v>
      </c>
      <c r="AJ27" s="107">
        <v>134451.54383643038</v>
      </c>
      <c r="AK27" s="107">
        <v>300623.72533955437</v>
      </c>
      <c r="AL27" s="107">
        <v>182031.71251920162</v>
      </c>
      <c r="AM27" s="107">
        <v>7351.43475316084</v>
      </c>
      <c r="AN27" s="108">
        <v>1464520999.9999995</v>
      </c>
      <c r="AO27" s="107">
        <v>5361560.8758403054</v>
      </c>
      <c r="AP27" s="107">
        <v>139466709.90949929</v>
      </c>
      <c r="AQ27" s="107">
        <v>28255729.214660354</v>
      </c>
      <c r="AR27" s="108">
        <v>1637604999.9999993</v>
      </c>
      <c r="AS27" s="108">
        <v>40754149.359643906</v>
      </c>
    </row>
    <row r="28" spans="1:45" x14ac:dyDescent="0.2">
      <c r="A28" s="121">
        <v>2020</v>
      </c>
      <c r="B28" s="105">
        <v>10</v>
      </c>
      <c r="C28" s="106">
        <v>600.67237723484482</v>
      </c>
      <c r="D28" s="107">
        <v>520000</v>
      </c>
      <c r="E28" s="107">
        <v>829926393.76343739</v>
      </c>
      <c r="F28" s="107">
        <v>207606.23656261552</v>
      </c>
      <c r="G28" s="107">
        <v>18385743.290901762</v>
      </c>
      <c r="H28" s="107">
        <v>2649249.1878031348</v>
      </c>
      <c r="I28" s="107">
        <v>11857090.298487062</v>
      </c>
      <c r="J28" s="107">
        <v>1369734.8755965638</v>
      </c>
      <c r="K28" s="107">
        <v>197915916.13588196</v>
      </c>
      <c r="L28" s="107">
        <v>6922334.4545935383</v>
      </c>
      <c r="M28" s="107">
        <v>222894655.41689754</v>
      </c>
      <c r="N28" s="107">
        <v>14704992.975215768</v>
      </c>
      <c r="O28" s="107">
        <v>132469683.11484206</v>
      </c>
      <c r="P28" s="107">
        <v>18000530.181893237</v>
      </c>
      <c r="Q28" s="107">
        <v>1223562.8854550289</v>
      </c>
      <c r="R28" s="107">
        <v>67138336.429873511</v>
      </c>
      <c r="S28" s="107">
        <v>40287875.523889042</v>
      </c>
      <c r="T28" s="107">
        <v>727074.90246577712</v>
      </c>
      <c r="U28" s="107">
        <v>7366307.6667046594</v>
      </c>
      <c r="V28" s="107">
        <v>5256263.6910369508</v>
      </c>
      <c r="W28" s="107">
        <v>8332816.8201351753</v>
      </c>
      <c r="X28" s="107">
        <v>967694.21326448245</v>
      </c>
      <c r="Y28" s="107">
        <v>4637517.4963010997</v>
      </c>
      <c r="Z28" s="107">
        <v>38673695.815431394</v>
      </c>
      <c r="AA28" s="107">
        <v>9860485.6770703718</v>
      </c>
      <c r="AB28" s="107">
        <v>965424.46324396261</v>
      </c>
      <c r="AC28" s="107">
        <v>71374.5098728468</v>
      </c>
      <c r="AD28" s="107">
        <v>4669.4071975256566</v>
      </c>
      <c r="AE28" s="107">
        <v>312807.89973613911</v>
      </c>
      <c r="AF28" s="107">
        <v>1162435.4247110654</v>
      </c>
      <c r="AG28" s="107">
        <v>2817681.7584289555</v>
      </c>
      <c r="AH28" s="107">
        <v>537239.26351375377</v>
      </c>
      <c r="AI28" s="107">
        <v>159601.83406457276</v>
      </c>
      <c r="AJ28" s="107">
        <v>150859.39987646951</v>
      </c>
      <c r="AK28" s="107">
        <v>487766.60091851669</v>
      </c>
      <c r="AL28" s="107">
        <v>196401.00924924371</v>
      </c>
      <c r="AM28" s="107">
        <v>7576.7030696139445</v>
      </c>
      <c r="AN28" s="108">
        <v>1649170000</v>
      </c>
      <c r="AO28" s="107">
        <v>5083811.1989737097</v>
      </c>
      <c r="AP28" s="107">
        <v>138197387.00120643</v>
      </c>
      <c r="AQ28" s="107">
        <v>29362801.799819846</v>
      </c>
      <c r="AR28" s="108">
        <v>1821814000</v>
      </c>
      <c r="AS28" s="108">
        <v>42256618.72366865</v>
      </c>
    </row>
    <row r="29" spans="1:45" x14ac:dyDescent="0.2">
      <c r="A29" s="121">
        <v>2020</v>
      </c>
      <c r="B29" s="105">
        <v>11</v>
      </c>
      <c r="C29" s="106">
        <v>629.2572959256056</v>
      </c>
      <c r="D29" s="107">
        <v>732000</v>
      </c>
      <c r="E29" s="107">
        <v>1024454428.2755532</v>
      </c>
      <c r="F29" s="107">
        <v>222571.72444694352</v>
      </c>
      <c r="G29" s="107">
        <v>20860082.558664292</v>
      </c>
      <c r="H29" s="107">
        <v>2785416.0000706459</v>
      </c>
      <c r="I29" s="107">
        <v>13036131.290463405</v>
      </c>
      <c r="J29" s="107">
        <v>1428109.872228804</v>
      </c>
      <c r="K29" s="107">
        <v>212978153.17066512</v>
      </c>
      <c r="L29" s="107">
        <v>7214438.2898129104</v>
      </c>
      <c r="M29" s="107">
        <v>230368761.63051751</v>
      </c>
      <c r="N29" s="107">
        <v>14212150.667889208</v>
      </c>
      <c r="O29" s="107">
        <v>133194294.93492325</v>
      </c>
      <c r="P29" s="107">
        <v>16555499.424284613</v>
      </c>
      <c r="Q29" s="107">
        <v>407671.42977267166</v>
      </c>
      <c r="R29" s="107">
        <v>67977328.665841877</v>
      </c>
      <c r="S29" s="107">
        <v>38595109.243358798</v>
      </c>
      <c r="T29" s="107">
        <v>241771.82786514456</v>
      </c>
      <c r="U29" s="107">
        <v>6956479.9006565716</v>
      </c>
      <c r="V29" s="107">
        <v>4711889.3114024838</v>
      </c>
      <c r="W29" s="107">
        <v>10272966.643129116</v>
      </c>
      <c r="X29" s="107">
        <v>1099322.0277669285</v>
      </c>
      <c r="Y29" s="107">
        <v>3980495.998449943</v>
      </c>
      <c r="Z29" s="107">
        <v>39575583.314643934</v>
      </c>
      <c r="AA29" s="107">
        <v>9093417.064802045</v>
      </c>
      <c r="AB29" s="107">
        <v>1160522.4248770908</v>
      </c>
      <c r="AC29" s="107">
        <v>88336.74107821114</v>
      </c>
      <c r="AD29" s="107">
        <v>4891.6158925380114</v>
      </c>
      <c r="AE29" s="107">
        <v>329535.27664067247</v>
      </c>
      <c r="AF29" s="107">
        <v>1216113.6449111626</v>
      </c>
      <c r="AG29" s="107">
        <v>2959166.0240056971</v>
      </c>
      <c r="AH29" s="107">
        <v>553681.20663037326</v>
      </c>
      <c r="AI29" s="107">
        <v>156928.15312039299</v>
      </c>
      <c r="AJ29" s="107">
        <v>145008.5411522038</v>
      </c>
      <c r="AK29" s="107">
        <v>286123.80866832921</v>
      </c>
      <c r="AL29" s="107">
        <v>199114.54586526987</v>
      </c>
      <c r="AM29" s="107">
        <v>7875.4926527495427</v>
      </c>
      <c r="AN29" s="108">
        <v>1868061999.9999998</v>
      </c>
      <c r="AO29" s="107">
        <v>4645415.463165299</v>
      </c>
      <c r="AP29" s="107">
        <v>134114416.10452837</v>
      </c>
      <c r="AQ29" s="107">
        <v>28030168.432306338</v>
      </c>
      <c r="AR29" s="108">
        <v>2034851999.9999998</v>
      </c>
      <c r="AS29" s="108">
        <v>40910607.026941903</v>
      </c>
    </row>
    <row r="30" spans="1:45" x14ac:dyDescent="0.2">
      <c r="A30" s="122">
        <v>2020</v>
      </c>
      <c r="B30" s="109">
        <v>12</v>
      </c>
      <c r="C30" s="110">
        <v>635.09831739177309</v>
      </c>
      <c r="D30" s="111">
        <v>1046000</v>
      </c>
      <c r="E30" s="111">
        <v>1293450850.4490588</v>
      </c>
      <c r="F30" s="111">
        <v>296149.55094103614</v>
      </c>
      <c r="G30" s="111">
        <v>26080988.820125852</v>
      </c>
      <c r="H30" s="111">
        <v>3242822.3073216341</v>
      </c>
      <c r="I30" s="111">
        <v>14838584.245292131</v>
      </c>
      <c r="J30" s="111">
        <v>1729525.0809995274</v>
      </c>
      <c r="K30" s="111">
        <v>236267450.31847358</v>
      </c>
      <c r="L30" s="111">
        <v>7852311.4697370231</v>
      </c>
      <c r="M30" s="111">
        <v>247999084.19008231</v>
      </c>
      <c r="N30" s="111">
        <v>14887336.421924965</v>
      </c>
      <c r="O30" s="111">
        <v>140378576.55793172</v>
      </c>
      <c r="P30" s="111">
        <v>15843164.75240773</v>
      </c>
      <c r="Q30" s="111">
        <v>316704.73529437493</v>
      </c>
      <c r="R30" s="111">
        <v>73217406.732997611</v>
      </c>
      <c r="S30" s="111">
        <v>38917580.692917086</v>
      </c>
      <c r="T30" s="111">
        <v>3126.9458948369752</v>
      </c>
      <c r="U30" s="111">
        <v>5657497.1079095239</v>
      </c>
      <c r="V30" s="111">
        <v>4261866.8456935026</v>
      </c>
      <c r="W30" s="111">
        <v>14154015.781754369</v>
      </c>
      <c r="X30" s="111">
        <v>1797181.7789474444</v>
      </c>
      <c r="Y30" s="111">
        <v>3710133.3338085609</v>
      </c>
      <c r="Z30" s="111">
        <v>41742921.750238828</v>
      </c>
      <c r="AA30" s="111">
        <v>9252606.4835111387</v>
      </c>
      <c r="AB30" s="111">
        <v>1307901.5945687043</v>
      </c>
      <c r="AC30" s="111">
        <v>119415.99618702036</v>
      </c>
      <c r="AD30" s="111">
        <v>4937.0218554367539</v>
      </c>
      <c r="AE30" s="111">
        <v>346997.56252851948</v>
      </c>
      <c r="AF30" s="111">
        <v>1227153.4101938689</v>
      </c>
      <c r="AG30" s="111">
        <v>2888257.5156016587</v>
      </c>
      <c r="AH30" s="111">
        <v>550001.00753843575</v>
      </c>
      <c r="AI30" s="111">
        <v>160503.37750639129</v>
      </c>
      <c r="AJ30" s="111">
        <v>151827.29925841116</v>
      </c>
      <c r="AK30" s="111">
        <v>321700.79320896289</v>
      </c>
      <c r="AL30" s="111">
        <v>201139.7638288879</v>
      </c>
      <c r="AM30" s="111">
        <v>7643.2061426588198</v>
      </c>
      <c r="AN30" s="112">
        <v>2204231999.999999</v>
      </c>
      <c r="AO30" s="111">
        <v>4603585.4300942607</v>
      </c>
      <c r="AP30" s="111">
        <v>137840959.71486422</v>
      </c>
      <c r="AQ30" s="111">
        <v>26769454.855041485</v>
      </c>
      <c r="AR30" s="112">
        <v>2373445999.999999</v>
      </c>
      <c r="AS30" s="112">
        <v>38769708.023750708</v>
      </c>
    </row>
    <row r="31" spans="1:45" x14ac:dyDescent="0.2">
      <c r="A31" s="101">
        <v>2021</v>
      </c>
      <c r="B31" s="101">
        <v>1</v>
      </c>
      <c r="C31" s="102">
        <v>563.19930984184623</v>
      </c>
      <c r="D31" s="103">
        <v>907000</v>
      </c>
      <c r="E31" s="103">
        <v>1242020338.0439625</v>
      </c>
      <c r="F31" s="103">
        <v>266661.95603726094</v>
      </c>
      <c r="G31" s="103">
        <v>26262205.372159902</v>
      </c>
      <c r="H31" s="103">
        <v>3337100.217835261</v>
      </c>
      <c r="I31" s="103">
        <v>15698757.149709584</v>
      </c>
      <c r="J31" s="103">
        <v>1731103.5780141964</v>
      </c>
      <c r="K31" s="103">
        <v>240373698.06370345</v>
      </c>
      <c r="L31" s="103">
        <v>9321806.1416807342</v>
      </c>
      <c r="M31" s="103">
        <v>239306842.61677265</v>
      </c>
      <c r="N31" s="103">
        <v>16453974.058473567</v>
      </c>
      <c r="O31" s="103">
        <v>131502616.32001321</v>
      </c>
      <c r="P31" s="103">
        <v>16965369.454554219</v>
      </c>
      <c r="Q31" s="103">
        <v>315422.55986912758</v>
      </c>
      <c r="R31" s="103">
        <v>68720671.73709701</v>
      </c>
      <c r="S31" s="103">
        <v>43237680.109357029</v>
      </c>
      <c r="T31" s="103">
        <v>2901.1355672334553</v>
      </c>
      <c r="U31" s="103">
        <v>3659010.297578413</v>
      </c>
      <c r="V31" s="103">
        <v>4893648.9748080429</v>
      </c>
      <c r="W31" s="103">
        <v>14763950.11646061</v>
      </c>
      <c r="X31" s="103">
        <v>1661147.1574733357</v>
      </c>
      <c r="Y31" s="103">
        <v>4188742.0778607149</v>
      </c>
      <c r="Z31" s="103">
        <v>35459221.347485565</v>
      </c>
      <c r="AA31" s="103">
        <v>10419779.183265693</v>
      </c>
      <c r="AB31" s="103">
        <v>1199767.2240987574</v>
      </c>
      <c r="AC31" s="103">
        <v>106707.12845960179</v>
      </c>
      <c r="AD31" s="103">
        <v>4637.750309683297</v>
      </c>
      <c r="AE31" s="103">
        <v>320786.38646706421</v>
      </c>
      <c r="AF31" s="103">
        <v>1091023.0952681142</v>
      </c>
      <c r="AG31" s="103">
        <v>2703104.8102926617</v>
      </c>
      <c r="AH31" s="103">
        <v>496357.35230015882</v>
      </c>
      <c r="AI31" s="103">
        <v>145578.92255503029</v>
      </c>
      <c r="AJ31" s="103">
        <v>134038.70149794675</v>
      </c>
      <c r="AK31" s="103">
        <v>457053.05349411687</v>
      </c>
      <c r="AL31" s="103">
        <v>189224.54881633786</v>
      </c>
      <c r="AM31" s="103">
        <v>7510.1573911575961</v>
      </c>
      <c r="AN31" s="104">
        <v>2138326000</v>
      </c>
      <c r="AO31" s="103">
        <v>5501577.5656203693</v>
      </c>
      <c r="AP31" s="103">
        <v>139666366.89113611</v>
      </c>
      <c r="AQ31" s="103">
        <v>26852055.54324352</v>
      </c>
      <c r="AR31" s="104">
        <v>2310346000</v>
      </c>
      <c r="AS31" s="104">
        <v>39251051.181166045</v>
      </c>
    </row>
    <row r="32" spans="1:45" x14ac:dyDescent="0.2">
      <c r="A32" s="121">
        <v>2021</v>
      </c>
      <c r="B32" s="105">
        <v>2</v>
      </c>
      <c r="C32" s="106">
        <v>551.54796122868959</v>
      </c>
      <c r="D32" s="107">
        <v>853000</v>
      </c>
      <c r="E32" s="107">
        <v>1038351651.5487441</v>
      </c>
      <c r="F32" s="107">
        <v>205348.45125583434</v>
      </c>
      <c r="G32" s="107">
        <v>23141347.5381281</v>
      </c>
      <c r="H32" s="107">
        <v>2928464.8791632084</v>
      </c>
      <c r="I32" s="107">
        <v>13167683.236465624</v>
      </c>
      <c r="J32" s="107">
        <v>1549583.6033313745</v>
      </c>
      <c r="K32" s="107">
        <v>208723929.66064394</v>
      </c>
      <c r="L32" s="107">
        <v>7499332.1958195837</v>
      </c>
      <c r="M32" s="107">
        <v>219659096.32486278</v>
      </c>
      <c r="N32" s="107">
        <v>14153114.936704796</v>
      </c>
      <c r="O32" s="107">
        <v>119646049.66441813</v>
      </c>
      <c r="P32" s="107">
        <v>15338471.715733774</v>
      </c>
      <c r="Q32" s="107">
        <v>274976.14704415423</v>
      </c>
      <c r="R32" s="107">
        <v>63244489.815203197</v>
      </c>
      <c r="S32" s="107">
        <v>36539955.167032234</v>
      </c>
      <c r="T32" s="107">
        <v>2709.3171119142457</v>
      </c>
      <c r="U32" s="107">
        <v>5220889.7622589367</v>
      </c>
      <c r="V32" s="107">
        <v>4113266.5506989155</v>
      </c>
      <c r="W32" s="107">
        <v>13274899.598604959</v>
      </c>
      <c r="X32" s="107">
        <v>1405034.8713359646</v>
      </c>
      <c r="Y32" s="107">
        <v>4725252.4110012595</v>
      </c>
      <c r="Z32" s="107">
        <v>29997692.656839129</v>
      </c>
      <c r="AA32" s="107">
        <v>8226607.0230094139</v>
      </c>
      <c r="AB32" s="107">
        <v>1074876.7283637542</v>
      </c>
      <c r="AC32" s="107">
        <v>100662.84734378564</v>
      </c>
      <c r="AD32" s="107">
        <v>4541.8055088026467</v>
      </c>
      <c r="AE32" s="107">
        <v>316952.75396348548</v>
      </c>
      <c r="AF32" s="107">
        <v>1068528.7882346686</v>
      </c>
      <c r="AG32" s="107">
        <v>2576163.1500229491</v>
      </c>
      <c r="AH32" s="107">
        <v>485713.05362797395</v>
      </c>
      <c r="AI32" s="107">
        <v>138900.51762223593</v>
      </c>
      <c r="AJ32" s="107">
        <v>130908.55956223971</v>
      </c>
      <c r="AK32" s="107">
        <v>260009.32497335214</v>
      </c>
      <c r="AL32" s="107">
        <v>172708.54577823263</v>
      </c>
      <c r="AM32" s="107">
        <v>6635.3016256450101</v>
      </c>
      <c r="AN32" s="108">
        <v>1838580000</v>
      </c>
      <c r="AO32" s="107">
        <v>5271471.0104183014</v>
      </c>
      <c r="AP32" s="107">
        <v>135376314.79772133</v>
      </c>
      <c r="AQ32" s="107">
        <v>26110214.191860389</v>
      </c>
      <c r="AR32" s="108">
        <v>2005338000.0000002</v>
      </c>
      <c r="AS32" s="108">
        <v>40608622.015436277</v>
      </c>
    </row>
    <row r="33" spans="1:45" x14ac:dyDescent="0.2">
      <c r="A33" s="121">
        <v>2021</v>
      </c>
      <c r="B33" s="105">
        <v>3</v>
      </c>
      <c r="C33" s="106">
        <v>626.86386690499</v>
      </c>
      <c r="D33" s="107">
        <v>858000</v>
      </c>
      <c r="E33" s="107">
        <v>1039977751.6008469</v>
      </c>
      <c r="F33" s="107">
        <v>198248.39915279567</v>
      </c>
      <c r="G33" s="107">
        <v>23173226.59213122</v>
      </c>
      <c r="H33" s="107">
        <v>3113104.9459770755</v>
      </c>
      <c r="I33" s="107">
        <v>13457746.110550597</v>
      </c>
      <c r="J33" s="107">
        <v>1580656.4228687896</v>
      </c>
      <c r="K33" s="107">
        <v>224644543.51665512</v>
      </c>
      <c r="L33" s="107">
        <v>8671469.3136727698</v>
      </c>
      <c r="M33" s="107">
        <v>223472932.85979787</v>
      </c>
      <c r="N33" s="107">
        <v>15713581.109535964</v>
      </c>
      <c r="O33" s="107">
        <v>126860484.37784234</v>
      </c>
      <c r="P33" s="107">
        <v>16928668.32751549</v>
      </c>
      <c r="Q33" s="107">
        <v>319698.66312277701</v>
      </c>
      <c r="R33" s="107">
        <v>67379922.393329784</v>
      </c>
      <c r="S33" s="107">
        <v>40177959.670337677</v>
      </c>
      <c r="T33" s="107">
        <v>2948.7807963508835</v>
      </c>
      <c r="U33" s="107">
        <v>8001668.8523106482</v>
      </c>
      <c r="V33" s="107">
        <v>4675860.8117436254</v>
      </c>
      <c r="W33" s="107">
        <v>12862585.093281917</v>
      </c>
      <c r="X33" s="107">
        <v>1669625.3756892413</v>
      </c>
      <c r="Y33" s="107">
        <v>5777036.2098926706</v>
      </c>
      <c r="Z33" s="107">
        <v>36715587.560909569</v>
      </c>
      <c r="AA33" s="107">
        <v>9828424.5573018007</v>
      </c>
      <c r="AB33" s="107">
        <v>1118843.6751411296</v>
      </c>
      <c r="AC33" s="107">
        <v>111134.42440790277</v>
      </c>
      <c r="AD33" s="107">
        <v>5162.0057803058698</v>
      </c>
      <c r="AE33" s="107">
        <v>360977.61179740907</v>
      </c>
      <c r="AF33" s="107">
        <v>1216413.6052319189</v>
      </c>
      <c r="AG33" s="107">
        <v>2915852.649284245</v>
      </c>
      <c r="AH33" s="107">
        <v>552506.38834780431</v>
      </c>
      <c r="AI33" s="107">
        <v>148326.73712905427</v>
      </c>
      <c r="AJ33" s="107">
        <v>135860.25182132484</v>
      </c>
      <c r="AK33" s="107">
        <v>278482.7761423795</v>
      </c>
      <c r="AL33" s="107">
        <v>193427.89196766331</v>
      </c>
      <c r="AM33" s="107">
        <v>7653.5738184565125</v>
      </c>
      <c r="AN33" s="108">
        <v>1893107000.0000002</v>
      </c>
      <c r="AO33" s="107">
        <v>5363355.8692861078</v>
      </c>
      <c r="AP33" s="107">
        <v>142889603.24827451</v>
      </c>
      <c r="AQ33" s="107">
        <v>26695040.882439394</v>
      </c>
      <c r="AR33" s="108">
        <v>2068055000.0000002</v>
      </c>
      <c r="AS33" s="108">
        <v>42372758.410359375</v>
      </c>
    </row>
    <row r="34" spans="1:45" x14ac:dyDescent="0.2">
      <c r="A34" s="121">
        <v>2021</v>
      </c>
      <c r="B34" s="105">
        <v>4</v>
      </c>
      <c r="C34" s="106">
        <v>576.96448507571279</v>
      </c>
      <c r="D34" s="107">
        <v>636000</v>
      </c>
      <c r="E34" s="107">
        <v>852811252.15121174</v>
      </c>
      <c r="F34" s="107">
        <v>164747.84878831636</v>
      </c>
      <c r="G34" s="107">
        <v>19855212.775921796</v>
      </c>
      <c r="H34" s="107">
        <v>2774826.0527354353</v>
      </c>
      <c r="I34" s="107">
        <v>11758120.240465583</v>
      </c>
      <c r="J34" s="107">
        <v>1339831.5784076301</v>
      </c>
      <c r="K34" s="107">
        <v>199768880.12663361</v>
      </c>
      <c r="L34" s="107">
        <v>7479986.219970502</v>
      </c>
      <c r="M34" s="107">
        <v>211122319.49486056</v>
      </c>
      <c r="N34" s="107">
        <v>14389292.082729092</v>
      </c>
      <c r="O34" s="107">
        <v>117533764.6433903</v>
      </c>
      <c r="P34" s="107">
        <v>15896334.555550823</v>
      </c>
      <c r="Q34" s="107">
        <v>329654.13397289999</v>
      </c>
      <c r="R34" s="107">
        <v>61830335.255277939</v>
      </c>
      <c r="S34" s="107">
        <v>38463934.727180324</v>
      </c>
      <c r="T34" s="107">
        <v>2858.0681575672684</v>
      </c>
      <c r="U34" s="107">
        <v>7722481.1013506213</v>
      </c>
      <c r="V34" s="107">
        <v>4242708.047339322</v>
      </c>
      <c r="W34" s="107">
        <v>10096968.916671548</v>
      </c>
      <c r="X34" s="107">
        <v>1503477.9771609495</v>
      </c>
      <c r="Y34" s="107">
        <v>4012412.1769326637</v>
      </c>
      <c r="Z34" s="107">
        <v>33771597.457107581</v>
      </c>
      <c r="AA34" s="107">
        <v>9790332.1902972776</v>
      </c>
      <c r="AB34" s="107">
        <v>880959.08869899553</v>
      </c>
      <c r="AC34" s="107">
        <v>85549.016329408594</v>
      </c>
      <c r="AD34" s="107">
        <v>4751.1017371231428</v>
      </c>
      <c r="AE34" s="107">
        <v>335175.09212052275</v>
      </c>
      <c r="AF34" s="107">
        <v>1121938.2672707341</v>
      </c>
      <c r="AG34" s="107">
        <v>2675572.9601427745</v>
      </c>
      <c r="AH34" s="107">
        <v>505786.48590625136</v>
      </c>
      <c r="AI34" s="107">
        <v>145810.7645790026</v>
      </c>
      <c r="AJ34" s="107">
        <v>137464.16367675152</v>
      </c>
      <c r="AK34" s="107">
        <v>257691.0233091148</v>
      </c>
      <c r="AL34" s="107">
        <v>184369.2117992545</v>
      </c>
      <c r="AM34" s="107">
        <v>7028.0378309005482</v>
      </c>
      <c r="AN34" s="108">
        <v>1633640000.0000002</v>
      </c>
      <c r="AO34" s="107">
        <v>5374844.6562978216</v>
      </c>
      <c r="AP34" s="107">
        <v>136999324.20753402</v>
      </c>
      <c r="AQ34" s="107">
        <v>21663831.136168156</v>
      </c>
      <c r="AR34" s="108">
        <v>1797678000.0000005</v>
      </c>
      <c r="AS34" s="108">
        <v>40229614.679899514</v>
      </c>
    </row>
    <row r="35" spans="1:45" x14ac:dyDescent="0.2">
      <c r="A35" s="121">
        <v>2021</v>
      </c>
      <c r="B35" s="105">
        <v>5</v>
      </c>
      <c r="C35" s="106">
        <v>584.60193538298017</v>
      </c>
      <c r="D35" s="107">
        <v>498000</v>
      </c>
      <c r="E35" s="107">
        <v>725866187.30514085</v>
      </c>
      <c r="F35" s="107">
        <v>161812.69485905004</v>
      </c>
      <c r="G35" s="107">
        <v>17543949.37145685</v>
      </c>
      <c r="H35" s="107">
        <v>2591533.7017506626</v>
      </c>
      <c r="I35" s="107">
        <v>10822160.514405906</v>
      </c>
      <c r="J35" s="107">
        <v>1264433.2222511077</v>
      </c>
      <c r="K35" s="107">
        <v>190587082.46781239</v>
      </c>
      <c r="L35" s="107">
        <v>7266637.7791743111</v>
      </c>
      <c r="M35" s="107">
        <v>209099231.29673794</v>
      </c>
      <c r="N35" s="107">
        <v>14546149.065164709</v>
      </c>
      <c r="O35" s="107">
        <v>121122823.77415709</v>
      </c>
      <c r="P35" s="107">
        <v>17495784.774377625</v>
      </c>
      <c r="Q35" s="107">
        <v>809019.85202659375</v>
      </c>
      <c r="R35" s="107">
        <v>63783222.969820559</v>
      </c>
      <c r="S35" s="107">
        <v>40432835.710253343</v>
      </c>
      <c r="T35" s="107">
        <v>316564.39972650324</v>
      </c>
      <c r="U35" s="107">
        <v>8313823.974526681</v>
      </c>
      <c r="V35" s="107">
        <v>4843931.8507741159</v>
      </c>
      <c r="W35" s="107">
        <v>8704902.9363054298</v>
      </c>
      <c r="X35" s="107">
        <v>1661690.707097502</v>
      </c>
      <c r="Y35" s="107">
        <v>3779910.9714067844</v>
      </c>
      <c r="Z35" s="107">
        <v>34452120.55062186</v>
      </c>
      <c r="AA35" s="107">
        <v>9451749.8488491252</v>
      </c>
      <c r="AB35" s="107">
        <v>778053.77877900994</v>
      </c>
      <c r="AC35" s="107">
        <v>64763.121817388201</v>
      </c>
      <c r="AD35" s="107">
        <v>4813.9934823876511</v>
      </c>
      <c r="AE35" s="107">
        <v>346826.44860365725</v>
      </c>
      <c r="AF35" s="107">
        <v>1136888.1214834824</v>
      </c>
      <c r="AG35" s="107">
        <v>2696444.1638856758</v>
      </c>
      <c r="AH35" s="107">
        <v>510215.47581721039</v>
      </c>
      <c r="AI35" s="107">
        <v>145354.42261872123</v>
      </c>
      <c r="AJ35" s="107">
        <v>133592.07724798532</v>
      </c>
      <c r="AK35" s="107">
        <v>491410.2941958048</v>
      </c>
      <c r="AL35" s="107">
        <v>185943.50230648858</v>
      </c>
      <c r="AM35" s="107">
        <v>7550.2591295947332</v>
      </c>
      <c r="AN35" s="108">
        <v>1501917999.9999993</v>
      </c>
      <c r="AO35" s="107">
        <v>5303431.0053378902</v>
      </c>
      <c r="AP35" s="107">
        <v>131639902.92559539</v>
      </c>
      <c r="AQ35" s="107">
        <v>22233666.069066737</v>
      </c>
      <c r="AR35" s="108">
        <v>1661094999.9999993</v>
      </c>
      <c r="AS35" s="108">
        <v>37697747.476012468</v>
      </c>
    </row>
    <row r="36" spans="1:45" x14ac:dyDescent="0.2">
      <c r="A36" s="121">
        <v>2021</v>
      </c>
      <c r="B36" s="105">
        <v>6</v>
      </c>
      <c r="C36" s="106">
        <v>605.58243360485903</v>
      </c>
      <c r="D36" s="107">
        <v>371000</v>
      </c>
      <c r="E36" s="107">
        <v>667670692.62527144</v>
      </c>
      <c r="F36" s="107">
        <v>181307.3747284709</v>
      </c>
      <c r="G36" s="107">
        <v>17325513.246848375</v>
      </c>
      <c r="H36" s="107">
        <v>2510168.823300052</v>
      </c>
      <c r="I36" s="107">
        <v>10564007.497946184</v>
      </c>
      <c r="J36" s="107">
        <v>1224078.032771748</v>
      </c>
      <c r="K36" s="107">
        <v>185274945.6738098</v>
      </c>
      <c r="L36" s="107">
        <v>6869788.5969957784</v>
      </c>
      <c r="M36" s="107">
        <v>210191377.07479179</v>
      </c>
      <c r="N36" s="107">
        <v>14177454.910853725</v>
      </c>
      <c r="O36" s="107">
        <v>123315250.5675071</v>
      </c>
      <c r="P36" s="107">
        <v>17100468.696590383</v>
      </c>
      <c r="Q36" s="107">
        <v>1464953.0119931556</v>
      </c>
      <c r="R36" s="107">
        <v>64729163.413578644</v>
      </c>
      <c r="S36" s="107">
        <v>39610778.535425328</v>
      </c>
      <c r="T36" s="107">
        <v>690451.54914244299</v>
      </c>
      <c r="U36" s="107">
        <v>5485674.0923078293</v>
      </c>
      <c r="V36" s="107">
        <v>4727058.220128525</v>
      </c>
      <c r="W36" s="107">
        <v>7666617.6517396867</v>
      </c>
      <c r="X36" s="107">
        <v>1777287.9452271818</v>
      </c>
      <c r="Y36" s="107">
        <v>4371084.2903873296</v>
      </c>
      <c r="Z36" s="107">
        <v>34017538.468353696</v>
      </c>
      <c r="AA36" s="107">
        <v>9273366.749618927</v>
      </c>
      <c r="AB36" s="107">
        <v>745547.65700775047</v>
      </c>
      <c r="AC36" s="107">
        <v>63916.780474867453</v>
      </c>
      <c r="AD36" s="107">
        <v>4986.7605835283684</v>
      </c>
      <c r="AE36" s="107">
        <v>369384.69305216015</v>
      </c>
      <c r="AF36" s="107">
        <v>1179976.1061148662</v>
      </c>
      <c r="AG36" s="107">
        <v>2778732.2766807149</v>
      </c>
      <c r="AH36" s="107">
        <v>526661.24599140603</v>
      </c>
      <c r="AI36" s="107">
        <v>146686.2603433808</v>
      </c>
      <c r="AJ36" s="107">
        <v>138691.81622221091</v>
      </c>
      <c r="AK36" s="107">
        <v>274188.89766110142</v>
      </c>
      <c r="AL36" s="107">
        <v>184517.95417204653</v>
      </c>
      <c r="AM36" s="107">
        <v>7076.9199444068445</v>
      </c>
      <c r="AN36" s="108">
        <v>1437010999.9999998</v>
      </c>
      <c r="AO36" s="107">
        <v>5174375.4645089945</v>
      </c>
      <c r="AP36" s="107">
        <v>132398391.31716794</v>
      </c>
      <c r="AQ36" s="107">
        <v>24852233.218323044</v>
      </c>
      <c r="AR36" s="108">
        <v>1599435999.9999998</v>
      </c>
      <c r="AS36" s="108">
        <v>37734953.548575059</v>
      </c>
    </row>
    <row r="37" spans="1:45" x14ac:dyDescent="0.2">
      <c r="A37" s="121">
        <v>2021</v>
      </c>
      <c r="B37" s="105">
        <v>7</v>
      </c>
      <c r="C37" s="106">
        <v>586.14720647102195</v>
      </c>
      <c r="D37" s="107">
        <v>322000</v>
      </c>
      <c r="E37" s="107">
        <v>683592151.53001177</v>
      </c>
      <c r="F37" s="107">
        <v>227848.46998837654</v>
      </c>
      <c r="G37" s="107">
        <v>17486894.026541762</v>
      </c>
      <c r="H37" s="107">
        <v>2568952.8284419621</v>
      </c>
      <c r="I37" s="107">
        <v>11066780.86178093</v>
      </c>
      <c r="J37" s="107">
        <v>1514501.8520821293</v>
      </c>
      <c r="K37" s="107">
        <v>197806176.50647879</v>
      </c>
      <c r="L37" s="107">
        <v>7008504.5301207853</v>
      </c>
      <c r="M37" s="107">
        <v>221412831.25668737</v>
      </c>
      <c r="N37" s="107">
        <v>14407493.912850251</v>
      </c>
      <c r="O37" s="107">
        <v>132694824.1260566</v>
      </c>
      <c r="P37" s="107">
        <v>16903178.857875917</v>
      </c>
      <c r="Q37" s="107">
        <v>2632132.5878642634</v>
      </c>
      <c r="R37" s="107">
        <v>65262941.008739211</v>
      </c>
      <c r="S37" s="107">
        <v>39884010.016333282</v>
      </c>
      <c r="T37" s="107">
        <v>719605.97122425318</v>
      </c>
      <c r="U37" s="107">
        <v>5860657.8154884782</v>
      </c>
      <c r="V37" s="107">
        <v>5013268.2258838015</v>
      </c>
      <c r="W37" s="107">
        <v>5831111.3873429224</v>
      </c>
      <c r="X37" s="107">
        <v>2242070.8102992373</v>
      </c>
      <c r="Y37" s="107">
        <v>4871731.951736534</v>
      </c>
      <c r="Z37" s="107">
        <v>37994738.74902834</v>
      </c>
      <c r="AA37" s="107">
        <v>8867812.5051994342</v>
      </c>
      <c r="AB37" s="107">
        <v>679880.12313201337</v>
      </c>
      <c r="AC37" s="107">
        <v>65779.237354768469</v>
      </c>
      <c r="AD37" s="107">
        <v>4826.7182520062834</v>
      </c>
      <c r="AE37" s="107">
        <v>364337.97294884594</v>
      </c>
      <c r="AF37" s="107">
        <v>1134691.0690244567</v>
      </c>
      <c r="AG37" s="107">
        <v>2684395.0374738965</v>
      </c>
      <c r="AH37" s="107">
        <v>532343.18365763361</v>
      </c>
      <c r="AI37" s="107">
        <v>149635.78375629795</v>
      </c>
      <c r="AJ37" s="107">
        <v>137670.2602982354</v>
      </c>
      <c r="AK37" s="107">
        <v>260160.51094990852</v>
      </c>
      <c r="AL37" s="107">
        <v>191656.07975152225</v>
      </c>
      <c r="AM37" s="107">
        <v>7818.0881377668384</v>
      </c>
      <c r="AN37" s="108">
        <v>1492405999.9999998</v>
      </c>
      <c r="AO37" s="107">
        <v>5397596.2323881648</v>
      </c>
      <c r="AP37" s="107">
        <v>144851963.99267778</v>
      </c>
      <c r="AQ37" s="107">
        <v>27307439.774934057</v>
      </c>
      <c r="AR37" s="108">
        <v>1669962999.9999998</v>
      </c>
      <c r="AS37" s="108">
        <v>37208117.157326177</v>
      </c>
    </row>
    <row r="38" spans="1:45" x14ac:dyDescent="0.2">
      <c r="A38" s="121">
        <v>2021</v>
      </c>
      <c r="B38" s="105">
        <v>8</v>
      </c>
      <c r="C38" s="106">
        <v>608.04206523786627</v>
      </c>
      <c r="D38" s="107">
        <v>310000</v>
      </c>
      <c r="E38" s="107">
        <v>669278012.69948113</v>
      </c>
      <c r="F38" s="107">
        <v>229987.30051873234</v>
      </c>
      <c r="G38" s="107">
        <v>17870620.693992786</v>
      </c>
      <c r="H38" s="107">
        <v>2599505.305876744</v>
      </c>
      <c r="I38" s="107">
        <v>11532035.534540491</v>
      </c>
      <c r="J38" s="107">
        <v>1754076.5081468804</v>
      </c>
      <c r="K38" s="107">
        <v>202075994.49995047</v>
      </c>
      <c r="L38" s="107">
        <v>7186471.8520781025</v>
      </c>
      <c r="M38" s="107">
        <v>226848677.51453611</v>
      </c>
      <c r="N38" s="107">
        <v>14973701.474418299</v>
      </c>
      <c r="O38" s="107">
        <v>135178946.53124788</v>
      </c>
      <c r="P38" s="107">
        <v>17758083.670750659</v>
      </c>
      <c r="Q38" s="107">
        <v>3932455.0042968718</v>
      </c>
      <c r="R38" s="107">
        <v>64760912.798286147</v>
      </c>
      <c r="S38" s="107">
        <v>41023862.193760455</v>
      </c>
      <c r="T38" s="107">
        <v>963338.88478133781</v>
      </c>
      <c r="U38" s="107">
        <v>4443114.3794615343</v>
      </c>
      <c r="V38" s="107">
        <v>4824637.1295445766</v>
      </c>
      <c r="W38" s="107">
        <v>4930625.9943697872</v>
      </c>
      <c r="X38" s="107">
        <v>2220884.0682440242</v>
      </c>
      <c r="Y38" s="107">
        <v>4346945.3295974396</v>
      </c>
      <c r="Z38" s="107">
        <v>36789911.852957018</v>
      </c>
      <c r="AA38" s="107">
        <v>10851298.349850478</v>
      </c>
      <c r="AB38" s="107">
        <v>742053.18500412547</v>
      </c>
      <c r="AC38" s="107">
        <v>71021.494967117338</v>
      </c>
      <c r="AD38" s="107">
        <v>5020.7560293998868</v>
      </c>
      <c r="AE38" s="107">
        <v>380595.80764031212</v>
      </c>
      <c r="AF38" s="107">
        <v>1175307.1138623785</v>
      </c>
      <c r="AG38" s="107">
        <v>2786390.9633671981</v>
      </c>
      <c r="AH38" s="107">
        <v>505638.18852184981</v>
      </c>
      <c r="AI38" s="107">
        <v>151339.49372594189</v>
      </c>
      <c r="AJ38" s="107">
        <v>142510.11436206003</v>
      </c>
      <c r="AK38" s="107">
        <v>271364.44854238105</v>
      </c>
      <c r="AL38" s="107">
        <v>190578.96107603851</v>
      </c>
      <c r="AM38" s="107">
        <v>7471.8601477627763</v>
      </c>
      <c r="AN38" s="108">
        <v>1493113999.9999995</v>
      </c>
      <c r="AO38" s="107">
        <v>5427328.742417763</v>
      </c>
      <c r="AP38" s="107">
        <v>144838967.44503248</v>
      </c>
      <c r="AQ38" s="107">
        <v>27431703.81254977</v>
      </c>
      <c r="AR38" s="108">
        <v>1670811999.9999998</v>
      </c>
      <c r="AS38" s="108">
        <v>40290468.965234898</v>
      </c>
    </row>
    <row r="39" spans="1:45" x14ac:dyDescent="0.2">
      <c r="A39" s="121">
        <v>2021</v>
      </c>
      <c r="B39" s="105">
        <v>9</v>
      </c>
      <c r="C39" s="106">
        <v>629.81512061406443</v>
      </c>
      <c r="D39" s="107">
        <v>361000</v>
      </c>
      <c r="E39" s="107">
        <v>660224656.16731346</v>
      </c>
      <c r="F39" s="107">
        <v>194343.83268653988</v>
      </c>
      <c r="G39" s="107">
        <v>16745759.786214443</v>
      </c>
      <c r="H39" s="107">
        <v>2462491.8240895281</v>
      </c>
      <c r="I39" s="107">
        <v>10804713.968817454</v>
      </c>
      <c r="J39" s="107">
        <v>1425516.2650372442</v>
      </c>
      <c r="K39" s="107">
        <v>188337440.75592461</v>
      </c>
      <c r="L39" s="107">
        <v>6742858.7558576837</v>
      </c>
      <c r="M39" s="107">
        <v>211930173.95423469</v>
      </c>
      <c r="N39" s="107">
        <v>14198968.359556366</v>
      </c>
      <c r="O39" s="107">
        <v>124285096.06732439</v>
      </c>
      <c r="P39" s="107">
        <v>16988824.000141345</v>
      </c>
      <c r="Q39" s="107">
        <v>3004598.4917914714</v>
      </c>
      <c r="R39" s="107">
        <v>61936999.903775349</v>
      </c>
      <c r="S39" s="107">
        <v>38591720.930690706</v>
      </c>
      <c r="T39" s="107">
        <v>817160.55703629518</v>
      </c>
      <c r="U39" s="107">
        <v>5363115.6690975977</v>
      </c>
      <c r="V39" s="107">
        <v>5272526.6836468</v>
      </c>
      <c r="W39" s="107">
        <v>5993003.0572862113</v>
      </c>
      <c r="X39" s="107">
        <v>1765233.216785148</v>
      </c>
      <c r="Y39" s="107">
        <v>3832016.1508456827</v>
      </c>
      <c r="Z39" s="107">
        <v>35907239.024931766</v>
      </c>
      <c r="AA39" s="107">
        <v>9666085.1192614269</v>
      </c>
      <c r="AB39" s="107">
        <v>874337.83605484467</v>
      </c>
      <c r="AC39" s="107">
        <v>75219.713802893224</v>
      </c>
      <c r="AD39" s="107">
        <v>4895.9522174864596</v>
      </c>
      <c r="AE39" s="107">
        <v>399710.84402842296</v>
      </c>
      <c r="AF39" s="107">
        <v>1222991.8963864716</v>
      </c>
      <c r="AG39" s="107">
        <v>2840583.2399004712</v>
      </c>
      <c r="AH39" s="107">
        <v>524422.69431471138</v>
      </c>
      <c r="AI39" s="107">
        <v>139625.25702009589</v>
      </c>
      <c r="AJ39" s="107">
        <v>128223.98529852532</v>
      </c>
      <c r="AK39" s="107">
        <v>293208.00817408273</v>
      </c>
      <c r="AL39" s="107">
        <v>179291.66445535421</v>
      </c>
      <c r="AM39" s="107">
        <v>7316.5508797785942</v>
      </c>
      <c r="AN39" s="108">
        <v>1433542000.000001</v>
      </c>
      <c r="AO39" s="107">
        <v>5186451.2748772167</v>
      </c>
      <c r="AP39" s="107">
        <v>143490363.48721123</v>
      </c>
      <c r="AQ39" s="107">
        <v>29276185.237911522</v>
      </c>
      <c r="AR39" s="108">
        <v>1611495000.000001</v>
      </c>
      <c r="AS39" s="108">
        <v>40142837.119249247</v>
      </c>
    </row>
    <row r="40" spans="1:45" x14ac:dyDescent="0.2">
      <c r="A40" s="121">
        <v>2021</v>
      </c>
      <c r="B40" s="105">
        <v>10</v>
      </c>
      <c r="C40" s="106">
        <v>603.18121976146142</v>
      </c>
      <c r="D40" s="107">
        <v>521000</v>
      </c>
      <c r="E40" s="107">
        <v>817890283.44551075</v>
      </c>
      <c r="F40" s="107">
        <v>204716.5544892395</v>
      </c>
      <c r="G40" s="107">
        <v>17595601.180541031</v>
      </c>
      <c r="H40" s="107">
        <v>2578474.9592931359</v>
      </c>
      <c r="I40" s="107">
        <v>11572133.032391259</v>
      </c>
      <c r="J40" s="107">
        <v>1336816.5207894086</v>
      </c>
      <c r="K40" s="107">
        <v>193520420.20000029</v>
      </c>
      <c r="L40" s="107">
        <v>6795710.8367178421</v>
      </c>
      <c r="M40" s="107">
        <v>217452139.38423973</v>
      </c>
      <c r="N40" s="107">
        <v>14469044.999790318</v>
      </c>
      <c r="O40" s="107">
        <v>128079281.33955292</v>
      </c>
      <c r="P40" s="107">
        <v>17163653.922762282</v>
      </c>
      <c r="Q40" s="107">
        <v>1210797.190884721</v>
      </c>
      <c r="R40" s="107">
        <v>64660976.586570799</v>
      </c>
      <c r="S40" s="107">
        <v>39882616.124998339</v>
      </c>
      <c r="T40" s="107">
        <v>707651.22366353148</v>
      </c>
      <c r="U40" s="107">
        <v>7713615.9797758982</v>
      </c>
      <c r="V40" s="107">
        <v>5126192.3355308352</v>
      </c>
      <c r="W40" s="107">
        <v>8110207.0767877577</v>
      </c>
      <c r="X40" s="107">
        <v>941842.43167568569</v>
      </c>
      <c r="Y40" s="107">
        <v>4547882.2825320996</v>
      </c>
      <c r="Z40" s="107">
        <v>37640534.798502944</v>
      </c>
      <c r="AA40" s="107">
        <v>9669899.4976682868</v>
      </c>
      <c r="AB40" s="107">
        <v>930875.30093849846</v>
      </c>
      <c r="AC40" s="107">
        <v>71672.621476562854</v>
      </c>
      <c r="AD40" s="107">
        <v>4688.9100210201714</v>
      </c>
      <c r="AE40" s="107">
        <v>387186.41844948434</v>
      </c>
      <c r="AF40" s="107">
        <v>1170175.6255093443</v>
      </c>
      <c r="AG40" s="107">
        <v>2724998.6568802064</v>
      </c>
      <c r="AH40" s="107">
        <v>517317.94427419262</v>
      </c>
      <c r="AI40" s="107">
        <v>152485.5621502079</v>
      </c>
      <c r="AJ40" s="107">
        <v>143523.61047684835</v>
      </c>
      <c r="AK40" s="107">
        <v>476481.34123093029</v>
      </c>
      <c r="AL40" s="107">
        <v>192976.42514940741</v>
      </c>
      <c r="AM40" s="107">
        <v>7522.4975543574856</v>
      </c>
      <c r="AN40" s="108">
        <v>1616172000</v>
      </c>
      <c r="AO40" s="107">
        <v>4769722.5746196182</v>
      </c>
      <c r="AP40" s="107">
        <v>137903934.40470764</v>
      </c>
      <c r="AQ40" s="107">
        <v>29507343.020672731</v>
      </c>
      <c r="AR40" s="108">
        <v>1788353000</v>
      </c>
      <c r="AS40" s="108">
        <v>41622769.442813627</v>
      </c>
    </row>
    <row r="41" spans="1:45" x14ac:dyDescent="0.2">
      <c r="A41" s="121">
        <v>2021</v>
      </c>
      <c r="B41" s="105">
        <v>11</v>
      </c>
      <c r="C41" s="106">
        <v>632.62388231338298</v>
      </c>
      <c r="D41" s="107">
        <v>733000</v>
      </c>
      <c r="E41" s="107">
        <v>1014257036.3506398</v>
      </c>
      <c r="F41" s="107">
        <v>219963.64936032298</v>
      </c>
      <c r="G41" s="107">
        <v>19942406.19062617</v>
      </c>
      <c r="H41" s="107">
        <v>2708220.7370208958</v>
      </c>
      <c r="I41" s="107">
        <v>12709329.322110457</v>
      </c>
      <c r="J41" s="107">
        <v>1392308.6742453142</v>
      </c>
      <c r="K41" s="107">
        <v>208438438.88498148</v>
      </c>
      <c r="L41" s="107">
        <v>7076726.7716457322</v>
      </c>
      <c r="M41" s="107">
        <v>224512504.08302864</v>
      </c>
      <c r="N41" s="107">
        <v>13973398.182187757</v>
      </c>
      <c r="O41" s="107">
        <v>128640385.48711859</v>
      </c>
      <c r="P41" s="107">
        <v>15772383.59113887</v>
      </c>
      <c r="Q41" s="107">
        <v>403003.92061253346</v>
      </c>
      <c r="R41" s="107">
        <v>65468397.292304389</v>
      </c>
      <c r="S41" s="107">
        <v>38176182.343125165</v>
      </c>
      <c r="T41" s="107">
        <v>235071.34224662458</v>
      </c>
      <c r="U41" s="107">
        <v>7318190.1822357737</v>
      </c>
      <c r="V41" s="107">
        <v>4592070.9446871467</v>
      </c>
      <c r="W41" s="107">
        <v>9988260.7455908135</v>
      </c>
      <c r="X41" s="107">
        <v>1068855.3207803597</v>
      </c>
      <c r="Y41" s="107">
        <v>3900826.2108714688</v>
      </c>
      <c r="Z41" s="107">
        <v>38478782.131537445</v>
      </c>
      <c r="AA41" s="107">
        <v>8911411.9563438632</v>
      </c>
      <c r="AB41" s="107">
        <v>1120298.9207864292</v>
      </c>
      <c r="AC41" s="107">
        <v>88809.351045517207</v>
      </c>
      <c r="AD41" s="107">
        <v>4917.7865028506494</v>
      </c>
      <c r="AE41" s="107">
        <v>407922.86169910146</v>
      </c>
      <c r="AF41" s="107">
        <v>1225641.7477384736</v>
      </c>
      <c r="AG41" s="107">
        <v>2865173.0469648819</v>
      </c>
      <c r="AH41" s="107">
        <v>533773.1864419051</v>
      </c>
      <c r="AI41" s="107">
        <v>149777.16155587102</v>
      </c>
      <c r="AJ41" s="107">
        <v>137815.62009719966</v>
      </c>
      <c r="AK41" s="107">
        <v>279830.47493852716</v>
      </c>
      <c r="AL41" s="107">
        <v>195441.7822267302</v>
      </c>
      <c r="AM41" s="107">
        <v>7811.1216805396371</v>
      </c>
      <c r="AN41" s="108">
        <v>1835934999.9999993</v>
      </c>
      <c r="AO41" s="107">
        <v>4356782.3944330281</v>
      </c>
      <c r="AP41" s="107">
        <v>133779599.07898192</v>
      </c>
      <c r="AQ41" s="107">
        <v>28157618.526585065</v>
      </c>
      <c r="AR41" s="108">
        <v>2002228999.9999993</v>
      </c>
      <c r="AS41" s="108">
        <v>40296947.921537779</v>
      </c>
    </row>
    <row r="42" spans="1:45" x14ac:dyDescent="0.2">
      <c r="A42" s="122">
        <v>2021</v>
      </c>
      <c r="B42" s="109">
        <v>12</v>
      </c>
      <c r="C42" s="110">
        <v>639.59904259244513</v>
      </c>
      <c r="D42" s="111">
        <v>1047000</v>
      </c>
      <c r="E42" s="111">
        <v>1284164014.0676975</v>
      </c>
      <c r="F42" s="111">
        <v>292985.93230272783</v>
      </c>
      <c r="G42" s="111">
        <v>24894339.449823916</v>
      </c>
      <c r="H42" s="111">
        <v>3148032.4713247065</v>
      </c>
      <c r="I42" s="111">
        <v>14443797.581401521</v>
      </c>
      <c r="J42" s="111">
        <v>1683510.3517264454</v>
      </c>
      <c r="K42" s="111">
        <v>231364570.95905113</v>
      </c>
      <c r="L42" s="111">
        <v>7690111.279926165</v>
      </c>
      <c r="M42" s="111">
        <v>241318069.2136679</v>
      </c>
      <c r="N42" s="111">
        <v>14612197.676266938</v>
      </c>
      <c r="O42" s="111">
        <v>135427200.66910592</v>
      </c>
      <c r="P42" s="111">
        <v>15054468.955469938</v>
      </c>
      <c r="Q42" s="111">
        <v>312590.38101331826</v>
      </c>
      <c r="R42" s="111">
        <v>70514920.401313975</v>
      </c>
      <c r="S42" s="111">
        <v>38435583.478544585</v>
      </c>
      <c r="T42" s="111">
        <v>3035.5432028443715</v>
      </c>
      <c r="U42" s="111">
        <v>6066538.6507919673</v>
      </c>
      <c r="V42" s="111">
        <v>4146803.9413253088</v>
      </c>
      <c r="W42" s="111">
        <v>13740284.560151124</v>
      </c>
      <c r="X42" s="111">
        <v>1744648.9695799777</v>
      </c>
      <c r="Y42" s="111">
        <v>3630020.222097775</v>
      </c>
      <c r="Z42" s="111">
        <v>40522748.601126075</v>
      </c>
      <c r="AA42" s="111">
        <v>9052814.4463692959</v>
      </c>
      <c r="AB42" s="111">
        <v>1264750.8197850636</v>
      </c>
      <c r="AC42" s="111">
        <v>120262.25662998534</v>
      </c>
      <c r="AD42" s="111">
        <v>4972.0088457539159</v>
      </c>
      <c r="AE42" s="111">
        <v>426814.11534196622</v>
      </c>
      <c r="AF42" s="111">
        <v>1238904.3054887834</v>
      </c>
      <c r="AG42" s="111">
        <v>2801347.3156825001</v>
      </c>
      <c r="AH42" s="111">
        <v>531141.18177683116</v>
      </c>
      <c r="AI42" s="111">
        <v>152950.52303091827</v>
      </c>
      <c r="AJ42" s="111">
        <v>144071.07117684014</v>
      </c>
      <c r="AK42" s="111">
        <v>315168.39740652445</v>
      </c>
      <c r="AL42" s="111">
        <v>197121.6931629618</v>
      </c>
      <c r="AM42" s="111">
        <v>7568.9093486560332</v>
      </c>
      <c r="AN42" s="112">
        <v>2170516000.0000005</v>
      </c>
      <c r="AO42" s="111">
        <v>4315259.2558291489</v>
      </c>
      <c r="AP42" s="111">
        <v>137423844.25936049</v>
      </c>
      <c r="AQ42" s="111">
        <v>26876896.484810356</v>
      </c>
      <c r="AR42" s="112">
        <v>2339132000.0000005</v>
      </c>
      <c r="AS42" s="112">
        <v>38188162.403394453</v>
      </c>
    </row>
    <row r="43" spans="1:45" x14ac:dyDescent="0.2">
      <c r="A43" s="101">
        <v>2022</v>
      </c>
      <c r="B43" s="101">
        <v>1</v>
      </c>
      <c r="C43" s="102">
        <v>567.08540050136151</v>
      </c>
      <c r="D43" s="103">
        <v>908000</v>
      </c>
      <c r="E43" s="103">
        <v>1234040251.4288816</v>
      </c>
      <c r="F43" s="103">
        <v>263748.57111846202</v>
      </c>
      <c r="G43" s="103">
        <v>25078090.546988301</v>
      </c>
      <c r="H43" s="103">
        <v>3241041.8731557988</v>
      </c>
      <c r="I43" s="103">
        <v>15287656.528020592</v>
      </c>
      <c r="J43" s="103">
        <v>1685771.4698515551</v>
      </c>
      <c r="K43" s="103">
        <v>235712545.21256939</v>
      </c>
      <c r="L43" s="103">
        <v>9120092.1956388634</v>
      </c>
      <c r="M43" s="103">
        <v>232543459.78623709</v>
      </c>
      <c r="N43" s="103">
        <v>16141097.951407136</v>
      </c>
      <c r="O43" s="103">
        <v>126929685.25552641</v>
      </c>
      <c r="P43" s="103">
        <v>16095378.802103501</v>
      </c>
      <c r="Q43" s="103">
        <v>311467.79341512098</v>
      </c>
      <c r="R43" s="103">
        <v>66206596.217942044</v>
      </c>
      <c r="S43" s="103">
        <v>42675976.269066781</v>
      </c>
      <c r="T43" s="103">
        <v>2817.6264539051381</v>
      </c>
      <c r="U43" s="103">
        <v>4110025.9706172207</v>
      </c>
      <c r="V43" s="103">
        <v>4758991.9592854707</v>
      </c>
      <c r="W43" s="103">
        <v>14338970.188816322</v>
      </c>
      <c r="X43" s="103">
        <v>1613331.0789021647</v>
      </c>
      <c r="Y43" s="103">
        <v>4096110.6300022174</v>
      </c>
      <c r="Z43" s="103">
        <v>34438528.56515383</v>
      </c>
      <c r="AA43" s="103">
        <v>10189352.192496024</v>
      </c>
      <c r="AB43" s="103">
        <v>1159969.0552343174</v>
      </c>
      <c r="AC43" s="103">
        <v>107443.41056784336</v>
      </c>
      <c r="AD43" s="103">
        <v>4669.7509138116748</v>
      </c>
      <c r="AE43" s="103">
        <v>392866.81575388333</v>
      </c>
      <c r="AF43" s="103">
        <v>1101266.3201521109</v>
      </c>
      <c r="AG43" s="103">
        <v>2621280.1562695587</v>
      </c>
      <c r="AH43" s="103">
        <v>479248.1659527889</v>
      </c>
      <c r="AI43" s="103">
        <v>138792.06346906949</v>
      </c>
      <c r="AJ43" s="103">
        <v>127249.6133926156</v>
      </c>
      <c r="AK43" s="103">
        <v>447689.23975518369</v>
      </c>
      <c r="AL43" s="103">
        <v>185529.64113620744</v>
      </c>
      <c r="AM43" s="103">
        <v>7440.5683522965137</v>
      </c>
      <c r="AN43" s="104">
        <v>2106563000</v>
      </c>
      <c r="AO43" s="103">
        <v>5077723.5153593244</v>
      </c>
      <c r="AP43" s="103">
        <v>137102938.95965081</v>
      </c>
      <c r="AQ43" s="103">
        <v>26545337.524989855</v>
      </c>
      <c r="AR43" s="104">
        <v>2275289000.0000005</v>
      </c>
      <c r="AS43" s="104">
        <v>38662285.413448557</v>
      </c>
    </row>
    <row r="44" spans="1:45" x14ac:dyDescent="0.2">
      <c r="A44" s="121">
        <v>2022</v>
      </c>
      <c r="B44" s="105">
        <v>2</v>
      </c>
      <c r="C44" s="106">
        <v>554.53066644574233</v>
      </c>
      <c r="D44" s="107">
        <v>853000</v>
      </c>
      <c r="E44" s="107">
        <v>1031951754.6227856</v>
      </c>
      <c r="F44" s="107">
        <v>203245.3772145058</v>
      </c>
      <c r="G44" s="107">
        <v>22103702.190235727</v>
      </c>
      <c r="H44" s="107">
        <v>2844413.2060385616</v>
      </c>
      <c r="I44" s="107">
        <v>12826203.291830078</v>
      </c>
      <c r="J44" s="107">
        <v>1509397.9675159296</v>
      </c>
      <c r="K44" s="107">
        <v>204520282.60680175</v>
      </c>
      <c r="L44" s="107">
        <v>7333205.8717483412</v>
      </c>
      <c r="M44" s="107">
        <v>213466940.65378535</v>
      </c>
      <c r="N44" s="107">
        <v>13874559.767790262</v>
      </c>
      <c r="O44" s="107">
        <v>115487974.18526945</v>
      </c>
      <c r="P44" s="107">
        <v>14577238.678395161</v>
      </c>
      <c r="Q44" s="107">
        <v>271551.80267727602</v>
      </c>
      <c r="R44" s="107">
        <v>60915583.662177362</v>
      </c>
      <c r="S44" s="107">
        <v>36038993.498378083</v>
      </c>
      <c r="T44" s="107">
        <v>2631.5553337546598</v>
      </c>
      <c r="U44" s="107">
        <v>5564361.7219558917</v>
      </c>
      <c r="V44" s="107">
        <v>3997798.5647979132</v>
      </c>
      <c r="W44" s="107">
        <v>12893888.53381006</v>
      </c>
      <c r="X44" s="107">
        <v>1364708.1006191494</v>
      </c>
      <c r="Y44" s="107">
        <v>4618117.3810488256</v>
      </c>
      <c r="Z44" s="107">
        <v>29136710.414700467</v>
      </c>
      <c r="AA44" s="107">
        <v>8040086.2378413985</v>
      </c>
      <c r="AB44" s="107">
        <v>1037681.3289418034</v>
      </c>
      <c r="AC44" s="107">
        <v>101207.21994787767</v>
      </c>
      <c r="AD44" s="107">
        <v>4566.3670482121406</v>
      </c>
      <c r="AE44" s="107">
        <v>386968.29364256829</v>
      </c>
      <c r="AF44" s="107">
        <v>1076962.4790897619</v>
      </c>
      <c r="AG44" s="107">
        <v>2494478.9889485636</v>
      </c>
      <c r="AH44" s="107">
        <v>468275.7927448111</v>
      </c>
      <c r="AI44" s="107">
        <v>132436.37036340381</v>
      </c>
      <c r="AJ44" s="107">
        <v>124288.68052277651</v>
      </c>
      <c r="AK44" s="107">
        <v>254304.99896995668</v>
      </c>
      <c r="AL44" s="107">
        <v>169350.67314390064</v>
      </c>
      <c r="AM44" s="107">
        <v>6574.3832189630493</v>
      </c>
      <c r="AN44" s="108">
        <v>1810654000.0000005</v>
      </c>
      <c r="AO44" s="107">
        <v>4864662.5150184091</v>
      </c>
      <c r="AP44" s="107">
        <v>132872987.81464086</v>
      </c>
      <c r="AQ44" s="107">
        <v>25808349.670340735</v>
      </c>
      <c r="AR44" s="108">
        <v>1974200000.0000005</v>
      </c>
      <c r="AS44" s="108">
        <v>39999492.685204737</v>
      </c>
    </row>
    <row r="45" spans="1:45" x14ac:dyDescent="0.2">
      <c r="A45" s="121">
        <v>2022</v>
      </c>
      <c r="B45" s="105">
        <v>3</v>
      </c>
      <c r="C45" s="106">
        <v>629.6042560558983</v>
      </c>
      <c r="D45" s="107">
        <v>859000</v>
      </c>
      <c r="E45" s="107">
        <v>1032633864.4097121</v>
      </c>
      <c r="F45" s="107">
        <v>196135.59028778382</v>
      </c>
      <c r="G45" s="107">
        <v>22065579.348324265</v>
      </c>
      <c r="H45" s="107">
        <v>3013786.0184569987</v>
      </c>
      <c r="I45" s="107">
        <v>13068132.517603938</v>
      </c>
      <c r="J45" s="107">
        <v>1534895.0284221137</v>
      </c>
      <c r="K45" s="107">
        <v>219336817.02691481</v>
      </c>
      <c r="L45" s="107">
        <v>8462646.3418085314</v>
      </c>
      <c r="M45" s="107">
        <v>216463345.35834718</v>
      </c>
      <c r="N45" s="107">
        <v>15377301.31121986</v>
      </c>
      <c r="O45" s="107">
        <v>122042367.51206113</v>
      </c>
      <c r="P45" s="107">
        <v>16032494.765628912</v>
      </c>
      <c r="Q45" s="107">
        <v>314676.61802838917</v>
      </c>
      <c r="R45" s="107">
        <v>64658749.163954861</v>
      </c>
      <c r="S45" s="107">
        <v>39571650.283437781</v>
      </c>
      <c r="T45" s="107">
        <v>2854.7043834873111</v>
      </c>
      <c r="U45" s="107">
        <v>8247859.8088747934</v>
      </c>
      <c r="V45" s="107">
        <v>4536029.2447813042</v>
      </c>
      <c r="W45" s="107">
        <v>12452223.676378405</v>
      </c>
      <c r="X45" s="107">
        <v>1616358.4911635364</v>
      </c>
      <c r="Y45" s="107">
        <v>5635406.6722943606</v>
      </c>
      <c r="Z45" s="107">
        <v>35544232.003323466</v>
      </c>
      <c r="AA45" s="107">
        <v>9587471.3808292579</v>
      </c>
      <c r="AB45" s="107">
        <v>1079013.5199257189</v>
      </c>
      <c r="AC45" s="107">
        <v>111620.25807453842</v>
      </c>
      <c r="AD45" s="107">
        <v>5184.5719312424653</v>
      </c>
      <c r="AE45" s="107">
        <v>440099.00186598557</v>
      </c>
      <c r="AF45" s="107">
        <v>1224750.8442788364</v>
      </c>
      <c r="AG45" s="107">
        <v>2820487.5883986088</v>
      </c>
      <c r="AH45" s="107">
        <v>532122.18939890468</v>
      </c>
      <c r="AI45" s="107">
        <v>140957.70973248425</v>
      </c>
      <c r="AJ45" s="107">
        <v>128564.75734943568</v>
      </c>
      <c r="AK45" s="107">
        <v>272092.4218701084</v>
      </c>
      <c r="AL45" s="107">
        <v>189041.94830497837</v>
      </c>
      <c r="AM45" s="107">
        <v>7558.3083756281594</v>
      </c>
      <c r="AN45" s="108">
        <v>1860206000.0000002</v>
      </c>
      <c r="AO45" s="107">
        <v>4958248.2319588149</v>
      </c>
      <c r="AP45" s="107">
        <v>140496466.22274715</v>
      </c>
      <c r="AQ45" s="107">
        <v>26433285.545294024</v>
      </c>
      <c r="AR45" s="108">
        <v>2032094000.0000002</v>
      </c>
      <c r="AS45" s="108">
        <v>41737167.034203976</v>
      </c>
    </row>
    <row r="46" spans="1:45" x14ac:dyDescent="0.2">
      <c r="A46" s="121">
        <v>2022</v>
      </c>
      <c r="B46" s="105">
        <v>4</v>
      </c>
      <c r="C46" s="106">
        <v>579.24102941282013</v>
      </c>
      <c r="D46" s="107">
        <v>637000</v>
      </c>
      <c r="E46" s="107">
        <v>845043176.25248122</v>
      </c>
      <c r="F46" s="107">
        <v>162823.7475187919</v>
      </c>
      <c r="G46" s="107">
        <v>18857262.354429297</v>
      </c>
      <c r="H46" s="107">
        <v>2678674.8804489654</v>
      </c>
      <c r="I46" s="107">
        <v>11388181.167923404</v>
      </c>
      <c r="J46" s="107">
        <v>1297677.2168819634</v>
      </c>
      <c r="K46" s="107">
        <v>194252690.69079018</v>
      </c>
      <c r="L46" s="107">
        <v>7288078.0507414825</v>
      </c>
      <c r="M46" s="107">
        <v>203920822.56144294</v>
      </c>
      <c r="N46" s="107">
        <v>14056405.217945188</v>
      </c>
      <c r="O46" s="107">
        <v>112728117.29743513</v>
      </c>
      <c r="P46" s="107">
        <v>15022035.485775458</v>
      </c>
      <c r="Q46" s="107">
        <v>323554.74214437907</v>
      </c>
      <c r="R46" s="107">
        <v>59112896.755355828</v>
      </c>
      <c r="S46" s="107">
        <v>37807018.251577407</v>
      </c>
      <c r="T46" s="107">
        <v>2759.0325428649276</v>
      </c>
      <c r="U46" s="107">
        <v>7940031.8218699563</v>
      </c>
      <c r="V46" s="107">
        <v>4108168.6762293717</v>
      </c>
      <c r="W46" s="107">
        <v>9747096.3915375974</v>
      </c>
      <c r="X46" s="107">
        <v>1451380.5961851557</v>
      </c>
      <c r="Y46" s="107">
        <v>3906758.4485496162</v>
      </c>
      <c r="Z46" s="107">
        <v>32601369.621641435</v>
      </c>
      <c r="AA46" s="107">
        <v>9532535.8691814784</v>
      </c>
      <c r="AB46" s="107">
        <v>849237.24651581666</v>
      </c>
      <c r="AC46" s="107">
        <v>85886.569391525161</v>
      </c>
      <c r="AD46" s="107">
        <v>4769.8482874472056</v>
      </c>
      <c r="AE46" s="107">
        <v>407818.56745125691</v>
      </c>
      <c r="AF46" s="107">
        <v>1129149.0088633623</v>
      </c>
      <c r="AG46" s="107">
        <v>2586969.0659279693</v>
      </c>
      <c r="AH46" s="107">
        <v>486919.42948324484</v>
      </c>
      <c r="AI46" s="107">
        <v>138173.43936586368</v>
      </c>
      <c r="AJ46" s="107">
        <v>129713.3282300103</v>
      </c>
      <c r="AK46" s="107">
        <v>251671.02304996445</v>
      </c>
      <c r="AL46" s="107">
        <v>179677.24261315833</v>
      </c>
      <c r="AM46" s="107">
        <v>6920.8591621561745</v>
      </c>
      <c r="AN46" s="108">
        <v>1600123999.9999995</v>
      </c>
      <c r="AO46" s="107">
        <v>4966861.141934853</v>
      </c>
      <c r="AP46" s="107">
        <v>134650399.36832225</v>
      </c>
      <c r="AQ46" s="107">
        <v>21442739.489742909</v>
      </c>
      <c r="AR46" s="108">
        <v>1761183999.9999998</v>
      </c>
      <c r="AS46" s="108">
        <v>39626170.459701017</v>
      </c>
    </row>
    <row r="47" spans="1:45" x14ac:dyDescent="0.2">
      <c r="A47" s="121">
        <v>2022</v>
      </c>
      <c r="B47" s="105">
        <v>5</v>
      </c>
      <c r="C47" s="106">
        <v>586.67778162937907</v>
      </c>
      <c r="D47" s="107">
        <v>499000</v>
      </c>
      <c r="E47" s="107">
        <v>718324033.24388659</v>
      </c>
      <c r="F47" s="107">
        <v>159966.756113321</v>
      </c>
      <c r="G47" s="107">
        <v>16665062.420578176</v>
      </c>
      <c r="H47" s="107">
        <v>2502112.039550073</v>
      </c>
      <c r="I47" s="107">
        <v>10483490.911680803</v>
      </c>
      <c r="J47" s="107">
        <v>1224863.9424864834</v>
      </c>
      <c r="K47" s="107">
        <v>185115029.96248838</v>
      </c>
      <c r="L47" s="107">
        <v>7067254.3245269414</v>
      </c>
      <c r="M47" s="107">
        <v>201997015.61668456</v>
      </c>
      <c r="N47" s="107">
        <v>14182389.125741078</v>
      </c>
      <c r="O47" s="107">
        <v>116207562.78193618</v>
      </c>
      <c r="P47" s="107">
        <v>16526519.136648428</v>
      </c>
      <c r="Q47" s="107">
        <v>794171.08663623466</v>
      </c>
      <c r="R47" s="107">
        <v>60975688.487964898</v>
      </c>
      <c r="S47" s="107">
        <v>39657349.225190192</v>
      </c>
      <c r="T47" s="107">
        <v>305641.24839030684</v>
      </c>
      <c r="U47" s="107">
        <v>8512615.1828423347</v>
      </c>
      <c r="V47" s="107">
        <v>4680962.5184588889</v>
      </c>
      <c r="W47" s="107">
        <v>8404537.6007771343</v>
      </c>
      <c r="X47" s="107">
        <v>1604353.5615332541</v>
      </c>
      <c r="Y47" s="107">
        <v>3673031.1487911707</v>
      </c>
      <c r="Z47" s="107">
        <v>33263339.60446224</v>
      </c>
      <c r="AA47" s="107">
        <v>9184494.5206432939</v>
      </c>
      <c r="AB47" s="107">
        <v>749742.3896735399</v>
      </c>
      <c r="AC47" s="107">
        <v>64993.087329290982</v>
      </c>
      <c r="AD47" s="107">
        <v>4831.0873537824773</v>
      </c>
      <c r="AE47" s="107">
        <v>420246.55746607151</v>
      </c>
      <c r="AF47" s="107">
        <v>1143744.9301676664</v>
      </c>
      <c r="AG47" s="107">
        <v>2606123.7002205974</v>
      </c>
      <c r="AH47" s="107">
        <v>490990.02316450339</v>
      </c>
      <c r="AI47" s="107">
        <v>137761.82297960299</v>
      </c>
      <c r="AJ47" s="107">
        <v>126078.62428958267</v>
      </c>
      <c r="AK47" s="107">
        <v>479741.54684291879</v>
      </c>
      <c r="AL47" s="107">
        <v>181238.86420323906</v>
      </c>
      <c r="AM47" s="107">
        <v>7436.2405165280979</v>
      </c>
      <c r="AN47" s="108">
        <v>1468423999.9999988</v>
      </c>
      <c r="AO47" s="107">
        <v>5070715.8879024042</v>
      </c>
      <c r="AP47" s="107">
        <v>133866844.67888112</v>
      </c>
      <c r="AQ47" s="107">
        <v>22769439.433216471</v>
      </c>
      <c r="AR47" s="108">
        <v>1630130999.999999</v>
      </c>
      <c r="AS47" s="108">
        <v>37132281.263872273</v>
      </c>
    </row>
    <row r="48" spans="1:45" x14ac:dyDescent="0.2">
      <c r="A48" s="121">
        <v>2022</v>
      </c>
      <c r="B48" s="105">
        <v>6</v>
      </c>
      <c r="C48" s="106">
        <v>607.44075339021902</v>
      </c>
      <c r="D48" s="107">
        <v>371000</v>
      </c>
      <c r="E48" s="107">
        <v>660512598.18237817</v>
      </c>
      <c r="F48" s="107">
        <v>179401.81762182023</v>
      </c>
      <c r="G48" s="107">
        <v>16467605.150254536</v>
      </c>
      <c r="H48" s="107">
        <v>2425126.0203052103</v>
      </c>
      <c r="I48" s="107">
        <v>10239657.011155099</v>
      </c>
      <c r="J48" s="107">
        <v>1186494.728720044</v>
      </c>
      <c r="K48" s="107">
        <v>179918692.09391171</v>
      </c>
      <c r="L48" s="107">
        <v>6665516.0459212661</v>
      </c>
      <c r="M48" s="107">
        <v>203181613.45182982</v>
      </c>
      <c r="N48" s="107">
        <v>13790747.812810035</v>
      </c>
      <c r="O48" s="107">
        <v>118413645.55728883</v>
      </c>
      <c r="P48" s="107">
        <v>16118399.910116164</v>
      </c>
      <c r="Q48" s="107">
        <v>1438997.6231380024</v>
      </c>
      <c r="R48" s="107">
        <v>61911782.445822239</v>
      </c>
      <c r="S48" s="107">
        <v>38756569.244286194</v>
      </c>
      <c r="T48" s="107">
        <v>667059.52286669263</v>
      </c>
      <c r="U48" s="107">
        <v>5821295.1301795868</v>
      </c>
      <c r="V48" s="107">
        <v>4557541.0325310994</v>
      </c>
      <c r="W48" s="107">
        <v>7406877.8890027255</v>
      </c>
      <c r="X48" s="107">
        <v>1717074.6451542589</v>
      </c>
      <c r="Y48" s="107">
        <v>4237744.0095722778</v>
      </c>
      <c r="Z48" s="107">
        <v>32865047.530102633</v>
      </c>
      <c r="AA48" s="107">
        <v>8990481.9447629731</v>
      </c>
      <c r="AB48" s="107">
        <v>718073.87053700816</v>
      </c>
      <c r="AC48" s="107">
        <v>64112.918624162674</v>
      </c>
      <c r="AD48" s="107">
        <v>5002.0632002209641</v>
      </c>
      <c r="AE48" s="107">
        <v>445194.25152748812</v>
      </c>
      <c r="AF48" s="107">
        <v>1186522.3699527089</v>
      </c>
      <c r="AG48" s="107">
        <v>2684364.9778472506</v>
      </c>
      <c r="AH48" s="107">
        <v>506572.56612106983</v>
      </c>
      <c r="AI48" s="107">
        <v>139114.22990620896</v>
      </c>
      <c r="AJ48" s="107">
        <v>130976.41001121972</v>
      </c>
      <c r="AK48" s="107">
        <v>267549.54143669887</v>
      </c>
      <c r="AL48" s="107">
        <v>179965.9918792861</v>
      </c>
      <c r="AM48" s="107">
        <v>6974.5684718584971</v>
      </c>
      <c r="AN48" s="108">
        <v>1404176000.0000005</v>
      </c>
      <c r="AO48" s="107">
        <v>5028453.5732177468</v>
      </c>
      <c r="AP48" s="107">
        <v>136846071.12731379</v>
      </c>
      <c r="AQ48" s="107">
        <v>25868475.299468469</v>
      </c>
      <c r="AR48" s="108">
        <v>1571919000.0000005</v>
      </c>
      <c r="AS48" s="108">
        <v>37168929.24534642</v>
      </c>
    </row>
    <row r="49" spans="1:45" x14ac:dyDescent="0.2">
      <c r="A49" s="121">
        <v>2022</v>
      </c>
      <c r="B49" s="105">
        <v>7</v>
      </c>
      <c r="C49" s="106">
        <v>588.14902061164355</v>
      </c>
      <c r="D49" s="107">
        <v>323000</v>
      </c>
      <c r="E49" s="107">
        <v>676509343.00652969</v>
      </c>
      <c r="F49" s="107">
        <v>225656.99347019498</v>
      </c>
      <c r="G49" s="107">
        <v>16629656.422367409</v>
      </c>
      <c r="H49" s="107">
        <v>2483362.3672355902</v>
      </c>
      <c r="I49" s="107">
        <v>10732583.633400174</v>
      </c>
      <c r="J49" s="107">
        <v>1468766.5720883487</v>
      </c>
      <c r="K49" s="107">
        <v>192131312.44816974</v>
      </c>
      <c r="L49" s="107">
        <v>6787009.9059628146</v>
      </c>
      <c r="M49" s="107">
        <v>214153360.80874407</v>
      </c>
      <c r="N49" s="107">
        <v>13990537.003302842</v>
      </c>
      <c r="O49" s="107">
        <v>127523326.43981931</v>
      </c>
      <c r="P49" s="107">
        <v>15891093.062664406</v>
      </c>
      <c r="Q49" s="107">
        <v>2587001.7909008036</v>
      </c>
      <c r="R49" s="107">
        <v>62405346.61980857</v>
      </c>
      <c r="S49" s="107">
        <v>38959179.496476248</v>
      </c>
      <c r="T49" s="107">
        <v>695630.67425420415</v>
      </c>
      <c r="U49" s="107">
        <v>6207760.38171829</v>
      </c>
      <c r="V49" s="107">
        <v>4825306.6350871455</v>
      </c>
      <c r="W49" s="107">
        <v>5636834.7515624585</v>
      </c>
      <c r="X49" s="107">
        <v>2167371.1612491449</v>
      </c>
      <c r="Y49" s="107">
        <v>4715125.5527304001</v>
      </c>
      <c r="Z49" s="107">
        <v>36728858.279390737</v>
      </c>
      <c r="AA49" s="107">
        <v>8582748.3437761404</v>
      </c>
      <c r="AB49" s="107">
        <v>655052.45785429608</v>
      </c>
      <c r="AC49" s="107">
        <v>66003.887077640771</v>
      </c>
      <c r="AD49" s="107">
        <v>4843.2024947749815</v>
      </c>
      <c r="AE49" s="107">
        <v>437841.31616829115</v>
      </c>
      <c r="AF49" s="107">
        <v>1141380.309460694</v>
      </c>
      <c r="AG49" s="107">
        <v>2594127.4407204376</v>
      </c>
      <c r="AH49" s="107">
        <v>512214.68317571725</v>
      </c>
      <c r="AI49" s="107">
        <v>141994.05693369516</v>
      </c>
      <c r="AJ49" s="107">
        <v>130087.319890275</v>
      </c>
      <c r="AK49" s="107">
        <v>253948.55402753633</v>
      </c>
      <c r="AL49" s="107">
        <v>187036.77256421745</v>
      </c>
      <c r="AM49" s="107">
        <v>7709.4999029204228</v>
      </c>
      <c r="AN49" s="108">
        <v>1458493000</v>
      </c>
      <c r="AO49" s="107">
        <v>4997866.9612752432</v>
      </c>
      <c r="AP49" s="107">
        <v>142653294.0622521</v>
      </c>
      <c r="AQ49" s="107">
        <v>27082838.976472665</v>
      </c>
      <c r="AR49" s="108">
        <v>1633227000</v>
      </c>
      <c r="AS49" s="108">
        <v>36649995.399966285</v>
      </c>
    </row>
    <row r="50" spans="1:45" x14ac:dyDescent="0.2">
      <c r="A50" s="121">
        <v>2022</v>
      </c>
      <c r="B50" s="105">
        <v>8</v>
      </c>
      <c r="C50" s="106">
        <v>610.53019648351392</v>
      </c>
      <c r="D50" s="107">
        <v>311000</v>
      </c>
      <c r="E50" s="107">
        <v>663009941.35464895</v>
      </c>
      <c r="F50" s="107">
        <v>228058.64535102874</v>
      </c>
      <c r="G50" s="107">
        <v>17017479.232235752</v>
      </c>
      <c r="H50" s="107">
        <v>2516464.0037145186</v>
      </c>
      <c r="I50" s="107">
        <v>11198863.130977914</v>
      </c>
      <c r="J50" s="107">
        <v>1703399.4282418168</v>
      </c>
      <c r="K50" s="107">
        <v>196509612.10625336</v>
      </c>
      <c r="L50" s="107">
        <v>6951775.1312496504</v>
      </c>
      <c r="M50" s="107">
        <v>219721473.17586169</v>
      </c>
      <c r="N50" s="107">
        <v>14527188.70889111</v>
      </c>
      <c r="O50" s="107">
        <v>130117553.90839471</v>
      </c>
      <c r="P50" s="107">
        <v>16698838.158084527</v>
      </c>
      <c r="Q50" s="107">
        <v>3870515.2041171906</v>
      </c>
      <c r="R50" s="107">
        <v>61982582.251456402</v>
      </c>
      <c r="S50" s="107">
        <v>40032168.538290709</v>
      </c>
      <c r="T50" s="107">
        <v>932564.9851340095</v>
      </c>
      <c r="U50" s="107">
        <v>4859486.6336188791</v>
      </c>
      <c r="V50" s="107">
        <v>4640052.6470293878</v>
      </c>
      <c r="W50" s="107">
        <v>4773116.9475054676</v>
      </c>
      <c r="X50" s="107">
        <v>2149937.8368355357</v>
      </c>
      <c r="Y50" s="107">
        <v>4203860.8555287831</v>
      </c>
      <c r="Z50" s="107">
        <v>35614656.630435884</v>
      </c>
      <c r="AA50" s="107">
        <v>10494115.960925834</v>
      </c>
      <c r="AB50" s="107">
        <v>715437.35853466555</v>
      </c>
      <c r="AC50" s="107">
        <v>71312.117624402032</v>
      </c>
      <c r="AD50" s="107">
        <v>5041.3011539360277</v>
      </c>
      <c r="AE50" s="107">
        <v>457144.33453112125</v>
      </c>
      <c r="AF50" s="107">
        <v>1183033.2445486425</v>
      </c>
      <c r="AG50" s="107">
        <v>2694509.8657560898</v>
      </c>
      <c r="AH50" s="107">
        <v>486847.60483172111</v>
      </c>
      <c r="AI50" s="107">
        <v>143814.61739578343</v>
      </c>
      <c r="AJ50" s="107">
        <v>134851.74473293216</v>
      </c>
      <c r="AK50" s="107">
        <v>265063.64282293856</v>
      </c>
      <c r="AL50" s="107">
        <v>186249.62322154696</v>
      </c>
      <c r="AM50" s="107">
        <v>7378.5398665532557</v>
      </c>
      <c r="AN50" s="108">
        <v>1460416000.0000002</v>
      </c>
      <c r="AO50" s="107">
        <v>5099886.1515754377</v>
      </c>
      <c r="AP50" s="107">
        <v>144754772.80210978</v>
      </c>
      <c r="AQ50" s="107">
        <v>27609341.046314776</v>
      </c>
      <c r="AR50" s="108">
        <v>1637880000</v>
      </c>
      <c r="AS50" s="108">
        <v>39686111.930756368</v>
      </c>
    </row>
    <row r="51" spans="1:45" x14ac:dyDescent="0.2">
      <c r="A51" s="121">
        <v>2022</v>
      </c>
      <c r="B51" s="105">
        <v>9</v>
      </c>
      <c r="C51" s="106">
        <v>633.89638631316882</v>
      </c>
      <c r="D51" s="107">
        <v>362000</v>
      </c>
      <c r="E51" s="107">
        <v>655388881.22453523</v>
      </c>
      <c r="F51" s="107">
        <v>193118.77546483805</v>
      </c>
      <c r="G51" s="107">
        <v>15963259.714914465</v>
      </c>
      <c r="H51" s="107">
        <v>2385778.3992418745</v>
      </c>
      <c r="I51" s="107">
        <v>10503701.45544521</v>
      </c>
      <c r="J51" s="107">
        <v>1385802.2813973017</v>
      </c>
      <c r="K51" s="107">
        <v>183188841.24634925</v>
      </c>
      <c r="L51" s="107">
        <v>6514938.5536007313</v>
      </c>
      <c r="M51" s="107">
        <v>205443355.34725994</v>
      </c>
      <c r="N51" s="107">
        <v>13760933.433405004</v>
      </c>
      <c r="O51" s="107">
        <v>119727061.0709181</v>
      </c>
      <c r="P51" s="107">
        <v>15944825.572327754</v>
      </c>
      <c r="Q51" s="107">
        <v>2959693.5857249075</v>
      </c>
      <c r="R51" s="107">
        <v>59305888.582251199</v>
      </c>
      <c r="S51" s="107">
        <v>37627510.30760628</v>
      </c>
      <c r="T51" s="107">
        <v>791703.74765019771</v>
      </c>
      <c r="U51" s="107">
        <v>5707922.1948470213</v>
      </c>
      <c r="V51" s="107">
        <v>5064984.1676305188</v>
      </c>
      <c r="W51" s="107">
        <v>5806304.4517723154</v>
      </c>
      <c r="X51" s="107">
        <v>1710241.3242681047</v>
      </c>
      <c r="Y51" s="107">
        <v>3701626.0073521822</v>
      </c>
      <c r="Z51" s="107">
        <v>34788629.307945475</v>
      </c>
      <c r="AA51" s="107">
        <v>9337181.9580775313</v>
      </c>
      <c r="AB51" s="107">
        <v>844982.12703983125</v>
      </c>
      <c r="AC51" s="107">
        <v>75707.145158210449</v>
      </c>
      <c r="AD51" s="107">
        <v>4927.6784831724899</v>
      </c>
      <c r="AE51" s="107">
        <v>480125.52124881768</v>
      </c>
      <c r="AF51" s="107">
        <v>1233959.293387919</v>
      </c>
      <c r="AG51" s="107">
        <v>2753448.2280623424</v>
      </c>
      <c r="AH51" s="107">
        <v>506134.93893393426</v>
      </c>
      <c r="AI51" s="107">
        <v>132791.42446745129</v>
      </c>
      <c r="AJ51" s="107">
        <v>121432.64166149919</v>
      </c>
      <c r="AK51" s="107">
        <v>287081.17129945918</v>
      </c>
      <c r="AL51" s="107">
        <v>175362.14030556942</v>
      </c>
      <c r="AM51" s="107">
        <v>7231.0835799363958</v>
      </c>
      <c r="AN51" s="108">
        <v>1404187999.9999998</v>
      </c>
      <c r="AO51" s="107">
        <v>4867748.8877585148</v>
      </c>
      <c r="AP51" s="107">
        <v>143236506.09396252</v>
      </c>
      <c r="AQ51" s="107">
        <v>29430745.01827899</v>
      </c>
      <c r="AR51" s="108">
        <v>1581722999.9999998</v>
      </c>
      <c r="AS51" s="108">
        <v>39540694.562460504</v>
      </c>
    </row>
    <row r="52" spans="1:45" x14ac:dyDescent="0.2">
      <c r="A52" s="121">
        <v>2022</v>
      </c>
      <c r="B52" s="105">
        <v>10</v>
      </c>
      <c r="C52" s="106">
        <v>608.145788646749</v>
      </c>
      <c r="D52" s="107">
        <v>521000</v>
      </c>
      <c r="E52" s="107">
        <v>814589905.02552819</v>
      </c>
      <c r="F52" s="107">
        <v>204094.97447177657</v>
      </c>
      <c r="G52" s="107">
        <v>16812862.158618629</v>
      </c>
      <c r="H52" s="107">
        <v>2503547.1345579629</v>
      </c>
      <c r="I52" s="107">
        <v>11276214.611678544</v>
      </c>
      <c r="J52" s="107">
        <v>1302631.9298840512</v>
      </c>
      <c r="K52" s="107">
        <v>188408891.28581905</v>
      </c>
      <c r="L52" s="107">
        <v>6558129.929960479</v>
      </c>
      <c r="M52" s="107">
        <v>211254462.70476881</v>
      </c>
      <c r="N52" s="107">
        <v>14008277.751824105</v>
      </c>
      <c r="O52" s="107">
        <v>123628139.39375378</v>
      </c>
      <c r="P52" s="107">
        <v>16075733.381075718</v>
      </c>
      <c r="Q52" s="107">
        <v>1195278.9199776452</v>
      </c>
      <c r="R52" s="107">
        <v>61990152.423977166</v>
      </c>
      <c r="S52" s="107">
        <v>38844496.631552875</v>
      </c>
      <c r="T52" s="107">
        <v>687087.60846564441</v>
      </c>
      <c r="U52" s="107">
        <v>8009828.9528854815</v>
      </c>
      <c r="V52" s="107">
        <v>4919118.8410399929</v>
      </c>
      <c r="W52" s="107">
        <v>7874532.8181623798</v>
      </c>
      <c r="X52" s="107">
        <v>914473.46134909731</v>
      </c>
      <c r="Y52" s="107">
        <v>4388413.4140422493</v>
      </c>
      <c r="Z52" s="107">
        <v>36546739.652594864</v>
      </c>
      <c r="AA52" s="107">
        <v>9330830.0505045857</v>
      </c>
      <c r="AB52" s="107">
        <v>901186.04333600355</v>
      </c>
      <c r="AC52" s="107">
        <v>72262.533189414695</v>
      </c>
      <c r="AD52" s="107">
        <v>4727.5027623616152</v>
      </c>
      <c r="AE52" s="107">
        <v>465006.96845086419</v>
      </c>
      <c r="AF52" s="107">
        <v>1182722.8866764251</v>
      </c>
      <c r="AG52" s="107">
        <v>2646003.3322160477</v>
      </c>
      <c r="AH52" s="107">
        <v>500146.32633292559</v>
      </c>
      <c r="AI52" s="107">
        <v>145335.70393692708</v>
      </c>
      <c r="AJ52" s="107">
        <v>136215.67036209835</v>
      </c>
      <c r="AK52" s="107">
        <v>467336.26124731131</v>
      </c>
      <c r="AL52" s="107">
        <v>189154.87758500865</v>
      </c>
      <c r="AM52" s="107">
        <v>7450.6916228731234</v>
      </c>
      <c r="AN52" s="108">
        <v>1588562999.9999993</v>
      </c>
      <c r="AO52" s="107">
        <v>4405056.023987066</v>
      </c>
      <c r="AP52" s="107">
        <v>135459070.92638373</v>
      </c>
      <c r="AQ52" s="107">
        <v>29188873.04962917</v>
      </c>
      <c r="AR52" s="108">
        <v>1757615999.9999993</v>
      </c>
      <c r="AS52" s="108">
        <v>40998427.901171416</v>
      </c>
    </row>
    <row r="53" spans="1:45" x14ac:dyDescent="0.2">
      <c r="A53" s="121">
        <v>2022</v>
      </c>
      <c r="B53" s="105">
        <v>11</v>
      </c>
      <c r="C53" s="106">
        <v>638.55295024528255</v>
      </c>
      <c r="D53" s="107">
        <v>733000</v>
      </c>
      <c r="E53" s="107">
        <v>1013512558.1972886</v>
      </c>
      <c r="F53" s="107">
        <v>219441.80271141964</v>
      </c>
      <c r="G53" s="107">
        <v>19134221.021939632</v>
      </c>
      <c r="H53" s="107">
        <v>2640586.2101858221</v>
      </c>
      <c r="I53" s="107">
        <v>12435642.666948201</v>
      </c>
      <c r="J53" s="107">
        <v>1362326.2657051035</v>
      </c>
      <c r="K53" s="107">
        <v>203858766.5077869</v>
      </c>
      <c r="L53" s="107">
        <v>6813626.1963769691</v>
      </c>
      <c r="M53" s="107">
        <v>219030415.96887487</v>
      </c>
      <c r="N53" s="107">
        <v>13504679.796140168</v>
      </c>
      <c r="O53" s="107">
        <v>124681494.84277247</v>
      </c>
      <c r="P53" s="107">
        <v>14729551.439055169</v>
      </c>
      <c r="Q53" s="107">
        <v>399512.67686951923</v>
      </c>
      <c r="R53" s="107">
        <v>62993211.564777061</v>
      </c>
      <c r="S53" s="107">
        <v>37115912.171024509</v>
      </c>
      <c r="T53" s="107">
        <v>229200.72070237587</v>
      </c>
      <c r="U53" s="107">
        <v>7667972.1819854295</v>
      </c>
      <c r="V53" s="107">
        <v>4399129.7269301377</v>
      </c>
      <c r="W53" s="107">
        <v>9738816.0529190861</v>
      </c>
      <c r="X53" s="107">
        <v>1042161.9560601511</v>
      </c>
      <c r="Y53" s="107">
        <v>3757687.7017311598</v>
      </c>
      <c r="Z53" s="107">
        <v>37517821.236776985</v>
      </c>
      <c r="AA53" s="107">
        <v>8584412.9687418956</v>
      </c>
      <c r="AB53" s="107">
        <v>1085796.1760180353</v>
      </c>
      <c r="AC53" s="107">
        <v>89641.688695198231</v>
      </c>
      <c r="AD53" s="107">
        <v>4963.8769067464937</v>
      </c>
      <c r="AE53" s="107">
        <v>490099.10923972179</v>
      </c>
      <c r="AF53" s="107">
        <v>1240186.3270226589</v>
      </c>
      <c r="AG53" s="107">
        <v>2785264.1646405677</v>
      </c>
      <c r="AH53" s="107">
        <v>516639.65065489837</v>
      </c>
      <c r="AI53" s="107">
        <v>143354.92797862826</v>
      </c>
      <c r="AJ53" s="107">
        <v>131348.6465977323</v>
      </c>
      <c r="AK53" s="107">
        <v>274770.45387192804</v>
      </c>
      <c r="AL53" s="107">
        <v>192377.43926271296</v>
      </c>
      <c r="AM53" s="107">
        <v>7769.1118572798268</v>
      </c>
      <c r="AN53" s="108">
        <v>1813065000</v>
      </c>
      <c r="AO53" s="107">
        <v>4089401.0112770787</v>
      </c>
      <c r="AP53" s="107">
        <v>133553981.66898006</v>
      </c>
      <c r="AQ53" s="107">
        <v>28308617.319742855</v>
      </c>
      <c r="AR53" s="108">
        <v>1979017000</v>
      </c>
      <c r="AS53" s="108">
        <v>39692493.702714711</v>
      </c>
    </row>
    <row r="54" spans="1:45" x14ac:dyDescent="0.2">
      <c r="A54" s="122">
        <v>2022</v>
      </c>
      <c r="B54" s="109">
        <v>12</v>
      </c>
      <c r="C54" s="110">
        <v>646.83619036766822</v>
      </c>
      <c r="D54" s="111">
        <v>1048000</v>
      </c>
      <c r="E54" s="111">
        <v>1285809678.7261136</v>
      </c>
      <c r="F54" s="111">
        <v>292321.27388643514</v>
      </c>
      <c r="G54" s="111">
        <v>23948917.99515928</v>
      </c>
      <c r="H54" s="111">
        <v>3077694.6855932302</v>
      </c>
      <c r="I54" s="111">
        <v>14170300.361339532</v>
      </c>
      <c r="J54" s="111">
        <v>1651632.6271496592</v>
      </c>
      <c r="K54" s="111">
        <v>227113602.04627547</v>
      </c>
      <c r="L54" s="111">
        <v>7384066.3741557766</v>
      </c>
      <c r="M54" s="111">
        <v>236060985.56095266</v>
      </c>
      <c r="N54" s="111">
        <v>14088470.244613105</v>
      </c>
      <c r="O54" s="111">
        <v>131669339.69547188</v>
      </c>
      <c r="P54" s="111">
        <v>13995038.95215716</v>
      </c>
      <c r="Q54" s="111">
        <v>310718.37898973573</v>
      </c>
      <c r="R54" s="111">
        <v>68055843.05678001</v>
      </c>
      <c r="S54" s="111">
        <v>37285287.626634248</v>
      </c>
      <c r="T54" s="111">
        <v>2967.7188111568053</v>
      </c>
      <c r="U54" s="111">
        <v>6484147.3366205534</v>
      </c>
      <c r="V54" s="111">
        <v>3963521.8565731589</v>
      </c>
      <c r="W54" s="111">
        <v>13433279.724564178</v>
      </c>
      <c r="X54" s="111">
        <v>1705667.5592810814</v>
      </c>
      <c r="Y54" s="111">
        <v>3488853.2342926939</v>
      </c>
      <c r="Z54" s="111">
        <v>39617332.143602349</v>
      </c>
      <c r="AA54" s="111">
        <v>8700761.7115738541</v>
      </c>
      <c r="AB54" s="111">
        <v>1228158.8234625363</v>
      </c>
      <c r="AC54" s="111">
        <v>121623.0399724451</v>
      </c>
      <c r="AD54" s="111">
        <v>5028.2677835574959</v>
      </c>
      <c r="AE54" s="111">
        <v>510916.43968905264</v>
      </c>
      <c r="AF54" s="111">
        <v>1256019.3457048694</v>
      </c>
      <c r="AG54" s="111">
        <v>2728460.4574365914</v>
      </c>
      <c r="AH54" s="111">
        <v>515081.70995325403</v>
      </c>
      <c r="AI54" s="111">
        <v>146787.14948414426</v>
      </c>
      <c r="AJ54" s="111">
        <v>137680.99101943924</v>
      </c>
      <c r="AK54" s="111">
        <v>310065.07980732672</v>
      </c>
      <c r="AL54" s="111">
        <v>194554.45752129695</v>
      </c>
      <c r="AM54" s="111">
        <v>7548.5113845703108</v>
      </c>
      <c r="AN54" s="112">
        <v>2150521000.0000005</v>
      </c>
      <c r="AO54" s="111">
        <v>4054072.2709651939</v>
      </c>
      <c r="AP54" s="111">
        <v>137315576.98505375</v>
      </c>
      <c r="AQ54" s="111">
        <v>27045350.743981052</v>
      </c>
      <c r="AR54" s="112">
        <v>2318936000</v>
      </c>
      <c r="AS54" s="112">
        <v>37615339.967343532</v>
      </c>
    </row>
    <row r="55" spans="1:45" x14ac:dyDescent="0.2">
      <c r="A55" s="101">
        <v>2023</v>
      </c>
      <c r="B55" s="101">
        <v>1</v>
      </c>
      <c r="C55" s="102">
        <v>573.88032919499199</v>
      </c>
      <c r="D55" s="103">
        <v>909000</v>
      </c>
      <c r="E55" s="103">
        <v>1236315958.8948221</v>
      </c>
      <c r="F55" s="103">
        <v>263041.10517800297</v>
      </c>
      <c r="G55" s="103">
        <v>24173561.054871198</v>
      </c>
      <c r="H55" s="103">
        <v>3175126.6644111355</v>
      </c>
      <c r="I55" s="103">
        <v>15027940.093303209</v>
      </c>
      <c r="J55" s="103">
        <v>1657132.5116766612</v>
      </c>
      <c r="K55" s="103">
        <v>232161486.1587334</v>
      </c>
      <c r="L55" s="103">
        <v>8767802.0394608863</v>
      </c>
      <c r="M55" s="103">
        <v>227322513.79948685</v>
      </c>
      <c r="N55" s="103">
        <v>15582908.701389104</v>
      </c>
      <c r="O55" s="103">
        <v>123663213.2596259</v>
      </c>
      <c r="P55" s="103">
        <v>14965590.536536289</v>
      </c>
      <c r="Q55" s="103">
        <v>310237.69192398299</v>
      </c>
      <c r="R55" s="103">
        <v>64059489.984737851</v>
      </c>
      <c r="S55" s="103">
        <v>41450040.667194016</v>
      </c>
      <c r="T55" s="103">
        <v>2760.3225241373921</v>
      </c>
      <c r="U55" s="103">
        <v>4563287.8087804876</v>
      </c>
      <c r="V55" s="103">
        <v>4554646.243034834</v>
      </c>
      <c r="W55" s="103">
        <v>14047349.083576161</v>
      </c>
      <c r="X55" s="103">
        <v>1580519.6994130923</v>
      </c>
      <c r="Y55" s="103">
        <v>3942005.8016893533</v>
      </c>
      <c r="Z55" s="103">
        <v>33738129.468791388</v>
      </c>
      <c r="AA55" s="103">
        <v>9806006.0106954966</v>
      </c>
      <c r="AB55" s="103">
        <v>1127151.6035694762</v>
      </c>
      <c r="AC55" s="103">
        <v>108730.81862448438</v>
      </c>
      <c r="AD55" s="103">
        <v>4725.7047868056052</v>
      </c>
      <c r="AE55" s="103">
        <v>469044.34764517611</v>
      </c>
      <c r="AF55" s="103">
        <v>1117216.3695553495</v>
      </c>
      <c r="AG55" s="103">
        <v>2554762.3879813394</v>
      </c>
      <c r="AH55" s="103">
        <v>465064.27485391335</v>
      </c>
      <c r="AI55" s="103">
        <v>133472.49687649295</v>
      </c>
      <c r="AJ55" s="103">
        <v>121855.11155849024</v>
      </c>
      <c r="AK55" s="103">
        <v>440730.61265426112</v>
      </c>
      <c r="AL55" s="103">
        <v>183489.04958235563</v>
      </c>
      <c r="AM55" s="103">
        <v>7435.7401271331455</v>
      </c>
      <c r="AN55" s="104">
        <v>2088773999.9999998</v>
      </c>
      <c r="AO55" s="103">
        <v>4771774.0358113647</v>
      </c>
      <c r="AP55" s="103">
        <v>137034747.45844832</v>
      </c>
      <c r="AQ55" s="103">
        <v>26719478.505740337</v>
      </c>
      <c r="AR55" s="104">
        <v>2257299999.9999995</v>
      </c>
      <c r="AS55" s="104">
        <v>38082351.132246822</v>
      </c>
    </row>
    <row r="56" spans="1:45" x14ac:dyDescent="0.2">
      <c r="A56" s="121">
        <v>2023</v>
      </c>
      <c r="B56" s="105">
        <v>2</v>
      </c>
      <c r="C56" s="106">
        <v>560.70053798109382</v>
      </c>
      <c r="D56" s="107">
        <v>854000</v>
      </c>
      <c r="E56" s="107">
        <v>1034158156.8793199</v>
      </c>
      <c r="F56" s="107">
        <v>202843.12067990843</v>
      </c>
      <c r="G56" s="107">
        <v>21311835.908471953</v>
      </c>
      <c r="H56" s="107">
        <v>2786697.1784575889</v>
      </c>
      <c r="I56" s="107">
        <v>12611488.109637024</v>
      </c>
      <c r="J56" s="107">
        <v>1484130.1113761903</v>
      </c>
      <c r="K56" s="107">
        <v>201575277.26897821</v>
      </c>
      <c r="L56" s="107">
        <v>7046270.7334428951</v>
      </c>
      <c r="M56" s="107">
        <v>208682121.50707069</v>
      </c>
      <c r="N56" s="107">
        <v>13383167.097371582</v>
      </c>
      <c r="O56" s="107">
        <v>112517057.73543483</v>
      </c>
      <c r="P56" s="107">
        <v>13581776.036858073</v>
      </c>
      <c r="Q56" s="107">
        <v>270492.22304681333</v>
      </c>
      <c r="R56" s="107">
        <v>58951575.75269708</v>
      </c>
      <c r="S56" s="107">
        <v>34971799.809959613</v>
      </c>
      <c r="T56" s="107">
        <v>2578.15840819497</v>
      </c>
      <c r="U56" s="107">
        <v>5927515.5009931931</v>
      </c>
      <c r="V56" s="107">
        <v>3823239.5939696254</v>
      </c>
      <c r="W56" s="107">
        <v>12632258.463796498</v>
      </c>
      <c r="X56" s="107">
        <v>1337016.7897336227</v>
      </c>
      <c r="Y56" s="107">
        <v>4441007.1866460927</v>
      </c>
      <c r="Z56" s="107">
        <v>28545497.02195444</v>
      </c>
      <c r="AA56" s="107">
        <v>7731739.5417521298</v>
      </c>
      <c r="AB56" s="107">
        <v>1007470.7926063726</v>
      </c>
      <c r="AC56" s="107">
        <v>102333.2812882374</v>
      </c>
      <c r="AD56" s="107">
        <v>4617.1737930425252</v>
      </c>
      <c r="AE56" s="107">
        <v>461086.05792582245</v>
      </c>
      <c r="AF56" s="107">
        <v>1091636.4744444685</v>
      </c>
      <c r="AG56" s="107">
        <v>2429122.7221709793</v>
      </c>
      <c r="AH56" s="107">
        <v>454032.31047985615</v>
      </c>
      <c r="AI56" s="107">
        <v>127366.4664850675</v>
      </c>
      <c r="AJ56" s="107">
        <v>119025.3688385038</v>
      </c>
      <c r="AK56" s="107">
        <v>250140.48675324049</v>
      </c>
      <c r="AL56" s="107">
        <v>167496.00471828502</v>
      </c>
      <c r="AM56" s="107">
        <v>6570.4299016473906</v>
      </c>
      <c r="AN56" s="108">
        <v>1795050999.9999995</v>
      </c>
      <c r="AO56" s="107">
        <v>4571211.8491323544</v>
      </c>
      <c r="AP56" s="107">
        <v>132797057.51200785</v>
      </c>
      <c r="AQ56" s="107">
        <v>25975730.638859816</v>
      </c>
      <c r="AR56" s="108">
        <v>1958394999.9999995</v>
      </c>
      <c r="AS56" s="108">
        <v>39399500.294926658</v>
      </c>
    </row>
    <row r="57" spans="1:45" x14ac:dyDescent="0.2">
      <c r="A57" s="121">
        <v>2023</v>
      </c>
      <c r="B57" s="105">
        <v>3</v>
      </c>
      <c r="C57" s="106">
        <v>636.3929673219842</v>
      </c>
      <c r="D57" s="107">
        <v>860000</v>
      </c>
      <c r="E57" s="107">
        <v>1034572212.8019371</v>
      </c>
      <c r="F57" s="107">
        <v>195787.19806298433</v>
      </c>
      <c r="G57" s="107">
        <v>21238158.468221422</v>
      </c>
      <c r="H57" s="107">
        <v>2946808.1255621663</v>
      </c>
      <c r="I57" s="107">
        <v>12827068.816503389</v>
      </c>
      <c r="J57" s="107">
        <v>1506581.3060249896</v>
      </c>
      <c r="K57" s="107">
        <v>215854935.73294541</v>
      </c>
      <c r="L57" s="107">
        <v>8122071.1455967948</v>
      </c>
      <c r="M57" s="107">
        <v>211200787.43075773</v>
      </c>
      <c r="N57" s="107">
        <v>14815192.908280473</v>
      </c>
      <c r="O57" s="107">
        <v>118666825.13702232</v>
      </c>
      <c r="P57" s="107">
        <v>14891745.268465651</v>
      </c>
      <c r="Q57" s="107">
        <v>312830.37865130068</v>
      </c>
      <c r="R57" s="107">
        <v>62455139.774973653</v>
      </c>
      <c r="S57" s="107">
        <v>38367836.150905542</v>
      </c>
      <c r="T57" s="107">
        <v>2791.2618951113404</v>
      </c>
      <c r="U57" s="107">
        <v>8547533.3152820785</v>
      </c>
      <c r="V57" s="107">
        <v>4332282.338839788</v>
      </c>
      <c r="W57" s="107">
        <v>12175487.471952725</v>
      </c>
      <c r="X57" s="107">
        <v>1580436.8015552505</v>
      </c>
      <c r="Y57" s="107">
        <v>5412177.9724132391</v>
      </c>
      <c r="Z57" s="107">
        <v>34754302.741734244</v>
      </c>
      <c r="AA57" s="107">
        <v>9207694.2154985033</v>
      </c>
      <c r="AB57" s="107">
        <v>1047243.4684446553</v>
      </c>
      <c r="AC57" s="107">
        <v>112823.80410559756</v>
      </c>
      <c r="AD57" s="107">
        <v>5240.4746058843803</v>
      </c>
      <c r="AE57" s="107">
        <v>524076.62735497276</v>
      </c>
      <c r="AF57" s="107">
        <v>1241016.4116988943</v>
      </c>
      <c r="AG57" s="107">
        <v>2745655.9189201267</v>
      </c>
      <c r="AH57" s="107">
        <v>515761.27814174659</v>
      </c>
      <c r="AI57" s="107">
        <v>135294.15010654615</v>
      </c>
      <c r="AJ57" s="107">
        <v>122877.46590276722</v>
      </c>
      <c r="AK57" s="107">
        <v>267545.62376080075</v>
      </c>
      <c r="AL57" s="107">
        <v>186602.75999066114</v>
      </c>
      <c r="AM57" s="107">
        <v>7538.8609180923504</v>
      </c>
      <c r="AN57" s="108">
        <v>1841758999.9999993</v>
      </c>
      <c r="AO57" s="107">
        <v>4659015.1185148265</v>
      </c>
      <c r="AP57" s="107">
        <v>140412048.09885785</v>
      </c>
      <c r="AQ57" s="107">
        <v>26603936.782627348</v>
      </c>
      <c r="AR57" s="108">
        <v>2013433999.9999993</v>
      </c>
      <c r="AS57" s="108">
        <v>41111109.528690912</v>
      </c>
    </row>
    <row r="58" spans="1:45" x14ac:dyDescent="0.2">
      <c r="A58" s="121">
        <v>2023</v>
      </c>
      <c r="B58" s="105">
        <v>4</v>
      </c>
      <c r="C58" s="106">
        <v>585.6449558676378</v>
      </c>
      <c r="D58" s="107">
        <v>638000</v>
      </c>
      <c r="E58" s="107">
        <v>845851450.54539824</v>
      </c>
      <c r="F58" s="107">
        <v>162549.45460182743</v>
      </c>
      <c r="G58" s="107">
        <v>18134951.102860462</v>
      </c>
      <c r="H58" s="107">
        <v>2616226.1729538301</v>
      </c>
      <c r="I58" s="107">
        <v>11168747.836392216</v>
      </c>
      <c r="J58" s="107">
        <v>1272672.9048892299</v>
      </c>
      <c r="K58" s="107">
        <v>190861404.5226576</v>
      </c>
      <c r="L58" s="107">
        <v>6989763.9024468791</v>
      </c>
      <c r="M58" s="107">
        <v>198742359.83421463</v>
      </c>
      <c r="N58" s="107">
        <v>13527303.265691863</v>
      </c>
      <c r="O58" s="107">
        <v>109469609.51076956</v>
      </c>
      <c r="P58" s="107">
        <v>13940239.341760663</v>
      </c>
      <c r="Q58" s="107">
        <v>321298.02193920151</v>
      </c>
      <c r="R58" s="107">
        <v>57023289.236017935</v>
      </c>
      <c r="S58" s="107">
        <v>36606602.817672178</v>
      </c>
      <c r="T58" s="107">
        <v>2694.7104343864048</v>
      </c>
      <c r="U58" s="107">
        <v>8221650.0819289042</v>
      </c>
      <c r="V58" s="107">
        <v>3918863.6787571427</v>
      </c>
      <c r="W58" s="107">
        <v>9519859.5678660385</v>
      </c>
      <c r="X58" s="107">
        <v>1417544.1485532245</v>
      </c>
      <c r="Y58" s="107">
        <v>3747437.0885121506</v>
      </c>
      <c r="Z58" s="107">
        <v>31841324.641826104</v>
      </c>
      <c r="AA58" s="107">
        <v>9143789.9051591195</v>
      </c>
      <c r="AB58" s="107">
        <v>824455.42757083778</v>
      </c>
      <c r="AC58" s="107">
        <v>86836.107227954795</v>
      </c>
      <c r="AD58" s="107">
        <v>4822.5823930826682</v>
      </c>
      <c r="AE58" s="107">
        <v>485224.08986342314</v>
      </c>
      <c r="AF58" s="107">
        <v>1144454.1776799087</v>
      </c>
      <c r="AG58" s="107">
        <v>2519013.6900550961</v>
      </c>
      <c r="AH58" s="107">
        <v>472075.91382723709</v>
      </c>
      <c r="AI58" s="107">
        <v>132473.98118579984</v>
      </c>
      <c r="AJ58" s="107">
        <v>123837.09357559352</v>
      </c>
      <c r="AK58" s="107">
        <v>247532.36642659191</v>
      </c>
      <c r="AL58" s="107">
        <v>177161.27151175682</v>
      </c>
      <c r="AM58" s="107">
        <v>6895.3604235742496</v>
      </c>
      <c r="AN58" s="108">
        <v>1581365000.0000012</v>
      </c>
      <c r="AO58" s="107">
        <v>4587248.7262489852</v>
      </c>
      <c r="AP58" s="107">
        <v>132266857.42410544</v>
      </c>
      <c r="AQ58" s="107">
        <v>21211893.849645596</v>
      </c>
      <c r="AR58" s="108">
        <v>1739431000.0000012</v>
      </c>
      <c r="AS58" s="108">
        <v>39031777.902805492</v>
      </c>
    </row>
    <row r="59" spans="1:45" x14ac:dyDescent="0.2">
      <c r="A59" s="121">
        <v>2023</v>
      </c>
      <c r="B59" s="105">
        <v>5</v>
      </c>
      <c r="C59" s="106">
        <v>593.41106097915099</v>
      </c>
      <c r="D59" s="107">
        <v>499000</v>
      </c>
      <c r="E59" s="107">
        <v>718519163.78294134</v>
      </c>
      <c r="F59" s="107">
        <v>159836.21705867621</v>
      </c>
      <c r="G59" s="107">
        <v>16042858.583484245</v>
      </c>
      <c r="H59" s="107">
        <v>2446213.319757652</v>
      </c>
      <c r="I59" s="107">
        <v>10291841.902536942</v>
      </c>
      <c r="J59" s="107">
        <v>1202472.1683254517</v>
      </c>
      <c r="K59" s="107">
        <v>182002420.97637582</v>
      </c>
      <c r="L59" s="107">
        <v>6776967.8429492237</v>
      </c>
      <c r="M59" s="107">
        <v>197062878.99581546</v>
      </c>
      <c r="N59" s="107">
        <v>13640987.874038354</v>
      </c>
      <c r="O59" s="107">
        <v>112978898.83629867</v>
      </c>
      <c r="P59" s="107">
        <v>15363641.691806735</v>
      </c>
      <c r="Q59" s="107">
        <v>789417.31344733306</v>
      </c>
      <c r="R59" s="107">
        <v>58919561.103615962</v>
      </c>
      <c r="S59" s="107">
        <v>38368582.203056395</v>
      </c>
      <c r="T59" s="107">
        <v>298813.03517254553</v>
      </c>
      <c r="U59" s="107">
        <v>8790128.1992513817</v>
      </c>
      <c r="V59" s="107">
        <v>4462438.5217795717</v>
      </c>
      <c r="W59" s="107">
        <v>8216775.0686024409</v>
      </c>
      <c r="X59" s="107">
        <v>1568511.3175543449</v>
      </c>
      <c r="Y59" s="107">
        <v>3521012.7266977583</v>
      </c>
      <c r="Z59" s="107">
        <v>32520216.166934513</v>
      </c>
      <c r="AA59" s="107">
        <v>8804369.1396719702</v>
      </c>
      <c r="AB59" s="107">
        <v>728167.21203454828</v>
      </c>
      <c r="AC59" s="107">
        <v>65739.010605227624</v>
      </c>
      <c r="AD59" s="107">
        <v>4886.5335658851827</v>
      </c>
      <c r="AE59" s="107">
        <v>498890.78148441063</v>
      </c>
      <c r="AF59" s="107">
        <v>1159730.9269233535</v>
      </c>
      <c r="AG59" s="107">
        <v>2538722.4500454473</v>
      </c>
      <c r="AH59" s="107">
        <v>476220.74604453245</v>
      </c>
      <c r="AI59" s="107">
        <v>132210.87947970728</v>
      </c>
      <c r="AJ59" s="107">
        <v>120486.91988009628</v>
      </c>
      <c r="AK59" s="107">
        <v>472048.92823561595</v>
      </c>
      <c r="AL59" s="107">
        <v>178878.99215552627</v>
      </c>
      <c r="AM59" s="107">
        <v>7416.2213119279986</v>
      </c>
      <c r="AN59" s="108">
        <v>1449631000</v>
      </c>
      <c r="AO59" s="107">
        <v>4683323.8280250225</v>
      </c>
      <c r="AP59" s="107">
        <v>131501605.88758267</v>
      </c>
      <c r="AQ59" s="107">
        <v>22525070.284392286</v>
      </c>
      <c r="AR59" s="108">
        <v>1608341000.0000002</v>
      </c>
      <c r="AS59" s="108">
        <v>36575297.044914186</v>
      </c>
    </row>
    <row r="60" spans="1:45" x14ac:dyDescent="0.2">
      <c r="A60" s="121">
        <v>2023</v>
      </c>
      <c r="B60" s="105">
        <v>6</v>
      </c>
      <c r="C60" s="106">
        <v>614.38603796267421</v>
      </c>
      <c r="D60" s="107">
        <v>372000</v>
      </c>
      <c r="E60" s="107">
        <v>660327620.34840357</v>
      </c>
      <c r="F60" s="107">
        <v>179379.6515963038</v>
      </c>
      <c r="G60" s="107">
        <v>15873055.087185845</v>
      </c>
      <c r="H60" s="107">
        <v>2374158.8257417819</v>
      </c>
      <c r="I60" s="107">
        <v>10065326.347742585</v>
      </c>
      <c r="J60" s="107">
        <v>1166294.597703167</v>
      </c>
      <c r="K60" s="107">
        <v>177175261.63151014</v>
      </c>
      <c r="L60" s="107">
        <v>6388033.5914980145</v>
      </c>
      <c r="M60" s="107">
        <v>198484451.47891906</v>
      </c>
      <c r="N60" s="107">
        <v>13252160.141737269</v>
      </c>
      <c r="O60" s="107">
        <v>115301224.45955944</v>
      </c>
      <c r="P60" s="107">
        <v>14982400.913797645</v>
      </c>
      <c r="Q60" s="107">
        <v>1432321.5809251375</v>
      </c>
      <c r="R60" s="107">
        <v>59950656.270721421</v>
      </c>
      <c r="S60" s="107">
        <v>37458908.354847915</v>
      </c>
      <c r="T60" s="107">
        <v>653040.39470482687</v>
      </c>
      <c r="U60" s="107">
        <v>6201807.8230704293</v>
      </c>
      <c r="V60" s="107">
        <v>4340945.4212542837</v>
      </c>
      <c r="W60" s="107">
        <v>7251212.6644677771</v>
      </c>
      <c r="X60" s="107">
        <v>1680988.0761319639</v>
      </c>
      <c r="Y60" s="107">
        <v>4058769.2169886427</v>
      </c>
      <c r="Z60" s="107">
        <v>32174345.579862431</v>
      </c>
      <c r="AA60" s="107">
        <v>8610782.3598762304</v>
      </c>
      <c r="AB60" s="107">
        <v>697380.16904857964</v>
      </c>
      <c r="AC60" s="107">
        <v>64845.965365149808</v>
      </c>
      <c r="AD60" s="107">
        <v>5059.2552015495648</v>
      </c>
      <c r="AE60" s="107">
        <v>526655.46165641164</v>
      </c>
      <c r="AF60" s="107">
        <v>1203054.7814711693</v>
      </c>
      <c r="AG60" s="107">
        <v>2614828.3083144682</v>
      </c>
      <c r="AH60" s="107">
        <v>491313.53251989413</v>
      </c>
      <c r="AI60" s="107">
        <v>133689.63962717849</v>
      </c>
      <c r="AJ60" s="107">
        <v>125337.03216745968</v>
      </c>
      <c r="AK60" s="107">
        <v>263248.14038481534</v>
      </c>
      <c r="AL60" s="107">
        <v>177863.29572196005</v>
      </c>
      <c r="AM60" s="107">
        <v>6965.2142373876923</v>
      </c>
      <c r="AN60" s="108">
        <v>1386066000.0000002</v>
      </c>
      <c r="AO60" s="107">
        <v>4723169.6773581477</v>
      </c>
      <c r="AP60" s="107">
        <v>136711344.78533062</v>
      </c>
      <c r="AQ60" s="107">
        <v>26025485.537311219</v>
      </c>
      <c r="AR60" s="108">
        <v>1553526000.0000002</v>
      </c>
      <c r="AS60" s="108">
        <v>36611395.306666225</v>
      </c>
    </row>
    <row r="61" spans="1:45" x14ac:dyDescent="0.2">
      <c r="A61" s="121">
        <v>2023</v>
      </c>
      <c r="B61" s="105">
        <v>7</v>
      </c>
      <c r="C61" s="106">
        <v>595.39503049420443</v>
      </c>
      <c r="D61" s="107">
        <v>323000</v>
      </c>
      <c r="E61" s="107">
        <v>676023345.45556283</v>
      </c>
      <c r="F61" s="107">
        <v>225654.54443722684</v>
      </c>
      <c r="G61" s="107">
        <v>16044354.38301475</v>
      </c>
      <c r="H61" s="107">
        <v>2433736.4670939841</v>
      </c>
      <c r="I61" s="107">
        <v>10559798.312404506</v>
      </c>
      <c r="J61" s="107">
        <v>1445120.6996409893</v>
      </c>
      <c r="K61" s="107">
        <v>189577123.81958008</v>
      </c>
      <c r="L61" s="107">
        <v>6502792.4979115045</v>
      </c>
      <c r="M61" s="107">
        <v>209422833.63495615</v>
      </c>
      <c r="N61" s="107">
        <v>13437697.713928217</v>
      </c>
      <c r="O61" s="107">
        <v>124324707.6452928</v>
      </c>
      <c r="P61" s="107">
        <v>14759658.950835535</v>
      </c>
      <c r="Q61" s="107">
        <v>2577716.6982222772</v>
      </c>
      <c r="R61" s="107">
        <v>60504500.797251761</v>
      </c>
      <c r="S61" s="107">
        <v>37638606.612408511</v>
      </c>
      <c r="T61" s="107">
        <v>681729.64280126896</v>
      </c>
      <c r="U61" s="107">
        <v>6607261.016824537</v>
      </c>
      <c r="V61" s="107">
        <v>4593864.3626847807</v>
      </c>
      <c r="W61" s="107">
        <v>5524191.908058648</v>
      </c>
      <c r="X61" s="107">
        <v>2124059.8240729771</v>
      </c>
      <c r="Y61" s="107">
        <v>4513904.9934998369</v>
      </c>
      <c r="Z61" s="107">
        <v>35994892.637752533</v>
      </c>
      <c r="AA61" s="107">
        <v>8216474.8687316123</v>
      </c>
      <c r="AB61" s="107">
        <v>636732.42325969168</v>
      </c>
      <c r="AC61" s="107">
        <v>66817.05653179482</v>
      </c>
      <c r="AD61" s="107">
        <v>4902.870864372685</v>
      </c>
      <c r="AE61" s="107">
        <v>517205.8302891347</v>
      </c>
      <c r="AF61" s="107">
        <v>1158297.8870344502</v>
      </c>
      <c r="AG61" s="107">
        <v>2529142.7164225439</v>
      </c>
      <c r="AH61" s="107">
        <v>497221.04128071468</v>
      </c>
      <c r="AI61" s="107">
        <v>136601.15167430195</v>
      </c>
      <c r="AJ61" s="107">
        <v>124617.57254047097</v>
      </c>
      <c r="AK61" s="107">
        <v>250084.77928680315</v>
      </c>
      <c r="AL61" s="107">
        <v>185046.50520126897</v>
      </c>
      <c r="AM61" s="107">
        <v>7707.2836170413038</v>
      </c>
      <c r="AN61" s="108">
        <v>1440172000</v>
      </c>
      <c r="AO61" s="107">
        <v>4623009.1360258441</v>
      </c>
      <c r="AP61" s="107">
        <v>140344366.33594912</v>
      </c>
      <c r="AQ61" s="107">
        <v>26832624.528025042</v>
      </c>
      <c r="AR61" s="108">
        <v>1611972000.0000002</v>
      </c>
      <c r="AS61" s="108">
        <v>36100245.46896679</v>
      </c>
    </row>
    <row r="62" spans="1:45" x14ac:dyDescent="0.2">
      <c r="A62" s="121">
        <v>2023</v>
      </c>
      <c r="B62" s="105">
        <v>8</v>
      </c>
      <c r="C62" s="106">
        <v>618.56828874009909</v>
      </c>
      <c r="D62" s="107">
        <v>311000</v>
      </c>
      <c r="E62" s="107">
        <v>662545881.575436</v>
      </c>
      <c r="F62" s="107">
        <v>228118.42456402068</v>
      </c>
      <c r="G62" s="107">
        <v>16434768.705470998</v>
      </c>
      <c r="H62" s="107">
        <v>2468839.2100239363</v>
      </c>
      <c r="I62" s="107">
        <v>11029470.834936146</v>
      </c>
      <c r="J62" s="107">
        <v>1677634.0682359459</v>
      </c>
      <c r="K62" s="107">
        <v>194301911.3316983</v>
      </c>
      <c r="L62" s="107">
        <v>6665192.2013473725</v>
      </c>
      <c r="M62" s="107">
        <v>215098798.4207544</v>
      </c>
      <c r="N62" s="107">
        <v>13959315.099578898</v>
      </c>
      <c r="O62" s="107">
        <v>127010966.70068005</v>
      </c>
      <c r="P62" s="107">
        <v>15545609.39744</v>
      </c>
      <c r="Q62" s="107">
        <v>3860787.1844059373</v>
      </c>
      <c r="R62" s="107">
        <v>60195515.355356619</v>
      </c>
      <c r="S62" s="107">
        <v>38688454.082730129</v>
      </c>
      <c r="T62" s="107">
        <v>914915.92877774523</v>
      </c>
      <c r="U62" s="107">
        <v>5307044.9405216007</v>
      </c>
      <c r="V62" s="107">
        <v>4419933.2434863485</v>
      </c>
      <c r="W62" s="107">
        <v>4682784.357986832</v>
      </c>
      <c r="X62" s="107">
        <v>2109249.6546180546</v>
      </c>
      <c r="Y62" s="107">
        <v>4026679.2412897665</v>
      </c>
      <c r="Z62" s="107">
        <v>34940639.171063617</v>
      </c>
      <c r="AA62" s="107">
        <v>10051816.734127475</v>
      </c>
      <c r="AB62" s="107">
        <v>696009.51190014835</v>
      </c>
      <c r="AC62" s="107">
        <v>72250.995641867761</v>
      </c>
      <c r="AD62" s="107">
        <v>5107.6737002932186</v>
      </c>
      <c r="AE62" s="107">
        <v>539996.67214667308</v>
      </c>
      <c r="AF62" s="107">
        <v>1201571.2068928119</v>
      </c>
      <c r="AG62" s="107">
        <v>2629205.2023434346</v>
      </c>
      <c r="AH62" s="107">
        <v>472991.33906185365</v>
      </c>
      <c r="AI62" s="107">
        <v>138501.93887552823</v>
      </c>
      <c r="AJ62" s="107">
        <v>129321.13882915431</v>
      </c>
      <c r="AK62" s="107">
        <v>261248.83002417584</v>
      </c>
      <c r="AL62" s="107">
        <v>184466.67514963579</v>
      </c>
      <c r="AM62" s="107">
        <v>7384.3826153250748</v>
      </c>
      <c r="AN62" s="108">
        <v>1442814000</v>
      </c>
      <c r="AO62" s="107">
        <v>4720391.8685166091</v>
      </c>
      <c r="AP62" s="107">
        <v>142502860.97870466</v>
      </c>
      <c r="AQ62" s="107">
        <v>27371747.152778737</v>
      </c>
      <c r="AR62" s="108">
        <v>1617409000</v>
      </c>
      <c r="AS62" s="108">
        <v>39090820.251795016</v>
      </c>
    </row>
    <row r="63" spans="1:45" x14ac:dyDescent="0.2">
      <c r="A63" s="121">
        <v>2023</v>
      </c>
      <c r="B63" s="105">
        <v>9</v>
      </c>
      <c r="C63" s="106">
        <v>643.77332084562534</v>
      </c>
      <c r="D63" s="107">
        <v>363000</v>
      </c>
      <c r="E63" s="107">
        <v>655419676.43513966</v>
      </c>
      <c r="F63" s="107">
        <v>193323.56486024894</v>
      </c>
      <c r="G63" s="107">
        <v>15428895.134290047</v>
      </c>
      <c r="H63" s="107">
        <v>2341838.781253546</v>
      </c>
      <c r="I63" s="107">
        <v>10353042.332824228</v>
      </c>
      <c r="J63" s="107">
        <v>1365925.1212621727</v>
      </c>
      <c r="K63" s="107">
        <v>181364218.85269374</v>
      </c>
      <c r="L63" s="107">
        <v>6250129.602017262</v>
      </c>
      <c r="M63" s="107">
        <v>201229227.18607676</v>
      </c>
      <c r="N63" s="107">
        <v>13226365.447245302</v>
      </c>
      <c r="O63" s="107">
        <v>116929947.19298387</v>
      </c>
      <c r="P63" s="107">
        <v>14843719.706656726</v>
      </c>
      <c r="Q63" s="107">
        <v>2953783.3918538429</v>
      </c>
      <c r="R63" s="107">
        <v>57665777.246783361</v>
      </c>
      <c r="S63" s="107">
        <v>36381923.861730292</v>
      </c>
      <c r="T63" s="107">
        <v>777122.69509195024</v>
      </c>
      <c r="U63" s="107">
        <v>6097715.7067590244</v>
      </c>
      <c r="V63" s="107">
        <v>4825514.065035658</v>
      </c>
      <c r="W63" s="107">
        <v>5699367.9485262986</v>
      </c>
      <c r="X63" s="107">
        <v>1678743.2813316472</v>
      </c>
      <c r="Y63" s="107">
        <v>3546205.7742728167</v>
      </c>
      <c r="Z63" s="107">
        <v>34147916.372236766</v>
      </c>
      <c r="AA63" s="107">
        <v>8945141.5430419482</v>
      </c>
      <c r="AB63" s="107">
        <v>823996.33334279875</v>
      </c>
      <c r="AC63" s="107">
        <v>76886.761468560289</v>
      </c>
      <c r="AD63" s="107">
        <v>5004.4581569901047</v>
      </c>
      <c r="AE63" s="107">
        <v>567538.49780342984</v>
      </c>
      <c r="AF63" s="107">
        <v>1256283.3175351718</v>
      </c>
      <c r="AG63" s="107">
        <v>2693120.6849105493</v>
      </c>
      <c r="AH63" s="107">
        <v>492902.09546916146</v>
      </c>
      <c r="AI63" s="107">
        <v>127952.17136827504</v>
      </c>
      <c r="AJ63" s="107">
        <v>116512.68250910538</v>
      </c>
      <c r="AK63" s="107">
        <v>283624.07799249393</v>
      </c>
      <c r="AL63" s="107">
        <v>173773.34556557593</v>
      </c>
      <c r="AM63" s="107">
        <v>7240.556589764692</v>
      </c>
      <c r="AN63" s="108">
        <v>1388654000.0000002</v>
      </c>
      <c r="AO63" s="107">
        <v>4504878.0421813549</v>
      </c>
      <c r="AP63" s="107">
        <v>140987857.18422911</v>
      </c>
      <c r="AQ63" s="107">
        <v>29173264.773589537</v>
      </c>
      <c r="AR63" s="108">
        <v>1563320000.0000002</v>
      </c>
      <c r="AS63" s="108">
        <v>38947584.14402359</v>
      </c>
    </row>
    <row r="64" spans="1:45" x14ac:dyDescent="0.2">
      <c r="A64" s="121">
        <v>2023</v>
      </c>
      <c r="B64" s="105">
        <v>10</v>
      </c>
      <c r="C64" s="106">
        <v>618.66432468913331</v>
      </c>
      <c r="D64" s="107">
        <v>522000</v>
      </c>
      <c r="E64" s="107">
        <v>815609429.44331682</v>
      </c>
      <c r="F64" s="107">
        <v>204570.55668316776</v>
      </c>
      <c r="G64" s="107">
        <v>16279592.470035326</v>
      </c>
      <c r="H64" s="107">
        <v>2461427.371066615</v>
      </c>
      <c r="I64" s="107">
        <v>11134675.940623427</v>
      </c>
      <c r="J64" s="107">
        <v>1286281.3371914646</v>
      </c>
      <c r="K64" s="107">
        <v>186923122.69980776</v>
      </c>
      <c r="L64" s="107">
        <v>6297497.1855876511</v>
      </c>
      <c r="M64" s="107">
        <v>207259753.09410581</v>
      </c>
      <c r="N64" s="107">
        <v>13471806.706856489</v>
      </c>
      <c r="O64" s="107">
        <v>120915178.85170731</v>
      </c>
      <c r="P64" s="107">
        <v>14969114.278559884</v>
      </c>
      <c r="Q64" s="107">
        <v>1194828.340133914</v>
      </c>
      <c r="R64" s="107">
        <v>60400197.35205511</v>
      </c>
      <c r="S64" s="107">
        <v>37578462.517743647</v>
      </c>
      <c r="T64" s="107">
        <v>675528.02280139504</v>
      </c>
      <c r="U64" s="107">
        <v>8379005.2954058181</v>
      </c>
      <c r="V64" s="107">
        <v>4689005.6577306809</v>
      </c>
      <c r="W64" s="107">
        <v>7742051.4059582436</v>
      </c>
      <c r="X64" s="107">
        <v>899088.3282395748</v>
      </c>
      <c r="Y64" s="107">
        <v>4206364.2432196382</v>
      </c>
      <c r="Z64" s="107">
        <v>35931876.041960679</v>
      </c>
      <c r="AA64" s="107">
        <v>8943749.4103020076</v>
      </c>
      <c r="AB64" s="107">
        <v>880288.2077811684</v>
      </c>
      <c r="AC64" s="107">
        <v>73512.391486646709</v>
      </c>
      <c r="AD64" s="107">
        <v>4809.2700114730869</v>
      </c>
      <c r="AE64" s="107">
        <v>549838.18373495876</v>
      </c>
      <c r="AF64" s="107">
        <v>1206153.0826149487</v>
      </c>
      <c r="AG64" s="107">
        <v>2592399.6731329346</v>
      </c>
      <c r="AH64" s="107">
        <v>487892.45304140699</v>
      </c>
      <c r="AI64" s="107">
        <v>140266.61322017561</v>
      </c>
      <c r="AJ64" s="107">
        <v>130908.90563420004</v>
      </c>
      <c r="AK64" s="107">
        <v>462488.07387177314</v>
      </c>
      <c r="AL64" s="107">
        <v>187745.36815096342</v>
      </c>
      <c r="AM64" s="107">
        <v>7472.5619019049163</v>
      </c>
      <c r="AN64" s="108">
        <v>1574698999.9999988</v>
      </c>
      <c r="AO64" s="107">
        <v>4139301.4547863444</v>
      </c>
      <c r="AP64" s="107">
        <v>135380723.79126665</v>
      </c>
      <c r="AQ64" s="107">
        <v>29377974.753947008</v>
      </c>
      <c r="AR64" s="108">
        <v>1743596999.9999988</v>
      </c>
      <c r="AS64" s="108">
        <v>40383451.482653834</v>
      </c>
    </row>
    <row r="65" spans="1:45" x14ac:dyDescent="0.2">
      <c r="A65" s="121">
        <v>2023</v>
      </c>
      <c r="B65" s="105">
        <v>11</v>
      </c>
      <c r="C65" s="106">
        <v>650.47627855064263</v>
      </c>
      <c r="D65" s="107">
        <v>734000</v>
      </c>
      <c r="E65" s="107">
        <v>1016107333.7230393</v>
      </c>
      <c r="F65" s="107">
        <v>219666.27696080526</v>
      </c>
      <c r="G65" s="107">
        <v>18577861.649670601</v>
      </c>
      <c r="H65" s="107">
        <v>2603585.8669272531</v>
      </c>
      <c r="I65" s="107">
        <v>12313047.220267927</v>
      </c>
      <c r="J65" s="107">
        <v>1348895.9186340761</v>
      </c>
      <c r="K65" s="107">
        <v>203116219.57881665</v>
      </c>
      <c r="L65" s="107">
        <v>6540938.1410012431</v>
      </c>
      <c r="M65" s="107">
        <v>215501877.21038082</v>
      </c>
      <c r="N65" s="107">
        <v>12986741.023498246</v>
      </c>
      <c r="O65" s="107">
        <v>122275345.95544578</v>
      </c>
      <c r="P65" s="107">
        <v>13708874.892169831</v>
      </c>
      <c r="Q65" s="107">
        <v>400504.24193634989</v>
      </c>
      <c r="R65" s="107">
        <v>61598263.82105881</v>
      </c>
      <c r="S65" s="107">
        <v>35902894.137098238</v>
      </c>
      <c r="T65" s="107">
        <v>225989.12120663264</v>
      </c>
      <c r="U65" s="107">
        <v>8077733.8188159754</v>
      </c>
      <c r="V65" s="107">
        <v>4193370.1324600819</v>
      </c>
      <c r="W65" s="107">
        <v>9602354.1053787675</v>
      </c>
      <c r="X65" s="107">
        <v>1027559.0054136226</v>
      </c>
      <c r="Y65" s="107">
        <v>3601828.3573987312</v>
      </c>
      <c r="Z65" s="107">
        <v>36992115.142153136</v>
      </c>
      <c r="AA65" s="107">
        <v>8228353.3163736286</v>
      </c>
      <c r="AB65" s="107">
        <v>1062052.3223575982</v>
      </c>
      <c r="AC65" s="107">
        <v>91315.515875464436</v>
      </c>
      <c r="AD65" s="107">
        <v>5056.5644967165963</v>
      </c>
      <c r="AE65" s="107">
        <v>579976.42001880822</v>
      </c>
      <c r="AF65" s="107">
        <v>1266466.0359666171</v>
      </c>
      <c r="AG65" s="107">
        <v>2732531.2725375639</v>
      </c>
      <c r="AH65" s="107">
        <v>504663.53943439521</v>
      </c>
      <c r="AI65" s="107">
        <v>138750.61617611084</v>
      </c>
      <c r="AJ65" s="107">
        <v>126592.51370078266</v>
      </c>
      <c r="AK65" s="107">
        <v>272287.85303428629</v>
      </c>
      <c r="AL65" s="107">
        <v>191490.01247729064</v>
      </c>
      <c r="AM65" s="107">
        <v>7814.2015391406348</v>
      </c>
      <c r="AN65" s="108">
        <v>1802864999.9999998</v>
      </c>
      <c r="AO65" s="107">
        <v>3905205.786061333</v>
      </c>
      <c r="AP65" s="107">
        <v>135648246.29949465</v>
      </c>
      <c r="AQ65" s="107">
        <v>28955547.914443985</v>
      </c>
      <c r="AR65" s="108">
        <v>1971373999.9999998</v>
      </c>
      <c r="AS65" s="108">
        <v>39097106.297173984</v>
      </c>
    </row>
    <row r="66" spans="1:45" x14ac:dyDescent="0.2">
      <c r="A66" s="122">
        <v>2023</v>
      </c>
      <c r="B66" s="109">
        <v>12</v>
      </c>
      <c r="C66" s="110">
        <v>659.50757615321425</v>
      </c>
      <c r="D66" s="111">
        <v>1049000</v>
      </c>
      <c r="E66" s="111">
        <v>1290371646.0934629</v>
      </c>
      <c r="F66" s="111">
        <v>292353.90653685288</v>
      </c>
      <c r="G66" s="111">
        <v>23295382.672331281</v>
      </c>
      <c r="H66" s="111">
        <v>3040429.117029448</v>
      </c>
      <c r="I66" s="111">
        <v>14056441.211490497</v>
      </c>
      <c r="J66" s="111">
        <v>1638361.6673256003</v>
      </c>
      <c r="K66" s="111">
        <v>227095158.95459032</v>
      </c>
      <c r="L66" s="111">
        <v>7072719.8107699156</v>
      </c>
      <c r="M66" s="111">
        <v>232706526.29808623</v>
      </c>
      <c r="N66" s="111">
        <v>13518383.726450736</v>
      </c>
      <c r="O66" s="111">
        <v>129427448.92303251</v>
      </c>
      <c r="P66" s="111">
        <v>12978884.205454491</v>
      </c>
      <c r="Q66" s="111">
        <v>312091.03415737831</v>
      </c>
      <c r="R66" s="111">
        <v>66759119.536320016</v>
      </c>
      <c r="S66" s="111">
        <v>35993280.076924138</v>
      </c>
      <c r="T66" s="111">
        <v>2931.7848605434178</v>
      </c>
      <c r="U66" s="111">
        <v>6943896.7312808717</v>
      </c>
      <c r="V66" s="111">
        <v>3770213.8124533771</v>
      </c>
      <c r="W66" s="111">
        <v>13270625.901572725</v>
      </c>
      <c r="X66" s="111">
        <v>1685014.8702164555</v>
      </c>
      <c r="Y66" s="111">
        <v>3337131.5294993804</v>
      </c>
      <c r="Z66" s="111">
        <v>39137634.656316675</v>
      </c>
      <c r="AA66" s="111">
        <v>8322386.8384479564</v>
      </c>
      <c r="AB66" s="111">
        <v>1202383.6676067016</v>
      </c>
      <c r="AC66" s="111">
        <v>124005.60990723142</v>
      </c>
      <c r="AD66" s="111">
        <v>5126.7704985683449</v>
      </c>
      <c r="AE66" s="111">
        <v>602686.05571866315</v>
      </c>
      <c r="AF66" s="111">
        <v>1283789.6430507028</v>
      </c>
      <c r="AG66" s="111">
        <v>2679213.6313654915</v>
      </c>
      <c r="AH66" s="111">
        <v>503594.82047692535</v>
      </c>
      <c r="AI66" s="111">
        <v>142346.93628125844</v>
      </c>
      <c r="AJ66" s="111">
        <v>132951.79299002138</v>
      </c>
      <c r="AK66" s="111">
        <v>307540.29379956279</v>
      </c>
      <c r="AL66" s="111">
        <v>194030.93093372026</v>
      </c>
      <c r="AM66" s="111">
        <v>7606.9811843894804</v>
      </c>
      <c r="AN66" s="112">
        <v>2143262999.9999993</v>
      </c>
      <c r="AO66" s="111">
        <v>3749243.3370826561</v>
      </c>
      <c r="AP66" s="111">
        <v>135065697.9381443</v>
      </c>
      <c r="AQ66" s="111">
        <v>26790058.724773061</v>
      </c>
      <c r="AR66" s="112">
        <v>2308867999.999999</v>
      </c>
      <c r="AS66" s="112">
        <v>37051109.867833376</v>
      </c>
    </row>
    <row r="67" spans="1:45" x14ac:dyDescent="0.2">
      <c r="A67" s="101">
        <v>2024</v>
      </c>
      <c r="B67" s="101">
        <v>1</v>
      </c>
      <c r="C67" s="106">
        <v>576.43577595349382</v>
      </c>
      <c r="D67" s="107">
        <v>909000</v>
      </c>
      <c r="E67" s="107">
        <v>1241208839.8809323</v>
      </c>
      <c r="F67" s="107">
        <v>263160.11906789395</v>
      </c>
      <c r="G67" s="107">
        <v>24022456.054873418</v>
      </c>
      <c r="H67" s="107">
        <v>3142626.4157360028</v>
      </c>
      <c r="I67" s="107">
        <v>14934002.883034075</v>
      </c>
      <c r="J67" s="107">
        <v>1646774.0457640535</v>
      </c>
      <c r="K67" s="107">
        <v>230710282.45374882</v>
      </c>
      <c r="L67" s="107">
        <v>8416183.6976710409</v>
      </c>
      <c r="M67" s="107">
        <v>225058108.85913116</v>
      </c>
      <c r="N67" s="107">
        <v>14957981.66800208</v>
      </c>
      <c r="O67" s="107">
        <v>122890214.61880067</v>
      </c>
      <c r="P67" s="107">
        <v>14365420.037170608</v>
      </c>
      <c r="Q67" s="107">
        <v>307062.13289859256</v>
      </c>
      <c r="R67" s="107">
        <v>63403784.063508943</v>
      </c>
      <c r="S67" s="107">
        <v>39787754.668841742</v>
      </c>
      <c r="T67" s="107">
        <v>2732.0681651968257</v>
      </c>
      <c r="U67" s="107">
        <v>4516578.494716296</v>
      </c>
      <c r="V67" s="107">
        <v>4371989.6145882215</v>
      </c>
      <c r="W67" s="107">
        <v>13903561.957361687</v>
      </c>
      <c r="X67" s="107">
        <v>1564341.6729291007</v>
      </c>
      <c r="Y67" s="107">
        <v>3783918.1148235141</v>
      </c>
      <c r="Z67" s="107">
        <v>33392789.671844132</v>
      </c>
      <c r="AA67" s="107">
        <v>9412752.1989027746</v>
      </c>
      <c r="AB67" s="107">
        <v>1132170.7264861341</v>
      </c>
      <c r="AC67" s="107">
        <v>109214.98893642546</v>
      </c>
      <c r="AD67" s="107">
        <v>4746.7480015051215</v>
      </c>
      <c r="AE67" s="107">
        <v>471132.9675138251</v>
      </c>
      <c r="AF67" s="107">
        <v>1122191.251608077</v>
      </c>
      <c r="AG67" s="107">
        <v>2566138.5563756581</v>
      </c>
      <c r="AH67" s="107">
        <v>467135.17175211781</v>
      </c>
      <c r="AI67" s="107">
        <v>132106.28702149764</v>
      </c>
      <c r="AJ67" s="107">
        <v>120607.81598682792</v>
      </c>
      <c r="AK67" s="107">
        <v>442693.1535503043</v>
      </c>
      <c r="AL67" s="107">
        <v>181610.87577359632</v>
      </c>
      <c r="AM67" s="107">
        <v>7359.6287058395601</v>
      </c>
      <c r="AN67" s="108">
        <v>2083730000.0000007</v>
      </c>
      <c r="AO67" s="107">
        <v>4767668.3949298831</v>
      </c>
      <c r="AP67" s="107">
        <v>136916842.57503876</v>
      </c>
      <c r="AQ67" s="107">
        <v>26696489.03003135</v>
      </c>
      <c r="AR67" s="108">
        <v>2252111000.0000005</v>
      </c>
      <c r="AS67" s="108">
        <v>37511115.865263119</v>
      </c>
    </row>
    <row r="68" spans="1:45" x14ac:dyDescent="0.2">
      <c r="A68" s="121">
        <v>2024</v>
      </c>
      <c r="B68" s="105">
        <v>2</v>
      </c>
      <c r="C68" s="106">
        <v>579.64508296373378</v>
      </c>
      <c r="D68" s="107">
        <v>873000</v>
      </c>
      <c r="E68" s="107">
        <v>1080202866.7164154</v>
      </c>
      <c r="F68" s="107">
        <v>211133.28358459406</v>
      </c>
      <c r="G68" s="107">
        <v>22026308.415162511</v>
      </c>
      <c r="H68" s="107">
        <v>2868774.0425489703</v>
      </c>
      <c r="I68" s="107">
        <v>13034284.229196513</v>
      </c>
      <c r="J68" s="107">
        <v>1533885.1003637118</v>
      </c>
      <c r="K68" s="107">
        <v>208333024.19682318</v>
      </c>
      <c r="L68" s="107">
        <v>7163101.897182419</v>
      </c>
      <c r="M68" s="107">
        <v>214884667.08322105</v>
      </c>
      <c r="N68" s="107">
        <v>13605067.595614638</v>
      </c>
      <c r="O68" s="107">
        <v>116289156.23651825</v>
      </c>
      <c r="P68" s="107">
        <v>13806969.583921853</v>
      </c>
      <c r="Q68" s="107">
        <v>278459.05690318416</v>
      </c>
      <c r="R68" s="107">
        <v>60687882.269397616</v>
      </c>
      <c r="S68" s="107">
        <v>35551652.07854636</v>
      </c>
      <c r="T68" s="107">
        <v>2654.0931595239945</v>
      </c>
      <c r="U68" s="107">
        <v>6102099.1938090222</v>
      </c>
      <c r="V68" s="107">
        <v>3886631.0740753366</v>
      </c>
      <c r="W68" s="107">
        <v>13004317.605749661</v>
      </c>
      <c r="X68" s="107">
        <v>1376396.0757885219</v>
      </c>
      <c r="Y68" s="107">
        <v>4514641.6036901195</v>
      </c>
      <c r="Z68" s="107">
        <v>29386250.332936257</v>
      </c>
      <c r="AA68" s="107">
        <v>7859936.1669692863</v>
      </c>
      <c r="AB68" s="107">
        <v>1041510.4884089669</v>
      </c>
      <c r="AC68" s="107">
        <v>105790.84431745556</v>
      </c>
      <c r="AD68" s="107">
        <v>4773.1755278186556</v>
      </c>
      <c r="AE68" s="107">
        <v>476664.90077248012</v>
      </c>
      <c r="AF68" s="107">
        <v>1128519.8995420579</v>
      </c>
      <c r="AG68" s="107">
        <v>2511196.1670159218</v>
      </c>
      <c r="AH68" s="107">
        <v>469372.82640022365</v>
      </c>
      <c r="AI68" s="107">
        <v>131117.80345856692</v>
      </c>
      <c r="AJ68" s="107">
        <v>122531.03464859072</v>
      </c>
      <c r="AK68" s="107">
        <v>258592.05293211227</v>
      </c>
      <c r="AL68" s="107">
        <v>172429.28089963217</v>
      </c>
      <c r="AM68" s="107">
        <v>6763.9494150801165</v>
      </c>
      <c r="AN68" s="108">
        <v>1863912999.9999995</v>
      </c>
      <c r="AO68" s="107">
        <v>4715923.234134946</v>
      </c>
      <c r="AP68" s="107">
        <v>137001029.40197375</v>
      </c>
      <c r="AQ68" s="107">
        <v>26798047.363891311</v>
      </c>
      <c r="AR68" s="108">
        <v>2032427999.9999995</v>
      </c>
      <c r="AS68" s="108">
        <v>38808507.790502749</v>
      </c>
    </row>
    <row r="69" spans="1:45" x14ac:dyDescent="0.2">
      <c r="A69" s="121">
        <v>2024</v>
      </c>
      <c r="B69" s="105">
        <v>3</v>
      </c>
      <c r="C69" s="106">
        <v>643.19035350545437</v>
      </c>
      <c r="D69" s="107">
        <v>872000</v>
      </c>
      <c r="E69" s="107">
        <v>1038274290.0104547</v>
      </c>
      <c r="F69" s="107">
        <v>195709.98954541486</v>
      </c>
      <c r="G69" s="107">
        <v>21171125.234997164</v>
      </c>
      <c r="H69" s="107">
        <v>2925212.2346733487</v>
      </c>
      <c r="I69" s="107">
        <v>12786583.202044543</v>
      </c>
      <c r="J69" s="107">
        <v>1501826.137811644</v>
      </c>
      <c r="K69" s="107">
        <v>215173640.58811238</v>
      </c>
      <c r="L69" s="107">
        <v>7655143.178235977</v>
      </c>
      <c r="M69" s="107">
        <v>209713982.87105796</v>
      </c>
      <c r="N69" s="107">
        <v>13963485.531342259</v>
      </c>
      <c r="O69" s="107">
        <v>118292281.31876732</v>
      </c>
      <c r="P69" s="107">
        <v>14035636.989676518</v>
      </c>
      <c r="Q69" s="107">
        <v>310537.77918903599</v>
      </c>
      <c r="R69" s="107">
        <v>61997432.884482138</v>
      </c>
      <c r="S69" s="107">
        <v>36162116.030405551</v>
      </c>
      <c r="T69" s="107">
        <v>2770.805935727341</v>
      </c>
      <c r="U69" s="107">
        <v>8484892.1153871417</v>
      </c>
      <c r="V69" s="107">
        <v>4083224.7092960863</v>
      </c>
      <c r="W69" s="107">
        <v>12086258.554507583</v>
      </c>
      <c r="X69" s="107">
        <v>1568854.4591465306</v>
      </c>
      <c r="Y69" s="107">
        <v>5101038.4595534047</v>
      </c>
      <c r="Z69" s="107">
        <v>34499603.386381999</v>
      </c>
      <c r="AA69" s="107">
        <v>8678355.1014901921</v>
      </c>
      <c r="AB69" s="107">
        <v>1058429.1958939868</v>
      </c>
      <c r="AC69" s="107">
        <v>114028.88808133846</v>
      </c>
      <c r="AD69" s="107">
        <v>5296.4487154518756</v>
      </c>
      <c r="AE69" s="107">
        <v>529674.34984529682</v>
      </c>
      <c r="AF69" s="107">
        <v>1254271.850152025</v>
      </c>
      <c r="AG69" s="107">
        <v>2774982.5843079733</v>
      </c>
      <c r="AH69" s="107">
        <v>521270.18343459192</v>
      </c>
      <c r="AI69" s="107">
        <v>134302.63739886385</v>
      </c>
      <c r="AJ69" s="107">
        <v>121976.9497397665</v>
      </c>
      <c r="AK69" s="107">
        <v>270403.30921583099</v>
      </c>
      <c r="AL69" s="107">
        <v>185235.22852183101</v>
      </c>
      <c r="AM69" s="107">
        <v>7483.6118448999669</v>
      </c>
      <c r="AN69" s="108">
        <v>1836514000</v>
      </c>
      <c r="AO69" s="107">
        <v>4578793.4864173755</v>
      </c>
      <c r="AP69" s="107">
        <v>137994351.78792018</v>
      </c>
      <c r="AQ69" s="107">
        <v>26145854.725662462</v>
      </c>
      <c r="AR69" s="108">
        <v>2005233000</v>
      </c>
      <c r="AS69" s="108">
        <v>40494442.885760553</v>
      </c>
    </row>
    <row r="70" spans="1:45" x14ac:dyDescent="0.2">
      <c r="A70" s="121">
        <v>2024</v>
      </c>
      <c r="B70" s="105">
        <v>4</v>
      </c>
      <c r="C70" s="106">
        <v>587.87212769634789</v>
      </c>
      <c r="D70" s="107">
        <v>638000</v>
      </c>
      <c r="E70" s="107">
        <v>849486567.36987114</v>
      </c>
      <c r="F70" s="107">
        <v>162432.6301289071</v>
      </c>
      <c r="G70" s="107">
        <v>18069263.790420428</v>
      </c>
      <c r="H70" s="107">
        <v>2594341.2132335803</v>
      </c>
      <c r="I70" s="107">
        <v>11128293.080019735</v>
      </c>
      <c r="J70" s="107">
        <v>1268063.1068112941</v>
      </c>
      <c r="K70" s="107">
        <v>190170077.99850464</v>
      </c>
      <c r="L70" s="107">
        <v>6700227.286327132</v>
      </c>
      <c r="M70" s="107">
        <v>197141858.64646852</v>
      </c>
      <c r="N70" s="107">
        <v>12966962.506341904</v>
      </c>
      <c r="O70" s="107">
        <v>109073095.37616633</v>
      </c>
      <c r="P70" s="107">
        <v>13362793.553427266</v>
      </c>
      <c r="Q70" s="107">
        <v>318610.33601165173</v>
      </c>
      <c r="R70" s="107">
        <v>56546284.456787616</v>
      </c>
      <c r="S70" s="107">
        <v>35090249.467917681</v>
      </c>
      <c r="T70" s="107">
        <v>2672.1689469859866</v>
      </c>
      <c r="U70" s="107">
        <v>8152875.2631700747</v>
      </c>
      <c r="V70" s="107">
        <v>3756532.7982842382</v>
      </c>
      <c r="W70" s="107">
        <v>9440225.1137278639</v>
      </c>
      <c r="X70" s="107">
        <v>1405686.2683311421</v>
      </c>
      <c r="Y70" s="107">
        <v>3592207.2025141967</v>
      </c>
      <c r="Z70" s="107">
        <v>31574969.188910887</v>
      </c>
      <c r="AA70" s="107">
        <v>8765027.1851875782</v>
      </c>
      <c r="AB70" s="107">
        <v>827590.78096868703</v>
      </c>
      <c r="AC70" s="107">
        <v>87166.339614992816</v>
      </c>
      <c r="AD70" s="107">
        <v>4840.9223779828963</v>
      </c>
      <c r="AE70" s="107">
        <v>487069.36730110599</v>
      </c>
      <c r="AF70" s="107">
        <v>1148806.4666875075</v>
      </c>
      <c r="AG70" s="107">
        <v>2528593.3445375874</v>
      </c>
      <c r="AH70" s="107">
        <v>473871.18955830007</v>
      </c>
      <c r="AI70" s="107">
        <v>131365.82479924438</v>
      </c>
      <c r="AJ70" s="107">
        <v>122801.18550587384</v>
      </c>
      <c r="AK70" s="107">
        <v>248473.71682613989</v>
      </c>
      <c r="AL70" s="107">
        <v>175679.3020508957</v>
      </c>
      <c r="AM70" s="107">
        <v>6837.6801332818586</v>
      </c>
      <c r="AN70" s="108">
        <v>1577651000</v>
      </c>
      <c r="AO70" s="107">
        <v>4580341.7051511696</v>
      </c>
      <c r="AP70" s="107">
        <v>132067703.19696654</v>
      </c>
      <c r="AQ70" s="107">
        <v>21179955.097882312</v>
      </c>
      <c r="AR70" s="108">
        <v>1735479000</v>
      </c>
      <c r="AS70" s="108">
        <v>38446301.23426342</v>
      </c>
    </row>
    <row r="71" spans="1:45" x14ac:dyDescent="0.2">
      <c r="A71" s="121">
        <v>2024</v>
      </c>
      <c r="B71" s="105">
        <v>5</v>
      </c>
      <c r="C71" s="106">
        <v>595.50721443256759</v>
      </c>
      <c r="D71" s="107">
        <v>500000</v>
      </c>
      <c r="E71" s="107">
        <v>721575385.95145273</v>
      </c>
      <c r="F71" s="107">
        <v>159614.04854722216</v>
      </c>
      <c r="G71" s="107">
        <v>16013037.773322983</v>
      </c>
      <c r="H71" s="107">
        <v>2430109.6614097557</v>
      </c>
      <c r="I71" s="107">
        <v>10272711.205723265</v>
      </c>
      <c r="J71" s="107">
        <v>1200236.9872279409</v>
      </c>
      <c r="K71" s="107">
        <v>181664110.96656156</v>
      </c>
      <c r="L71" s="107">
        <v>6496910.6044592289</v>
      </c>
      <c r="M71" s="107">
        <v>195825781.43959197</v>
      </c>
      <c r="N71" s="107">
        <v>13077275.977684395</v>
      </c>
      <c r="O71" s="107">
        <v>112768891.23217416</v>
      </c>
      <c r="P71" s="107">
        <v>14728741.36985321</v>
      </c>
      <c r="Q71" s="107">
        <v>784220.50309273577</v>
      </c>
      <c r="R71" s="107">
        <v>58531687.947028525</v>
      </c>
      <c r="S71" s="107">
        <v>36783005.96519009</v>
      </c>
      <c r="T71" s="107">
        <v>296845.92012601584</v>
      </c>
      <c r="U71" s="107">
        <v>8732261.9370527193</v>
      </c>
      <c r="V71" s="107">
        <v>4278028.880432196</v>
      </c>
      <c r="W71" s="107">
        <v>8162683.2453924371</v>
      </c>
      <c r="X71" s="107">
        <v>1558185.6561867555</v>
      </c>
      <c r="Y71" s="107">
        <v>3375507.3733039056</v>
      </c>
      <c r="Z71" s="107">
        <v>32306132.445648942</v>
      </c>
      <c r="AA71" s="107">
        <v>8440529.8290769793</v>
      </c>
      <c r="AB71" s="107">
        <v>730739.37544123048</v>
      </c>
      <c r="AC71" s="107">
        <v>65971.225781461399</v>
      </c>
      <c r="AD71" s="107">
        <v>4903.7946600624055</v>
      </c>
      <c r="AE71" s="107">
        <v>500653.05337863648</v>
      </c>
      <c r="AF71" s="107">
        <v>1163827.5374305679</v>
      </c>
      <c r="AG71" s="107">
        <v>2547690.18283787</v>
      </c>
      <c r="AH71" s="107">
        <v>477902.93875553919</v>
      </c>
      <c r="AI71" s="107">
        <v>131340.52250150757</v>
      </c>
      <c r="AJ71" s="107">
        <v>119693.74285932376</v>
      </c>
      <c r="AK71" s="107">
        <v>473716.38450019929</v>
      </c>
      <c r="AL71" s="107">
        <v>177701.41448802585</v>
      </c>
      <c r="AM71" s="107">
        <v>7367.399611353042</v>
      </c>
      <c r="AN71" s="108">
        <v>1446364000.0000002</v>
      </c>
      <c r="AO71" s="107">
        <v>4834821.4307789793</v>
      </c>
      <c r="AP71" s="107">
        <v>135755460.36825088</v>
      </c>
      <c r="AQ71" s="107">
        <v>23253718.200970132</v>
      </c>
      <c r="AR71" s="108">
        <v>1610208000.0000002</v>
      </c>
      <c r="AS71" s="108">
        <v>36026667.589240484</v>
      </c>
    </row>
    <row r="72" spans="1:45" x14ac:dyDescent="0.2">
      <c r="A72" s="121">
        <v>2024</v>
      </c>
      <c r="B72" s="105">
        <v>6</v>
      </c>
      <c r="C72" s="106">
        <v>616.58513576346093</v>
      </c>
      <c r="D72" s="107">
        <v>372000</v>
      </c>
      <c r="E72" s="107">
        <v>662981973.61860168</v>
      </c>
      <c r="F72" s="107">
        <v>179026.38139825579</v>
      </c>
      <c r="G72" s="107">
        <v>15872226.066413933</v>
      </c>
      <c r="H72" s="107">
        <v>2363080.4112300728</v>
      </c>
      <c r="I72" s="107">
        <v>10064800.654070353</v>
      </c>
      <c r="J72" s="107">
        <v>1166233.6842594505</v>
      </c>
      <c r="K72" s="107">
        <v>177166008.09012479</v>
      </c>
      <c r="L72" s="107">
        <v>6123526.6108596157</v>
      </c>
      <c r="M72" s="107">
        <v>197616520.16266114</v>
      </c>
      <c r="N72" s="107">
        <v>12703432.77269326</v>
      </c>
      <c r="O72" s="107">
        <v>115295202.48650014</v>
      </c>
      <c r="P72" s="107">
        <v>14362030.095194409</v>
      </c>
      <c r="Q72" s="107">
        <v>1425638.0128270357</v>
      </c>
      <c r="R72" s="107">
        <v>59670911.624653563</v>
      </c>
      <c r="S72" s="107">
        <v>35907860.97774297</v>
      </c>
      <c r="T72" s="107">
        <v>649993.14609323931</v>
      </c>
      <c r="U72" s="107">
        <v>6172868.6480493713</v>
      </c>
      <c r="V72" s="107">
        <v>4161201.4750076276</v>
      </c>
      <c r="W72" s="107">
        <v>7217376.7059217319</v>
      </c>
      <c r="X72" s="107">
        <v>1673144.1684309654</v>
      </c>
      <c r="Y72" s="107">
        <v>3890709.2380739129</v>
      </c>
      <c r="Z72" s="107">
        <v>32024212.095483888</v>
      </c>
      <c r="AA72" s="107">
        <v>8254238.8304282054</v>
      </c>
      <c r="AB72" s="107">
        <v>699876.33123539074</v>
      </c>
      <c r="AC72" s="107">
        <v>65078.071257883428</v>
      </c>
      <c r="AD72" s="107">
        <v>5077.364006600279</v>
      </c>
      <c r="AE72" s="107">
        <v>528540.54171347397</v>
      </c>
      <c r="AF72" s="107">
        <v>1207360.9260784464</v>
      </c>
      <c r="AG72" s="107">
        <v>2624187.6733178096</v>
      </c>
      <c r="AH72" s="107">
        <v>493072.11172270949</v>
      </c>
      <c r="AI72" s="107">
        <v>133065.81057764214</v>
      </c>
      <c r="AJ72" s="107">
        <v>124752.17845802654</v>
      </c>
      <c r="AK72" s="107">
        <v>264190.3955319231</v>
      </c>
      <c r="AL72" s="107">
        <v>177033.34142612189</v>
      </c>
      <c r="AM72" s="107">
        <v>6932.7128185070378</v>
      </c>
      <c r="AN72" s="108">
        <v>1383643999.999999</v>
      </c>
      <c r="AO72" s="107">
        <v>4562064.068872123</v>
      </c>
      <c r="AP72" s="107">
        <v>132048170.28745764</v>
      </c>
      <c r="AQ72" s="107">
        <v>25137765.64367022</v>
      </c>
      <c r="AR72" s="108">
        <v>1545391999.9999993</v>
      </c>
      <c r="AS72" s="108">
        <v>36062224.377066232</v>
      </c>
    </row>
    <row r="73" spans="1:45" x14ac:dyDescent="0.2">
      <c r="A73" s="121">
        <v>2024</v>
      </c>
      <c r="B73" s="105">
        <v>7</v>
      </c>
      <c r="C73" s="106">
        <v>597.60370310335088</v>
      </c>
      <c r="D73" s="107">
        <v>324000</v>
      </c>
      <c r="E73" s="107">
        <v>678505891.70695281</v>
      </c>
      <c r="F73" s="107">
        <v>225108.29304731078</v>
      </c>
      <c r="G73" s="107">
        <v>16067004.672636447</v>
      </c>
      <c r="H73" s="107">
        <v>2426292.4244369944</v>
      </c>
      <c r="I73" s="107">
        <v>10574705.892006205</v>
      </c>
      <c r="J73" s="107">
        <v>1447160.8192745864</v>
      </c>
      <c r="K73" s="107">
        <v>189844755.45234352</v>
      </c>
      <c r="L73" s="107">
        <v>6232419.9871521713</v>
      </c>
      <c r="M73" s="107">
        <v>208842658.18144703</v>
      </c>
      <c r="N73" s="107">
        <v>12878986.349401886</v>
      </c>
      <c r="O73" s="107">
        <v>124500220.51219131</v>
      </c>
      <c r="P73" s="107">
        <v>14145983.203105535</v>
      </c>
      <c r="Q73" s="107">
        <v>2569832.2648340911</v>
      </c>
      <c r="R73" s="107">
        <v>60319436.353765644</v>
      </c>
      <c r="S73" s="107">
        <v>36073672.074739024</v>
      </c>
      <c r="T73" s="107">
        <v>679644.44392696081</v>
      </c>
      <c r="U73" s="107">
        <v>6587051.4610570474</v>
      </c>
      <c r="V73" s="107">
        <v>4402861.0910555823</v>
      </c>
      <c r="W73" s="107">
        <v>5507295.1237251777</v>
      </c>
      <c r="X73" s="107">
        <v>2117562.9859188944</v>
      </c>
      <c r="Y73" s="107">
        <v>4326226.2651975565</v>
      </c>
      <c r="Z73" s="107">
        <v>35884795.46007859</v>
      </c>
      <c r="AA73" s="107">
        <v>7874851.0293482393</v>
      </c>
      <c r="AB73" s="107">
        <v>639094.44072806358</v>
      </c>
      <c r="AC73" s="107">
        <v>67064.920546486159</v>
      </c>
      <c r="AD73" s="107">
        <v>4921.058514637979</v>
      </c>
      <c r="AE73" s="107">
        <v>519124.45287102339</v>
      </c>
      <c r="AF73" s="107">
        <v>1162594.6995459716</v>
      </c>
      <c r="AG73" s="107">
        <v>2538524.8038708521</v>
      </c>
      <c r="AH73" s="107">
        <v>499065.52845027752</v>
      </c>
      <c r="AI73" s="107">
        <v>136183.33125134069</v>
      </c>
      <c r="AJ73" s="107">
        <v>124236.40615769105</v>
      </c>
      <c r="AK73" s="107">
        <v>251012.4917695841</v>
      </c>
      <c r="AL73" s="107">
        <v>184480.50551442121</v>
      </c>
      <c r="AM73" s="107">
        <v>7683.7094343840981</v>
      </c>
      <c r="AN73" s="108">
        <v>1438493000</v>
      </c>
      <c r="AO73" s="107">
        <v>4615447.6367987003</v>
      </c>
      <c r="AP73" s="107">
        <v>140114815.88810045</v>
      </c>
      <c r="AQ73" s="107">
        <v>26788736.475100856</v>
      </c>
      <c r="AR73" s="108">
        <v>1610011999.9999998</v>
      </c>
      <c r="AS73" s="108">
        <v>35558741.786932282</v>
      </c>
    </row>
    <row r="74" spans="1:45" x14ac:dyDescent="0.2">
      <c r="A74" s="121">
        <v>2024</v>
      </c>
      <c r="B74" s="105">
        <v>8</v>
      </c>
      <c r="C74" s="106">
        <v>620.88305355593218</v>
      </c>
      <c r="D74" s="107">
        <v>312000</v>
      </c>
      <c r="E74" s="107">
        <v>665009419.92663562</v>
      </c>
      <c r="F74" s="107">
        <v>227580.07336437574</v>
      </c>
      <c r="G74" s="107">
        <v>16476500.664433546</v>
      </c>
      <c r="H74" s="107">
        <v>2464388.3313927515</v>
      </c>
      <c r="I74" s="107">
        <v>11057477.400316583</v>
      </c>
      <c r="J74" s="107">
        <v>1681893.9977393337</v>
      </c>
      <c r="K74" s="107">
        <v>194795292.13524681</v>
      </c>
      <c r="L74" s="107">
        <v>6392535.9568563802</v>
      </c>
      <c r="M74" s="107">
        <v>214771122.19353533</v>
      </c>
      <c r="N74" s="107">
        <v>13388274.638067797</v>
      </c>
      <c r="O74" s="107">
        <v>127333479.08555967</v>
      </c>
      <c r="P74" s="107">
        <v>14909677.627044385</v>
      </c>
      <c r="Q74" s="107">
        <v>3853826.8707861379</v>
      </c>
      <c r="R74" s="107">
        <v>60086993.531861395</v>
      </c>
      <c r="S74" s="107">
        <v>37105806.759637631</v>
      </c>
      <c r="T74" s="107">
        <v>913266.49784672563</v>
      </c>
      <c r="U74" s="107">
        <v>5297477.2810221082</v>
      </c>
      <c r="V74" s="107">
        <v>4239124.8942798143</v>
      </c>
      <c r="W74" s="107">
        <v>4674342.1294493135</v>
      </c>
      <c r="X74" s="107">
        <v>2105447.0520923589</v>
      </c>
      <c r="Y74" s="107">
        <v>3861957.9239543164</v>
      </c>
      <c r="Z74" s="107">
        <v>34877647.404076524</v>
      </c>
      <c r="AA74" s="107">
        <v>9640622.2001596652</v>
      </c>
      <c r="AB74" s="107">
        <v>698614.07207395392</v>
      </c>
      <c r="AC74" s="107">
        <v>72521.368478084987</v>
      </c>
      <c r="AD74" s="107">
        <v>5126.7872946811167</v>
      </c>
      <c r="AE74" s="107">
        <v>542017.4115219455</v>
      </c>
      <c r="AF74" s="107">
        <v>1206067.6461769831</v>
      </c>
      <c r="AG74" s="107">
        <v>2639044.0379364872</v>
      </c>
      <c r="AH74" s="107">
        <v>474761.33556795347</v>
      </c>
      <c r="AI74" s="107">
        <v>138252.24447760396</v>
      </c>
      <c r="AJ74" s="107">
        <v>129087.99578320861</v>
      </c>
      <c r="AK74" s="107">
        <v>262226.45789635339</v>
      </c>
      <c r="AL74" s="107">
        <v>184134.11449552124</v>
      </c>
      <c r="AM74" s="107">
        <v>7371.0698849319424</v>
      </c>
      <c r="AN74" s="108">
        <v>1441835999.9999995</v>
      </c>
      <c r="AO74" s="107">
        <v>4786198.0703435196</v>
      </c>
      <c r="AP74" s="107">
        <v>144489469.77977094</v>
      </c>
      <c r="AQ74" s="107">
        <v>27753332.149885546</v>
      </c>
      <c r="AR74" s="108">
        <v>1618864999.9999995</v>
      </c>
      <c r="AS74" s="108">
        <v>38504457.948018096</v>
      </c>
    </row>
    <row r="75" spans="1:45" x14ac:dyDescent="0.2">
      <c r="A75" s="121">
        <v>2024</v>
      </c>
      <c r="B75" s="105">
        <v>9</v>
      </c>
      <c r="C75" s="106">
        <v>646.78451863667749</v>
      </c>
      <c r="D75" s="107">
        <v>363000</v>
      </c>
      <c r="E75" s="107">
        <v>658285005.50625455</v>
      </c>
      <c r="F75" s="107">
        <v>192994.49374537353</v>
      </c>
      <c r="G75" s="107">
        <v>15488338.800487684</v>
      </c>
      <c r="H75" s="107">
        <v>2340018.0084890346</v>
      </c>
      <c r="I75" s="107">
        <v>10392930.01027656</v>
      </c>
      <c r="J75" s="107">
        <v>1371187.688429333</v>
      </c>
      <c r="K75" s="107">
        <v>182062969.73484308</v>
      </c>
      <c r="L75" s="107">
        <v>5996414.9146428583</v>
      </c>
      <c r="M75" s="107">
        <v>201132295.25359958</v>
      </c>
      <c r="N75" s="107">
        <v>12689460.872744257</v>
      </c>
      <c r="O75" s="107">
        <v>117380448.97479969</v>
      </c>
      <c r="P75" s="107">
        <v>14241161.04873191</v>
      </c>
      <c r="Q75" s="107">
        <v>2951486.8339544665</v>
      </c>
      <c r="R75" s="107">
        <v>57620942.274582952</v>
      </c>
      <c r="S75" s="107">
        <v>34905053.93639642</v>
      </c>
      <c r="T75" s="107">
        <v>776518.48448222165</v>
      </c>
      <c r="U75" s="107">
        <v>6092974.7507318724</v>
      </c>
      <c r="V75" s="107">
        <v>4629629.520171795</v>
      </c>
      <c r="W75" s="107">
        <v>5694936.7067095367</v>
      </c>
      <c r="X75" s="107">
        <v>1677438.063368001</v>
      </c>
      <c r="Y75" s="107">
        <v>3402252.8410257134</v>
      </c>
      <c r="Z75" s="107">
        <v>34121366.467694618</v>
      </c>
      <c r="AA75" s="107">
        <v>8582026.8662870545</v>
      </c>
      <c r="AB75" s="107">
        <v>827850.50974069256</v>
      </c>
      <c r="AC75" s="107">
        <v>77246.393094784202</v>
      </c>
      <c r="AD75" s="107">
        <v>5027.8661064340913</v>
      </c>
      <c r="AE75" s="107">
        <v>570193.11335767165</v>
      </c>
      <c r="AF75" s="107">
        <v>1262159.4814397716</v>
      </c>
      <c r="AG75" s="107">
        <v>2705717.5397270662</v>
      </c>
      <c r="AH75" s="107">
        <v>495207.60527054948</v>
      </c>
      <c r="AI75" s="107">
        <v>127852.68893137443</v>
      </c>
      <c r="AJ75" s="107">
        <v>116422.09424114648</v>
      </c>
      <c r="AK75" s="107">
        <v>284950.70674439432</v>
      </c>
      <c r="AL75" s="107">
        <v>173638.23730050804</v>
      </c>
      <c r="AM75" s="107">
        <v>7234.9270783123748</v>
      </c>
      <c r="AN75" s="108">
        <v>1389045000</v>
      </c>
      <c r="AO75" s="107">
        <v>4429335.0756878806</v>
      </c>
      <c r="AP75" s="107">
        <v>138623610.94459113</v>
      </c>
      <c r="AQ75" s="107">
        <v>28684053.979720987</v>
      </c>
      <c r="AR75" s="108">
        <v>1560782000</v>
      </c>
      <c r="AS75" s="108">
        <v>38363370.381863244</v>
      </c>
    </row>
    <row r="76" spans="1:45" x14ac:dyDescent="0.2">
      <c r="A76" s="121">
        <v>2024</v>
      </c>
      <c r="B76" s="105">
        <v>10</v>
      </c>
      <c r="C76" s="106">
        <v>621.72897698465317</v>
      </c>
      <c r="D76" s="107">
        <v>522000</v>
      </c>
      <c r="E76" s="107">
        <v>819586517.24928844</v>
      </c>
      <c r="F76" s="107">
        <v>204482.75071163234</v>
      </c>
      <c r="G76" s="107">
        <v>16366293.080911038</v>
      </c>
      <c r="H76" s="107">
        <v>2462640.9762896295</v>
      </c>
      <c r="I76" s="107">
        <v>11193976.147783531</v>
      </c>
      <c r="J76" s="107">
        <v>1293131.7161489108</v>
      </c>
      <c r="K76" s="107">
        <v>187918623.59792295</v>
      </c>
      <c r="L76" s="107">
        <v>6045823.6157789603</v>
      </c>
      <c r="M76" s="107">
        <v>207426186.19099531</v>
      </c>
      <c r="N76" s="107">
        <v>12933418.584437529</v>
      </c>
      <c r="O76" s="107">
        <v>121559139.68118665</v>
      </c>
      <c r="P76" s="107">
        <v>14370887.663075045</v>
      </c>
      <c r="Q76" s="107">
        <v>1195417.4494983573</v>
      </c>
      <c r="R76" s="107">
        <v>60429977.631513767</v>
      </c>
      <c r="S76" s="107">
        <v>36076674.500845931</v>
      </c>
      <c r="T76" s="107">
        <v>675861.0914697625</v>
      </c>
      <c r="U76" s="107">
        <v>8383136.558716571</v>
      </c>
      <c r="V76" s="107">
        <v>4501613.9435374644</v>
      </c>
      <c r="W76" s="107">
        <v>7745868.6195529094</v>
      </c>
      <c r="X76" s="107">
        <v>899531.62317645934</v>
      </c>
      <c r="Y76" s="107">
        <v>4038260.8405806529</v>
      </c>
      <c r="Z76" s="107">
        <v>35949592.230928846</v>
      </c>
      <c r="AA76" s="107">
        <v>8586320.8517444171</v>
      </c>
      <c r="AB76" s="107">
        <v>884648.85566247499</v>
      </c>
      <c r="AC76" s="107">
        <v>73876.546829581523</v>
      </c>
      <c r="AD76" s="107">
        <v>4833.0934966689429</v>
      </c>
      <c r="AE76" s="107">
        <v>552561.8947761514</v>
      </c>
      <c r="AF76" s="107">
        <v>1212127.9540692572</v>
      </c>
      <c r="AG76" s="107">
        <v>2605241.5379247405</v>
      </c>
      <c r="AH76" s="107">
        <v>490309.30603665847</v>
      </c>
      <c r="AI76" s="107">
        <v>140335.77158593506</v>
      </c>
      <c r="AJ76" s="107">
        <v>130973.45018809762</v>
      </c>
      <c r="AK76" s="107">
        <v>464779.08222748182</v>
      </c>
      <c r="AL76" s="107">
        <v>187837.93588709208</v>
      </c>
      <c r="AM76" s="107">
        <v>7476.2462438684661</v>
      </c>
      <c r="AN76" s="108">
        <v>1577121000.0000002</v>
      </c>
      <c r="AO76" s="107">
        <v>4200644.2269999301</v>
      </c>
      <c r="AP76" s="107">
        <v>137387011.32367992</v>
      </c>
      <c r="AQ76" s="107">
        <v>29813344.44932013</v>
      </c>
      <c r="AR76" s="108">
        <v>1748522000.0000002</v>
      </c>
      <c r="AS76" s="108">
        <v>39777699.710414037</v>
      </c>
    </row>
    <row r="77" spans="1:45" x14ac:dyDescent="0.2">
      <c r="A77" s="121">
        <v>2024</v>
      </c>
      <c r="B77" s="105">
        <v>11</v>
      </c>
      <c r="C77" s="106">
        <v>653.87093602888081</v>
      </c>
      <c r="D77" s="107">
        <v>734000</v>
      </c>
      <c r="E77" s="107">
        <v>1021505109.9996929</v>
      </c>
      <c r="F77" s="107">
        <v>219890.00030711578</v>
      </c>
      <c r="G77" s="107">
        <v>18703995.469421569</v>
      </c>
      <c r="H77" s="107">
        <v>2609053.2910732194</v>
      </c>
      <c r="I77" s="107">
        <v>12396646.275312776</v>
      </c>
      <c r="J77" s="107">
        <v>1358054.2059478813</v>
      </c>
      <c r="K77" s="107">
        <v>204495270.89871418</v>
      </c>
      <c r="L77" s="107">
        <v>6279801.3834961746</v>
      </c>
      <c r="M77" s="107">
        <v>216020670.18517613</v>
      </c>
      <c r="N77" s="107">
        <v>12468265.63536145</v>
      </c>
      <c r="O77" s="107">
        <v>123105530.65256375</v>
      </c>
      <c r="P77" s="107">
        <v>13161569.435182907</v>
      </c>
      <c r="Q77" s="107">
        <v>401345.28451179952</v>
      </c>
      <c r="R77" s="107">
        <v>61727617.663097575</v>
      </c>
      <c r="S77" s="107">
        <v>34469527.063766696</v>
      </c>
      <c r="T77" s="107">
        <v>226463.6891452999</v>
      </c>
      <c r="U77" s="107">
        <v>8094696.73042442</v>
      </c>
      <c r="V77" s="107">
        <v>4025956.3676753249</v>
      </c>
      <c r="W77" s="107">
        <v>9622518.6574147753</v>
      </c>
      <c r="X77" s="107">
        <v>1029716.8374209971</v>
      </c>
      <c r="Y77" s="107">
        <v>3458030.975728808</v>
      </c>
      <c r="Z77" s="107">
        <v>37069797.075408243</v>
      </c>
      <c r="AA77" s="107">
        <v>7899849.1387886405</v>
      </c>
      <c r="AB77" s="107">
        <v>1067594.8824435782</v>
      </c>
      <c r="AC77" s="107">
        <v>91792.066533908917</v>
      </c>
      <c r="AD77" s="107">
        <v>5082.9533214116636</v>
      </c>
      <c r="AE77" s="107">
        <v>583003.15805113968</v>
      </c>
      <c r="AF77" s="107">
        <v>1273075.3752180163</v>
      </c>
      <c r="AG77" s="107">
        <v>2746791.6045815051</v>
      </c>
      <c r="AH77" s="107">
        <v>507297.24017741426</v>
      </c>
      <c r="AI77" s="107">
        <v>139041.98681181195</v>
      </c>
      <c r="AJ77" s="107">
        <v>126858.35281709461</v>
      </c>
      <c r="AK77" s="107">
        <v>273708.84873699781</v>
      </c>
      <c r="AL77" s="107">
        <v>191892.13369450456</v>
      </c>
      <c r="AM77" s="107">
        <v>7830.6110437086436</v>
      </c>
      <c r="AN77" s="108">
        <v>1808097999.9999998</v>
      </c>
      <c r="AO77" s="107">
        <v>3901822.2276474503</v>
      </c>
      <c r="AP77" s="107">
        <v>135530717.59800258</v>
      </c>
      <c r="AQ77" s="107">
        <v>28930460.17434993</v>
      </c>
      <c r="AR77" s="108">
        <v>1976461000</v>
      </c>
      <c r="AS77" s="108">
        <v>38510649.70271638</v>
      </c>
    </row>
    <row r="78" spans="1:45" x14ac:dyDescent="0.2">
      <c r="A78" s="122">
        <v>2024</v>
      </c>
      <c r="B78" s="109">
        <v>12</v>
      </c>
      <c r="C78" s="110">
        <v>663.43965292264761</v>
      </c>
      <c r="D78" s="111">
        <v>1049000</v>
      </c>
      <c r="E78" s="111">
        <v>1297893038.4102681</v>
      </c>
      <c r="F78" s="111">
        <v>292961.58973162121</v>
      </c>
      <c r="G78" s="111">
        <v>23480486.665685024</v>
      </c>
      <c r="H78" s="111">
        <v>3050579.2255025171</v>
      </c>
      <c r="I78" s="111">
        <v>14168133.019141261</v>
      </c>
      <c r="J78" s="111">
        <v>1651380.0105503227</v>
      </c>
      <c r="K78" s="111">
        <v>228899646.19504783</v>
      </c>
      <c r="L78" s="111">
        <v>6784545.1528016571</v>
      </c>
      <c r="M78" s="111">
        <v>233555374.02752441</v>
      </c>
      <c r="N78" s="111">
        <v>12967583.509436406</v>
      </c>
      <c r="O78" s="111">
        <v>130455873.2242008</v>
      </c>
      <c r="P78" s="111">
        <v>12450065.643884845</v>
      </c>
      <c r="Q78" s="111">
        <v>313132.91269762348</v>
      </c>
      <c r="R78" s="111">
        <v>66981986.861548856</v>
      </c>
      <c r="S78" s="111">
        <v>34526750.728549697</v>
      </c>
      <c r="T78" s="111">
        <v>2941.5722731778851</v>
      </c>
      <c r="U78" s="111">
        <v>6967078.0988889914</v>
      </c>
      <c r="V78" s="111">
        <v>3616598.2154921442</v>
      </c>
      <c r="W78" s="111">
        <v>13314928.296801094</v>
      </c>
      <c r="X78" s="111">
        <v>1690640.0905564521</v>
      </c>
      <c r="Y78" s="111">
        <v>3201161.6674324293</v>
      </c>
      <c r="Z78" s="111">
        <v>39268290.962334782</v>
      </c>
      <c r="AA78" s="111">
        <v>7983295.0824028086</v>
      </c>
      <c r="AB78" s="111">
        <v>1209552.4478577478</v>
      </c>
      <c r="AC78" s="111">
        <v>124744.94876492844</v>
      </c>
      <c r="AD78" s="111">
        <v>5157.3370241224857</v>
      </c>
      <c r="AE78" s="111">
        <v>606279.35460504657</v>
      </c>
      <c r="AF78" s="111">
        <v>1291443.7771574294</v>
      </c>
      <c r="AG78" s="111">
        <v>2695187.4792198092</v>
      </c>
      <c r="AH78" s="111">
        <v>506597.3235055551</v>
      </c>
      <c r="AI78" s="111">
        <v>142822.14447998648</v>
      </c>
      <c r="AJ78" s="111">
        <v>133395.6366280721</v>
      </c>
      <c r="AK78" s="111">
        <v>309373.8922124384</v>
      </c>
      <c r="AL78" s="111">
        <v>194678.67995871053</v>
      </c>
      <c r="AM78" s="111">
        <v>7632.3761800306174</v>
      </c>
      <c r="AN78" s="112">
        <v>2151793000</v>
      </c>
      <c r="AO78" s="111">
        <v>3744556.9244092698</v>
      </c>
      <c r="AP78" s="111">
        <v>134896870.91315594</v>
      </c>
      <c r="AQ78" s="111">
        <v>26756572.162434798</v>
      </c>
      <c r="AR78" s="112">
        <v>2317191000</v>
      </c>
      <c r="AS78" s="112">
        <v>36495343.21981588</v>
      </c>
    </row>
  </sheetData>
  <printOptions horizontalCentered="1"/>
  <pageMargins left="0.75" right="0.75" top="1" bottom="1" header="0.5" footer="0.5"/>
  <pageSetup scale="48" fitToWidth="6" orientation="landscape" cellComments="asDisplayed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AE896FD437FF4087A6FDDF8CA03395" ma:contentTypeVersion="56" ma:contentTypeDescription="" ma:contentTypeScope="" ma:versionID="755766f25b0e44f6fcb6801e334278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2019-09-06T07:00:00+00:00</OpenedDate>
    <SignificantOrder xmlns="dc463f71-b30c-4ab2-9473-d307f9d35888">false</SignificantOrder>
    <Date1 xmlns="dc463f71-b30c-4ab2-9473-d307f9d35888">2019-09-06T07:00:00+00:00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190753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4FC356-C460-40D9-A9D5-C3892AC2855D}"/>
</file>

<file path=customXml/itemProps2.xml><?xml version="1.0" encoding="utf-8"?>
<ds:datastoreItem xmlns:ds="http://schemas.openxmlformats.org/officeDocument/2006/customXml" ds:itemID="{25CC106A-2D5B-4434-A450-096BBBDC0B8C}"/>
</file>

<file path=customXml/itemProps3.xml><?xml version="1.0" encoding="utf-8"?>
<ds:datastoreItem xmlns:ds="http://schemas.openxmlformats.org/officeDocument/2006/customXml" ds:itemID="{C082CA7B-619E-4FAC-9B38-42497E767331}"/>
</file>

<file path=customXml/itemProps4.xml><?xml version="1.0" encoding="utf-8"?>
<ds:datastoreItem xmlns:ds="http://schemas.openxmlformats.org/officeDocument/2006/customXml" ds:itemID="{C7D8BC90-1553-49C4-B149-EAFD4F71FD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FY2020 Sch 194 Summary</vt:lpstr>
      <vt:lpstr>Rate Impact (Eff 10-12-2019)</vt:lpstr>
      <vt:lpstr>Typ Res (Eff 10-12-19)</vt:lpstr>
      <vt:lpstr>Workpapers -&gt; </vt:lpstr>
      <vt:lpstr>Utility Spec PFx RAM 2020</vt:lpstr>
      <vt:lpstr>186 - 253 Balance</vt:lpstr>
      <vt:lpstr>Conversion Factor </vt:lpstr>
      <vt:lpstr>F2019 Res Exch Load</vt:lpstr>
      <vt:lpstr>F2019 Delivered Sales</vt:lpstr>
      <vt:lpstr>'186 - 253 Balance'!Print_Area</vt:lpstr>
      <vt:lpstr>'Conversion Factor '!Print_Area</vt:lpstr>
      <vt:lpstr>'F2019 Delivered Sales'!Print_Area</vt:lpstr>
      <vt:lpstr>'F2019 Res Exch Load'!Print_Area</vt:lpstr>
      <vt:lpstr>'FY2020 Sch 194 Summary'!Print_Area</vt:lpstr>
      <vt:lpstr>'Rate Impact (Eff 10-12-2019)'!Print_Area</vt:lpstr>
      <vt:lpstr>'Typ Res (Eff 10-12-19)'!Print_Area</vt:lpstr>
      <vt:lpstr>'F2019 Delivered Sales'!Print_Titles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2019-09-03T16:45:16Z</cp:lastPrinted>
  <dcterms:created xsi:type="dcterms:W3CDTF">2009-07-10T18:09:41Z</dcterms:created>
  <dcterms:modified xsi:type="dcterms:W3CDTF">2019-09-03T17:52:30Z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0x0101006E56B4D1795A2E4DB2F0B01679ED314A009BAE896FD437FF4087A6FDDF8CA03395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